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990" windowWidth="15480" windowHeight="11445" activeTab="9"/>
  </bookViews>
  <sheets>
    <sheet name="KOPSAVILKUMS" sheetId="1" r:id="rId1"/>
    <sheet name="EM" sheetId="2" r:id="rId2"/>
    <sheet name="IZM" sheetId="3" r:id="rId3"/>
    <sheet name="LM" sheetId="4" r:id="rId4"/>
    <sheet name="VARAM" sheetId="5" r:id="rId5"/>
    <sheet name="SM" sheetId="6" r:id="rId6"/>
    <sheet name="VeM" sheetId="7" r:id="rId7"/>
    <sheet name="VKanc" sheetId="8" r:id="rId8"/>
    <sheet name="FM" sheetId="9" r:id="rId9"/>
    <sheet name="KM" sheetId="10" r:id="rId10"/>
  </sheets>
  <externalReferences>
    <externalReference r:id="rId13"/>
  </externalReferences>
  <definedNames>
    <definedName name="_xlnm._FilterDatabase" localSheetId="6" hidden="1">'VeM'!$A$6:$AH$6</definedName>
    <definedName name="apst">'[1]Izd_reg'!$G$2:$G$1250</definedName>
    <definedName name="avots">'[1]Izd_reg'!$H$2:$H$1250</definedName>
    <definedName name="fk_men">'[1]Izd_reg'!$D$2:$D$1250</definedName>
    <definedName name="fk_sum">'[1]Izd_reg'!$E$2:$E$1250</definedName>
    <definedName name="lrm_men">'[1]Izd_reg'!$L$2:$L$1250</definedName>
    <definedName name="OLE_LINK5" localSheetId="9">'KM'!$B$28</definedName>
    <definedName name="OLE_LINK7" localSheetId="9">'KM'!$B$24</definedName>
    <definedName name="pl_men">'[1]Izd_reg'!$B$2:$B$1250</definedName>
    <definedName name="pl_sum">'[1]Izd_reg'!$C$2:$C$1250</definedName>
    <definedName name="plfk_men">'[1]Izd_reg'!$N$2:$N$1250</definedName>
    <definedName name="prgr">'[1]Izd_reg'!$P$2:$P$1250</definedName>
    <definedName name="_xlnm.Print_Area" localSheetId="1">'EM'!$A$1:$AN$41</definedName>
    <definedName name="_xlnm.Print_Area" localSheetId="8">'FM'!$A$1:$AJ$16</definedName>
    <definedName name="_xlnm.Print_Area" localSheetId="9">'KM'!$A$1:$AI$38</definedName>
    <definedName name="_xlnm.Print_Area" localSheetId="3">'LM'!$A$1:$AK$34</definedName>
    <definedName name="_xlnm.Print_Area" localSheetId="5">'SM'!$A$1:$AJ$34</definedName>
    <definedName name="_xlnm.Print_Area" localSheetId="4">'VARAM'!$A$1:$AK$37</definedName>
    <definedName name="_xlnm.Print_Area" localSheetId="6">'VeM'!$A$1:$AH$24</definedName>
    <definedName name="_xlnm.Print_Area" localSheetId="7">'VKanc'!$A$1:$AI$20</definedName>
    <definedName name="_xlnm.Print_Titles" localSheetId="1">'EM'!$C:$E,'EM'!$4:$5</definedName>
    <definedName name="_xlnm.Print_Titles" localSheetId="8">'FM'!$4:$5</definedName>
    <definedName name="_xlnm.Print_Titles" localSheetId="2">'IZM'!$B:$B,'IZM'!$4:$6</definedName>
    <definedName name="_xlnm.Print_Titles" localSheetId="0">'KOPSAVILKUMS'!$B:$B,'KOPSAVILKUMS'!$4:$5</definedName>
    <definedName name="_xlnm.Print_Titles" localSheetId="3">'LM'!$B:$G,'LM'!$4:$5</definedName>
    <definedName name="_xlnm.Print_Titles" localSheetId="5">'SM'!$B:$F,'SM'!$4:$5</definedName>
    <definedName name="_xlnm.Print_Titles" localSheetId="4">'VARAM'!$B:$D,'VARAM'!$5:$6</definedName>
    <definedName name="_xlnm.Print_Titles" localSheetId="6">'VeM'!$A:$C,'VeM'!$4:$5</definedName>
    <definedName name="_xlnm.Print_Titles" localSheetId="7">'VKanc'!$4:$5</definedName>
  </definedNames>
  <calcPr fullCalcOnLoad="1"/>
</workbook>
</file>

<file path=xl/comments1.xml><?xml version="1.0" encoding="utf-8"?>
<comments xmlns="http://schemas.openxmlformats.org/spreadsheetml/2006/main">
  <authors>
    <author>Evija Kvepa</author>
  </authors>
  <commentList>
    <comment ref="I5" authorId="0">
      <text>
        <r>
          <rPr>
            <b/>
            <sz val="8"/>
            <rFont val="Tahoma"/>
            <family val="2"/>
          </rPr>
          <t>Evija Kvepa:</t>
        </r>
        <r>
          <rPr>
            <sz val="8"/>
            <rFont val="Tahoma"/>
            <family val="2"/>
          </rPr>
          <t xml:space="preserve">
Samaksāts pēc 30.09.2009 un ko vēl samaksās līdz 31.12.2009</t>
        </r>
      </text>
    </comment>
  </commentList>
</comments>
</file>

<file path=xl/comments2.xml><?xml version="1.0" encoding="utf-8"?>
<comments xmlns="http://schemas.openxmlformats.org/spreadsheetml/2006/main">
  <authors>
    <author>Evija Kvepa</author>
  </authors>
  <commentList>
    <comment ref="F26" authorId="0">
      <text>
        <r>
          <rPr>
            <b/>
            <sz val="8"/>
            <rFont val="Tahoma"/>
            <family val="2"/>
          </rPr>
          <t>Evija Kvepa:</t>
        </r>
        <r>
          <rPr>
            <sz val="8"/>
            <rFont val="Tahoma"/>
            <family val="2"/>
          </rPr>
          <t xml:space="preserve">
Būtu 129, bet 3, kuri neīsteno</t>
        </r>
      </text>
    </comment>
  </commentList>
</comments>
</file>

<file path=xl/comments3.xml><?xml version="1.0" encoding="utf-8"?>
<comments xmlns="http://schemas.openxmlformats.org/spreadsheetml/2006/main">
  <authors>
    <author>sfeifere</author>
  </authors>
  <commentList>
    <comment ref="L11" authorId="0">
      <text>
        <r>
          <rPr>
            <b/>
            <sz val="8"/>
            <rFont val="Tahoma"/>
            <family val="2"/>
          </rPr>
          <t>sfeifere:</t>
        </r>
        <r>
          <rPr>
            <sz val="8"/>
            <rFont val="Tahoma"/>
            <family val="2"/>
          </rPr>
          <t xml:space="preserve">
t.sk. 203 257Ls neattiecināmās netiešās izmaksas, kas segtas tikai no VB finansējuma
</t>
        </r>
      </text>
    </comment>
    <comment ref="J13" authorId="0">
      <text>
        <r>
          <rPr>
            <b/>
            <sz val="8"/>
            <rFont val="Tahoma"/>
            <family val="2"/>
          </rPr>
          <t>sfeifere:</t>
        </r>
        <r>
          <rPr>
            <sz val="8"/>
            <rFont val="Tahoma"/>
            <family val="2"/>
          </rPr>
          <t xml:space="preserve">
FM 4213487,583</t>
        </r>
      </text>
    </comment>
    <comment ref="J14" authorId="0">
      <text>
        <r>
          <rPr>
            <b/>
            <sz val="8"/>
            <rFont val="Tahoma"/>
            <family val="2"/>
          </rPr>
          <t>sfeifere:</t>
        </r>
        <r>
          <rPr>
            <sz val="8"/>
            <rFont val="Tahoma"/>
            <family val="2"/>
          </rPr>
          <t xml:space="preserve">
FM 23806689,63</t>
        </r>
      </text>
    </comment>
    <comment ref="L14" authorId="0">
      <text>
        <r>
          <rPr>
            <sz val="8"/>
            <rFont val="Tahoma"/>
            <family val="2"/>
          </rPr>
          <t>15 623 510.80Ls (iztrūkst projektam Nr.13 intensitātes maiņas dēļ piemaksātās summas 2740.53 Ls), izmaiņas 02.02.2011.</t>
        </r>
      </text>
    </comment>
    <comment ref="J19" authorId="0">
      <text>
        <r>
          <rPr>
            <b/>
            <sz val="8"/>
            <rFont val="Tahoma"/>
            <family val="2"/>
          </rPr>
          <t>sfeifere:</t>
        </r>
        <r>
          <rPr>
            <sz val="8"/>
            <rFont val="Tahoma"/>
            <family val="2"/>
          </rPr>
          <t xml:space="preserve">
85% un 92,03%</t>
        </r>
      </text>
    </comment>
    <comment ref="L33" authorId="0">
      <text>
        <r>
          <rPr>
            <b/>
            <sz val="8"/>
            <rFont val="Tahoma"/>
            <family val="2"/>
          </rPr>
          <t>sfeifere:</t>
        </r>
        <r>
          <rPr>
            <sz val="8"/>
            <rFont val="Tahoma"/>
            <family val="2"/>
          </rPr>
          <t xml:space="preserve">
1 279 962.50Ls - atšķiras no SF daļas tādēļ, ka vēl projektiem 002 un 042 nav veikti grozījumi par 100% ESF un daļa summas vēl atrodas VB daļā, bet faktiski maksājumi veikti, kļūdas pieteikums nosūtīts</t>
        </r>
      </text>
    </comment>
    <comment ref="L34" authorId="0">
      <text>
        <r>
          <rPr>
            <b/>
            <sz val="8"/>
            <rFont val="Tahoma"/>
            <family val="2"/>
          </rPr>
          <t>sfeifere:</t>
        </r>
        <r>
          <rPr>
            <sz val="8"/>
            <rFont val="Tahoma"/>
            <family val="2"/>
          </rPr>
          <t xml:space="preserve">
6 630 579.59Ls;
FM 6 562 940, jo VIS nebija informācijas par projektu Nr.121, šobrīd VIS pieejama aktualizētā informācija </t>
        </r>
      </text>
    </comment>
    <comment ref="I35" authorId="0">
      <text>
        <r>
          <rPr>
            <b/>
            <sz val="8"/>
            <rFont val="Tahoma"/>
            <family val="2"/>
          </rPr>
          <t>sfeifere:</t>
        </r>
        <r>
          <rPr>
            <sz val="8"/>
            <rFont val="Tahoma"/>
            <family val="2"/>
          </rPr>
          <t xml:space="preserve">
FM 2061660;
IZM info 2010.gadā 969081,83+ 2011.gadā 1132048</t>
        </r>
      </text>
    </comment>
    <comment ref="J40" authorId="0">
      <text>
        <r>
          <rPr>
            <b/>
            <sz val="8"/>
            <rFont val="Tahoma"/>
            <family val="2"/>
          </rPr>
          <t>sfeifere:</t>
        </r>
        <r>
          <rPr>
            <sz val="8"/>
            <rFont val="Tahoma"/>
            <family val="2"/>
          </rPr>
          <t xml:space="preserve">
ERAF likme 85%, faktiski veiktajos maksājumos ERAF līdzfinansējums pārsniedz 85%</t>
        </r>
      </text>
    </comment>
    <comment ref="J42" authorId="0">
      <text>
        <r>
          <rPr>
            <b/>
            <sz val="8"/>
            <rFont val="Tahoma"/>
            <family val="2"/>
          </rPr>
          <t>sfeifere:</t>
        </r>
        <r>
          <rPr>
            <sz val="8"/>
            <rFont val="Tahoma"/>
            <family val="2"/>
          </rPr>
          <t xml:space="preserve">
ERAF līdzfinansējuma likme 85%, faktiski veikti maksājumi par ERAF un vb dot.</t>
        </r>
      </text>
    </comment>
    <comment ref="J44" authorId="0">
      <text>
        <r>
          <rPr>
            <b/>
            <sz val="8"/>
            <rFont val="Tahoma"/>
            <family val="2"/>
          </rPr>
          <t>sfeifere:</t>
        </r>
        <r>
          <rPr>
            <sz val="8"/>
            <rFont val="Tahoma"/>
            <family val="2"/>
          </rPr>
          <t xml:space="preserve">
ERAF 100%</t>
        </r>
      </text>
    </comment>
    <comment ref="J45" authorId="0">
      <text>
        <r>
          <rPr>
            <b/>
            <sz val="8"/>
            <rFont val="Tahoma"/>
            <family val="2"/>
          </rPr>
          <t>sfeifere:</t>
        </r>
        <r>
          <rPr>
            <sz val="8"/>
            <rFont val="Tahoma"/>
            <family val="2"/>
          </rPr>
          <t xml:space="preserve">
ERAF līdzfinansējuma likme 85%, bet faktiski veikto maksājumu summa ietver arī vb dot.</t>
        </r>
      </text>
    </comment>
    <comment ref="L46" authorId="0">
      <text>
        <r>
          <rPr>
            <b/>
            <sz val="8"/>
            <rFont val="Tahoma"/>
            <family val="2"/>
          </rPr>
          <t>sfeifere:</t>
        </r>
        <r>
          <rPr>
            <sz val="8"/>
            <rFont val="Tahoma"/>
            <family val="2"/>
          </rPr>
          <t xml:space="preserve">
9 292 613.15 Ls, datu nesakritība veidojas pārgrāmatojot avansa maksājumus no 85% uz 100% ERAF </t>
        </r>
      </text>
    </comment>
    <comment ref="N46" authorId="0">
      <text>
        <r>
          <rPr>
            <b/>
            <sz val="8"/>
            <rFont val="Tahoma"/>
            <family val="2"/>
          </rPr>
          <t>sfeifere:</t>
        </r>
        <r>
          <rPr>
            <sz val="8"/>
            <rFont val="Tahoma"/>
            <family val="2"/>
          </rPr>
          <t xml:space="preserve">
9 292 613.15 Ls</t>
        </r>
      </text>
    </comment>
  </commentList>
</comments>
</file>

<file path=xl/sharedStrings.xml><?xml version="1.0" encoding="utf-8"?>
<sst xmlns="http://schemas.openxmlformats.org/spreadsheetml/2006/main" count="1168" uniqueCount="546">
  <si>
    <t>Nr.p. k.</t>
  </si>
  <si>
    <t xml:space="preserve">Fonds </t>
  </si>
  <si>
    <t>Aktivitātes/apakšaktivitātes nosaukums</t>
  </si>
  <si>
    <t>Projektu ieviešanas statuss</t>
  </si>
  <si>
    <t xml:space="preserve">Kopējais attiecināmais finansējums, LVL </t>
  </si>
  <si>
    <t>tai skaitā ES fondi, LVL</t>
  </si>
  <si>
    <t>% no plānotā finansējuma</t>
  </si>
  <si>
    <t>2011.gads</t>
  </si>
  <si>
    <t>2012.gads</t>
  </si>
  <si>
    <t>2013.gads</t>
  </si>
  <si>
    <t>2014.gads</t>
  </si>
  <si>
    <t>2015.gads</t>
  </si>
  <si>
    <t>ESF</t>
  </si>
  <si>
    <t>Notiek projekta ieviešana</t>
  </si>
  <si>
    <t>ERAF</t>
  </si>
  <si>
    <t>1.3.1.1.1. Apakšaktivitāte "Atbalsts nodarbināto apmācībām komersantu konkurētspējas veicināšanai - atbalsts partnerībās organizētām apmācībām "</t>
  </si>
  <si>
    <t>1.3.1.1.4. Apakšaktivitāte "Atbalsts nodarbināto apmācībām komersantu konkurētspējas veicināšanai - atbalsts komersantu individuāli organizētām apmācībām"</t>
  </si>
  <si>
    <t>1.3.1.2. Aktivitāte "Atbalsts pašnodarbinātības un uzņēmējdarbības uzsākšanai"</t>
  </si>
  <si>
    <t xml:space="preserve">1.3.1.9. Aktivitāte "Augstas kvalifikācijas darbinieku piesaiste" </t>
  </si>
  <si>
    <t>2.1.2.1.2. Apakšaktivitāte "Tehnoloģiju pārneses kontaktpunkti"</t>
  </si>
  <si>
    <t xml:space="preserve">2.1.2.2.1. Apakšaktivitāte "Jaunu produktu un tehnoloģiju izstrāde" </t>
  </si>
  <si>
    <t>2.1.2.2.2. Apakšaktivitāte "Jaunu produktu un tehnoloģiju izstrāde - atbalsts jaunu produktu un tehnoloģiju ieviešanai ražošanā"</t>
  </si>
  <si>
    <t xml:space="preserve">2.1.2.2.3. Apakšaktivitāte "Jaunu produktu un tehnoloģiju izstrāde - atbalsts rūpnieciskā īpašuma tiesību nostiprināšanai" </t>
  </si>
  <si>
    <t>2.3.1.1.1. Apakšaktivitāte „Ārējo tirgu apgūšana - ārējais mārketings”</t>
  </si>
  <si>
    <t>2.3.1.2. Aktivitāte "Pasākumi motivācijas celšanai inovācijām un uzņēmējdarbības uzsākšanai"</t>
  </si>
  <si>
    <t>2.3.2.1. Aktivitāte "Biznesa inkubatori"</t>
  </si>
  <si>
    <t>2.3.2.2. Aktivitāte "Atbalsts ieguldījumiem mikro, maziem un vidējiem komersantiem īpaši atbalstāmajās teritorijās (ĪAT)"</t>
  </si>
  <si>
    <t>3.4.2.1.1. Apakšaktivitāte "Valsts nozīmes pilsētbūvniecības pieminekļu saglabāšana, atjaunošana un infrastruktūras pielāgošana tūrisma produktu attīstībai"</t>
  </si>
  <si>
    <t>3.4.2.1.2. Apakšaktivitāte "Nacionālās nozīmes velotūrisma produktu attīstība"</t>
  </si>
  <si>
    <t xml:space="preserve">ERAF </t>
  </si>
  <si>
    <t>Noslēgts projekta ieviešanas līgums ar Eiropas Investīciju fondu, veikta finansējuma atmaksa</t>
  </si>
  <si>
    <t xml:space="preserve">2.2.1.1. Aktivitāte "Ieguldījumu fonds investīcijām garantijās, paaugstināta riska aizdevumos, riska kapitāla fondos un cita veida finanšu instrumentos" </t>
  </si>
  <si>
    <t xml:space="preserve">2.2.1.4. Aktivitāte "Aizdevumi komersantu konkurētspējas uzlabošanai" </t>
  </si>
  <si>
    <t>2.2.1.3. Aktivitāte "Garantijas komersantu konkurētspējas uzlabošanai"</t>
  </si>
  <si>
    <t>3.4.4.2. Aktivitāte "Sociālo dzīvojamo māju siltumnoturības uzlabošanas pasākumi"</t>
  </si>
  <si>
    <t xml:space="preserve">Kohēzijas fonds kopā </t>
  </si>
  <si>
    <t>KF</t>
  </si>
  <si>
    <t>3.5.2.1. Aktivitāte "pasākumi centralizētās siltumapgādes sistēmu efektivitātes paaugstināšanai"</t>
  </si>
  <si>
    <t>3.5.2.2. Aktivitāte "Atjaunojamo energoresursu izmantojošu koģenerācijas elektrostaciju attīstība"</t>
  </si>
  <si>
    <t>Ekonomikas ministrija, t.sk.</t>
  </si>
  <si>
    <t>KOPĀ:</t>
  </si>
  <si>
    <t>-</t>
  </si>
  <si>
    <t>t.sk. ESF</t>
  </si>
  <si>
    <t>t.sk. ERAF</t>
  </si>
  <si>
    <t>1.1.1.1. Zinātnes un inovāciju politikas veidošanas un administratīvās kapacitātes stiprināšana</t>
  </si>
  <si>
    <t>Aktivitātes ietvaros izņemts finansējums</t>
  </si>
  <si>
    <t>1.1.1.2. Cilvēkresursu piesaiste zinātnei</t>
  </si>
  <si>
    <t>1.1.1.3. Motivācijas veicināšana zinātniskajai darbībai</t>
  </si>
  <si>
    <t>Aktivitātes finansējums pārdalīts 1.1.1.2.aktivitātei</t>
  </si>
  <si>
    <t>1.1.2.1.1. Atbalsts  maģistra studiju īstenošanai</t>
  </si>
  <si>
    <t>1.1.2.1.2. Atbalsts doktora studiju īstenošanai</t>
  </si>
  <si>
    <t>1.1.2.2.1. Studiju programmu satura un īstenošanas uzlabošana un akadēmiskā personāla kompetences pilnveidošana</t>
  </si>
  <si>
    <t>1.1.2.2.2. Boloņas procesu principu ieviešana augstākajā izglītībā</t>
  </si>
  <si>
    <t>Aktivitātes finansējums pārdalīts 1.1.2.2.1. apakšaktivitātei</t>
  </si>
  <si>
    <t>1.2.1.1.1. Nozaru kvalifikāciju sistēmas izveide un profesionālās izglītības pārstrukturizācija</t>
  </si>
  <si>
    <t>1.2.1.1.2. Profesionālajā izglītībā iesaistīto pedagogu kompetences paaugstināšana</t>
  </si>
  <si>
    <t>1.2.1.1.3. Atbalsts sākotnējās profesionālās izglītības programmu īstenošanas kvalitātes uzlabošanai un īstenošanai</t>
  </si>
  <si>
    <t>1.2.1.1.4. Sākotnējās profesionālās izglītības pievilcības veicināšana</t>
  </si>
  <si>
    <t>1.2.1.2.1. Vispārējās vidējās izglītības satura reforma, mācību priekšmetu, metodikas un mācību sasniegumu vērtēšanas sistēmas uzlabošana</t>
  </si>
  <si>
    <t>1.2.1.2.2. Atbalsts vispārējās izglītības pedagogu nodrošināšanai prioritārajos mācību priekšmetos</t>
  </si>
  <si>
    <t>1.2.1.2.3. Vispārējās izglītības pedagogu kompetences paaugstināšana un prasmju atjaunošana</t>
  </si>
  <si>
    <t>1.2.2.1.1. Mūžizglītības pārvaldes struktūras izveide nacionālā līmenī un inovatīvu mūžizglītības politikas instrumentu izstrāde</t>
  </si>
  <si>
    <t>Apakšaktivitātes ietvaros izņemts finansējums</t>
  </si>
  <si>
    <t>1.2.2.1.3. Īpašu  mūžizglītības politikas jomu atbalsts</t>
  </si>
  <si>
    <t>1.2.2.1.4. Kvalifikācijas paaugstināšanas un eksaminācijas centru attīstība</t>
  </si>
  <si>
    <t>1.2.2.1.5. Pedagogu konkurētspējas veicināšana izglītības sistēmas optimizācijas apstākļos</t>
  </si>
  <si>
    <t>1.2.2.2.1. Profesionālas orientācijas un karjeras izglītības sistēma</t>
  </si>
  <si>
    <t>1.2.2.2.2. Profesionālās orientācijas un karjeras izglītības pieejamības palielināšana jauniešiem, profesionāli orientētas izglītības attīstība</t>
  </si>
  <si>
    <t>1.2.2.3.1. Par izglītības un mūžizglītības politiku atbildīgo institūciju rīcībspējas un sadarbības stiprināšana</t>
  </si>
  <si>
    <t>1.2.2.3.2. Atbalsts izglītības pētījumiem</t>
  </si>
  <si>
    <t>1.2.2.4.1. Iekļaujošas izglītības un sociālās atstumtības riskam pakļauto jauniešu atbalsta sistēmas izveide, nepieciešamā personāla sagatavošana, nodrošināšana un kompetences paaugstināšana</t>
  </si>
  <si>
    <t>1.2.2.4.2. Atbalsta pasākumu īstenošana jauniešu sociālās atstumtības riska mazināšanai un jauniešu ar funkcionālajiem traucējumiem integrācijai izglītībā</t>
  </si>
  <si>
    <t>2.1.1.1. Atbalsts zinātnei un pētniecībai</t>
  </si>
  <si>
    <t>2.1.1.2. Atbalsts starptautiskās sadarbības projektiem zinātnē un tehnoloģijās</t>
  </si>
  <si>
    <t>2.1.1.3.2. Informācijas tehnoloģiju infrastruktūras un informācijas sistēmu uzlabošana zinātniskajai darbībai</t>
  </si>
  <si>
    <t>3.1.1.1. Mācību aprīkojuma modernizācija un infrastruktūras uzlabošana profesionālās izglītības programmu īstenošanai</t>
  </si>
  <si>
    <t>3.1.1.2. Profesionālās izglītības infrastruktūras attīstība un mācību aprīkojuma modernizācija ieslodzījuma vietās</t>
  </si>
  <si>
    <t>3.1.2.1.1. Augstākās izglītības iestāžu telpu un iekārtu modernizēšana studiju programmu kvalitātes uzlabošanai, tajā skaitā, nodrošinot izglītības programmu apgūšanas iespējas arī personām ar funkcionāliem traucējumiem</t>
  </si>
  <si>
    <t>3.1.2.1.2. Jaunu koledžas studiju programmu attīstība vai jaunu koledžu izveide</t>
  </si>
  <si>
    <t>3.1.3.1. Kvalitatīvai dabaszinātņu apguvei atbilstošas materiālās bāzes nodrošināšana</t>
  </si>
  <si>
    <t>3.1.3.2. Atbalsts vispārējās izglītības iestāžu tīkla optimizācijai</t>
  </si>
  <si>
    <t>3.1.3.3.1. Speciālās izglītības iestāžu infrastruktūras un aprīkojuma uzlabošana</t>
  </si>
  <si>
    <t>3.1.3.3.2. Vispārējās izglītības iestāžu infrastruktūras uzlabošana izglītojamajiem ar funkcionāliem traucējumiem</t>
  </si>
  <si>
    <t>3.2.2.1.2. Izglītības iestāžu informatizācija</t>
  </si>
  <si>
    <t>Izglītības un zinātnes ministrija, t.sk.</t>
  </si>
  <si>
    <t>Aktivitātes Nr.</t>
  </si>
  <si>
    <t>1.</t>
  </si>
  <si>
    <t>1.2.2.1.2.</t>
  </si>
  <si>
    <t xml:space="preserve">Atbalsts mūžizglītības politikas pamatnostātņu īstenošanai </t>
  </si>
  <si>
    <t>1
(IPIA)</t>
  </si>
  <si>
    <t>2.</t>
  </si>
  <si>
    <t>1.3.1.1.3.</t>
  </si>
  <si>
    <t>Bezdarbnieku un darba meklētāju apmācība</t>
  </si>
  <si>
    <t>2
(IPIA)</t>
  </si>
  <si>
    <t>Noslēgti līgumi, 
tiek īstenoti projekti</t>
  </si>
  <si>
    <t>3.</t>
  </si>
  <si>
    <t>1.3.1.1.5.</t>
  </si>
  <si>
    <t>Atbalsts bezdarba riskam pakļauto personu apmācībai</t>
  </si>
  <si>
    <t>Noslēgts līgums, 
tiek īstenots projekts</t>
  </si>
  <si>
    <t>4.</t>
  </si>
  <si>
    <t>1.3.1.3.1.</t>
  </si>
  <si>
    <t>Darba attiecību un draba drošības likumdošanas uzraudzības pilnveidošana</t>
  </si>
  <si>
    <t>5.</t>
  </si>
  <si>
    <t>1.3.1.3.2.</t>
  </si>
  <si>
    <t xml:space="preserve">Darba attiecību un darba drošības likumdošanas praktiska piemērošana nozarēs un uzņēmumos </t>
  </si>
  <si>
    <t>6.</t>
  </si>
  <si>
    <t>1.3.1.4.</t>
  </si>
  <si>
    <t>Kapacitātes stiprināšana darba tirgus institūcijām</t>
  </si>
  <si>
    <t>7.</t>
  </si>
  <si>
    <t>1.3.1.5.</t>
  </si>
  <si>
    <t>Vietējo nodarbinātības veicināšanas pasākumu plānu ieviešanas atbalsts 2. kārta</t>
  </si>
  <si>
    <t>8.</t>
  </si>
  <si>
    <t>1.3.1.7.</t>
  </si>
  <si>
    <t>Darba tirgus pieprasījuma īstermiņa un ilgtermiņa prognozēšanas un uzraudzības sistēmas attīstība</t>
  </si>
  <si>
    <t>2
 (IPIA)</t>
  </si>
  <si>
    <t>9.</t>
  </si>
  <si>
    <t>1.4.1.1.1.</t>
  </si>
  <si>
    <t xml:space="preserve">Kompleksi atbalsta pasākumi iedzīvotāju integrēšanai darba tirgū </t>
  </si>
  <si>
    <t>10.</t>
  </si>
  <si>
    <t>1.4.1.1.2.</t>
  </si>
  <si>
    <t>Atbalstītās nodarbinātības pasākumi mērķgrupu bezdarbniekiem</t>
  </si>
  <si>
    <t>11.</t>
  </si>
  <si>
    <t>1.4.1.2.1.</t>
  </si>
  <si>
    <t>Darbaspēju vērtēšanas sistēmas pilnveidošana</t>
  </si>
  <si>
    <t>12.</t>
  </si>
  <si>
    <t>1.4.1.2.2.</t>
  </si>
  <si>
    <t>Sociālās rehabilitācijas pakalpojumu attīstība personām ar redzes un dzirdes traucējumiem</t>
  </si>
  <si>
    <t>13.</t>
  </si>
  <si>
    <t xml:space="preserve">1.4.1.2.4.
</t>
  </si>
  <si>
    <t xml:space="preserve">Sociālās rehabilitācijas pakalpojumu attīstība reģionos </t>
  </si>
  <si>
    <t>Eiropas Sociālais fonds kopā:</t>
  </si>
  <si>
    <t>14.</t>
  </si>
  <si>
    <t>3.1.4.1.1.</t>
  </si>
  <si>
    <t>Infrastruktūras pilnveidošana un zinātniski tehniskās bāzes nodrošināšana darbaspēju un funkcionālo traucējumu izvērtēšanai</t>
  </si>
  <si>
    <t>15.</t>
  </si>
  <si>
    <t>3.1.4.1.2.</t>
  </si>
  <si>
    <t>Infrastruktūras pilnveidošana sociālās rehabilitācijas pakalpojumu sniegšanai</t>
  </si>
  <si>
    <t>16.</t>
  </si>
  <si>
    <t>3.1.4.1.3.</t>
  </si>
  <si>
    <t>Infrastruktūras pilnveidošana sociālās rehabilitācijas pakalpojumu sniegšanai personām ar redzes un dzirdes traucējumiem</t>
  </si>
  <si>
    <t>3.1.4.1.5.</t>
  </si>
  <si>
    <t>Infrastruktūras pilnveidošana sociālās rehabilitācijas pakalpojumu sniegšanai personām ar garīgā rakstura traucējumiem</t>
  </si>
  <si>
    <t>3.1.4.2.</t>
  </si>
  <si>
    <t>Darba tirgus institūciju infrastruktūras pilnveidošana</t>
  </si>
  <si>
    <t>Eiropas Reģionālās attīstības fonds kopā:</t>
  </si>
  <si>
    <t>ESF un ERAF kopā:</t>
  </si>
  <si>
    <t xml:space="preserve">Informācija par Labklājības ministrijas ES fondu projektiem (faktiskā apguve un turpmāk plānotais finansējums  2007.-2013.gada plānošanas periodam) </t>
  </si>
  <si>
    <t>Labklājības ministrija, t.sk.</t>
  </si>
  <si>
    <t xml:space="preserve">3.2.2.1.1.apakšaktivitāte „Informācijas sistēmu un elektronisko pakalpojumu attīstība” </t>
  </si>
  <si>
    <t>KOPĀ ESF</t>
  </si>
  <si>
    <t>KOPĀ ERAF</t>
  </si>
  <si>
    <t>1.3.2.</t>
  </si>
  <si>
    <t>Veselība darbā</t>
  </si>
  <si>
    <t>1.3.2.1.</t>
  </si>
  <si>
    <t>Veselības uzlabošana darba vietā, veicinot ilgtspējīgo nodarbinātību</t>
  </si>
  <si>
    <t>Aktivitātes ieviešana atlikta ar MK lēmumu</t>
  </si>
  <si>
    <t>1.3.2.2.</t>
  </si>
  <si>
    <t>Pētījumi un aptaujas par veselību darbā</t>
  </si>
  <si>
    <t>1.3.2.3.</t>
  </si>
  <si>
    <t>3.1.5.</t>
  </si>
  <si>
    <t>Veselības aprūpes infrastruktūra</t>
  </si>
  <si>
    <t>3.1.5.1.</t>
  </si>
  <si>
    <t>Ambulatorās veselības aprūpes attīstība</t>
  </si>
  <si>
    <t>3.1.5.1.1.</t>
  </si>
  <si>
    <t>Ģimenes ārstu tīkla attīstība</t>
  </si>
  <si>
    <t>3.1.5.1.2.</t>
  </si>
  <si>
    <t>Veselības aprūpes centru attīstība</t>
  </si>
  <si>
    <t>3.1.5.2.</t>
  </si>
  <si>
    <t>3.1.5.3.</t>
  </si>
  <si>
    <t>Stacionārās veselības aprūpes pakalpojumu sniedzēju attīstība</t>
  </si>
  <si>
    <t>3.1.5.3.1.</t>
  </si>
  <si>
    <t>Stacionārās veselības aprūpes attīstība</t>
  </si>
  <si>
    <t>3.1.5.3.2.</t>
  </si>
  <si>
    <t>Onkoloģijas slimnieku radioterapijas ārstēšanas attīstība</t>
  </si>
  <si>
    <t xml:space="preserve">Informācija par Veselības ministrijas ES fondu projektiem (faktiskā apguve un turpmāk plānotais finansējums  2007.-2013.gada plānošanas periodam) </t>
  </si>
  <si>
    <t>KOPĀ</t>
  </si>
  <si>
    <t>Veselības ministrija, t.sk.</t>
  </si>
  <si>
    <t>1.5.1.2. Aktivitāte "Administratīvo šķēršļu samazināšana un publisko pakalpojumu kvalitātes uzlabošana"</t>
  </si>
  <si>
    <t>Projekti tiek īstenoti</t>
  </si>
  <si>
    <t>1.5.1.3.1.Apakšaktivitāte "Kvalitātes vadības sistēmas izveide un ieviešana" *</t>
  </si>
  <si>
    <t>1.5.1.3.2. Apakšaktivitāte "Publisko pakalpojumu kvalitātes paaugstināšana valsts, reģionālā un vietējā līmenī"</t>
  </si>
  <si>
    <t xml:space="preserve">1.5.2.1. Aktivitāte "Publiskās pārvaldes cilvēkresursu plānošanas un vadības sistēmas attīstība" </t>
  </si>
  <si>
    <t>1.5.2.2.1.Apakšaktivitāte "Sociālo partneru administratīvās kapacitātes stiprināšana"</t>
  </si>
  <si>
    <t>1.5.2.2.2. Apakšaktivitāte "NVO administratīvās kapacitātes stiprināšana"</t>
  </si>
  <si>
    <t xml:space="preserve">1.5.2.2.3. Atbalsts pašvaldībām kapacitātes stiprināšanā Eiropas Savienības politiku instrumentu un pārējās ārvalstu finanšu palīdzības līdzfinansēto projektu un pasākumu īstenošanai </t>
  </si>
  <si>
    <t>Valsts kanceleja, ESF</t>
  </si>
  <si>
    <t>3.4.1.1.aktivitāte "Ūdenssaimniecības attīstība apdzīvotās vietās ar iedzīvotāju skaitu līdz 2000"</t>
  </si>
  <si>
    <t>3.4.1.3.aktivitāte "Bioloģiskās daudzveidības saglabāšanas ex situ infrastruktūras izveide "</t>
  </si>
  <si>
    <t>3.4.1.4.aktivitāte "Vēsturiski piesārņoto vietu sanācija"</t>
  </si>
  <si>
    <t>3.4.1.5.1.apakšaktivitāte "Pļaviņu un Jēkabpils pilsētu plūdu draudu samazināšana"</t>
  </si>
  <si>
    <t>3.4.1.5.2.apakšaktivitāte "Hidrotehnisko būvju rekonstrukcija plūdu draudu risku novēršanai un samazināšanai"</t>
  </si>
  <si>
    <t>3.5.1.1.aktivitāte "Ūdenssaimniecības infrastruktūras attīstība aglomerācijās ar cilvēku ekvivalentu lielāku par 2000"</t>
  </si>
  <si>
    <t>3.5.1.2.1.apakšaktivitāte "Normatīvo aktu prasībām neatbilstošo izgāztuvju rekultivācija"</t>
  </si>
  <si>
    <t>3.5.1.2.2.apakšaktivitāte "Reģionālu atkritumu apsaimniekošanas sistēmu attīstība"</t>
  </si>
  <si>
    <t>3.5.1.2.3.apakšaktivitāte "Dalītās atkritumu apsaimniekošanas sistēmas attīstība"</t>
  </si>
  <si>
    <t>KOPĀ KF</t>
  </si>
  <si>
    <t>3.2.1.1.aktivitāte „Valsts 1.šķiras autoceļu maršrutu sakārtošana”</t>
  </si>
  <si>
    <t>Noslēgti līgumi</t>
  </si>
  <si>
    <t>3.2.1.2.aktivitāte „Tranzītielu sakārtošana pilsētu teritorijās”</t>
  </si>
  <si>
    <t>3.2.1.3.1.apakšaktivitāte „Satiksmes drošības uzlabojumi apdzīvotās vietās ārpus Rīgas”</t>
  </si>
  <si>
    <t>3.2.1.3.2.apakšaktivitāte. „Satiksmes drošības uzlabojumi Rīgā”</t>
  </si>
  <si>
    <t>3.2.1.4.aktivitāte „Mazo ostu infrastruktūras uzlabošana”</t>
  </si>
  <si>
    <t>3.2.1.5.aktivitāte „Publiskais transports ārpus Rīgas”</t>
  </si>
  <si>
    <t>3.2.2.3.aktivitāte „Elektronisko sakaru pakalpojumu vienlīdzīgas pieejamības nodrošināšana visā valsts teritorijā (platjoslas tīkla attīstība)”</t>
  </si>
  <si>
    <t>3.2.2.4.1.apakšaktivitāte „Valsts nozīmes elektronisko sakaru tīklu izveide, attīstība un pilnveidošana”</t>
  </si>
  <si>
    <t>3.2.2.4.2.apakšaktivitāte „Informācijas datu pārraides drošības nodrošināšana”</t>
  </si>
  <si>
    <t xml:space="preserve">3.3.1.1.TEN-T autoceļu tīkla uzlabojumi
</t>
  </si>
  <si>
    <t>3.3.1.2. TEN-T dzelzceļa posmu rekonstrukcija un attīstība (Austrumu - Rietumu dzelzceļa koridora infrastruktūras attīstība un Rail Baltica)</t>
  </si>
  <si>
    <t>3.3.1.3. Lielo ostu infrastruktūras attīstība "Jūras maģistrāļu" ietvaros"</t>
  </si>
  <si>
    <t>3.3.1.4. Lidostu infrastruktūras attīstība</t>
  </si>
  <si>
    <t>3.3.1.5. Pilsētu infrastruktūras uzlabojumi sasaistei ar TEN-T</t>
  </si>
  <si>
    <t>3.3.2.1.aktivitāte"Ilgtspējīga sabiedriskā transporta sistēmas attīstība"</t>
  </si>
  <si>
    <t>Satiksmes ministrija, t.sk</t>
  </si>
  <si>
    <t>Informācija par Ekomikas ministrijas ES fondu projektiem (faktiskā apguve un turpmāk plānotais finansējums  2007.-2013.gada plānošanas periodam)</t>
  </si>
  <si>
    <t>ESF, ERAF un KF</t>
  </si>
  <si>
    <t>tiek ieviesti</t>
  </si>
  <si>
    <t>Finanšu ministrija, ESF, ERAF un KF</t>
  </si>
  <si>
    <t>Programas vadība un atbalsta funkciju nodrošināšana (1.6.1.1., 2.4.1.1., 3.7.1.1., 3.8.1.1.)*</t>
  </si>
  <si>
    <t xml:space="preserve">Atbalsts strukturālo reformu īstenošanai un analītisko spēju stiprināšanai ** </t>
  </si>
  <si>
    <t>Informācija par Izglītības un zinātnes ministrijas ES fondu projektiem (faktiskā apguve un turpmāk plānotais finansējums  2007.-2013.gada plānošanas periodam) *</t>
  </si>
  <si>
    <t>1.5.3.1.aktivitāte "Speciālistu piesaiste plānošanas reģioniem, pilsētām un novadiem"</t>
  </si>
  <si>
    <t xml:space="preserve">1.5.3.2.aktivitāte "Plānošanas reģionu un vietējo pašvaldību attīstības plānošanas kapacitātes paaugstināšana"  </t>
  </si>
  <si>
    <t xml:space="preserve">3.1.4.3.aktivitāte "Pirmsskolas izglītības iestāžu infrastruktūras attīstība nacionālas un reģionālas nozīmes attīstības centros"  </t>
  </si>
  <si>
    <t xml:space="preserve">3.1.4.4.aktivitāte "Atbalsts alternatīvās aprūpes pakalpojumu pieejamības attīstībai" 
</t>
  </si>
  <si>
    <t xml:space="preserve">3.2.2.2.aktivitāte "Publisko interneta pieejas punktu attīstība"  </t>
  </si>
  <si>
    <t xml:space="preserve">3.6.1.1.aktivitāte "Nacionalas un reģionalas nozīmes attīstības centru izaugsmes veicināšana līdzsvarotai valsts attīstībai"  </t>
  </si>
  <si>
    <t>3.6.1.2.aktivitāte "Rīgas pilsētas ilgtspējīga attīstība"</t>
  </si>
  <si>
    <t>ES fondu daļa</t>
  </si>
  <si>
    <t>3.4.4.1. Aktivitāte "Daudzdzīvokļu māju siltumnoturības uzlabošanas pasākumi"*</t>
  </si>
  <si>
    <t>2.1.2.4.Aktivitāte "Augstas pievienotās vērtības investīcijas"</t>
  </si>
  <si>
    <t xml:space="preserve">Informācija par Kultūras ministrijas ES fondu projektiem (faktiskā apguve un turpmāk plānotais finansējums  2007.-2013.gada plānošanas periodam) </t>
  </si>
  <si>
    <t>kopā</t>
  </si>
  <si>
    <t xml:space="preserve">3.4.3.1. "Nacionālās un reģionālās nozīmes daudzfunkcionālu centru izveide" </t>
  </si>
  <si>
    <t>noslēgti 2 līgumu par projektu īstenošanu, 1 projekts apstiprināts</t>
  </si>
  <si>
    <t>3.4.3.2."Sociālekonomiski nozīmīgu kultūras mantojuma objektu atjaunošana"</t>
  </si>
  <si>
    <t>3.4.3.3."Atbalsts kultūras pieminekļu privātīpašniekiem kultūras pieminekļu saglabāšanā un to sociālekonomiskā potenciāla izmantošanā"</t>
  </si>
  <si>
    <t>Kultūras ministrija, ERAF</t>
  </si>
  <si>
    <t>3.4.2.1.3.Nacionālas nozīmes kultūras, aktīvā un rekreatīvā tūrisma produkta attīstība</t>
  </si>
  <si>
    <t>3.4.2.2. Tūrisma informācijas sistēmas attīstība</t>
  </si>
  <si>
    <t>3.5.2.3. Aktivitāte "Atjaunojamo energoresursu izmantojošu koģenerācijas elektrostaciju attīstība"</t>
  </si>
  <si>
    <t>3.5.2.4. Aktivitāte "Atjaunojamo energoresursu izmantojošu koģenerācijas elektrostaciju attīstība"</t>
  </si>
  <si>
    <t>3.1.4.1.4.</t>
  </si>
  <si>
    <t>Jaunu filiāļu izveide tehnisko palīglīdzekļu nodrošināšanai</t>
  </si>
  <si>
    <t>KOPĀ, t.sk.</t>
  </si>
  <si>
    <t xml:space="preserve">Informācija par Satiksmes ministrijas ES fondu projektiem (faktiskā apguve un turpmāk plānotais finansējums  2007.-2013.gada plānošanas periodam) </t>
  </si>
  <si>
    <t xml:space="preserve">Informācija par Valsts Kancelejas ES fondu projektiem (faktiskā apguve un turpmāk plānotais finansējums  2007.-2013.gada plānošanas periodam) </t>
  </si>
  <si>
    <t xml:space="preserve">Informācija par Finanšu ministrijas ES fondu projektiem (faktiskā apguve un turpmāk plānotais finansējums  2007.-2013.gada plānošanas periodam) </t>
  </si>
  <si>
    <r>
      <t>Projektu skaits</t>
    </r>
    <r>
      <rPr>
        <b/>
        <vertAlign val="superscript"/>
        <sz val="11"/>
        <color indexed="8"/>
        <rFont val="Times New Roman"/>
        <family val="1"/>
      </rPr>
      <t>1</t>
    </r>
  </si>
  <si>
    <r>
      <t xml:space="preserve">2007.-2013.gadam plānotais fnansējums </t>
    </r>
    <r>
      <rPr>
        <b/>
        <vertAlign val="superscript"/>
        <sz val="11"/>
        <color indexed="8"/>
        <rFont val="Times New Roman"/>
        <family val="1"/>
      </rPr>
      <t>2</t>
    </r>
  </si>
  <si>
    <r>
      <t xml:space="preserve">2007.-2011. g.plānotais finansējums </t>
    </r>
    <r>
      <rPr>
        <b/>
        <vertAlign val="superscript"/>
        <sz val="11"/>
        <color indexed="8"/>
        <rFont val="Times New Roman"/>
        <family val="1"/>
      </rPr>
      <t>3</t>
    </r>
  </si>
  <si>
    <r>
      <t xml:space="preserve">Plānotais attiecināmais finansējums pa gadiem (pieaugošā secībā no 2007.gada) </t>
    </r>
    <r>
      <rPr>
        <b/>
        <vertAlign val="superscript"/>
        <sz val="11"/>
        <color indexed="8"/>
        <rFont val="Times New Roman"/>
        <family val="1"/>
      </rPr>
      <t>5</t>
    </r>
  </si>
  <si>
    <r>
      <rPr>
        <vertAlign val="superscript"/>
        <sz val="10"/>
        <color indexed="8"/>
        <rFont val="Times New Roman"/>
        <family val="1"/>
      </rPr>
      <t xml:space="preserve">2 </t>
    </r>
    <r>
      <rPr>
        <sz val="10"/>
        <color indexed="8"/>
        <rFont val="Times New Roman"/>
        <family val="2"/>
      </rPr>
      <t>Pieejamais finansējums atbilstoši  konceptuāli apstiprinātajiem MK protokollēmumiem</t>
    </r>
  </si>
  <si>
    <r>
      <rPr>
        <vertAlign val="superscript"/>
        <sz val="10"/>
        <color indexed="8"/>
        <rFont val="Times New Roman"/>
        <family val="1"/>
      </rPr>
      <t xml:space="preserve">3 </t>
    </r>
    <r>
      <rPr>
        <sz val="10"/>
        <color indexed="8"/>
        <rFont val="Times New Roman"/>
        <family val="2"/>
      </rPr>
      <t>2007.-2011.g. piešķirtais finansējums</t>
    </r>
  </si>
  <si>
    <r>
      <rPr>
        <vertAlign val="superscript"/>
        <sz val="10"/>
        <color indexed="8"/>
        <rFont val="Times New Roman"/>
        <family val="1"/>
      </rPr>
      <t xml:space="preserve">4 </t>
    </r>
    <r>
      <rPr>
        <sz val="10"/>
        <color indexed="8"/>
        <rFont val="Times New Roman"/>
        <family val="2"/>
      </rPr>
      <t>Kopējie veiktie maksājumi SF finansējuma saņēmējam, t.sk., starpposma maksājumi/ noslēguma maksājumi/ deklarējamie avansi un nedeklarējamie avansi</t>
    </r>
  </si>
  <si>
    <r>
      <rPr>
        <vertAlign val="superscript"/>
        <sz val="10"/>
        <color indexed="8"/>
        <rFont val="Times New Roman"/>
        <family val="1"/>
      </rPr>
      <t xml:space="preserve">5 </t>
    </r>
    <r>
      <rPr>
        <sz val="10"/>
        <color indexed="8"/>
        <rFont val="Times New Roman"/>
        <family val="2"/>
      </rPr>
      <t>DPP noteiktā finansējuma apguve sadalījumā pa gadiem, kumulatīvi</t>
    </r>
  </si>
  <si>
    <r>
      <t>Projektu ieviešanas statuss</t>
    </r>
    <r>
      <rPr>
        <b/>
        <vertAlign val="superscript"/>
        <sz val="11"/>
        <color indexed="8"/>
        <rFont val="Times New Roman"/>
        <family val="1"/>
      </rPr>
      <t>1</t>
    </r>
  </si>
  <si>
    <r>
      <t xml:space="preserve">Projektu skaits </t>
    </r>
    <r>
      <rPr>
        <b/>
        <vertAlign val="superscript"/>
        <sz val="11"/>
        <color indexed="8"/>
        <rFont val="Times New Roman"/>
        <family val="1"/>
      </rPr>
      <t>1</t>
    </r>
  </si>
  <si>
    <t>6 projekti apstiprināti, 22 - noraidīti</t>
  </si>
  <si>
    <t>noslēgti 3 līgumi par projektu īstenošanu, 13 - noraidīti</t>
  </si>
  <si>
    <t>noslēgti 2 līgumi par projektu īstenošanu, 1 noraidīts</t>
  </si>
  <si>
    <t>noslēgts 1 līgums par projektu īstenošanu</t>
  </si>
  <si>
    <t>3.5.1.4.aktivitāte "Vides monitpringa un kontroles sistēmas attīstība"</t>
  </si>
  <si>
    <t>noslēgti 5 līgumi par projektu īstenošanu, 4 apstiprināti, 1 pārtraukts, 1 noraidīts</t>
  </si>
  <si>
    <t>3.5.1.3.aktivitāte "Infrastruktūras izveide natura 2000 teritorijās )"</t>
  </si>
  <si>
    <t>noslēgti 4 līgumi par projektu īstenošanu, 1 apstiprināts, 1 noraidīts</t>
  </si>
  <si>
    <t>226 pieteikti, 1 atsaukts, 3 noraidīti</t>
  </si>
  <si>
    <t>1 pabeigts, noslēgti 23 līgumi par projektu īsenošanu, 1 pārtraukts, 2 atsaukti, 3 noraidīti</t>
  </si>
  <si>
    <t>noslēgts 1 līgums par projektu īstenošanu, 1 pārtraukts</t>
  </si>
  <si>
    <t>5 pabeigti, noslēgti 32 līgumi par projektu īstenošanu, 3 noraidīti</t>
  </si>
  <si>
    <t>3 pabeigti, noslēgts līgums par projektu īstenošanu</t>
  </si>
  <si>
    <t>2 pabeigti, noslēgti 45 līgumi par projektu īstenošanu, 32 noraidīti</t>
  </si>
  <si>
    <t>1 pabeigts, noslēgti 25 līgumi par projektu īstenošanu, 6 noraidīti</t>
  </si>
  <si>
    <t>19 pabeigti, noslēgti 36 līgumi par projektu īstenošanu, 28 apstiprināti, 134 noraidīti</t>
  </si>
  <si>
    <t>8 apstiprināti</t>
  </si>
  <si>
    <t>1 pabeigts, noslēgts 1 līgums par projekta īstenošanu</t>
  </si>
  <si>
    <t>2 pieteikti projekti</t>
  </si>
  <si>
    <t>noslēgti 4 līgumi par projektu īstenošanu</t>
  </si>
  <si>
    <t>noslēgti 6 līgumi par projektu īstenošanu</t>
  </si>
  <si>
    <t>Noslēgts 1 līgums par projekta īstenošanu</t>
  </si>
  <si>
    <t>Noslēgti 6 līgumi par projektu īstenošanu, 2 apstiprināti, 1 atsaukts, 1 pārtraukts, 8 noraidīti</t>
  </si>
  <si>
    <t>16 pabeigti, noslēgti 109 līgumi par projektu īstenošanu, 36 apstiprināti, 43 pieteikti, 21 atsaukts, 6 pārtraukti, 67 noraidīti</t>
  </si>
  <si>
    <t>noslēgti 10 līgumi par projektu īstenošanu, 48 noraidīti</t>
  </si>
  <si>
    <t>Izveidoti 5,49 km jaunu, labiekārtotu veloceliņu</t>
  </si>
  <si>
    <t xml:space="preserve">3.6.2.1.Atbalsts novadu pašvaldību kompleksai attīstībai </t>
  </si>
  <si>
    <t>ESF kopā</t>
  </si>
  <si>
    <t xml:space="preserve">ERAF kopā </t>
  </si>
  <si>
    <t>2.1.2.1.1. apakšaktivitāte "Kompetences centri"</t>
  </si>
  <si>
    <t>3.3.1.6.Liepājas Karostas ilgtspējīgas attīstības priekšnoteikumu nodrošināšana</t>
  </si>
  <si>
    <t>Vides aizsardzības un reģionālās attīstības ministrija, t.sk.</t>
  </si>
  <si>
    <t>2.1.1.3.1. Zinātnes infrastruktūras attīstība</t>
  </si>
  <si>
    <t>Apstiprināti 5 projekti, 4 projekti noraidīti</t>
  </si>
  <si>
    <t>Noslēgti 8 līgumi par projektu īstenošanu, 2 noraidīti</t>
  </si>
  <si>
    <t>Noslēgti 74 līgumi par projektu īstenošanu, 30 pabeigti, 16 pārtraukti, 2 atsaukti, 169 noraidīti</t>
  </si>
  <si>
    <t>Noslēgti 30 līgumi par projektu īstenošanu, 5 pieteikti, 17 pabeigti, 9 pārtraukti, 1 atsaukti, 34 noraidīti</t>
  </si>
  <si>
    <t>Noslēgti 14 līgumi par projektu īstenošanu, 3 pārtraukti, 2 atsaukti, 13 noraidīti</t>
  </si>
  <si>
    <t>Noslēgti 154 līgumi par projektu īstenošanu, 51 pieteikti, 45 apstiprināti, 283 pabeigti, 42 pārtraukti, 61 atsaukti, 197 noraidīti</t>
  </si>
  <si>
    <t>Noslēgts 1 līgums par projektu īstenošanu, 1 noraidīts</t>
  </si>
  <si>
    <t>Noslēgts 1 līgums par projektu īstenošanu</t>
  </si>
  <si>
    <t>Noslēgti 121 līgumi par projektu īstenošanu, 80 pabeigti, 78 pārtraukti, 18 atsaukti, 381 noraidīti</t>
  </si>
  <si>
    <t>Noslēgts 31 līgums par projektu īstenošanu, 35 noraidīti</t>
  </si>
  <si>
    <t>7819 motivācijas programmās iesaistītas personas</t>
  </si>
  <si>
    <t>11 pabeigti projekti, 17 projekti tiek īstenoti, 1 projekts apstiprināts</t>
  </si>
  <si>
    <t>75 projekti pabeigti, 14 projekti tiek īstenoti</t>
  </si>
  <si>
    <t>2 projekti pabeigti, 1 tiek īstenots</t>
  </si>
  <si>
    <t>Noslēgtas 13 vienošanās, norit projektu īstenošana</t>
  </si>
  <si>
    <t>Noslēgtas 6 vienošās, norit projektu īstenošana</t>
  </si>
  <si>
    <t>Noslēgta vienošanās, norit projekta īstenošana</t>
  </si>
  <si>
    <t>Noslēgtas 2 vienošanās, norit projektu īstenošana</t>
  </si>
  <si>
    <t>Noslēgtas 3 vienošanās, norit projektu īstenošana</t>
  </si>
  <si>
    <t>3
(IPIA)</t>
  </si>
  <si>
    <t>1.kārtas projekts pabeigts, divi projekti tiek īstenoti</t>
  </si>
  <si>
    <t xml:space="preserve">1 (IPIA)
</t>
  </si>
  <si>
    <t>1
 (IPIA)</t>
  </si>
  <si>
    <t xml:space="preserve">5 (IPIA)   38 (APIA)
</t>
  </si>
  <si>
    <r>
      <t xml:space="preserve">Sasniedzamie uzraudzības rādītāji: </t>
    </r>
    <r>
      <rPr>
        <b/>
        <sz val="12"/>
        <rFont val="Times New Roman"/>
        <family val="1"/>
      </rPr>
      <t>Iznākuma rādītājs</t>
    </r>
    <r>
      <rPr>
        <sz val="12"/>
        <rFont val="Times New Roman"/>
        <family val="1"/>
      </rPr>
      <t xml:space="preserve"> - ES fondu tehniskās palīdzības atbalstu saņēmušo institūciju skaits. Mērķis - 25 institūcijas. </t>
    </r>
    <r>
      <rPr>
        <u val="single"/>
        <sz val="12"/>
        <rFont val="Times New Roman"/>
        <family val="1"/>
      </rPr>
      <t>(Sniegts atbalsts 25 ES fondu vadībā iesaistītajām institūcijām).</t>
    </r>
    <r>
      <rPr>
        <sz val="12"/>
        <rFont val="Times New Roman"/>
        <family val="1"/>
      </rPr>
      <t xml:space="preserve"> </t>
    </r>
    <r>
      <rPr>
        <b/>
        <sz val="12"/>
        <rFont val="Times New Roman"/>
        <family val="1"/>
      </rPr>
      <t>Rezultātu rādītājs</t>
    </r>
    <r>
      <rPr>
        <sz val="12"/>
        <rFont val="Times New Roman"/>
        <family val="1"/>
      </rPr>
      <t xml:space="preserve">- ES fondu līdzekļu sekmīgas apguves vērtējums Latvijas iedzīvotāju vidū. Mērķis 42%.  </t>
    </r>
    <r>
      <rPr>
        <u val="single"/>
        <sz val="12"/>
        <rFont val="Times New Roman"/>
        <family val="1"/>
      </rPr>
      <t xml:space="preserve">2010.gada martā tika veikts pētījums „Sabiedrības informētība par Eiropas Savienības fondu līdzekļu apguvi Latvijā” (aptaujas veikšanas laiks no 08.02.2010. līdz 18.02.2010.), kurā tika konstatēts, ka par sekmīgu ES fondu līdzekļu apguvi Latvijā uzskata 36,7% aptaujāto respondentu. </t>
    </r>
  </si>
  <si>
    <r>
      <t xml:space="preserve">Sasniedzamie uzraudzības rādītāji:    </t>
    </r>
    <r>
      <rPr>
        <sz val="12"/>
        <rFont val="Times New Roman"/>
        <family val="1"/>
      </rPr>
      <t xml:space="preserve">Iznākuma rādītāji: </t>
    </r>
    <r>
      <rPr>
        <sz val="12"/>
        <rFont val="Times New Roman"/>
        <family val="2"/>
      </rPr>
      <t xml:space="preserve">Valsts pārvaldes darbinieku, pašvaldību pārstāvju, sociālo partneru un nevalstisko organizāciju darbinieku skaits, kuri pabeiguši apmācības par labāka regulējuma politikas instrumentiem, politikas plānošanu un politikas ietekmes izvērtējuma metodēm, – 6000. </t>
    </r>
    <r>
      <rPr>
        <sz val="12"/>
        <rFont val="Times New Roman"/>
        <family val="1"/>
      </rPr>
      <t xml:space="preserve">Rezultāta rādītāji: </t>
    </r>
    <r>
      <rPr>
        <sz val="12"/>
        <rFont val="Times New Roman"/>
        <family val="2"/>
      </rPr>
      <t xml:space="preserve">normatīvo aktu īpatsvars, kuriem ir veikts ietekmes izvērtējums, no kopējā valdībā gada laikā apstiprinātā normatīvo aktu skaita – 30 % (bāzes vērtība 2006.gadā – 20 %, mērķis 2009.gadā – 23 %). (bāzes vērtība 2006.gadā – 302, mērķis 2009.gadā – 1856). </t>
    </r>
    <r>
      <rPr>
        <u val="single"/>
        <sz val="12"/>
        <rFont val="Times New Roman"/>
        <family val="1"/>
      </rPr>
      <t xml:space="preserve">Uz doto brīdi 1.5.1.1.1.apakšaktivitātes noteikto uzraudzības rādītāju sasniegšana nav plānota, jo projekti vēl ir agrīnā ieviešanas stadijā, kā rezultātā uzraudzības rādītāji ir sasniedzami tikai projektu dzīves cikla beigās.   </t>
    </r>
  </si>
  <si>
    <t>2 projekti tiek īstenoti un viens tika pārtraukts</t>
  </si>
  <si>
    <t>3DP</t>
  </si>
  <si>
    <t>Pārbaudei</t>
  </si>
  <si>
    <t>N/a</t>
  </si>
  <si>
    <t>n/a</t>
  </si>
  <si>
    <t xml:space="preserve">Informācija par 1.mērķa Eiropas Savienības struktūrfondu un Kohēzijas fonda projektiem (faktiskā apguve un turpmāk plānotais finansējums  2007.-2013.gada plānošanas periodam) </t>
  </si>
  <si>
    <t>Noslēgtas 35 vienošanās, norit projektu īstenošana, 119 projektu iesniegumi noraidīti</t>
  </si>
  <si>
    <t>Noslēgtas 27 vienošanās, norit projektu īstenošana, 41 projektu iesniegums noraidīts</t>
  </si>
  <si>
    <t>Noslēgta vienošanās, norit projekta īstenošana, 1 projektu iesniegums noraidīts</t>
  </si>
  <si>
    <t>Noslēgtas 3 vienošanās, norit projektu īstenošana, 3 projektu iesniegumi noraidīti</t>
  </si>
  <si>
    <t>Noslēgta 1 vienošanās par projektu īstenošanu, norit projektu īstenošana</t>
  </si>
  <si>
    <t>Noslēgti 4 līgumi par projektu īstenošanu, norit projektu īstenošana, 3 projektu iesniegumi noraidīti</t>
  </si>
  <si>
    <t>Projekts pabeigts 31.12.2010.</t>
  </si>
  <si>
    <t>Noslēgts 1 līgums par projekta īstenošanu, tiek īstenots projekts; 1 noraidīts</t>
  </si>
  <si>
    <t>Projekts pabeigts 30.09.2010.</t>
  </si>
  <si>
    <t>Noslēgts 1 līgums, tiek īstenots projekts</t>
  </si>
  <si>
    <t>1 pabeigts; noslēgti 5 līgumi, projekti tiek īstenoti</t>
  </si>
  <si>
    <t>1 pabeigts; noslēgts 1 līgums, tiek īstenots projekts</t>
  </si>
  <si>
    <t>Projekts pabeigts 31.12.2009.</t>
  </si>
  <si>
    <r>
      <t xml:space="preserve">Projektu skaits </t>
    </r>
    <r>
      <rPr>
        <b/>
        <vertAlign val="superscript"/>
        <sz val="11"/>
        <rFont val="Times New Roman"/>
        <family val="1"/>
      </rPr>
      <t>1</t>
    </r>
  </si>
  <si>
    <r>
      <t>Projektu ieviešanas statuss</t>
    </r>
    <r>
      <rPr>
        <b/>
        <vertAlign val="superscript"/>
        <sz val="11"/>
        <rFont val="Times New Roman"/>
        <family val="1"/>
      </rPr>
      <t>1</t>
    </r>
  </si>
  <si>
    <t>Neatliekamās medicīniskās palīdzības attīstība*</t>
  </si>
  <si>
    <t>Lai sasniegtu plānoto optimālu uzturēšanas apstākļu nodrošināšana augu un dzīvnieku kolekcijām, kolekciju skaits - 2, aktivitātes īstenošana tiks uzsākta 2011.gadā</t>
  </si>
  <si>
    <t>Lai sasniegtu plānoto piesārņotās vietas platība, kas attīrīta no vēsturiskā piesārņojuma -2,5 ha, 04.2009. pieņemti lēmumi par finansējuma apstiprināšanu 2 projektiem, projektu īstenošanas termiņš - 4 gadi.</t>
  </si>
  <si>
    <t>Lai sasniegtu plānoto Plūdu apdraudēto teritoriju risku samazināšanas projekti, skaits - 2, 
04.2010. pieņemti lēmumi par finansējuma apstiprināšanu 2 projektiem, projektu īstenošanas termiņš - 4 gadi.</t>
  </si>
  <si>
    <t>Aktivitātes īstenošanas uzsākšana tiek plānota 2011. gadā</t>
  </si>
  <si>
    <t>Lai sasniegtu antropogēno slodzi samazinošo infrastruktūras projektu skaits Natura 2000 teritorijās - 20, Natura 2000 teritorijas, uz kurām vērsti antropogēno slodzi samazinošie projekti, skaits - 9, aktivitātes īstenošana uzsākta 2009. gadā. 21.06.2010.apstiprināta 1 projekta finansēšana, projektu īstenošanas laiks - 2 gadi.</t>
  </si>
  <si>
    <t>Ar īstenotiem projektiem ir sasniegtas 2 ES direktīvas ūdeņu un gaisa stāvokļa kontrolei un uzraudzībai.</t>
  </si>
  <si>
    <t>3 pabeigti, noslēgti līgumi par 75 projektu īstenošanu</t>
  </si>
  <si>
    <t xml:space="preserve">Papildu iedzīvotāju skaits, uz ko vērsti ūdenssaimniecības projekti - 21 136.
Iedzīvotāju īpatsvars, kam nodrošināti normatīvo aktu prasībām atbilstoši notekūdeņu apsaimniekošanas pakalpojumi ir 42,4%
Iedzīvotāju īpatsvars, kam nodrošināti normatīvo aktu prasībām atbilstoši ūdensapgādes pakalpojumi ir 13% </t>
  </si>
  <si>
    <t>23 pabeigti, noslēgti līgumi par 4 projektu īstenošanu, 33 pieteikti, 1 atsaukts un 8 noraidīti</t>
  </si>
  <si>
    <t>2.3.1.1.2.Apakšaktivitāte „Ārējo tirgu apgūšana – nozaru starptautiskās konkurētspējas stiprināšana”</t>
  </si>
  <si>
    <t xml:space="preserve">Noslēgti 2 līgumi </t>
  </si>
  <si>
    <t xml:space="preserve">Atbalstīti 2 finansējuma saņēmēji (aģentūras) nozaru konkurētspējas stiprināšanai </t>
  </si>
  <si>
    <t>ekonomiski aktīvo uzņēmumu, kuri apmācījuši darbiniekus ar ESF atbalstu, īpatsvars %- 0,35%  jeb 100% no DPP plānotā uz 31.12.2009.</t>
  </si>
  <si>
    <t>2.pielikuma 1.daļa</t>
  </si>
  <si>
    <t>2.pielikuma 2.daļa</t>
  </si>
  <si>
    <t>2.pielikuma 3.daļa</t>
  </si>
  <si>
    <t>2.pielikuma 4.daļa</t>
  </si>
  <si>
    <t>2.pielikuma 5.daļa</t>
  </si>
  <si>
    <t>2.pielikuma 6.daļa</t>
  </si>
  <si>
    <t>2.pielikuma 7.daļa</t>
  </si>
  <si>
    <t>2.pielikuma 8.daļa</t>
  </si>
  <si>
    <t>2.pielikuma 9.daļa</t>
  </si>
  <si>
    <t>2.pielikuma 10.daļa</t>
  </si>
  <si>
    <t>Veselības aprūpes un veicināšanas procesā iesaistīto institūciju personāla kompetences, prasmju un iemaņu līmeņa paaugstināšana</t>
  </si>
  <si>
    <t xml:space="preserve">         </t>
  </si>
  <si>
    <t xml:space="preserve">FMp4_250211_vestules_projekta_pielikums_nr2; Informācija par 1.mērķa Eiropas Savienības struktūrfondu un Kohēzijas fonda projektiem (faktiskā apguve un turpmāk plānotais finansējums  2007.-2013.gada plānošanas periodam) </t>
  </si>
  <si>
    <t xml:space="preserve">Sasniedzamie un sasniegtie rezultāti </t>
  </si>
  <si>
    <r>
      <t>Apgūts līdz 1.05.2011.</t>
    </r>
    <r>
      <rPr>
        <b/>
        <vertAlign val="superscript"/>
        <sz val="11"/>
        <color indexed="8"/>
        <rFont val="Times New Roman"/>
        <family val="1"/>
      </rPr>
      <t>4</t>
    </r>
  </si>
  <si>
    <t>Veikti 2 izvērtējumi - "Izglītības iestādes kontrolējošo institūciju darbības novērtējums" un "Komersantu kontrolējošo institūciju darbības novērtējums"; balstoties uz pētījumiem, izstrādāts pasākumu plāns administratīvā sloga samazināšanai izglītības iestādēs, kas tiek saskaņots un gatavots iesniegšanai MK; 07.04.2011 VSS izsludināts pasākumu plāns administratīvā sloga samazināšanai komersantiem; veikta iedzīvotāju aptauja - administratīvo procedūru novērtējums par veselības, sociālajiem un iekšējās drošības pakalpojumiem, organizēta 1 konference, 4 paneļdiskusijas un 1 seminārs par administratīvo slogu saistībā ar veiktajiem izvērtējumiem; pasākumos piedalījušies 429 valsts un pašvaldību iestāžu darbinieki, NVO pārstāvji un komersanti.</t>
  </si>
  <si>
    <t>Ieviesta un sertificēta KVS 3 institūcijās; ieviesti KVS elementi vai pilnveidotas esošās KVS 5 institūcijās; izstrādātas KVS rokasgrāmatas un procesu apraksti; veiktas klientu aptaujas un izstrādātas klientu apmierinātības mērīšanas metodikas; apmācīti 650 darbinieki par KVS un 35 darbinieki par KVS iekšējā audita veikšanu; veikta 4 portālu drošības sistēmas testēšana u.c.</t>
  </si>
  <si>
    <t>Projektos plānots: pakalpojumu kvalitātes novērtēšanas metodoloģiju izstrāde, adaptēšana un pilnveidošana; pakalpojumu kvalitātes izvērtēšanas pasākumi (pētījumi, aptaujas, auditi); apmācības un semināri darbiniekiem; jauni IT risinājumi un uzlabojumi pakalpojumu sniegšanā; pakalpojumu kvalitātes uzlabošanas pasākumu izstrāde un ieviešana u.tml.</t>
  </si>
  <si>
    <t>Izvērtēti esošie cilvēkresursu pārvaldības  procesi un to automatizācijas pakāpe – apkopotas 170 iestāžu (KNAB, ministrijas, Valsts kanceleja un to padotības iestādes) aptaujas anketas, veiktas 17 intervijas ar valsts pārvaldes iestāžu, pašvaldību, kapitālsabiedrību un LU pārstāvjiem, kā arī veiktas intervijas ar lielākajiem personālvadības informācijas sistēmu izstrādātājiem pašvaldībās; izstrādāta Cilvēkresursu vadības informācijas tehnoloģiju sistēmai nepieciešamā funkcionalitāte, sistēmas galvenie lietotāji, saskarne ar citām informācijas sistēmām (TS); 03.03.2011 VSS izsludināts koncepcijas projekts, kas paredz 3 iespējamos variantus personāla lietvedības un algu grāmatvedības procesu centralizācijai; saskaņā ar 07.03.2011 iepirkuma komisijas lēmumu iepirkuma procedūra sistēmas izstrādei pārtraukta bez rezultātiem un plānots izsludināt jaunu iepirkuma procedūru.</t>
  </si>
  <si>
    <t>Izveidotas 5 reģionālās LDDK un 5 reģionālās LBAS struktūrvienības; izveidotas 4 reģionālās Trīspusējās sadarbības padomes (Liepājā, Daugavpilī, Jūrmalā, Rēzeknē); izveidotas 3 reģionālās uzņēmēju apvienības; sniegtas konsultācijas darba devējiem- 1839 ekspertdienas; izstrādātas 6 apmācību programmas (3 LBAS un 3 LDDK); apmācītas 216 personas; organizēti 29 semināri u.c.</t>
  </si>
  <si>
    <t>Projektos plānots: apmācības; līdzdalības veicināšana ES sadarbības un attīstības sadarbības tīklos; inovatīvu pakalpojumu attīstīšana; publisko pakalpojumu pielāgošana kvalitātes standartiem; pētījumi; konsultācijas un apmācības NVO pāstāvjiem u.tml.</t>
  </si>
  <si>
    <t>Projektos plānots: metodisko un informatīvo materiālu izstrāde; apmācības un konsultācijas pašvaldību darbiniekiem; ārvalstu finanšu palīdzības piesaistes plānošana; pētījumi u.tml.</t>
  </si>
  <si>
    <t xml:space="preserve">17 projekti ir pabeigti, 4 projekti tiek ieviesti, 9 projekti ir pārtraukti un 7 projekti tika noraidīti </t>
  </si>
  <si>
    <t>1 projekts ir apstiprināts, 21 projekts tiek ieviests un 32 projekti tika noraidīti</t>
  </si>
  <si>
    <t>1 projekts tiek īstenots un viens tika noraidīts</t>
  </si>
  <si>
    <t>41 projekts tiek ieviests, 1 projekts ir pabeigts, 1 projekts tika pārtraukts, 1 projekts tika atsaukts un 128 projekti tika noraidīti</t>
  </si>
  <si>
    <t>12 projekti tiek ieviesti, 2 projekti ir pabeigti, 11 projekti tika noraidīti</t>
  </si>
  <si>
    <t>noslēgti 2 līgumi par projektu īstenošanu, pieteikts 1 projekts</t>
  </si>
  <si>
    <t>nosēgti 5 līgumi par projektu īstenošanu, apstiprināti 15 projekti</t>
  </si>
  <si>
    <t>3 pabeigti, līgumi noslēgti par 18 projektu īstenošanu, 1 atsaukts, 1 pārtraukts, 3 noraidīti</t>
  </si>
  <si>
    <t>12 pabeigti, noslēgti 48 līgumi par projektu īstenošanu, 2 atsaukti, 1 pārtraukts, 15 noraidīti</t>
  </si>
  <si>
    <t>4 pabeigti, noslēgti 10 līgumi par projektu īstenošanu, 23 apstiprināti, 1 atsaukts, 27 noraidīti</t>
  </si>
  <si>
    <t>Komentāri</t>
  </si>
  <si>
    <t>Aktivitātes ietvaros tiek celta darbinieku kvalifikācija, sekmējot darba ražīgumu, veicinot darba tirgus un komercdarbības attīstību un ceļot ekonomikas konkurētspēju.
Apakšaktivitātes ietvaros apmācības ir saņēmuši 1797 darbinieki.(01.04.2011)</t>
  </si>
  <si>
    <t>Aktivitātes ietvaros tiek celta darbinieku kvalifikācija, sekmējot darba ražīgumu, veicinot darba tirgus un komercdarbības attīstību un ceļot ekonomikas konkurētspēju.
Apakšaktivitātes ietvaros apmācības ir saņēmuši 2387 darbinieki.(01.04.2011)</t>
  </si>
  <si>
    <t>Aktivitātes ietvaros tiek paaugstināta saimnieciskās darbības aktivitātes valstī (īpaši – teritorijās ārpus Rīgas), attīstot saimnieciskās darbības uzsācēju zināšanas un iemaņas saimnieciskajā darbībā, kā arī sniedz nepieciešamo finansiālo atbalstu saimnieciskās darbības uzsākšanai.</t>
  </si>
  <si>
    <t>Aktivitāte paaugstina komersantu konkurētspēju un veicina komersantu pētniecisko aktivitāti, piesaistot augsti kvalificētus darbiniekus, kas risinātu konkrētas tehnoloģiskas problēmas vai attīstītu jaunus produktus. Aktivitātes ietvaros divi komersanti ir piesaistījuši 2 augsti kvalificētus darbiniekus.</t>
  </si>
  <si>
    <t>Aktivitāte veicināta komersantu konkurētspējas paaugstināšanu, veicinot pētniecības un rūpniecības sektoru sadarbību rūpniecisko pētījumu, jaunu produktu un tehnoloģiju attīstības projektu īstenošanā. Aktivitātes ietvaros ir izveidoti 6 kompetences centri, planots izveidot pētniecības un attīstības darba vietas - 50, pētniecības projekti, kas ietver sadarbību ar komersantiem un zinātnisko institūciju - 50. Privātā sektora finansējums pētniecībai un attīstībai 23,40 milj. Eiro.</t>
  </si>
  <si>
    <t>Aktivitātes ietvaros Tehnoloģiju pārneses kontaktpunkti atbalsta un veicina zināšanu un tehnoloģiju pārneses aktivitātes un atbild par ārējo sakaru nodibināšanu un uzturēšanu, (arī ar privāto sektoru), sniedzot informāciju par organizācijas pētnieciskajām aktivitātēm un pieredzi.</t>
  </si>
  <si>
    <t>Aktivitāte veicina komersantus investēt līdzekļus pētniecībai un attīstībai, sniedzot līdzfinansējumu P&amp;A projektu īstenošanai. Atbalstīts tiek jaunu vai nozīmīgi uzlabotu produktu (tajā skaitā preču vai pakalpojumu) vai tehnoloģiju (tajā skaitā tehnoloģisko procesu) izstrāde.</t>
  </si>
  <si>
    <t>Aktivitātes ietvaros tiek atbalstīti veiksmīgi izstrādāto jauno produktu (tajā skaitā preču vai pakalpojumu) vai tehnoloģiju (tajā skaitā tehnoloģisko procesu) ieviešanu ražošanā. Tādejādi sekmējot komersantu konkurētspēju un jaunu produktu, tehnoloģiju veidošanos.</t>
  </si>
  <si>
    <t>Aktivitātes ietvaros tiek atbalstīti veiksmīgi izstrādāto jauno produktu (tajā skaitā preču vai pakalpojumu) vai tehnoloģiju (tajā skaitā tehnoloģisko procesu) rūpnieciskā īpašuma tiesību nostiprināšana. Aktivitātes ietvaros tiek ītenoti 13 projekti.
(01.04.2011)</t>
  </si>
  <si>
    <t>Tiek veikt ieguldījumi zināšanu vai tehnoloģiju intensīvajos projektos, kā arī piesaistīti ārvalstu investīcijas jomās ar augstu pievienoto vērtību, tādējādi veicinot jaunāko tehnoloģiju pārnesi no ārvalstīm.</t>
  </si>
  <si>
    <t>Aktivitāte nodrošina MVK pieeju finansējumam komercdarbības uzsākšanai un attīstībai, saņemot aizdevumus vai riska kapitālu situācijās, kad paša nodrošinājums nav pietiekošs kredītresursu piesaistei nepieciešamajā apjomā, kā arī veicina Latvijas komersantu konkurētspēju ārējos tirgos, sekmē jaunu tirgu apgūšanu un nostiprināšanos esošajos.</t>
  </si>
  <si>
    <t>Aktivitāte nodrošina komersantiem pieeju finansējumam komercdarbības attīstībai un Eiropas Savienības fondu projektu ieviešanai. Aktivitāte ļauj saņemt garantijas situācijās, kad komersanta rīcībā esošais nodrošinājums nav pietiekams kredītresursu piesaistei nepieciešamajā apjomā un bankas komersantu novērtē kā pārāk riskantu, kā arī veicina Latvijas komersantu konkurētspēju, sekmējot jaunu tirgu apgūšanu un nostiprināšanos esošajos.</t>
  </si>
  <si>
    <t>Aktivitāte nodrošina komersantiem pieeju finansējumam komercdarbības attīstībai un Eiropas Savienības fondu projektu ieviešanai, saņemot aizdevumus situācijās, kad komersanta rīcībā esošais nodrošinājums nav pietiekams kredītresursu piesaistei nepieciešamajā apjomā un bankas komersantu novērtē kā pārāk riskantu, kā arī veicina Latvijas komersantu konkurētspēju, sekmējot jaunu tirgu apgūšanu un nostiprināšanos esošajos.</t>
  </si>
  <si>
    <t>Aktivitātes ietvaros tiek atbalstīti komersanti ar ieiešanu ārvalstu tirgos saistītās aktivitātēs – ārējo mārketingu ārvalstīs – un pasākumus, kas sekmē komersantu iekļaušanos starptautiskajās piegāžu ķēdēs, veicina Latvijas komersantu dalību starptautiskajās izstādēs un tirdzniecības misijās, tai skaitā vienotajos nacionā­lajos stendos.</t>
  </si>
  <si>
    <t>Aktivitāte veicina nozaru konkurētspējas stiprināšanu, atbalstot komersantu ieiešanu ārvalstu tirgos un veicinot Latvijas kā tūrisma galamērķa starptautisko konkurētspēju.</t>
  </si>
  <si>
    <t>Aktivitātes ietvaros rīkotie pasākumi informē un iedrošina pēc iespējas plašāku sabiedrības daļu uzsākt uzņēmējdarbību, paaugstināt uzņēmējdarbības prestižu sabiedrībā, kā arī sekmēt sabiedrības izpratni par inovāciju lomu konkurētspējas veicināšanā, informē sabiedrību par norisēm saistībā ar inovācijām un to potenciālu, tādējādi iedrošinot pēc iespējas plašāku sabiedrības un uzņēmēju daļu pievērsties inovatīvu risinājumu izstrādei un lietošanai.</t>
  </si>
  <si>
    <t>Aktivitātes ietvaros biznesa inkubatori veicina jaunu, dzīvotspējīgu un konkurētspējīgu komersantu veidošanos un attīstību Latvijas reģionos, nodrošinot tiem ar komercdarbībai nepieciešamo vidi un konsultatīvajiem pakalpojumiem.</t>
  </si>
  <si>
    <t>Aktivitātes ietvaros tiek veicināta komercdarbības attīstība īpaši atbalstāmajās teritorijās, tādējādi samazinot nelabvēlīgās atšķirības starp reģioniem un reģionu teritorijām, kā arī sekmējot līdzsvarotu valsts attīstību.</t>
  </si>
  <si>
    <t>Tūrisma ativitāšu ieviešanas rezultātā pieaugs tūrisma plūsma Latvijā un līdz ar to arī tūristu veiktie izdevumi, tādejādi veicinot Latvijas ekonomisko izaugsmi.</t>
  </si>
  <si>
    <t>Mājokļu energoefektivitātes paaugstināšana veicina efektīvu energoresursu izmantošanu, samazina dzīvokļu īpašnieku vai sociālo dzīvojamo māju īpašnieku veiktos ikgadējos izdevumus par siltumenerģiju. Līdz ar to dzīvokļu un māju īpašnieku līdzekļi tiek izmantoti efektīvāk un tos ir iespēja izmantot citu izdevumu segšanai.</t>
  </si>
  <si>
    <t>Enerģētikas aktivitāšu rezultātā tiks veicināta energoresursu efektīva izmantošana, ekonomējot uzņēmumu un siltumenerģijas patērētāju līdzekļus,  tarifi netiks celti. Līdz ar to siltumapgādes sistēmas darbosies efektīvāk/produktīvāk, ieņēmumus būs iespējams novirzīt uzņēmumu attīstībai vai iedzīvotāju līmenī - citu izdevumu segšanai. uzkrājumu veidošanai u.c..</t>
  </si>
  <si>
    <t>Apmācības uzņēmējdarbības un pašnodarbinātības uzsākšanai saņēmušas 789 personas.
Izsniegti aizdevumi 327 personām.
Piešķirtā aizdevumu summa 4,3 milj. Eiro (01.04.2011)</t>
  </si>
  <si>
    <t>Piesaistīts augstas kvalifikācijas darbinieku skaits jaunradītās darba vietās uzņēmumos- 2 (01.04.2011)</t>
  </si>
  <si>
    <t>Izveidoti 6 kompetences centri. (01.04.2011)</t>
  </si>
  <si>
    <t>iesniegti 10 starptautisko patentu pieteikumu skaits; Tehnoloģiju pārneses kontaktpunkta sagatavoti 118 komercializācijas piedāvājumi.
Līgumu skaits par pasūtījumu pētījumu veikšanu, pētniecisko pakalpojumu sniegšanu un rūpnieciskā īpašuma vai tā lietošanas tiesību pārdošanu, kuri noslēgti tehnoloģiju pārneses kontaktpunktu  darbības rezultātā - 62 (31.12.2010)</t>
  </si>
  <si>
    <t>44 komersanti, kas ievieš jaunus produktus vai tehnoloģijas;
Piesaistītais privātā sektora finansējums P&amp;A - 2,8 milj.Eiro (01.04.2011)</t>
  </si>
  <si>
    <t>18 komersanti, kas ievieš jaunus produktus vai tehnoloģijas (01.04.2011)</t>
  </si>
  <si>
    <t>7 riska kapitāla finansējumu saņēmušie MVK; 3 uzņēmumi, kas saņēmuši atbalstu garantijas vai paaugstināta riska aizdevumus;  MVK ieguldītā riska kapitāla finansējuma apjoms ir 1 860 000 EUR
Jaunradītie komersanti augsto un vidējo tehnoloģiju nozarēs - 5
(01.04.2011)</t>
  </si>
  <si>
    <t>17 komersanti, kas saņēmuši īstermiņa eksporta garantijas; 159 uzņēmumi, kas saņēmuši atbalstu garantijas vai paaugstināta riska aizdevumus, Piesaistīts privātais finansējums aizdevumu un līzinga finansētiem pasākumiem - 69,2 milj. Eiro. (01.04.2011)</t>
  </si>
  <si>
    <t>32 uzņēmumi, kas saņēmuši atbalstu garantijas vai paaugstināta riska aizdevumus (01.04.2011)</t>
  </si>
  <si>
    <t>344 uz ārējo tirgu apgūšanu vērsti atbalstītie projekti (01.04.2011)</t>
  </si>
  <si>
    <t xml:space="preserve">82 ekonomiski aktīvie uzņēmumi, kas saņēmuši atbalstu biznesa inkubatoros; Izveidoti 10 biznesa inkubatori, klasteru; Attīstīto inkubatoru platība ir 12706,08 m2
</t>
  </si>
  <si>
    <t>Apgrozījuma pieaugums atbalstītajos uzņēmumos divus gadus pēc investīcijas saņemšanas – 20%; 70 atbalstu saņēmušie mikro un mazie komersanti ĪAT; 14 atbalstu saņēmušie vidējie komersanti ĪAT
(01.04.2011)</t>
  </si>
  <si>
    <t>Izstrādāti 3 tūrisma maršruti valsts nozīmes pilsētbūvniecības pieminekļu teritorijās (dati aktualizēti 28.04.2011.)</t>
  </si>
  <si>
    <t>Ieviesti energoefektivitātes pasākumi 31 daudzdzīvokļu mājā; siltumenerģijas patēriņa samazinājums atbalstītajās daudzdzīvokļu mājās ir 47,68% (dati aktualizēti 28.04.2011.)</t>
  </si>
  <si>
    <t>Izveidotas 12 energoefektīvas sociālās mājas;                 siltumenerģijas patēriņa samazinājums atbalstītajās sociālajās mājās (% no MWh gadā, pabeigtie projekti) ir 42,38% (dati aktualizēti 28.04.2011.)</t>
  </si>
  <si>
    <t>Rekonstruēti siltumtīkli 2,5 km garumā, atjaunotas siltumenerģijas ražošanas jaudas 27,5 MW apjomā (dati aktualizēti 02.05.2011.)</t>
  </si>
  <si>
    <t>Līdz 31.03.2011. apmācības profesionālās pilnveides programmās iesaistītas 8 709 personas jeb 89% no nozarē plānotā uz 31.12.2011. (9 757) un 43% no DPP noteiktā apjoma uz 31.12.2013. (20 200). DPP noteikto iznākuma rādītāju uz 31.12.2013. gadu plānots sasniegt.</t>
  </si>
  <si>
    <t>Līdz 31.03.2011. modulārās apmācības, pārkvalifikācijas un tālākizglītības pasākumos atbalstu saņēmušas 78 738 personas jeb 89% no nozarē plānotā uz 31.03.2011. (88 144) un 219% no DPP noteiktā apjoma uz 31.12.2013. (36 000)
Aktivitātes ietvaros noteiktais rezultāta rādītājs - "Atbalstu saņēmušo bezdarbnieku un darba meklētāju īpatsvars, kas 6 mēnešu laikā pēc saņemtajām apmācībām iekārtojas darbā" ir sasniegts 23% apmērā, jeb no 78 738 atbalstu saņēmušajām personām 6 mēnešu laikā pēc saņemtajām apmācībām  17 870 personas ir iekārtojušās darbā.
Prognoze - netiks sasniegts aktivitātei 1DPP noteiktais rezultāta rādītājs uz 31.12.2011. (40%). Aktuāls ir jau projekta iesniegšanas brīdī identificētais augstas prioritātes risks rezultāta rādītāja izpildei, pamatojoties uz  ekonomisko situāciju valstī, augsto reģistrētā bezdarba līmeni,  nelielo NVA reģistrēto darba vietu skaitu, kā rezultātā tika prognozēts, ka samazināsies NVA reģistrēto bezdarbnieku darbā iekārtošanās, kas tieši ietekmē rezultāta rādītāju. Uz 31.03.2011. - reģistrētas 2 113 vakantās vai brīvās darba vietas, jeb viena darba vieta uz 77 reģistrēto bezdarbnieku (163 454), vai 1,29% no reģistrēto bezdarbnieku skaita.</t>
  </si>
  <si>
    <t xml:space="preserve">Līdz 31.12.2010. apmācības saņēmušas 5 887 bezdarba riskam pakļautas personas, jeb 105,13%  no projektā plānotā un DPP plānotā uz 31.12.2013. (5 600). </t>
  </si>
  <si>
    <t>Līdz 31.12.2009 apmācības un kvalifikācijas celšanas pasākumus ir saņēmušas 161 personas, jeb 57,5% no DPP plānotā uz 31.12.2013. (280). Projekta īstenošana ir pabeigta. Rādītāja turpmāka sasniegšana nav plānota, jo saskaņā ar MK 21.04.09. sēdes protokola Nr.25 37.§ nolemts samazināt apakšaktivitātes īstenošanai plānoto finansējumu.</t>
  </si>
  <si>
    <t xml:space="preserve">Līdz 31.03.2011 darba vietas risku novērtējums veikts 99 236 darba vietām, jeb 99 % no DPP plānotā uz 31.12.2013. (100 000). DPP noteikto iznākuma rādītāju uz 31.12.2013. plānots sasniegts 2011.gada 2.ceturksnī.
Apakšaktivitātei DPP noteiktā rezultāta rādītāja (atklāto darba attiecību un darba tirgus likumdošanas pārkāpumu skaita samazināšanās  Valsts darba inspekcijas apsekotajos uzņēmumos) izpildei 2010.gadā apsekoti 8 299 uzņēmumi, veikti 10 477 apsekojumi un atklāti 25 455 pārkāpumi. 2010.gadā atklāto pārkāpumu skaits salīdzinot ar 2004.gadu samazinājies par 34%. </t>
  </si>
  <si>
    <t>Līdz 31.03.2011. NVA darbinieki piedalījušies 2 135 aktivitātēs (2009.gadā – 272 darbinieki, 2010.gadā – 683 darbinieki, 2011.gadā - 349), kas atbilst DPP plānotajam (vidēji gadā 200).</t>
  </si>
  <si>
    <t xml:space="preserve">
Līdz 31.03.2011., iesaistot sabiedrībai derīgos darbos, atbalstu saņēmusi 83 763 persona, jeb 93% pret nozares mērķi uz 31.12.2011. (90 444) un 95% no DPP plānotā uz 31.12.2013. (88 000). DPP noteiktais iznākuma rādītāju uz 31.12.2013. plānots sasniegt 2011.gada 3.ceturksnī.
Projekta īstenošanas rezultātā līdz 31.03.2011. izveidotas 58 679 jaunas (īslaicīgas) darba praktizēšanas vietas. Līdz aktivitātes ietvaros īstenotā projekta beigām (31.12.2011.) plānots izveidot vēl 13 155 jaunas (īslaicīgas) darba praktizēšanas vietas.
</t>
  </si>
  <si>
    <t xml:space="preserve">Aktivitātes ietvaros īstenoto projektu plānoto un DPP noteikto iznākuma rādītāju - "Darba tirgus pētījumu, aptauju un sagatavoto darba tirgus prognožu skaits" (50) plānots sasniegt līdz 31.12.2013. </t>
  </si>
  <si>
    <t xml:space="preserve">Līdz 31.03.2011. kompleksos atbalsta pasākumos iesaistījās 19 924 personas, jeb 100% no nozarē plānotā uz 31.12.2011. (19 863) un 143% no DPP plānotā uz 31.12.2013. (13 900).
Projekta ietvaros līdz 31.03.2011. izveidotas 2 713 (īslaicīgas) darba vietas un līdz 2011.gada beigām plānots izveidot 1 050 jaunas (īslaicīgas) darba vietas.
No 19 924 atbalstu saņēmušajiem, kas tika iesaistīti 35 516 kompleksajos pasākumos, ekonomiski aktīvas 6 mēnešu laikā pēc atbalsta saņemšanas ir 6 361 persona, jeb 32% no atbalstu saņēmušajiem (DPP noteiktais uz 31.12.2013. - 35%) </t>
  </si>
  <si>
    <t xml:space="preserve">Līdz 31.03.2011. aktīvos nodarbinātības pasākumus pabeidza 619 personas jeb 51% no nozarē plānotā uz 31.12.2011. (1 211) un 129% no DPP plānotā uz 31.12.2013. (480).
Projektā kopumā līdz 31.03.2011. pie darba devējiem izveidotas 2 404 (īslaicīgās) darba vietas, no tām 502 personām ar invaliditāti. Līdz 2011.gada beigām projekta ietvaros plānots izveidot vēl 5 (īslaicīgās) jaunas darba vietas.
Aktivitātes ietvaros noteiktais rezultāta rādītājs - "Atbalstīto personu īpatsvars, kas kļūst ekonomiski aktīvi  6 mēnešu laikā pēc atbalsta saņemšanas" ir sasniegts 74% apmērā, jeb no 619 atbalstu saņēmušajām personām uz 31.03.2011. 460 personas ir iekārtojušās darbā. Saskaņā ar plānoto 2013.g. noteiktais rādītājs (40%) tiks sasniegts </t>
  </si>
  <si>
    <t xml:space="preserve">Līdz 31.03.2011. iznākuma rādītāju „Izveidota uz darbspēju, funkcionālo traucējumu un individuālo vajadzību novērtēšanu balstīta invaliditātes noteikšanas sistēma” nebija plānots sasniegt. DPP noteiktā rādītāja sasniegšana plānota 2012.gada 4.ceturksnī. </t>
  </si>
  <si>
    <t>Līdz 31.03.2011. sociālās rehabilitācijas pakalpojumus saņēmušas 1 113 persona ar dzirdes un redzes traucējumiem, jeb 91% no nozarē plānotā uz 31.12.2011. (1 228) un 76% no DPP plānotā uz 31.12.2013. (1 470). 
No  sociālās rehabilitācijas pakalpojumus saņēmušajām 1 113 personām ar dzirdes un redzes traucējumiem 53 personas sešu mēnešu laikā pēc dalības projektā ir iesaistījušās izglītības apguvē, profesionālajā rehabilitācijā vai nodarbinātībā. Prognoze - 1DPP noteikto rezultāta rādītāju uz 31.12.2013. (294) plānots sasniegt.</t>
  </si>
  <si>
    <t>Līdz 31.12.2010. izstrādātas 5  reģionās sociālo pakalpojumu vidēja termiņa attīstības programmas jeb 100% no DPP plānotā uz 31.12.2013. (5);
Apakšaktivitātes 2.kārtas ietvaros līdz 31.03.2011. noslēgti 37 līgumi par projektu īstenošanu un pilnveidotos sociālās rehabilitācijas pakalpojumus saņēmušas 52 personas. Līdz 2011.gada beigām plānots atbalstu  sniegt 746 personām</t>
  </si>
  <si>
    <t>2010.gada 2.pusgadā apakšaktivitātes ietvaros uzsākta divu invaliditātes ekspertīzes institūciju infrastruktūru pilnveidošana Rīgas un Latgales plānošanas reģionos, kuru izpilde plānota 2013.gada 4.ceturksnī</t>
  </si>
  <si>
    <t>Projekta īstenošana apakšaktivitātes ietvaros ir noslēgusies  30.09.2010. Rekonstruētas trīs (3) Sociālās integrācijas valsts aģentūras struktūrvienības, kas nodrošina klientu apmācību un profesionālās kvalifikācijas iegūšanu, sociālās rehabilitācijas pakalpojumu sniegšanu un klientu nodrošināšanu ar dzīvesvietu pakalpojumu sniegšanas laikā. 3DPP noteiktais iznākuma rādītājs ir sasniegts 100 % apmērā.</t>
  </si>
  <si>
    <t>Turpinās divu sociālās rehabilitācijas centru personām ar dzirdes invaliditāti (Rīgā un Liepājā) infrastruktūras izveidošana sociālās rehabilitācijas pakalpojumu saņemšanas iespēju paplašināšanai, pilnveidojot  valsts atbalsta sistēmu - sociālo pakalpojumu daudzveidību, pieejamību un kvalitāti.  Izpilde plānota 2011.gada 4.ceturksnī.</t>
  </si>
  <si>
    <t>3DPP noteiktais rādītājs netiks sasniegts, jo saskaņā ar MK 07.04.09. sēdes protokola Nr.23 47.§ nolemts LM atlikt apakšaktivitātes  īstenošanu, izņemot finansējumu no apakšaktivitātes</t>
  </si>
  <si>
    <t>Līdz 31.12.2009. apakšaktivitātes 1.kārtas ietvaros izveidota viena ilgstošas sociālās aprūpes institūcijas infrastruktūra Kurzemes reģionā sociālās rehabilitācijas pakalpojumu sniegšanai personām ar garīga rakstura traucējumiem.
 Apakšaktivitātes 2. kārtas ietvaros līdz 31.12.2012.tiks rekonstruēta un aprīkota piecu teritoriālo struktūrvienību infrastruktūra Rīgas, Kurzemes, Zemgales, Vidzemes, Latgales plānošanas reģionos.  Tiks nodrošināta sociālās aprūpes pakalpojumu pieejamība personām ar garīga rakstura traucējumiem, uzlabojot ilgstošas sociālās aprūpes un sociālās rehabilitācijas pakalpojumu kvalitāti, vides pieejamību personām ar kustību traucējumiem un veicināta kompleksa valsts sociālās aprūpes sistēmas pilnveidošana.</t>
  </si>
  <si>
    <t xml:space="preserve"> Apakšaktivitātē viena projekta ietvaros (projekts pabeigts līdz 31.01.2010.) izveidota moderna uz klientiem vērsta Valsts darba inspekcijas (VDI) infrastuktūra, kas nodrošina kvalitatīvu un operatīvu pakalpojumu un konsultāciju sniegšanu, tai skaitā izveidota informācijas par darba tirgus institūciju sniegtajiem pakalpojumiem pieejas vieta, VDI iekšējais informatīvais centrs, kas sevī ietver mācību klasi un specializēto bibliotēku
Aktivitātes ietvaros tiek turpināta otra projekta īstenošana, kura rezultātā līdz 24.06.2011. tiks izveidota moderna uz klientiem orientēta Nodarbinātības valsts aģentūras struktūrvienību infrastruktūra, nodrošinot kvalitatīvu un operatīvu pakalpojumu sniegšanu klientiem un sadarbības partneriem.</t>
  </si>
  <si>
    <t>Pieci 1.kārtas projekti pabeigti, noslēgti līgumi par 37-u 2.kārtas projektu īstenošanu</t>
  </si>
  <si>
    <t>Līdz 01.04.2011.  ESF atbalstu ir saņēmuši 652,23 atbilstoši pilna darba laika ekvivalentam nodarbinātie pētnieki jeb t.i., 65% no DPP plānotā uz 31.12.2013. (1000). Tas sastāda 7,14% no kopējā zinātnē un pētniecībā nodarbināto skaita (71% no DPP plānotā uz 31.12.2013.). Savukārt DPP ietekmes rādītājs - zinātnē un pētniecībā strādājošo īpatsvars % no darbspējīgo iedzīvotāju skaita valstī - ir 61%.</t>
  </si>
  <si>
    <t>Līdz 01.04.2011. ESF atbalstu maģistrantūras studijām ir saņēmuši 1046 maģistrantūras studenti  jeb 42% no DPP plānotā uz 31.12.2013. (2500). Savukārt DPP ietekmes rādītājs - studējošo īpatsvars inženierzinātņu, tehnoloģiju dabaszinātņu izglītības tematiskajās grupās (% no kopējā studējošo skaita) - pēdējā gada laikā samazinājies no 18,7% 01.01.2010. līdz 18% uz 01.04.2011.</t>
  </si>
  <si>
    <t>Līdz 01.04.2011. ESF atbalstu doktorantūras studijām ir saņēmuši 1159 doktorantūras studenti jeb 72% no DPP plānotā uz 31.12.2013. (1600). ESF atbalstu studijām doktorantūrā saņēmuši 41% no kopējā doktorantūras studentu skaita, kas ir 51% no DPP plānotā uz 31.12.2013. Savukārt 2010./2011.akad. gadā sagatavoti132 doktori, kas ir par 42 doktora grādu ieguvējiem mazāk kā 2010.gada sākumā.</t>
  </si>
  <si>
    <t>Līdz 01.04.2011.noslēgusies pirmās atlases projketu kārta, kuras ietvaros ir apstiprināts 1 projekts. Sasniedzamais rādītājs: uzlaboto studiju programmu skaits atbistoši darba tirgus vajadzībām                                                     mērķis 2013.gadā - 60. Rādītāju progress būs vērojams nākamajos pārskata periodos.</t>
  </si>
  <si>
    <t xml:space="preserve">Līdz 01.04.2011. noslēgusies otrā kārta projektu atlasei ar vienu iesniegtu pieteikumu, ar ko noslēgta vienošanās par projekta īstenošanu. Sasniedzamais rādītājs: uzlaboto profesionālās izglītības programmu skaits:                          mērķis 2013.gadā - 100. Rādītāju progress būs vērojams nākamajos pārskata periodos. </t>
  </si>
  <si>
    <t>Līdz 01.04.2011. 1 097 profesionālās izglītības pedagogi ir pilnveidojuši savu kompetenci un kvalifikāciju jeb 21,9% no DPP plānotā uz 31.12.2013. (5 000). 
Analizējot profesionālās un vispārējās izglītības pedagogu apmācību aktivitāšu (1.2.1.1.2. un 1.2.1.2.3.) rezultātus secināms, ka līdz 01.04.2011. ar ESF atbalstu kvalifikāciju paaugstinājuši 4,76% no vispārējās un profesionālās izglītības pedagogu kopskaita valstī.</t>
  </si>
  <si>
    <t>Līdz 01.04.2011. ir noslēgtas 27 vienošanās par projektu īstenošanu. Sasniedzamais DPP rādītājs: izglītojamo, kas apgūst uzlabotās profesionālās izglītības programmas, īpatsvars pret
izglītojamo skaitu profesionālajā izglītībā mērķis  2013.gadā – 50 %. Rādītāju progress būs vērojams nākamajos pārskata periodos.</t>
  </si>
  <si>
    <t>Līdz 01.04.2011. mēķstipendijas ir piešķirtas 39 702 sākotnējā profesionālajā izglītībā studējošiem jauniešiem jeb 397% no DPP plānotā uz 31.12.2013. (10 000) un 63,93% no kopējā profesionālajā izglītībā izglītojamo skaita valstī ESF projekta īstenošanas laikā.</t>
  </si>
  <si>
    <t>Līdz 01.04.2011. ir uzlabotas 4 vispārējās izglītības programmas jeb 20% no DPP plānotā uz 31.12.2013. (20).                       Tika aprobēti un pilnveidoti projekta ietvaros izstrādātie mācību materiāli 97 izglītības iestādēs, apmācot 21% no kopējā 2009./2010. m.g. izglītojamo skaita 7-12 klasē valstī.
Vērtējot ESF ieguldījuma ietekmi uz skolēnu sekmēm, DPP noteikts mērķis (ietekmes rādītājs) 2013.gadam - vidējās izglītības absolventu skaits ar zemām vai ļoti zemām prasmēm dabaszinātnēs, matemātikā un svešvalodās (% no vidusskolas absolventu kopskaita) samazinājies līdz 21%. 2010.gadā rādītāja vērtība ir 23,85%. Tādejādi, ir sasniegts DPP mērķis 2009.gadam (25%).</t>
  </si>
  <si>
    <t>Līdz 01.04.2011. mērķstipendijas ir saņēmuši 4085 pedagogi jeb 170% no DPP plānotā uz 31.12.2013. (2 400).</t>
  </si>
  <si>
    <t xml:space="preserve">Līdz 01.04.2011. savu kompetenci paaugstinājuši un prasmes atjaunojuši 224 pedagogi jeb 1,12% no DPP plānotā uz 31.12.2013. (20 000). </t>
  </si>
  <si>
    <t>Līdz 01.04.2011. apakšaktivitātē īstenotā projekta aktivitātēs kursus pabeiguši 12 213 pedagogi jeb 70% no DPP plānotā uz 31.12.2013. (17 400).            Pedagogu apmācības turpinās.</t>
  </si>
  <si>
    <t>Līdz 01.04.2011.noslēgusies projektu atlase ar vienu apstiprinātu projekta pieteikumu.</t>
  </si>
  <si>
    <t>Līdz 01.04.2011. 5 639 sociālās atstumtības riska grupu izglītojamie ir saņēmuši ESF atbalstu mācībām jeb 56% no DPP noteiktā uz 31.12.2013. (10 000). Savukārt vispārējās un profesionālās izglītības iestādēs integrēti 9,87% izglītojamo ar speciālām vajadzībām (% no izglītojamo ar speciālām vajadzībām skaita).</t>
  </si>
  <si>
    <t xml:space="preserve">Uz 28.04.2011. noslēgtas 121 vienošanās/līgumi, projektu īstenošana uzsākta 2010.gada beigās un 2011.gada sākumā. Sasniedzamie rādītāji: pieaudzis starptautiski atzītu publikāciju (tajā skaitā SCI) skaits gadā – 800 2013.gadā;  pieaudzis pieteikto starptautisko patentu skaits gadā – 43 2013.gadā.
Rādītāju progress būs vērojams nākamajos pārskata periodos.     </t>
  </si>
  <si>
    <t xml:space="preserve">Līdz 01.04.2011. apakšaktivitātē īstenoti 4  starptautiskās sadarbības projekti jeb 13% no DPP plānotā uz 31.12.2013. (30).            </t>
  </si>
  <si>
    <t xml:space="preserve">Sasniedzamie rādītāji: 35 modernizētu zinātnisko institūciju skaits 2013.gadā. Rādītāju progress būs vērojams nākamajos pārskata periodos.     </t>
  </si>
  <si>
    <t xml:space="preserve">Sasniedzamie rādītāji: 1 Latvijas akadēmiskais pamattīkls zinātniskās darbības un pētniecības nodrošināšanai 2013.gadā. Rādītāju progress būs vērojams nākamajos pārskata periodos.     </t>
  </si>
  <si>
    <t xml:space="preserve">Sasniedzamie rādītāji: profesionālās izglītības iestāžu skaits, kurās modernizēta infrastruktūra un mācību aprīkojums - 53 2013.gadā. Rādītāju progress būs vērojams nākamajos pārskata periodos.     </t>
  </si>
  <si>
    <t xml:space="preserve">Sasniedzamie rādītāji: ieslodzījuma vietu skaits, kurās modernizēti profesionālo mācību priekšmetu kabineti un darbnīcas - 8. Rādītāju progress būs vērojams nākamajos pārskata periodos.     </t>
  </si>
  <si>
    <t xml:space="preserve">Līdz 01.04.2011. 3 augstākās izglītības iestādēs modernizēta infrastruktūra un mācību aprīkojums jeb  9,7% no DPP plānotā uz 31.12.2013. (31).  </t>
  </si>
  <si>
    <t>Līdz 01.04.2011. 32 vispārējās vidējās izglītības iestādēs modernizēti dabaszinātņu kabineti jeb 14,2% no DPP plānotā uz 31.12.2013. (225).</t>
  </si>
  <si>
    <t>Sasniedzamie rādītāji: renovēto vispārējās izglītības iestāžu skaits - 35 2013.gadā.</t>
  </si>
  <si>
    <t>Līdz 01.04.2011. uzlabota infrastruktūra un mācību vide izglītojamiem ar speciālām vajadzībām 11  speciālajās izglītības iestādēs jeb 17% no DPP plānotā uz 31.12.2013. (64). Izglītojamo ar speciālām vajadzībām īpatsvars, kam nodrošinātas izglītības iespējas uzlabotā mācību vidē ir 2,89% (DPP mērķis 2013.gadā 100%).</t>
  </si>
  <si>
    <t xml:space="preserve">Līdz 01.04.2011. 22 vispārējās izglītības iestādes ir pielāgotas skolēniem ar funkcionāliem traucējumiem (DPP mērķis 2013.gadā - 38); izglītojamiem ar funkcionāliem traucējumiem pielāgoto vispārējās vidējās izglītības iestāžu īpatsvars no kopējā vispārējās vidējās izglītības iestāžu skaita ir 5,9% (DPP mērķis 2013.gadā 12%). </t>
  </si>
  <si>
    <t>Izglītības iestādēs iegādātas 8 IKT vienības (DPP mērķis 2013.gadā 15 883 IKT vienības).</t>
  </si>
  <si>
    <t>Noslēgtas 18 vienošanās, 1 projekta īstenošana pārtraukta, norit 17 projektu īstenošana</t>
  </si>
  <si>
    <t>Apstiprināts 1 projektu iesniegums 1.atlases kārtas ietvaros</t>
  </si>
  <si>
    <t>Noslēgta 1 vienošanās, norit projektu īstenošana</t>
  </si>
  <si>
    <t>1 projektu iesniegums apstiprināts</t>
  </si>
  <si>
    <t>Noslēgtas 29  vienošanās, 1 vienošanās pārtraukta, norit 28 projektu īstenošana, 99 projektu iesniegumi noraidīti</t>
  </si>
  <si>
    <t>Noslēgtas 121 vienošanās / līgumi par projektu īstenošanu un norit projektu īstenošana, 2 projektu iesniegumi apstiprināti, 1 atsaukts, 1 pārtraukts, 52 projektu iesniegumi noraidīti</t>
  </si>
  <si>
    <t>Noslēgtas 20 vienošanās/ līgumi par projektu īstenošanu, norit projektu īstenošana, 1 projektu iesniegums noraidīts</t>
  </si>
  <si>
    <t>Izsludināta 1 projektu iensiegumu atlase</t>
  </si>
  <si>
    <t>Noslēgti 55 līgumi par projektu īstenošanu un norit projektu īstenošana, 1 apstiprināts, 1 pabeigts, 4 noraidīti, 43 atsaukti</t>
  </si>
  <si>
    <t>Pabeigti 3 projekti, noslēgti 28 līgumi par projektu īstenošanu un norit projektu īstenošana, 1 noraidīts</t>
  </si>
  <si>
    <t>1.atlases kārta beigusies bez rezultātiem</t>
  </si>
  <si>
    <t>Noslēgtas 114 vienošanās, pabeigta 22 orojektu īstenošana, norit 92 projektu īstenošana, 2 projektu iesniegumi noraidīti</t>
  </si>
  <si>
    <t>Noslēgtas 44 vienošanās, norit 36 projektu īstenošana, pabeigta 8 projektu īstenošana,  2 projektu iesniegumi noraidīti</t>
  </si>
  <si>
    <t>Noslēgtas 31 vienošanās, pabeigti 22, norit 9 projektu īstenošana, bet pārtraukts 1; 1 projektu iesniegums noraidīts</t>
  </si>
  <si>
    <t>Noslēgtas 114 vienošanās par projektu īstenošanu un norit projektu īstenošana, 355 atsaukti, 7 noraidīti</t>
  </si>
  <si>
    <t>DPP rādītājs-atbalstīto veselības aprūpes un veselības veicināšanas profesionāļu skaits (uz 02.05.2011) - 21 484 personas (2013.gadā plānots sasniegt 32 880);
DPP rādītājs-atbilstoši (sekmīgi nokārtota resertifikācija) apmācītā veselības aprūpes personāla īpatsvars [procentos] - 70.92% (sākotnēja vērtība - 65% un 2013.gadā plānots sasniegt 95%).</t>
  </si>
  <si>
    <t>DPP rādītājs-vidējais pacientu skaits uz vienu primārās veselības aprūpes ārstu praksi (uz 31.12.2010) ir 1 594 (sākotnēja vērtība - 1728 un 2013.gadā bija plānots sasniegt 1691, jauna plānota vērtība 1 400)</t>
  </si>
  <si>
    <t>1. 13.08.2010 apstiprināti aktivitātes MK noteikumi Nr.726 "Noteikumi par darbības programmas "Infrastruktūra un pakalpojumi" papildinājuma 3.1.5.1.1.apakšaktivitāti "Ģimenes ārstu tīkla attīstība". 
2. Projektu iesniegšana  pabeigta 04.11.2020 Izvērtēšanai ir saņemti 230 projektu iesniegumi. 
3. Vērtēšanu pabeigta 04.02.2011. 
4. Rezultātā: 203 projekta iesniegumi apstiprināti, 24 - noraidīti un 3 - atsaukti
5. Pirmos rezultātus plānots sasniegt 2011.gada IV ceturksnī.</t>
  </si>
  <si>
    <t>DPP rādītājs - atbalstīti veselības aprūpes centri (uz 02.05.2011) atbalstīti 4 veselības aprūpes centri (2013.gadā plānots sasniegt 25).
Projektu ietvaros:
1. Renovētas 3 veselības centru telpas - 705.12 m2
2. Attīstīti 3 ģimenes ārstu kabineti
3. Piegādātas 34 medicīnas tehnoloģijas veselības centros
4. Ārēji renovēta 1 veselības centra ēka - 589.27 m2.</t>
  </si>
  <si>
    <t>DPP rādītājs - uzlabota infrastruktūra stacionārās veselības aprūpes iestādēs. Uz 02.05.2011 uzlabota infrastruktūra 5  iestādēs (2013.gadā plānots sasniegt 46).
Projektu ietvaros sasnigts:
1. Uzbūvētas 2 jaunas ēkas:
*VSIA "Bērnu psihoneiroloģiskā slimnīca "Ainaži"" 1 jauna ēka 2 439 m2 platībā. Līdz šim vienā palātā uzurējās līdz 10 bērniem,  bet tagad 2-4 bērni. 
*Strenču Psihoneiroloģiskajā slimnīcā 1 jauna ēka 3 038 m2 platībā. Līdz šim vienā palātā uzurējās 4-5 pacienti,  bet tagad 2-3 pacienti.
2. Ārēji renovētas vai rekonstruētas 1 slimnīcas divas ēkas.
3. Veikta iekšējā renovācija 9 288 m2 apmērā - ķirurģijas tipa profilā 1 slimnīcā, terapijas tipa profilā 5 slimnīcās, 3 slimnīcu ārstnieciskā procesa nodrošinošas struktūrvienībās un ambulatorās nodaļās 2 slimnīcās.
4. Piegādātas medicīnas tehnoloģijas 1 slimnīcā. 
5. Samazinājies ārstēšanās ilgums (informācija par 3 slimnīcām) vidēji par 7.8 dienām.</t>
  </si>
  <si>
    <t>DPP rādītājs - (uz 02.05.2011) iegādātas un uzstādītas 4 jaunās onkoloģijas slimnieku radioterapijas ārstēšanas aparatūras vienības 100% no plānota 
Projektu ietvaros:
1. Uzsākta jaunu pakalpojumu sniegšana 2 slimnīcās
2. SIA "Rīgas Austrumu klīniskā universitātes slimnīca" un  VSIA „ Paula Stradiņa klīniskās universitātes slimnīca”  pēc projektu pabeigšanas ir uzlabojusies spēja sniegt onkoloģijas pakalpojumus, maksimāli ierobežojot blakusefektus no staru terapijām, pieaudzis stacionārā sniegto  procedūru skaits un pieaudzis ambulatoro pacientu skaits.</t>
  </si>
  <si>
    <t xml:space="preserve">Darbības programmas „Infrastruktūra un pakalpojumi” papildinājums nosaka, ka 3.4.3.pasākuma „Kultūrvides sociālekonomiskā ietekme” ietvaros tiek īstenota 3.4.3.1.aktivitāte „Nacionālas un reģionālas nozīmes daudzfunkcionālu centru izveide” (turpmāk – 3.4.3.1.aktivitāte), kuras mērķis ir kultūrvides sakārtošana un reģionu pievilcības palielināšana dzīves un darba apstākļiem, kas pēc 3.4.3.1.aktivitātes projektu īstenošanas veicinās augsti kvalificēta darbaspēka piesaisti un saglabāšanu, attīstīs teritoriju ekonomisko rosību, kā arī nodrošinās daudzfunkcionālu infrastruktūru pakalpojumu sniegšanai kultūras, izglītības, brīvā laika pavadīšanas, sabiedrisko pasākumu, uzņēmējdarbības, biznesa un citās jomā. 
3.4.3.1.aktivitātes ietvaros: 
• iznākuma rādītāja „Izveidoto daudzfunkcionālo kultūras centru skaits” 2013.gadā plānotā vērtība ir „4”. Uz doto brīdi aktivitātes ietvaros sasniegtā vērtība ir „0”; 
• rezultāta rādītāja „Kultūras pakalpojumu pieprasījums” 2013.gadā plānotā vērtība ir 2.47 milj. apmeklējumi, uz doto brīdi aktivitātes ietvaros sasniegtā vērtība ir „0”. 
Sasniegtās rādītāju vērtības skaidrojams ar to, ka rezultātu un iznākumu rādītāji tiks sasniegti, kad būs noslēgusies projektu īstenošana, tas ir atbilstoši projektu īstenošanas laika grafikiem sākot ar 2012.gada 3.ceturksni. Aktivitātes ietvaros veicot ēku un būvju būvniecību un rekonstrukciju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</si>
  <si>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3.4.3.2.aktivitāte „Sociālekonomiski nozīmīgu kultūras mantojuma objektu atjaunošana” (turpmāk – 3.4.3.2.aktivitāte), kuras mērķis ir atjaunot kultūras mantojuma objektus, lai palielinātu to ekonomisku un inovatīvu izmantošanu, kas var kalpot kā nozīmīgs faktors teritoriju ekonomiskajai reģenerācijai, to pievilcības palielināšanai, dzīvei, darbam un uzņēmējdarbībai labvēlīgu apstākļu nodrošināšanai.
3.4.3.2.aktivitātes ietvaros: 
• iznākuma rādītāja „Atjaunoto un saglabāto kultūras mantojuma objektu skaits” 2013.gadā plānotā vērtība ir „10”, bet uz doto brīdi aktivitātes ietvaros sasniegtā vērtība ir „0”.
Sasniegtā vērtība skaidrojama ar to, ka projektu iesniegumu atlase noslēdzās 2010.gda nogalē un tikai 2011.gada janvāra mēnesī tika uzsākta vienošanos slēgšana par projektu īstenošanu un projektu ieviešana.
Aktivitātes ietvaros veicot nedzīvojamo ēku un būvju renovācijas, rekonstrukcijas, restaurācijas un konservācijas darbus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</si>
  <si>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3.4.3.3.aktivitāte „„Atbalsts kultūras pieminekļu privātīpašniekiem kultūras pieminekļu saglabāšanā un to sociālekonomiskā potenciāla efektīvā izmantošanā”, kuras mērķis ir nodrošināt tādu kultūras pieminekļu saglabāšanu, pieejamību sabiedrībai un sociālekonomisku izmantošanu, kas atrodas privātīpašumā un nodrošina nozīmīgas publiskas funkcijas. 
3.4.3.3.aktivitātes ietvaros: 
• iznākuma rādītāja „Privātīpašumā esošo atjaunoto un saglabāto kultūras mantojuma objektu skaits” 2013.gadā plānotā vērtība ir „5”, uz doto brīdi aktivitātes ietvaros sasniegtā vērtība ir „0”;
• Rezultāta rādītāja „Kultūras pieminekļu īpatsvars, kuru tehniskais stāvoklis var tikt vērtēts kā labs vai apmierinošs” 2013.gadā plānotā vērtība ir „100 %”, uz doto brīdi aktivitātes ietvaros sasniegtā vērtība ir „0”, jo projektu īstenošana tika uzsākta 2010.gada IV ceturkšņa beigās. 
Aktivitātes ietvaros veicot ēku un būvju remonta, restaurācijas un konservācijas  darbus būvniecības nozarē tiks radīti un veicināti priekšnoteikumi sociālekonomiskai attīstībai un pozitīvai darba tirgus attīstībai tādējādi sekmējot arī reģionu ilgtspējīgu attīstību.  
</t>
  </si>
  <si>
    <r>
      <rPr>
        <vertAlign val="superscript"/>
        <sz val="10"/>
        <color indexed="8"/>
        <rFont val="Times New Roman"/>
        <family val="1"/>
      </rPr>
      <t>1</t>
    </r>
    <r>
      <rPr>
        <sz val="10"/>
        <color indexed="8"/>
        <rFont val="Times New Roman"/>
        <family val="2"/>
      </rPr>
      <t xml:space="preserve"> VIS dati uz 02.05.2011.; pieteikto, apstiprināto, noslēgto līgumu un pabeigto projektu skaits</t>
    </r>
  </si>
  <si>
    <t>Noasfaltēti 20,79 km valsts 1.šķiras autoceļu, kopumā aktivitātes ietvaros līdz 2013.gadam paredzēts noasfaltēt 330 km valsts 1.šķiras autoceļu.</t>
  </si>
  <si>
    <t>Rekonstruēti 0,49 km  tranzītielu, kopumā aktivitātes ietvaros līdz 2013.gadam rekonstruēlamo tranzītielu kopgarums ir 20 km.</t>
  </si>
  <si>
    <t>Sasniedzamais uzraudzības rādītājs: Iznākuma rādītājs „Apstiprināto satiksmes drošības uzlabošanas projektu skaits apdzīvotās vietās ārpus Rīgas” kvantifikācija 2013.gadā ir 90. Apakšaktivitātes ietvaros ir noslēgtas 83 vienošanās par projektu īstenošanu. Iznākuma rādītājs ir sasniegts 92 % apmērā. Pabeigto projektu skaits ir 21,  šo projektu ietvaros – plānotās aktivitātes ir ieviestas un projektu mērķis ir sasniegts, veikti transporta infrastruktūras uzlabojumi.</t>
  </si>
  <si>
    <t xml:space="preserve">Sasniedzamie uzraudzības rādītāji: Iznākuma rādītājs „Realizēto satiksmes drošības uzlabošanas projektu skaits Rīgā” kvantifikācija 2013.gadā ir līdz 10.Apakšaktivitātes ietvaros ir noslēgtas 8 vienošanās par projektu īstenošanu. Rezultāta rādītājs „Ceļu satiksmes negadījumos bojā gājušo skaita attiecības pret satiksmes intensitātes pieaugumu samazinājums Rīgā”  kvantifikācija 2013.gadā ir par 2 %. Uz doto brīdi apakšaktivitātes ietvaros noteiktā rezultāta rādītāja sasniegšana nav plānota, jo projekti ir agrīnā ieviešanas stadijā un rādītājs ir sasniedzams projektu dzīves cikla beigās.  </t>
  </si>
  <si>
    <t xml:space="preserve">Sasniedzamie uzraudzības rādītāji: Iznākuma rādītāja „Realizēto projektu skaits mazo ostu infrastruktūras uzlabošanā” kvantifikācija 2013.gadā ir līdz 3. Iznākuma rādītāja sasniegtā vērtība ir 1, jo ir noslēdzies 1 projekts. Rezultāta rādītājs: „Kuģu ar kravnesību virs 5000 GT īpatsvars mazajā ostā” kvantifikācija 2013.gadā ir 15 %. Uz šo brīdi rezultāta sasnieguma pakāpe ir 0, saskaņā ar finansējuma saņēmēju iesniegtajiem progresa pārskatiem rezultāta sasnieguma pakāpe tiks sasniegta 2013.gadā. </t>
  </si>
  <si>
    <r>
      <t>Sasniedzamie rezultāti:</t>
    </r>
    <r>
      <rPr>
        <sz val="10"/>
        <color indexed="8"/>
        <rFont val="Times New Roman"/>
        <family val="2"/>
      </rPr>
      <t xml:space="preserve">
izbūvētā un rekonstruētā TEN autoceļa kopgarums 337,59 km.
</t>
    </r>
    <r>
      <rPr>
        <b/>
        <sz val="10"/>
        <color indexed="8"/>
        <rFont val="Times New Roman"/>
        <family val="1"/>
      </rPr>
      <t>Sasniegtie rezultāti:</t>
    </r>
    <r>
      <rPr>
        <sz val="10"/>
        <color indexed="8"/>
        <rFont val="Times New Roman"/>
        <family val="2"/>
      </rPr>
      <t xml:space="preserve"> izbūvēti un rekonstruēti 23,5 km TEN autoceļa.</t>
    </r>
  </si>
  <si>
    <r>
      <t>Sasniedzamie rezultāti:</t>
    </r>
    <r>
      <rPr>
        <sz val="10"/>
        <color indexed="8"/>
        <rFont val="Times New Roman"/>
        <family val="2"/>
      </rPr>
      <t xml:space="preserve">
1) izbūvētā TEN dzelzceļa kopgarums 52 km;
2) Dzelzceļa posma Rīga - Krustpils (t.sk., Skrīveri-Krustpils iecirknis) caurlaides spēja 25 453 000 tonnas/gadā;
3) Rīgas dzelzceļa mezgla staciju pārstrādes spēja 37 500 000 tonnas/gadā.</t>
    </r>
  </si>
  <si>
    <r>
      <t>Sasniedzamie rezultāti:</t>
    </r>
    <r>
      <rPr>
        <sz val="10"/>
        <color indexed="8"/>
        <rFont val="Times New Roman"/>
        <family val="2"/>
      </rPr>
      <t xml:space="preserve">
1) ostu skaits, kurās veiktas investīcijas pieejamības un hidrotehnisko būvju uzlabošanā - 3;
2) Palielināta ostu caurlaides spēja par 7 %.</t>
    </r>
  </si>
  <si>
    <r>
      <t>Sasniedzamie rezultāti:</t>
    </r>
    <r>
      <rPr>
        <sz val="10"/>
        <color indexed="8"/>
        <rFont val="Times New Roman"/>
        <family val="2"/>
      </rPr>
      <t xml:space="preserve">
1) Lidostas „Rīga” termināla jaudas palielinājums par 25 %;
2) Lidostu skaits, kurās veikta infrastruktūras izbūve un/vai rekonstrukcija - 3.</t>
    </r>
  </si>
  <si>
    <r>
      <t>Sasniedzamie rezultāti:</t>
    </r>
    <r>
      <rPr>
        <sz val="10"/>
        <color indexed="8"/>
        <rFont val="Times New Roman"/>
        <family val="2"/>
      </rPr>
      <t xml:space="preserve"> realizēto projektu skaits lielajās pilsētās - 2.</t>
    </r>
  </si>
  <si>
    <r>
      <t>Sasniedzamie rezultāti:</t>
    </r>
    <r>
      <rPr>
        <sz val="10"/>
        <color indexed="8"/>
        <rFont val="Times New Roman"/>
        <family val="2"/>
      </rPr>
      <t xml:space="preserve">
1) iegādāto trīsvagonu dzīzeļvilcienu skaits - 7;
2) iegādāto jaunu elektrovilcienu skits- 34.</t>
    </r>
  </si>
  <si>
    <t>1.atlases kārtā apstiprināti 115 projekti un notiek šo projektu ieviešana.
2.atlases kārtā apstiprināti vēl 12 projektu iesniegumi, par kuriem tiks noslēgtas vienošanās š.g. maijā.</t>
  </si>
  <si>
    <t>Notiek 72 projektu ieviešana.</t>
  </si>
  <si>
    <t>Pabeigta 25 projektu ieviešana. Notiek 16 projektu ieviešana.</t>
  </si>
  <si>
    <t>noslēgta 41 vienošanās par projekta īstenošanu, 1 pieteikts, 3 apstiprināti,  2 atsaukti</t>
  </si>
  <si>
    <t>5 pabeigti, noslēgti 161 līgumi par projektu īstenošanu, 65 pieteikti, 13 noraidīti</t>
  </si>
  <si>
    <t>noslēgti 5 līgumi par projektu īstenošanu</t>
  </si>
  <si>
    <t>Pabeigta 13 projektu ieviešana. Notiek 46 projektu ieviešana. 3 projekta īstenošana ir pārtraukta. Notiek 3 projektu vērtēšana.</t>
  </si>
  <si>
    <t>Notiek 1 projekta ieviešana. Apstiprināts vēl viens 1 projekta iesniegums, par kuru vienošanās tiks noslēgta š.g. maijā.</t>
  </si>
  <si>
    <t>Ir apstiprinātas 2 projektu idejas, š.g. maijā VRAA uzsāks projektu iesniegumu pieņemšanu.</t>
  </si>
  <si>
    <r>
      <rPr>
        <b/>
        <sz val="10"/>
        <rFont val="Times New Roman"/>
        <family val="1"/>
      </rPr>
      <t xml:space="preserve">Sasniedzamie rezultāti:
</t>
    </r>
    <r>
      <rPr>
        <sz val="10"/>
        <rFont val="Times New Roman"/>
        <family val="1"/>
      </rPr>
      <t>Piesaistīto jauno speciālistu skaits plānošanas reģionos, pilsētās un novados  2013.gadā - 250
Plānošanas reģionu un pašvaldību skaits, kuros nodrošināta administratīvās kapacitātes stiprināšana (%) 2013.gadā - 90</t>
    </r>
    <r>
      <rPr>
        <sz val="10"/>
        <rFont val="Times New Roman"/>
        <family val="2"/>
      </rPr>
      <t xml:space="preserve">
</t>
    </r>
    <r>
      <rPr>
        <b/>
        <sz val="10"/>
        <rFont val="Times New Roman"/>
        <family val="1"/>
      </rPr>
      <t xml:space="preserve">
Sasniegtie rezultāti:</t>
    </r>
    <r>
      <rPr>
        <sz val="10"/>
        <rFont val="Times New Roman"/>
        <family val="2"/>
      </rPr>
      <t xml:space="preserve">
Ir uzsākta aktivitātes īstenošana un rezultatīvie rādītāji 2013.gadā tiks sasniegti.
</t>
    </r>
    <r>
      <rPr>
        <b/>
        <sz val="10"/>
        <rFont val="Times New Roman"/>
        <family val="1"/>
      </rPr>
      <t>Ekonomiskā ietekme:</t>
    </r>
    <r>
      <rPr>
        <sz val="10"/>
        <rFont val="Times New Roman"/>
        <family val="2"/>
      </rPr>
      <t xml:space="preserve">
Noteiktu speciālistu trūkums būtiski ietekmē vietējo pašvaldību un plānošanas reģionu administratīvo kapacitāti, veidojot nepilnīgu uzdevumu izpildes kvalitāti. Kvalificētu speciālistu piesaiste vietējā un reģionālā līmenī sekmēs bezdarba mazināšanos darbinieku ar augstāko izglītību vidū.</t>
    </r>
  </si>
  <si>
    <r>
      <rPr>
        <b/>
        <sz val="10"/>
        <rFont val="Times New Roman"/>
        <family val="1"/>
      </rPr>
      <t xml:space="preserve">Sasniedzamie rezultāti:
</t>
    </r>
    <r>
      <rPr>
        <sz val="10"/>
        <rFont val="Times New Roman"/>
        <family val="1"/>
      </rPr>
      <t>Atbalstīto plānošanas reģionu un novadu pašvaldību skaits, kuros nodrošināta attīstības plānošanas kapacitātes stiprināšana (%) 2013.gadā - 52
Izstrādātie / aktualizētie attīstības plānošanas dokumenti plānošanas reģionos un vietējās pašvaldībās (skaits) 2013.gadā - 58
Plānošanas reģionu un pašvaldību skaits, kas ir iesaistītas sadarbības tīklos, kuru darbība ir vērsta uz attīstības plānošanas kapacitātes stiprināšanu (%) 2013.gadā - 30</t>
    </r>
    <r>
      <rPr>
        <sz val="10"/>
        <rFont val="Times New Roman"/>
        <family val="2"/>
      </rPr>
      <t xml:space="preserve">
</t>
    </r>
    <r>
      <rPr>
        <b/>
        <sz val="10"/>
        <rFont val="Times New Roman"/>
        <family val="1"/>
      </rPr>
      <t xml:space="preserve">
Sasniegtie rezultāti:</t>
    </r>
    <r>
      <rPr>
        <sz val="10"/>
        <rFont val="Times New Roman"/>
        <family val="2"/>
      </rPr>
      <t xml:space="preserve">
Ir uzsākta aktivitātes īstenošana un rezultatīvie rādītāji 2013.gadā tiks sasniegti.
</t>
    </r>
    <r>
      <rPr>
        <b/>
        <sz val="10"/>
        <rFont val="Times New Roman"/>
        <family val="1"/>
      </rPr>
      <t>Ekonomiskā ietekme:</t>
    </r>
    <r>
      <rPr>
        <sz val="10"/>
        <rFont val="Times New Roman"/>
        <family val="2"/>
      </rPr>
      <t xml:space="preserve">
Ar ESF atbalstu tiek uzlabota izstrādāto vietējo un reģionālo attīstības plānošanas dokumentu kvalitāte un attīstības plānošanas dokumentu savstarpējā sasaiste (kā arī sasaiste nacionālajā līmenī definētajām valsts attīstības prioritātēm), sekmēta integrētā skatījuma uz teritoriju attīstību attīstība un iedzīvotāju, komersantu un nevalstisko organizāciju iesaiste savas teritorijas attīstības plānošanā.</t>
    </r>
  </si>
  <si>
    <r>
      <rPr>
        <b/>
        <sz val="10"/>
        <rFont val="Times New Roman"/>
        <family val="1"/>
      </rPr>
      <t xml:space="preserve">Sasniedzamie rezultāti:
</t>
    </r>
    <r>
      <rPr>
        <sz val="10"/>
        <rFont val="Times New Roman"/>
        <family val="1"/>
      </rPr>
      <t>Jaunuzcelto vai paplašināto pirmsskolas izglītības iestāžu skaits - 2009.gadā: 5, 2013.gadā: 19
Renovēto vai labiekārtoto pirmsskolas izglītību iestāžu skaits – 2009.gadā: 4, 2013.gadā: 12
Bērnu skaita rindās uz vietām pirmsskolas izglītības iestādēs samazināšanās plānošanas reģionos - 2009.gadā: 3%, 2013.gadā: 8%</t>
    </r>
    <r>
      <rPr>
        <sz val="10"/>
        <rFont val="Times New Roman"/>
        <family val="2"/>
      </rPr>
      <t xml:space="preserve">
</t>
    </r>
    <r>
      <rPr>
        <b/>
        <sz val="10"/>
        <rFont val="Times New Roman"/>
        <family val="1"/>
      </rPr>
      <t xml:space="preserve">
Sasniegtie rezultāti:
</t>
    </r>
    <r>
      <rPr>
        <sz val="10"/>
        <rFont val="Times New Roman"/>
        <family val="1"/>
      </rPr>
      <t xml:space="preserve">1) jaunuzceltas vai paplašinātas 12 pirmsskolas izglītības iestādes (2010.gada 2.pusgadā - 7 pirmsskolas izglītības iestādes), kas liecina, ka 2009.gada rādītājs ir pārsniegts par 140% un veido 63,16% no 2013.gada plānotās sasniedzamās vērtības. Līdz 2013.gadam plānots sasniegt 2013.gada plānoto vērtību.  ; 
2) renovētas vai labiekārtotas 22 izglītības iestādes (2010.gada 2.pusgadā – 8 izglītības iestādes), kas liecina, ka 2009.gada rādītājs ir pārsniegts par 450%, kā arī par 83,33 % pārsniedz 2013.gada plānoto vērtību; 
3) radītas 1167 jaunas vietas bērniem pirmsskolas izglītības iestādēs. Salīdzinot ar 2004.gadu, kad rinda uz pirmsskolas izglītības iestādēm valstī bija 14 045 bērni, bērnu skaits rindās uz vietām pirmsskolas izglītības iestādēs plānošanas reģionos uz 2010.gada beigām samazinājies par 14,17% (2010.gada 2.pusgadā – 8,79% bērnu skaita rindās samazinājums), tādejādi 2009.gada rādītājs ir pārsniegts par 472,33%, kā arī par 177,13% pārsniedz 2013.gada plānoto vērtību. </t>
    </r>
    <r>
      <rPr>
        <b/>
        <sz val="10"/>
        <rFont val="Times New Roman"/>
        <family val="1"/>
      </rPr>
      <t xml:space="preserve">
</t>
    </r>
    <r>
      <rPr>
        <sz val="10"/>
        <rFont val="Times New Roman"/>
        <family val="2"/>
      </rPr>
      <t xml:space="preserve">
</t>
    </r>
    <r>
      <rPr>
        <b/>
        <sz val="10"/>
        <rFont val="Times New Roman"/>
        <family val="1"/>
      </rPr>
      <t>Ekonomiskā ietekme:</t>
    </r>
    <r>
      <rPr>
        <sz val="10"/>
        <rFont val="Times New Roman"/>
        <family val="2"/>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</si>
  <si>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0"/>
        <rFont val="Times New Roman"/>
        <family val="1"/>
      </rPr>
      <t xml:space="preserve">Sasniedzamie rezultāti:
</t>
    </r>
    <r>
      <rPr>
        <sz val="10"/>
        <rFont val="Times New Roman"/>
        <family val="1"/>
      </rPr>
      <t>Atbalstīto alternatīvās aprūpes centru skaits - 2009.gadā: 6; 2013.gadā: 13
Alternatīvās aprūpes centru pakalpojumu izmantojošo personu skaits - 2009.gadā: 231; 2013.gadā: 500</t>
    </r>
    <r>
      <rPr>
        <sz val="10"/>
        <rFont val="Times New Roman"/>
        <family val="2"/>
      </rPr>
      <t xml:space="preserve">
</t>
    </r>
    <r>
      <rPr>
        <b/>
        <sz val="10"/>
        <rFont val="Times New Roman"/>
        <family val="1"/>
      </rPr>
      <t xml:space="preserve">
Sasniegtie rezultāti:
</t>
    </r>
    <r>
      <rPr>
        <sz val="10"/>
        <rFont val="Times New Roman"/>
        <family val="1"/>
      </rPr>
      <t>1) atbalstīti 11 alternatīvās aprūpes centri (2010.gada 2.pusgadā - 6 alternatīvās aprūpes centri), kas liecina, ka 2009.gada rādītājs ir pārsniegts par 83,33% un veido 84,62% no 2013.gada plānotās sasniedzamās vērtības. Līdz 2013.gadam plānots sasniegt 2013.gada plānoto vērtību;
2) radītas iespējas saņemt alternatīvās aprūpes pakalpojumus 4 582 personām (2010.gada 2.pusgadā – 4 436 personām), kas liecina, ka 2009.gada rādītājs ir pārsniegts par 1 883,54%, kā arī par 816,4 % pārsniedz 2013.gada plānoto vērtību.</t>
    </r>
    <r>
      <rPr>
        <b/>
        <sz val="10"/>
        <rFont val="Times New Roman"/>
        <family val="1"/>
      </rPr>
      <t xml:space="preserve">
</t>
    </r>
    <r>
      <rPr>
        <sz val="10"/>
        <rFont val="Times New Roman"/>
        <family val="2"/>
      </rPr>
      <t xml:space="preserve">
</t>
    </r>
    <r>
      <rPr>
        <b/>
        <sz val="10"/>
        <rFont val="Times New Roman"/>
        <family val="1"/>
      </rPr>
      <t>Ekonomiskā ietekme:</t>
    </r>
    <r>
      <rPr>
        <sz val="10"/>
        <rFont val="Times New Roman"/>
        <family val="2"/>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</si>
  <si>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0"/>
        <color indexed="8"/>
        <rFont val="Times New Roman"/>
        <family val="1"/>
      </rPr>
      <t>Sasniedzamie rezultāti:</t>
    </r>
    <r>
      <rPr>
        <sz val="10"/>
        <color indexed="8"/>
        <rFont val="Times New Roman"/>
        <family val="1"/>
      </rPr>
      <t xml:space="preserve">
Izveidoti elektroniskie pakalpojumi (t.sk. publiski pieejamie elektroniskie pakalpojumi un publiskās pārvaldes elektroniskie pakalpojumi) - 2009.gadā: 70; 2013.gadā: 150
Elektronisko pakalpojumu lietotāju īpatsvars uz 100 iedzīvotājiem - 2009.gadā: 15; 2013.gadā: 35
</t>
    </r>
    <r>
      <rPr>
        <b/>
        <sz val="10"/>
        <color indexed="8"/>
        <rFont val="Times New Roman"/>
        <family val="1"/>
      </rPr>
      <t>Sasniegtie rezultāti:</t>
    </r>
    <r>
      <rPr>
        <sz val="10"/>
        <color indexed="8"/>
        <rFont val="Times New Roman"/>
        <family val="1"/>
      </rPr>
      <t xml:space="preserve">
</t>
    </r>
    <r>
      <rPr>
        <sz val="10"/>
        <rFont val="Times New Roman"/>
        <family val="1"/>
      </rPr>
      <t xml:space="preserve">Šobrīd apakšaktivitātes ietvaros nav pabeigti projekti, līdz ar to uzraudzības rādītāju sasniegšana tiks nodrošināta 2012.gadā.
</t>
    </r>
    <r>
      <rPr>
        <b/>
        <sz val="10"/>
        <rFont val="Times New Roman"/>
        <family val="1"/>
      </rPr>
      <t>Ekonomiskā ietekme:</t>
    </r>
    <r>
      <rPr>
        <sz val="10"/>
        <rFont val="Times New Roman"/>
        <family val="1"/>
      </rPr>
      <t xml:space="preserve">
IKT jomas projekti pēc savas būtības ir viens no ekonomiskās izaugsmes t.sk. konkurētspējas veicinošiem faktoriem, jo jebkuras valsts funkcijas vai pakalpojuma kvalitātes uzlabošana, izmantojot IKT līdzekļus, sniedz ekonomisko efektu.
Izveidojot un attīstot elektroniskos pakalpojumus (t.sk. publiski pieejamos elektroniskos pakalpojumus un publiskās pārvaldes elektroniskie pakalpojumus), tiks uzlabota pašvaldību un valsts institūciju darba efektivitāte, pakalpojumu sniegšanas kvalitāte, kā arī ievērojami tiks saīsināts laiks, ko iedzīvotāji un valsts iestāžu darbinieki izlieto datu ieguvei, apstrādei un nepieciešamo pakalpojumu saņemšanai un sniegšanai. Tādējādi samazinot administratīvās izmaksas, uzlabojot informācijas apriti starp institūcijām un iedzīvotājiem, kā arī palielinot valsts un sabiedrības sadarbības iespējas.
</t>
    </r>
  </si>
  <si>
    <r>
      <rPr>
        <b/>
        <sz val="10"/>
        <color indexed="8"/>
        <rFont val="Times New Roman"/>
        <family val="1"/>
      </rPr>
      <t>Sasniedzamie rezultāti:</t>
    </r>
    <r>
      <rPr>
        <sz val="10"/>
        <color indexed="8"/>
        <rFont val="Times New Roman"/>
        <family val="1"/>
      </rPr>
      <t xml:space="preserve">
Jaunizveidoto publisko interneta pieejas punktu skaits - 2009.gadā: 80; 2013.gadā: 400
</t>
    </r>
    <r>
      <rPr>
        <b/>
        <sz val="10"/>
        <color indexed="8"/>
        <rFont val="Times New Roman"/>
        <family val="1"/>
      </rPr>
      <t xml:space="preserve">
Sasniegtie rezultāti:</t>
    </r>
    <r>
      <rPr>
        <sz val="10"/>
        <color indexed="8"/>
        <rFont val="Times New Roman"/>
        <family val="1"/>
      </rPr>
      <t xml:space="preserve">
Šobrīd aktivitātes ietvaros nav uzsākta projektu īstenošana, līdz ar to uzraudzības rādītāju sasniegšana tiks nodrošināta līdz 2013.gadam.
</t>
    </r>
    <r>
      <rPr>
        <b/>
        <sz val="10"/>
        <color indexed="8"/>
        <rFont val="Times New Roman"/>
        <family val="1"/>
      </rPr>
      <t xml:space="preserve">Ekonomiskā ietekme:
</t>
    </r>
    <r>
      <rPr>
        <sz val="10"/>
        <color indexed="8"/>
        <rFont val="Times New Roman"/>
        <family val="1"/>
      </rPr>
      <t>Interneta pieejamības līmenis dažādos reģionos un valstī kopumā joprojām nav pietiekami augsts, lai gan Rīgā un citās Latvijas lielākās pilsētās interneta pieejamības līmenis pēdējos gados ir strauji paaugstinājies. Pamatojoties uz Latvijas Republikas Centrālās statistikas pārvaldes datiem, var secināt, ka joprojām pastāv samērā lielās atšķirības starp interneta izmantošanas (mājās un darbā) intensitāti pilsētās un laukos, kas norāda uz dažādu ar interneta pieejamību saistīto problēmu lielāku izplatību lauku rajonos, tāpēc nepieciešams veicināt publisko interneta pieejas punktu izveidi, īpaši lauku pašvaldībās. 
Publisko interneta pieejas punktu izveide paaugstinās piekļuves iespējas internetam pēc iespējas plašākam iedzīvotāju lokam, nodrošinot piekļuvi publiskās pārvaldes un komercsabiedrību piedāvātajiem elektroniskajiem u.c. pakalpojumiem un informācijai, lai veicinātu iedzīvotāju iekļaušanos sabiedrības sociālajos, ekonomiskajos un kultūras procesos un uzlabotu viņu dzīves kvalitāti</t>
    </r>
    <r>
      <rPr>
        <b/>
        <sz val="10"/>
        <color indexed="8"/>
        <rFont val="Times New Roman"/>
        <family val="1"/>
      </rPr>
      <t xml:space="preserve">.
</t>
    </r>
  </si>
  <si>
    <t>Papildu iedzīvotāju skaits, uz ko vērsti ūdenssaimniecības projekti - 8828 (uz 01.05.2011.), 2011.gadā - 2179;                             iedzīvotāju īpatsvars, kam nodrošināti normatīvo aktu prasībām atbilstoši notekūdens apsaimniekošanas pakalpojumi ir 0,14%
Iedzīvotāju īpatsvars, kam nodrošināti normatīvo aktu prasībām atbilstoši dzeramā ūdens apsaimniekošanas pakalpojumi ir 0,15%</t>
  </si>
  <si>
    <t xml:space="preserve">Uz 2013.gadu plānots rekonstruēt 5 hidrotehnisko būvju kompleksus. Noslēgts 1 līgums par 3 hidrotehnisko būvju kompleksu rekonstrukciju ar ieviešanas termiņu 2011.gada oktobris (aktualizēts uz 02.05.2011.). </t>
  </si>
  <si>
    <t xml:space="preserve">2010.gadā Rekulitivētas 23 normatīvo aktu prasībām neatbilstošās izgāztuves,
Rekultivēta 33,4 ha liela platība. 2011.gada pirmajā ceturksnī rekultivēta 1 normatīvo aktu prasībām neatbilstoša izgāztuve 0,77 ha platībā. </t>
  </si>
  <si>
    <t>Aktivitātes īstenošana uzsākta 2009. gadā, projektu īstenošanas laiks - 4 gadi. Plānoto rādītāju papildu iedzīvotāju skaits, uz ko vērsti atkritumu apsaimniekošanas projekti - 1,3 milj., varēs sasniegt 2013. gadā. 2011.gada pirmajā ceturksnī pabeigts 1 projekts ar kuru sasniegts rādītājs- papildu iedzīvotāju skaits, uz ko vērsti atkritumu apsaimniekošanas projekti- 0,18 milj. cilvēku.</t>
  </si>
  <si>
    <t>Lai sasniegtu plānoto Dalītās atkritumu savākšanas punktu skaitu uz 2013.gadu - 8640, īstenošanā ir 5 infrastruktūras projekti, no kuriem vienā paredzēta 50 dalītās vākšanas punktu izveide - projekta aktivitāšu ieviešanas termiņš 2011.gada oktobris (aktualizēts uz 02.05.2011).</t>
  </si>
  <si>
    <r>
      <rPr>
        <b/>
        <sz val="10"/>
        <rFont val="Times New Roman"/>
        <family val="1"/>
      </rPr>
      <t xml:space="preserve">Sasniedzamie rezultāti:
</t>
    </r>
    <r>
      <rPr>
        <sz val="10"/>
        <rFont val="Times New Roman"/>
        <family val="1"/>
      </rPr>
      <t xml:space="preserve">- Projektu skaits, kas sekmē pilsētvides atjaunošanu un /vai revitalizāciju, nodrošinot pilsētu ilgtspējīgu attīstību un uzlabojot to pievilcību: 2009.gadā: 17; 2013.gadā: 27
- Projektu skaits, kas veicina pilsētu konkurētspējas celšanos, t.sk., sekmē uzņēmējdarbības un tehnoloģijas attīstību: 2009.gadā: 12; 2013.gadā: 16
- Projektu skaits, kas sekmē kopienas attīstību, uzlabojot pakalpojumu pieejamību, nodrošinot vienādas tiesības visām iedzīvotāju grupām: 2009.gadā: 11; 2013.gadā: 20
- Teritorijas attīstības indeksa ranga pieaugums nacionālas nozīmes attīstības centros: 2009.gadā: 1; 2013.gadā: 3
- Teritorijas attīstības indeksa ranga pieaugums reģionālas nozīmes attīstības centros: 2009.gadā: 2; 2013.gadā: 5
</t>
    </r>
    <r>
      <rPr>
        <b/>
        <sz val="10"/>
        <rFont val="Times New Roman"/>
        <family val="1"/>
      </rPr>
      <t xml:space="preserve">
Sasniegtie rezultāti:
- </t>
    </r>
    <r>
      <rPr>
        <sz val="10"/>
        <rFont val="Times New Roman"/>
        <family val="1"/>
      </rPr>
      <t>3.6.1.1.aktivitātes ietvaros tika pabeigti 10 projekti (2010.gada 2.pusgadā – pabeigti 6 projekti) un tiek turpināts īstenot 49 projektus. Ppabeigti 10 projekti, kas sekmē pilsētvides atjaunošanu un /vai revitalizāciju, nodrošinot pilsētu ilgtspējīgu attīstību un uzlabojot to pievilcību (2010.gada 2.pusgadā – pabeigti 5 projekti), kas liecina, ka 2009.gada rādītājs ir izpildīts par 62,5% un veido 38,46% no 2013.gada plānotās sasniedzamās vērtības. Līdz 2013.gadam plānots sasniegt 2013.gada plānoto vērtību. 
- 3.6.1.2.aktivitātes ietvaros ir uzsākta projektu  īstenošana un rezultatīvie rādītāji 2013.gadā tiks sasniegti.</t>
    </r>
    <r>
      <rPr>
        <sz val="10"/>
        <rFont val="Times New Roman"/>
        <family val="2"/>
      </rPr>
      <t xml:space="preserve">
- 3.6.2.1.aktivitātes ietvaros š.g. maijā tiks uzsākta projektu iesniegumu pieņemšana un rezultatīvie rādītāji 2013.gadā tiks sasniegti.
Teritorijas attīstības indeksa ranga pieaugums aktuālo vērtību uz 2010.gada 31.decembri norādīt nav iespējams, jo pēc administratīvi teritoriālās reformas dati nav salīdzināmi un nevar tikt sniegti uzraudzības rādītāja novērtēšanā. Saskaņā ar Ministru kabineta 2010.gada 25.maija noteikumiem Nr.482 „Noteikumi par teritorijas attīstības indeksa aprēķināšanas kārtību un tā vērtībām” teritorijas attīstības indeksa vērtības aprēķina atbilstoši administratīvi teritoriālajam iedalījumam, kas noteikts Administratīvo teritoriju un apdzīvoto vietu likumā. Administratīvo teritoriju un apdzīvoto vietu likums nosaka, ka Latvijas Republiku iedala trīs veidu administratīvajās teritorijās – apriņķos, republikas pilsētās un novados. Pēc vietējo pašvaldību vēlēšanām 2009.gadā teritorijas attīstības indeksa vērtības rēķina 110 novadiem un deviņām republikas pilsētām, neatspoguļojot novadu teritoriālo vienību – novadu pilsētu un pagastu – sociāli ekonomiskās attīstības līmeni.
</t>
    </r>
    <r>
      <rPr>
        <b/>
        <sz val="10"/>
        <rFont val="Times New Roman"/>
        <family val="1"/>
      </rPr>
      <t>Ekonomiskā ietekme:</t>
    </r>
    <r>
      <rPr>
        <sz val="10"/>
        <rFont val="Times New Roman"/>
        <family val="2"/>
      </rPr>
      <t xml:space="preserve">
Ieguldījumi, kas veikti ievērojot valsts policentriskas attīstīvas principus, balstoties uz integrētajām pašvaldību attīstības programmām, ir priekšnoteikums negatīvu sociāli ekonomiskās attīstības atšķirību mazināšanai starp Rīgas aglomerāciju un citām apdzīvotām vietām (nacionālajiem un reģionālajiem attīstības centriem), uzņēmējdarbības vides attīstībai, degradēto pilsētu teritoriju revitalizācijai, ekonomikās izaugsmes veicināšanai un starptautiskās konkurētspējas nostiprināšanai.
Pilsētu attīstība tiek virzīta ar mērķi panākt līdzsvaru starp ekonomiskās darbības, kopienas attīstības un vides kvalitātes aspektiem, kas ir būtiski pilsētu pievilcības un iedzīvotāju dzīves kvalitātes uzlabošanas priekšnoteikumi. Lai to nodrošinātu, pasākuma aktivitāšu ietvaros tiek sniegts atbalsts pilsētu izaugsmei būtisku faktoru attīstībai, nodrošinot pievilcīgu dzīves vidi, veicinot uzľēmējdarbības, īpaši uz zināšanām balstītas un inovatīvas uzľēmējdarbības aktivitāti, sekmējot pakalpojumu pieejamību un sasniedzamību, iedzīvotāju mobilitāti, kā arī vides kvalitātes stāvokļa uzlabošanos.</t>
    </r>
  </si>
  <si>
    <t>Skat.2.pielikuma 2.daļas AH kolonu</t>
  </si>
  <si>
    <t>Skat.2.pielikuma 3.daļas AI kolonu</t>
  </si>
  <si>
    <t>Skat.2.pielikuma 10.daļas AH kolonu</t>
  </si>
  <si>
    <t>Skat.2.pielikuma 4.daļas AI kolonu</t>
  </si>
  <si>
    <t>Skat.2.pielikuma 6.daļas AH kolonu</t>
  </si>
  <si>
    <t>Skat.2.pielikuma 7.daļas AH kolonu</t>
  </si>
  <si>
    <t>Skat.2.pielikuma 8.daļas AH kolonu</t>
  </si>
  <si>
    <t>Skat.2.pielikuma 5.daļas AH kolonu</t>
  </si>
  <si>
    <t>Skat.2.pielikuma 9.daļas AH kolonu</t>
  </si>
  <si>
    <t>Pabeigta 13 projektu ieviešana. Notiek 10 projektu ieviešana. 1 projekta īstenošana ir pārtraukta.</t>
  </si>
  <si>
    <t>DPP rādītājs - operatīvajam medicīniskajam transportlīdzeklim nepieciešamais laiks, lai nokļūtu līdz pacientam laukos (uz 31.12.2010) ir 19.40 minūtes  (sākotnēja vērtība - 25 un 2013.gadā plānots sasniegt 15 minūtes).
Projekta ietvaros:
Tika aprīkotas 120 NMP automšīnas ar šādām iekārtām:
1. Portatīvais brigādes sakaru termināls 
2. Vadītāja termināls 
3. Video ieraksta kameras
4. OMT Dators 
5. Alkometrs 
6. Ārsta termināls 
Vienlaikus tika izveidots (rekonstruēts) Latgales reģionālais vadības un dispečeru centrs, kas nodrošina apvienoto NMP nodrošinošo institūciju materiāli tehnisko un strukturālo vienotību. Uz doto brīdi centrs nav nodots ekspluatācijā, jo vēl nav izstrādāta vienotā informācijas sistsēma.</t>
  </si>
  <si>
    <t xml:space="preserve">DPP rādītājs - vidējais gultu noslogojums slimnīcās (uz 31.12.2010) ir 76% (sākotnēja vērtība - 75,4 un 2013.gadā plānots sasniegt 85) </t>
  </si>
  <si>
    <t>Ministru prezidents</t>
  </si>
  <si>
    <t>V.Dombrovskis</t>
  </si>
  <si>
    <t>A.Vilks</t>
  </si>
  <si>
    <t>D.Rancāne</t>
  </si>
  <si>
    <t>Finanšu ministrijas</t>
  </si>
  <si>
    <t>67095485, Diana.Rancane@fm.gov.lv</t>
  </si>
  <si>
    <t>06.05.2011.  10:00</t>
  </si>
  <si>
    <t>Iesniedzējs finanšu ministrs</t>
  </si>
  <si>
    <t xml:space="preserve">Informācija par Vides aizsardzības un reģionālās attīstības ministrijas ES fondu projektiem (faktiskā apguve un turpmāk plānotais finansējums  2007.-2013.gada plānošanas periodam) </t>
  </si>
  <si>
    <t>ES fondu uzraudzības departamenta direktore</t>
  </si>
</sst>
</file>

<file path=xl/styles.xml><?xml version="1.0" encoding="utf-8"?>
<styleSheet xmlns="http://schemas.openxmlformats.org/spreadsheetml/2006/main">
  <numFmts count="6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Jā&quot;;&quot;Jā&quot;;&quot;Nē&quot;"/>
    <numFmt numFmtId="169" formatCode="&quot;Patiess&quot;;&quot;Patiess&quot;;&quot;Aplams&quot;"/>
    <numFmt numFmtId="170" formatCode="&quot;Ieslēgts&quot;;&quot;Ieslēgts&quot;;&quot;Izslēgts&quot;"/>
    <numFmt numFmtId="171" formatCode="[$€-2]\ #\ ##,000_);[Red]\([$€-2]\ #\ ##,000\)"/>
    <numFmt numFmtId="172" formatCode="0.0"/>
    <numFmt numFmtId="173" formatCode="[$-426]dddd\,\ yyyy&quot;. gada &quot;d\.\ mmmm"/>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quot;$&quot;#,##0_);\(&quot;$&quot;#,##0\)"/>
    <numFmt numFmtId="179" formatCode="&quot;$&quot;#,##0_);[Red]\(&quot;$&quot;#,##0\)"/>
    <numFmt numFmtId="180" formatCode="&quot;$&quot;#,##0.00_);\(&quot;$&quot;#,##0.00\)"/>
    <numFmt numFmtId="181" formatCode="&quot;$&quot;#,##0.00_);[Red]\(&quot;$&quot;#,##0.00\)"/>
    <numFmt numFmtId="182" formatCode="mmm/yyyy"/>
    <numFmt numFmtId="183" formatCode="yyyy/mm/dd/;@"/>
    <numFmt numFmtId="184" formatCode="0.000"/>
    <numFmt numFmtId="185" formatCode="#,##0.000"/>
    <numFmt numFmtId="186" formatCode="#,##0\ &quot;Ls&quot;;\-#,##0\ &quot;Ls&quot;"/>
    <numFmt numFmtId="187" formatCode="#,##0\ &quot;Ls&quot;;[Red]\-#,##0\ &quot;Ls&quot;"/>
    <numFmt numFmtId="188" formatCode="#,##0.00\ &quot;Ls&quot;;\-#,##0.00\ &quot;Ls&quot;"/>
    <numFmt numFmtId="189" formatCode="#,##0.00\ &quot;Ls&quot;;[Red]\-#,##0.00\ &quot;Ls&quot;"/>
    <numFmt numFmtId="190" formatCode="_-* #,##0\ &quot;Ls&quot;_-;\-* #,##0\ &quot;Ls&quot;_-;_-* &quot;-&quot;\ &quot;Ls&quot;_-;_-@_-"/>
    <numFmt numFmtId="191" formatCode="_-* #,##0\ _L_s_-;\-* #,##0\ _L_s_-;_-* &quot;-&quot;\ _L_s_-;_-@_-"/>
    <numFmt numFmtId="192" formatCode="_-* #,##0.00\ &quot;Ls&quot;_-;\-* #,##0.00\ &quot;Ls&quot;_-;_-* &quot;-&quot;??\ &quot;Ls&quot;_-;_-@_-"/>
    <numFmt numFmtId="193" formatCode="_-* #,##0.00\ _L_s_-;\-* #,##0.00\ _L_s_-;_-* &quot;-&quot;??\ _L_s_-;_-@_-"/>
    <numFmt numFmtId="194" formatCode="#,##0.0"/>
    <numFmt numFmtId="195" formatCode="mmmm/yyyy"/>
    <numFmt numFmtId="196" formatCode="#,##0.0000"/>
    <numFmt numFmtId="197" formatCode="#,##0.00000"/>
    <numFmt numFmtId="198" formatCode="#,##0.000000"/>
    <numFmt numFmtId="199" formatCode="0.0000000"/>
    <numFmt numFmtId="200" formatCode="0.000000"/>
    <numFmt numFmtId="201" formatCode="0.00000"/>
    <numFmt numFmtId="202" formatCode="0.0000"/>
    <numFmt numFmtId="203" formatCode="#,##0.0000000"/>
    <numFmt numFmtId="204" formatCode="0.0000000000"/>
    <numFmt numFmtId="205" formatCode="0.000000000"/>
    <numFmt numFmtId="206" formatCode="0.00000000"/>
    <numFmt numFmtId="207" formatCode="#,##0.0000000000"/>
    <numFmt numFmtId="208" formatCode="#,##0.000000000"/>
    <numFmt numFmtId="209" formatCode="#,##0.00000000000"/>
    <numFmt numFmtId="210" formatCode="#,##0.00000000"/>
    <numFmt numFmtId="211" formatCode="#,##0.00;[Red]#,##0.00"/>
    <numFmt numFmtId="212" formatCode="_-* #,##0.000_-;\-* #,##0.000_-;_-* &quot;-&quot;??_-;_-@_-"/>
    <numFmt numFmtId="213" formatCode="_-* #,##0.0000_-;\-* #,##0.0000_-;_-* &quot;-&quot;??_-;_-@_-"/>
    <numFmt numFmtId="214" formatCode="_-* #,##0.0_-;\-* #,##0.0_-;_-* &quot;-&quot;??_-;_-@_-"/>
    <numFmt numFmtId="215" formatCode="_-&quot;£&quot;* #,##0.00_-;\-&quot;£&quot;* #,##0.00_-;_-&quot;£&quot;* &quot;-&quot;??_-;_-@_-"/>
    <numFmt numFmtId="216" formatCode="________@"/>
    <numFmt numFmtId="217" formatCode="____________@"/>
    <numFmt numFmtId="218" formatCode="________________@"/>
    <numFmt numFmtId="219" formatCode="____________________@"/>
    <numFmt numFmtId="220" formatCode="0.0%"/>
    <numFmt numFmtId="221" formatCode="#,##0;\(#,##0\)"/>
    <numFmt numFmtId="222" formatCode="0&quot;.&quot;"/>
  </numFmts>
  <fonts count="70">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u val="single"/>
      <sz val="12"/>
      <color indexed="20"/>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8"/>
      <name val="Times New Roman"/>
      <family val="1"/>
    </font>
    <font>
      <b/>
      <sz val="10"/>
      <color indexed="8"/>
      <name val="Times New Roman"/>
      <family val="1"/>
    </font>
    <font>
      <sz val="10"/>
      <name val="Times New Roman"/>
      <family val="1"/>
    </font>
    <font>
      <sz val="11"/>
      <name val="Times New Roman"/>
      <family val="1"/>
    </font>
    <font>
      <sz val="11"/>
      <color indexed="8"/>
      <name val="Times New Roman"/>
      <family val="2"/>
    </font>
    <font>
      <b/>
      <sz val="10"/>
      <name val="Times New Roman"/>
      <family val="1"/>
    </font>
    <font>
      <b/>
      <sz val="11"/>
      <name val="Times New Roman"/>
      <family val="1"/>
    </font>
    <font>
      <sz val="10"/>
      <color indexed="8"/>
      <name val="Times New Roman"/>
      <family val="2"/>
    </font>
    <font>
      <b/>
      <sz val="8"/>
      <name val="Tahoma"/>
      <family val="2"/>
    </font>
    <font>
      <sz val="8"/>
      <name val="Tahoma"/>
      <family val="2"/>
    </font>
    <font>
      <sz val="12"/>
      <name val="Times New Roman"/>
      <family val="2"/>
    </font>
    <font>
      <sz val="10"/>
      <name val="Arial"/>
      <family val="2"/>
    </font>
    <font>
      <sz val="10"/>
      <name val="Helv"/>
      <family val="0"/>
    </font>
    <font>
      <b/>
      <sz val="12"/>
      <name val="Times New Roman"/>
      <family val="2"/>
    </font>
    <font>
      <sz val="9"/>
      <name val="Times New Roman"/>
      <family val="1"/>
    </font>
    <font>
      <sz val="11"/>
      <color indexed="8"/>
      <name val="Calibri"/>
      <family val="2"/>
    </font>
    <font>
      <sz val="11"/>
      <name val="BaltOptima"/>
      <family val="0"/>
    </font>
    <font>
      <sz val="9"/>
      <color indexed="8"/>
      <name val="Times New Roman"/>
      <family val="1"/>
    </font>
    <font>
      <i/>
      <sz val="10"/>
      <color indexed="10"/>
      <name val="BaltTimesRoman"/>
      <family val="2"/>
    </font>
    <font>
      <sz val="10"/>
      <color indexed="8"/>
      <name val="Arial"/>
      <family val="2"/>
    </font>
    <font>
      <sz val="10"/>
      <color indexed="8"/>
      <name val="BaltTimesRoman"/>
      <family val="2"/>
    </font>
    <font>
      <sz val="10"/>
      <name val="BaltGaramond"/>
      <family val="2"/>
    </font>
    <font>
      <b/>
      <sz val="12"/>
      <name val="Lat Times New Roman"/>
      <family val="1"/>
    </font>
    <font>
      <b/>
      <sz val="10"/>
      <name val="Lat Times New Roman"/>
      <family val="1"/>
    </font>
    <font>
      <sz val="10"/>
      <name val="BaltTimesRoman"/>
      <family val="2"/>
    </font>
    <font>
      <sz val="10"/>
      <name val="RimHelvetica"/>
      <family val="0"/>
    </font>
    <font>
      <sz val="10"/>
      <name val="Lat Times New Roman"/>
      <family val="1"/>
    </font>
    <font>
      <sz val="10"/>
      <color indexed="12"/>
      <name val="BaltTimesRoman"/>
      <family val="2"/>
    </font>
    <font>
      <sz val="11"/>
      <name val="Arial"/>
      <family val="2"/>
    </font>
    <font>
      <sz val="10"/>
      <color indexed="10"/>
      <name val="BaltTimesRoman"/>
      <family val="2"/>
    </font>
    <font>
      <b/>
      <sz val="14"/>
      <name val="Times New Roman"/>
      <family val="1"/>
    </font>
    <font>
      <b/>
      <sz val="10"/>
      <name val="BaltTimesRoman"/>
      <family val="2"/>
    </font>
    <font>
      <b/>
      <sz val="14"/>
      <color indexed="8"/>
      <name val="Times New Roman"/>
      <family val="1"/>
    </font>
    <font>
      <u val="single"/>
      <sz val="12"/>
      <name val="Times New Roman"/>
      <family val="1"/>
    </font>
    <font>
      <b/>
      <vertAlign val="superscript"/>
      <sz val="11"/>
      <color indexed="8"/>
      <name val="Times New Roman"/>
      <family val="1"/>
    </font>
    <font>
      <vertAlign val="superscript"/>
      <sz val="10"/>
      <color indexed="8"/>
      <name val="Times New Roman"/>
      <family val="1"/>
    </font>
    <font>
      <b/>
      <vertAlign val="superscript"/>
      <sz val="11"/>
      <name val="Times New Roman"/>
      <family val="1"/>
    </font>
    <font>
      <sz val="13"/>
      <color indexed="8"/>
      <name val="Times New Roman"/>
      <family val="1"/>
    </font>
    <font>
      <sz val="16"/>
      <color indexed="8"/>
      <name val="Times New Roman"/>
      <family val="2"/>
    </font>
    <font>
      <sz val="18"/>
      <color indexed="8"/>
      <name val="Times New Roman"/>
      <family val="2"/>
    </font>
    <font>
      <sz val="10"/>
      <color indexed="10"/>
      <name val="Times New Roman"/>
      <family val="2"/>
    </font>
    <font>
      <i/>
      <sz val="9"/>
      <color indexed="8"/>
      <name val="Times New Roman"/>
      <family val="1"/>
    </font>
    <font>
      <sz val="12"/>
      <color theme="1"/>
      <name val="Times New Roman"/>
      <family val="2"/>
    </font>
    <font>
      <sz val="11"/>
      <color theme="1"/>
      <name val="Calibri"/>
      <family val="2"/>
    </font>
    <font>
      <b/>
      <sz val="14"/>
      <color theme="1"/>
      <name val="Times New Roman"/>
      <family val="1"/>
    </font>
    <font>
      <sz val="10"/>
      <color theme="1"/>
      <name val="Times New Roman"/>
      <family val="2"/>
    </font>
    <font>
      <sz val="10"/>
      <color rgb="FFFF0000"/>
      <name val="Times New Roman"/>
      <family val="2"/>
    </font>
    <font>
      <i/>
      <sz val="9"/>
      <color theme="1"/>
      <name val="Times New Roman"/>
      <family val="1"/>
    </font>
    <font>
      <sz val="11"/>
      <color theme="1"/>
      <name val="Times New Roman"/>
      <family val="1"/>
    </font>
    <font>
      <b/>
      <sz val="12"/>
      <color theme="1"/>
      <name val="Times New Roman"/>
      <family val="1"/>
    </font>
    <font>
      <b/>
      <sz val="8"/>
      <name val="Times New Roman"/>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6" tint="0.799979984760284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medium"/>
      <right style="thin"/>
      <top style="thin"/>
      <bottom/>
    </border>
    <border>
      <left style="thin"/>
      <right>
        <color indexed="63"/>
      </right>
      <top style="thin"/>
      <bottom style="thin"/>
    </border>
    <border>
      <left style="hair"/>
      <right style="hair"/>
      <top style="hair"/>
      <bottom style="hair"/>
    </border>
    <border diagonalUp="1" diagonalDown="1">
      <left style="thin"/>
      <right style="thin"/>
      <top style="thin"/>
      <bottom style="thin"/>
      <diagonal style="thin"/>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173">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1" fontId="37" fillId="0" borderId="0">
      <alignment/>
      <protection/>
    </xf>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5" fontId="30" fillId="0" borderId="0" applyFont="0" applyFill="0" applyBorder="0" applyAlignment="0" applyProtection="0"/>
    <xf numFmtId="172" fontId="30" fillId="22" borderId="0" applyNumberFormat="0" applyFont="0" applyBorder="0" applyAlignment="0" applyProtection="0"/>
    <xf numFmtId="0" fontId="39" fillId="22" borderId="0">
      <alignment/>
      <protection/>
    </xf>
    <xf numFmtId="172" fontId="40" fillId="0" borderId="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172" fontId="21" fillId="23" borderId="0" applyNumberFormat="0" applyFont="0" applyBorder="0" applyAlignment="0" applyProtection="0"/>
    <xf numFmtId="0" fontId="6" fillId="4" borderId="0" applyNumberFormat="0" applyBorder="0" applyAlignment="0" applyProtection="0"/>
    <xf numFmtId="49" fontId="4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172" fontId="21" fillId="4" borderId="0" applyNumberFormat="0" applyFont="0" applyBorder="0" applyAlignment="0" applyProtection="0"/>
    <xf numFmtId="0" fontId="10" fillId="0" borderId="0" applyNumberFormat="0" applyFill="0" applyBorder="0" applyAlignment="0" applyProtection="0"/>
    <xf numFmtId="49" fontId="42" fillId="0" borderId="0" applyFill="0" applyBorder="0" applyAlignment="0" applyProtection="0"/>
    <xf numFmtId="0" fontId="43" fillId="0" borderId="0" applyFill="0" applyBorder="0" applyAlignment="0" applyProtection="0"/>
    <xf numFmtId="216" fontId="43" fillId="0" borderId="0" applyFill="0" applyBorder="0" applyAlignment="0" applyProtection="0"/>
    <xf numFmtId="217" fontId="44" fillId="0" borderId="0" applyFill="0" applyBorder="0" applyAlignment="0" applyProtection="0"/>
    <xf numFmtId="218" fontId="45" fillId="0" borderId="0" applyFill="0" applyBorder="0" applyAlignment="0" applyProtection="0"/>
    <xf numFmtId="219" fontId="45" fillId="0" borderId="0" applyFill="0" applyBorder="0" applyAlignment="0" applyProtection="0"/>
    <xf numFmtId="10" fontId="46" fillId="0" borderId="0">
      <alignment/>
      <protection/>
    </xf>
    <xf numFmtId="0" fontId="11" fillId="7" borderId="1" applyNumberFormat="0" applyAlignment="0" applyProtection="0"/>
    <xf numFmtId="184" fontId="40" fillId="23" borderId="0">
      <alignment/>
      <protection/>
    </xf>
    <xf numFmtId="0" fontId="13" fillId="0" borderId="6" applyNumberFormat="0" applyFill="0" applyAlignment="0" applyProtection="0"/>
    <xf numFmtId="0" fontId="14" fillId="24" borderId="0" applyNumberFormat="0" applyBorder="0" applyAlignment="0" applyProtection="0"/>
    <xf numFmtId="0" fontId="34" fillId="0" borderId="0">
      <alignment/>
      <protection/>
    </xf>
    <xf numFmtId="0" fontId="61" fillId="0" borderId="0">
      <alignment/>
      <protection/>
    </xf>
    <xf numFmtId="0" fontId="62" fillId="0" borderId="0">
      <alignment/>
      <protection/>
    </xf>
    <xf numFmtId="0" fontId="35" fillId="0" borderId="0">
      <alignment/>
      <protection/>
    </xf>
    <xf numFmtId="0" fontId="30" fillId="0" borderId="0">
      <alignment/>
      <protection/>
    </xf>
    <xf numFmtId="0" fontId="35" fillId="0" borderId="0">
      <alignment/>
      <protection/>
    </xf>
    <xf numFmtId="0" fontId="0" fillId="0" borderId="0">
      <alignment/>
      <protection/>
    </xf>
    <xf numFmtId="0" fontId="30" fillId="0" borderId="0">
      <alignment/>
      <protection/>
    </xf>
    <xf numFmtId="0" fontId="34"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7" fillId="0" borderId="0">
      <alignment/>
      <protection/>
    </xf>
    <xf numFmtId="0" fontId="34" fillId="0" borderId="0">
      <alignment/>
      <protection/>
    </xf>
    <xf numFmtId="0" fontId="34"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4" fillId="0" borderId="0">
      <alignment/>
      <protection/>
    </xf>
    <xf numFmtId="0" fontId="30" fillId="0" borderId="0">
      <alignment/>
      <protection/>
    </xf>
    <xf numFmtId="0" fontId="34"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3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2" fontId="40" fillId="10" borderId="0" applyBorder="0" applyProtection="0">
      <alignment/>
    </xf>
    <xf numFmtId="0" fontId="48"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4" fontId="26" fillId="0" borderId="9" applyNumberFormat="0" applyProtection="0">
      <alignment horizontal="right" vertical="center"/>
    </xf>
    <xf numFmtId="0" fontId="35" fillId="0" borderId="0">
      <alignment/>
      <protection/>
    </xf>
    <xf numFmtId="4" fontId="26" fillId="0" borderId="9" applyNumberFormat="0" applyProtection="0">
      <alignment horizontal="left" wrapText="1" indent="1"/>
    </xf>
    <xf numFmtId="0" fontId="35" fillId="0" borderId="0">
      <alignment/>
      <protection/>
    </xf>
    <xf numFmtId="0" fontId="35" fillId="0" borderId="0">
      <alignment/>
      <protection/>
    </xf>
    <xf numFmtId="0" fontId="35" fillId="0" borderId="0">
      <alignment/>
      <protection/>
    </xf>
    <xf numFmtId="0" fontId="49" fillId="0" borderId="0" applyNumberFormat="0" applyFill="0" applyBorder="0" applyProtection="0">
      <alignment horizontal="centerContinuous"/>
    </xf>
    <xf numFmtId="0" fontId="31" fillId="0" borderId="0">
      <alignment/>
      <protection/>
    </xf>
    <xf numFmtId="0" fontId="31" fillId="0" borderId="0">
      <alignment/>
      <protection/>
    </xf>
    <xf numFmtId="0" fontId="24" fillId="0" borderId="0" applyNumberFormat="0" applyFill="0" applyBorder="0" applyAlignment="0" applyProtection="0"/>
    <xf numFmtId="0" fontId="16" fillId="0" borderId="0" applyNumberFormat="0" applyFill="0" applyBorder="0" applyAlignment="0" applyProtection="0"/>
    <xf numFmtId="0" fontId="50" fillId="0" borderId="0">
      <alignment/>
      <protection/>
    </xf>
    <xf numFmtId="0" fontId="17" fillId="0" borderId="10" applyNumberFormat="0" applyFill="0" applyAlignment="0" applyProtection="0"/>
    <xf numFmtId="172" fontId="40" fillId="20" borderId="0" applyBorder="0" applyProtection="0">
      <alignment/>
    </xf>
    <xf numFmtId="0" fontId="18" fillId="0" borderId="0" applyNumberFormat="0" applyFill="0" applyBorder="0" applyAlignment="0" applyProtection="0"/>
    <xf numFmtId="1" fontId="30" fillId="17" borderId="0">
      <alignment/>
      <protection/>
    </xf>
  </cellStyleXfs>
  <cellXfs count="535">
    <xf numFmtId="0" fontId="0" fillId="0" borderId="0" xfId="0" applyAlignment="1">
      <alignment/>
    </xf>
    <xf numFmtId="0" fontId="0" fillId="0" borderId="0" xfId="0" applyBorder="1" applyAlignment="1">
      <alignment/>
    </xf>
    <xf numFmtId="0" fontId="0" fillId="0" borderId="0" xfId="0" applyAlignment="1">
      <alignment vertical="center"/>
    </xf>
    <xf numFmtId="0" fontId="17" fillId="0" borderId="0" xfId="0" applyFont="1" applyAlignment="1">
      <alignment/>
    </xf>
    <xf numFmtId="3" fontId="22" fillId="0" borderId="9" xfId="0" applyNumberFormat="1" applyFont="1" applyFill="1" applyBorder="1" applyAlignment="1">
      <alignment horizontal="center" vertical="center"/>
    </xf>
    <xf numFmtId="3" fontId="23" fillId="0" borderId="9" xfId="0" applyNumberFormat="1" applyFont="1" applyFill="1" applyBorder="1" applyAlignment="1">
      <alignment horizontal="center" vertical="center"/>
    </xf>
    <xf numFmtId="0" fontId="17" fillId="0" borderId="0" xfId="0" applyFont="1" applyAlignment="1">
      <alignment horizontal="center" wrapText="1"/>
    </xf>
    <xf numFmtId="0" fontId="19" fillId="20" borderId="9" xfId="0" applyFont="1" applyFill="1" applyBorder="1" applyAlignment="1">
      <alignment horizontal="center" vertical="center" wrapText="1"/>
    </xf>
    <xf numFmtId="0" fontId="17" fillId="20" borderId="9" xfId="0" applyFont="1" applyFill="1" applyBorder="1" applyAlignment="1">
      <alignment horizontal="center" vertical="center" wrapText="1"/>
    </xf>
    <xf numFmtId="3" fontId="23" fillId="0" borderId="9" xfId="0" applyNumberFormat="1" applyFont="1" applyFill="1" applyBorder="1" applyAlignment="1">
      <alignment horizontal="center" vertical="center" wrapText="1"/>
    </xf>
    <xf numFmtId="0" fontId="0" fillId="0" borderId="0" xfId="0" applyFont="1" applyFill="1" applyAlignment="1">
      <alignment/>
    </xf>
    <xf numFmtId="0" fontId="0" fillId="0" borderId="9" xfId="0" applyFont="1" applyFill="1" applyBorder="1" applyAlignment="1">
      <alignment/>
    </xf>
    <xf numFmtId="3" fontId="0" fillId="0" borderId="9" xfId="0" applyNumberFormat="1"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0" fontId="17" fillId="0" borderId="0" xfId="88" applyFont="1" applyAlignment="1">
      <alignment horizontal="left" wrapText="1"/>
      <protection/>
    </xf>
    <xf numFmtId="0" fontId="61" fillId="0" borderId="0" xfId="88">
      <alignment/>
      <protection/>
    </xf>
    <xf numFmtId="0" fontId="61" fillId="0" borderId="0" xfId="88" applyBorder="1" applyAlignment="1">
      <alignment/>
      <protection/>
    </xf>
    <xf numFmtId="0" fontId="61" fillId="0" borderId="0" xfId="88" applyAlignment="1">
      <alignment vertical="center"/>
      <protection/>
    </xf>
    <xf numFmtId="0" fontId="19" fillId="20" borderId="9" xfId="88" applyFont="1" applyFill="1" applyBorder="1" applyAlignment="1">
      <alignment horizontal="center" vertical="center" wrapText="1"/>
      <protection/>
    </xf>
    <xf numFmtId="0" fontId="21" fillId="0" borderId="9" xfId="88" applyFont="1" applyFill="1" applyBorder="1" applyAlignment="1">
      <alignment horizontal="center" vertical="center" wrapText="1"/>
      <protection/>
    </xf>
    <xf numFmtId="3" fontId="61" fillId="0" borderId="0" xfId="88" applyNumberFormat="1">
      <alignment/>
      <protection/>
    </xf>
    <xf numFmtId="3" fontId="20" fillId="0" borderId="0" xfId="88" applyNumberFormat="1" applyFont="1" applyBorder="1">
      <alignment/>
      <protection/>
    </xf>
    <xf numFmtId="3" fontId="26" fillId="0" borderId="0" xfId="88" applyNumberFormat="1" applyFont="1" applyBorder="1">
      <alignment/>
      <protection/>
    </xf>
    <xf numFmtId="0" fontId="29" fillId="0" borderId="0" xfId="88" applyFont="1">
      <alignment/>
      <protection/>
    </xf>
    <xf numFmtId="0" fontId="61" fillId="0" borderId="0" xfId="88" applyFill="1" applyBorder="1" applyAlignment="1">
      <alignment/>
      <protection/>
    </xf>
    <xf numFmtId="0" fontId="17" fillId="0" borderId="0" xfId="88" applyFont="1" applyFill="1" applyBorder="1" applyAlignment="1">
      <alignment horizontal="center"/>
      <protection/>
    </xf>
    <xf numFmtId="0" fontId="17" fillId="20" borderId="9" xfId="88" applyFont="1" applyFill="1" applyBorder="1" applyAlignment="1">
      <alignment horizontal="center" vertical="center" wrapText="1"/>
      <protection/>
    </xf>
    <xf numFmtId="0" fontId="25" fillId="0" borderId="9" xfId="88" applyFont="1" applyFill="1" applyBorder="1" applyAlignment="1">
      <alignment horizontal="center" vertical="center"/>
      <protection/>
    </xf>
    <xf numFmtId="3" fontId="24" fillId="0" borderId="9" xfId="88" applyNumberFormat="1" applyFont="1" applyFill="1" applyBorder="1" applyAlignment="1">
      <alignment horizontal="center" vertical="center"/>
      <protection/>
    </xf>
    <xf numFmtId="0" fontId="26" fillId="0" borderId="9" xfId="88" applyFont="1" applyBorder="1" applyAlignment="1">
      <alignment horizontal="center" vertical="center" wrapText="1"/>
      <protection/>
    </xf>
    <xf numFmtId="3" fontId="61" fillId="0" borderId="0" xfId="88" applyNumberFormat="1" applyAlignment="1">
      <alignment vertical="center"/>
      <protection/>
    </xf>
    <xf numFmtId="3" fontId="61" fillId="0" borderId="0" xfId="88" applyNumberFormat="1" applyFont="1" applyAlignment="1">
      <alignment horizontal="center" vertical="center"/>
      <protection/>
    </xf>
    <xf numFmtId="0" fontId="61" fillId="0" borderId="0" xfId="88" applyFill="1">
      <alignment/>
      <protection/>
    </xf>
    <xf numFmtId="3" fontId="61" fillId="0" borderId="0" xfId="88" applyNumberFormat="1" applyFont="1" applyBorder="1" applyAlignment="1">
      <alignment horizontal="center" vertical="center"/>
      <protection/>
    </xf>
    <xf numFmtId="3" fontId="19" fillId="20" borderId="11" xfId="88" applyNumberFormat="1" applyFont="1" applyFill="1" applyBorder="1" applyAlignment="1">
      <alignment horizontal="center" vertical="center" wrapText="1"/>
      <protection/>
    </xf>
    <xf numFmtId="0" fontId="17" fillId="20" borderId="12" xfId="88" applyFont="1" applyFill="1" applyBorder="1" applyAlignment="1">
      <alignment horizontal="center" vertical="center" wrapText="1"/>
      <protection/>
    </xf>
    <xf numFmtId="3" fontId="23" fillId="25" borderId="9" xfId="88" applyNumberFormat="1" applyFont="1" applyFill="1" applyBorder="1" applyAlignment="1">
      <alignment horizontal="center" vertical="center"/>
      <protection/>
    </xf>
    <xf numFmtId="0" fontId="61" fillId="25" borderId="0" xfId="88" applyFill="1">
      <alignment/>
      <protection/>
    </xf>
    <xf numFmtId="0" fontId="32" fillId="0" borderId="0" xfId="88" applyFont="1" applyFill="1" applyBorder="1" applyAlignment="1">
      <alignment horizontal="center"/>
      <protection/>
    </xf>
    <xf numFmtId="0" fontId="61" fillId="0" borderId="0" xfId="88" applyAlignment="1">
      <alignment horizontal="center" vertical="center"/>
      <protection/>
    </xf>
    <xf numFmtId="0" fontId="22" fillId="0" borderId="9" xfId="88" applyFont="1" applyFill="1" applyBorder="1" applyAlignment="1">
      <alignment horizontal="center" vertical="center" wrapText="1"/>
      <protection/>
    </xf>
    <xf numFmtId="3" fontId="23" fillId="0" borderId="9" xfId="88" applyNumberFormat="1" applyFont="1" applyBorder="1" applyAlignment="1">
      <alignment horizontal="center" vertical="center" wrapText="1"/>
      <protection/>
    </xf>
    <xf numFmtId="0" fontId="22" fillId="0" borderId="11" xfId="88" applyFont="1" applyFill="1" applyBorder="1" applyAlignment="1">
      <alignment horizontal="center" vertical="center" wrapText="1"/>
      <protection/>
    </xf>
    <xf numFmtId="0" fontId="22" fillId="0" borderId="13" xfId="88" applyFont="1" applyFill="1" applyBorder="1" applyAlignment="1">
      <alignment horizontal="center" vertical="center"/>
      <protection/>
    </xf>
    <xf numFmtId="9" fontId="23" fillId="0" borderId="9" xfId="88" applyNumberFormat="1" applyFont="1" applyBorder="1" applyAlignment="1">
      <alignment horizontal="center" vertical="center"/>
      <protection/>
    </xf>
    <xf numFmtId="3" fontId="23" fillId="0" borderId="9" xfId="88" applyNumberFormat="1" applyFont="1" applyBorder="1" applyAlignment="1">
      <alignment horizontal="center" vertical="center"/>
      <protection/>
    </xf>
    <xf numFmtId="0" fontId="19" fillId="0" borderId="9" xfId="88" applyFont="1" applyFill="1" applyBorder="1" applyAlignment="1">
      <alignment horizontal="center" vertical="center" wrapText="1"/>
      <protection/>
    </xf>
    <xf numFmtId="0" fontId="17" fillId="0" borderId="9" xfId="88" applyFont="1" applyFill="1" applyBorder="1" applyAlignment="1">
      <alignment horizontal="center" vertical="center" wrapText="1"/>
      <protection/>
    </xf>
    <xf numFmtId="0" fontId="23" fillId="0" borderId="9" xfId="88" applyFont="1" applyBorder="1" applyAlignment="1">
      <alignment horizontal="center" vertical="center"/>
      <protection/>
    </xf>
    <xf numFmtId="3" fontId="17" fillId="0" borderId="9" xfId="0" applyNumberFormat="1"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0" fontId="17" fillId="0" borderId="0" xfId="0" applyFont="1" applyFill="1" applyAlignment="1">
      <alignment/>
    </xf>
    <xf numFmtId="0" fontId="21" fillId="0" borderId="9" xfId="88" applyFont="1" applyFill="1" applyBorder="1" applyAlignment="1">
      <alignment horizontal="left" vertical="center" wrapText="1"/>
      <protection/>
    </xf>
    <xf numFmtId="9" fontId="23" fillId="0" borderId="9" xfId="88" applyNumberFormat="1" applyFont="1" applyFill="1" applyBorder="1" applyAlignment="1">
      <alignment horizontal="center" vertical="center" wrapText="1"/>
      <protection/>
    </xf>
    <xf numFmtId="9" fontId="19" fillId="0" borderId="9" xfId="88" applyNumberFormat="1" applyFont="1" applyFill="1" applyBorder="1" applyAlignment="1">
      <alignment horizontal="center" vertical="center" wrapText="1"/>
      <protection/>
    </xf>
    <xf numFmtId="0" fontId="22" fillId="0" borderId="14" xfId="88" applyFont="1" applyFill="1" applyBorder="1" applyAlignment="1">
      <alignment horizontal="center" vertical="center"/>
      <protection/>
    </xf>
    <xf numFmtId="0" fontId="23" fillId="0" borderId="9" xfId="88" applyFont="1" applyBorder="1" applyAlignment="1">
      <alignment horizontal="center" vertical="center" wrapText="1"/>
      <protection/>
    </xf>
    <xf numFmtId="4" fontId="25" fillId="0" borderId="9" xfId="88" applyNumberFormat="1" applyFont="1" applyFill="1" applyBorder="1" applyAlignment="1">
      <alignment horizontal="right" vertical="center"/>
      <protection/>
    </xf>
    <xf numFmtId="3" fontId="22" fillId="0" borderId="9" xfId="88" applyNumberFormat="1" applyFont="1" applyFill="1" applyBorder="1" applyAlignment="1">
      <alignment horizontal="right" vertical="center"/>
      <protection/>
    </xf>
    <xf numFmtId="3" fontId="25" fillId="0" borderId="9" xfId="88" applyNumberFormat="1" applyFont="1" applyFill="1" applyBorder="1" applyAlignment="1">
      <alignment horizontal="right" vertical="center"/>
      <protection/>
    </xf>
    <xf numFmtId="3" fontId="22" fillId="0" borderId="9" xfId="88" applyNumberFormat="1" applyFont="1" applyFill="1" applyBorder="1" applyAlignment="1">
      <alignment horizontal="right" vertical="center"/>
      <protection/>
    </xf>
    <xf numFmtId="0" fontId="21" fillId="0" borderId="9" xfId="88" applyFont="1" applyFill="1" applyBorder="1" applyAlignment="1">
      <alignment horizontal="center" vertical="center" wrapText="1"/>
      <protection/>
    </xf>
    <xf numFmtId="3" fontId="22" fillId="0" borderId="9" xfId="88" applyNumberFormat="1" applyFont="1" applyBorder="1" applyAlignment="1">
      <alignment horizontal="center" vertical="center"/>
      <protection/>
    </xf>
    <xf numFmtId="9" fontId="22" fillId="0" borderId="9" xfId="88" applyNumberFormat="1" applyFont="1" applyBorder="1" applyAlignment="1">
      <alignment horizontal="center" vertical="center"/>
      <protection/>
    </xf>
    <xf numFmtId="3" fontId="23" fillId="0" borderId="9" xfId="88" applyNumberFormat="1" applyFont="1" applyFill="1" applyBorder="1" applyAlignment="1">
      <alignment horizontal="center" vertical="center" wrapText="1"/>
      <protection/>
    </xf>
    <xf numFmtId="3" fontId="23" fillId="0" borderId="9" xfId="88" applyNumberFormat="1" applyFont="1" applyFill="1" applyBorder="1" applyAlignment="1">
      <alignment horizontal="center" vertical="center"/>
      <protection/>
    </xf>
    <xf numFmtId="3" fontId="22" fillId="0" borderId="9" xfId="88" applyNumberFormat="1" applyFont="1" applyFill="1" applyBorder="1" applyAlignment="1">
      <alignment horizontal="center" vertical="center" wrapText="1"/>
      <protection/>
    </xf>
    <xf numFmtId="3" fontId="22" fillId="0" borderId="9" xfId="88" applyNumberFormat="1" applyFont="1" applyFill="1" applyBorder="1" applyAlignment="1">
      <alignment horizontal="center" vertical="center"/>
      <protection/>
    </xf>
    <xf numFmtId="0" fontId="21" fillId="0" borderId="9" xfId="88" applyFont="1" applyFill="1" applyBorder="1" applyAlignment="1">
      <alignment horizontal="center" vertical="center"/>
      <protection/>
    </xf>
    <xf numFmtId="3" fontId="25" fillId="0" borderId="9" xfId="88" applyNumberFormat="1" applyFont="1" applyFill="1" applyBorder="1" applyAlignment="1">
      <alignment horizontal="center" vertical="center"/>
      <protection/>
    </xf>
    <xf numFmtId="2" fontId="29" fillId="25" borderId="9" xfId="114" applyNumberFormat="1" applyFont="1" applyFill="1" applyBorder="1" applyAlignment="1">
      <alignment horizontal="center" vertical="center" wrapText="1"/>
      <protection/>
    </xf>
    <xf numFmtId="0" fontId="33" fillId="25" borderId="9" xfId="114" applyFont="1" applyFill="1" applyBorder="1" applyAlignment="1">
      <alignment horizontal="center" vertical="center" wrapText="1"/>
      <protection/>
    </xf>
    <xf numFmtId="0" fontId="0" fillId="0" borderId="9" xfId="88" applyFont="1" applyBorder="1" applyAlignment="1">
      <alignment horizontal="center" vertical="center"/>
      <protection/>
    </xf>
    <xf numFmtId="3" fontId="22" fillId="26" borderId="9" xfId="92" applyNumberFormat="1" applyFont="1" applyFill="1" applyBorder="1" applyAlignment="1">
      <alignment horizontal="center" vertical="center"/>
      <protection/>
    </xf>
    <xf numFmtId="0" fontId="36" fillId="0" borderId="9" xfId="112" applyFont="1" applyBorder="1" applyAlignment="1">
      <alignment horizontal="center" vertical="center" wrapText="1"/>
      <protection/>
    </xf>
    <xf numFmtId="0" fontId="33" fillId="26" borderId="9" xfId="110" applyFont="1" applyFill="1" applyBorder="1" applyAlignment="1">
      <alignment horizontal="center" vertical="center" wrapText="1"/>
      <protection/>
    </xf>
    <xf numFmtId="0" fontId="0" fillId="0" borderId="9" xfId="88" applyFont="1" applyFill="1" applyBorder="1" applyAlignment="1">
      <alignment horizontal="center" vertical="center"/>
      <protection/>
    </xf>
    <xf numFmtId="0" fontId="26" fillId="0" borderId="0" xfId="88" applyFont="1" applyAlignment="1">
      <alignment wrapText="1"/>
      <protection/>
    </xf>
    <xf numFmtId="3" fontId="61" fillId="0" borderId="0" xfId="88" applyNumberFormat="1" applyAlignment="1">
      <alignment horizontal="right"/>
      <protection/>
    </xf>
    <xf numFmtId="0" fontId="26" fillId="0" borderId="0" xfId="88" applyFont="1" applyBorder="1" applyAlignment="1">
      <alignment horizontal="justify" vertical="top" wrapText="1"/>
      <protection/>
    </xf>
    <xf numFmtId="0" fontId="26" fillId="0" borderId="0" xfId="88" applyFont="1">
      <alignment/>
      <protection/>
    </xf>
    <xf numFmtId="3" fontId="17" fillId="0" borderId="0" xfId="88" applyNumberFormat="1" applyFont="1" applyAlignment="1">
      <alignment horizontal="right"/>
      <protection/>
    </xf>
    <xf numFmtId="0" fontId="22" fillId="0" borderId="9" xfId="88" applyFont="1" applyFill="1" applyBorder="1" applyAlignment="1">
      <alignment horizontal="center" vertical="center"/>
      <protection/>
    </xf>
    <xf numFmtId="0" fontId="21" fillId="0" borderId="9" xfId="88" applyFont="1" applyFill="1" applyBorder="1" applyAlignment="1">
      <alignment horizontal="left" vertical="center"/>
      <protection/>
    </xf>
    <xf numFmtId="0" fontId="63" fillId="0" borderId="9" xfId="88" applyFont="1" applyBorder="1">
      <alignment/>
      <protection/>
    </xf>
    <xf numFmtId="0" fontId="63" fillId="0" borderId="0" xfId="88" applyFont="1">
      <alignment/>
      <protection/>
    </xf>
    <xf numFmtId="3" fontId="63" fillId="0" borderId="0" xfId="88" applyNumberFormat="1" applyFont="1" applyAlignment="1">
      <alignment horizontal="center" vertical="center"/>
      <protection/>
    </xf>
    <xf numFmtId="0" fontId="29" fillId="0" borderId="0" xfId="0" applyFont="1" applyFill="1" applyAlignment="1">
      <alignment/>
    </xf>
    <xf numFmtId="0" fontId="0" fillId="0" borderId="0" xfId="0" applyFill="1" applyAlignment="1">
      <alignment/>
    </xf>
    <xf numFmtId="220" fontId="61" fillId="0" borderId="0" xfId="88" applyNumberFormat="1">
      <alignment/>
      <protection/>
    </xf>
    <xf numFmtId="220" fontId="25" fillId="0" borderId="0" xfId="88" applyNumberFormat="1" applyFont="1" applyFill="1" applyBorder="1" applyAlignment="1">
      <alignment horizontal="center" vertical="center"/>
      <protection/>
    </xf>
    <xf numFmtId="0" fontId="61" fillId="0" borderId="9" xfId="88" applyBorder="1">
      <alignment/>
      <protection/>
    </xf>
    <xf numFmtId="220" fontId="25" fillId="0" borderId="9" xfId="88" applyNumberFormat="1" applyFont="1" applyFill="1" applyBorder="1" applyAlignment="1">
      <alignment horizontal="center" vertical="center"/>
      <protection/>
    </xf>
    <xf numFmtId="0" fontId="29" fillId="0" borderId="0" xfId="88" applyFont="1" applyBorder="1" applyAlignment="1">
      <alignment/>
      <protection/>
    </xf>
    <xf numFmtId="0" fontId="29" fillId="0" borderId="0" xfId="88" applyFont="1" applyAlignment="1">
      <alignment vertical="center"/>
      <protection/>
    </xf>
    <xf numFmtId="0" fontId="25" fillId="20" borderId="9" xfId="88" applyFont="1" applyFill="1" applyBorder="1" applyAlignment="1">
      <alignment horizontal="center" vertical="center" wrapText="1"/>
      <protection/>
    </xf>
    <xf numFmtId="0" fontId="32" fillId="20" borderId="9" xfId="88" applyFont="1" applyFill="1" applyBorder="1" applyAlignment="1">
      <alignment horizontal="center" vertical="center" wrapText="1"/>
      <protection/>
    </xf>
    <xf numFmtId="3" fontId="29" fillId="0" borderId="0" xfId="88" applyNumberFormat="1" applyFont="1">
      <alignment/>
      <protection/>
    </xf>
    <xf numFmtId="3" fontId="29" fillId="0" borderId="0" xfId="88" applyNumberFormat="1" applyFont="1" applyFill="1" applyBorder="1" applyAlignment="1">
      <alignment wrapText="1"/>
      <protection/>
    </xf>
    <xf numFmtId="0" fontId="29" fillId="0" borderId="0" xfId="88" applyFont="1" applyAlignment="1">
      <alignment wrapText="1"/>
      <protection/>
    </xf>
    <xf numFmtId="0" fontId="61" fillId="0" borderId="0" xfId="88" applyFill="1" applyAlignment="1">
      <alignment vertical="center"/>
      <protection/>
    </xf>
    <xf numFmtId="0" fontId="20" fillId="0" borderId="9" xfId="88" applyFont="1" applyFill="1" applyBorder="1" applyAlignment="1">
      <alignment horizontal="center" vertical="center" wrapText="1"/>
      <protection/>
    </xf>
    <xf numFmtId="0" fontId="26" fillId="0" borderId="0" xfId="88" applyFont="1" applyFill="1" applyAlignment="1">
      <alignment horizontal="justify"/>
      <protection/>
    </xf>
    <xf numFmtId="0" fontId="17" fillId="0" borderId="9" xfId="88" applyFont="1" applyFill="1" applyBorder="1">
      <alignment/>
      <protection/>
    </xf>
    <xf numFmtId="0" fontId="17" fillId="0" borderId="0" xfId="88" applyFont="1" applyFill="1">
      <alignment/>
      <protection/>
    </xf>
    <xf numFmtId="3" fontId="20" fillId="0" borderId="0" xfId="88" applyNumberFormat="1" applyFont="1" applyFill="1" applyBorder="1">
      <alignment/>
      <protection/>
    </xf>
    <xf numFmtId="3" fontId="26" fillId="0" borderId="0" xfId="88" applyNumberFormat="1" applyFont="1" applyFill="1" applyBorder="1">
      <alignment/>
      <protection/>
    </xf>
    <xf numFmtId="3" fontId="61" fillId="0" borderId="0" xfId="88" applyNumberFormat="1" applyFill="1">
      <alignment/>
      <protection/>
    </xf>
    <xf numFmtId="0" fontId="22" fillId="0" borderId="9" xfId="89" applyFont="1" applyFill="1" applyBorder="1" applyAlignment="1">
      <alignment horizontal="center" vertical="center"/>
      <protection/>
    </xf>
    <xf numFmtId="0" fontId="22" fillId="0" borderId="9" xfId="89" applyFont="1" applyFill="1" applyBorder="1" applyAlignment="1">
      <alignment horizontal="center" vertical="center" wrapText="1"/>
      <protection/>
    </xf>
    <xf numFmtId="3" fontId="22" fillId="0" borderId="9" xfId="89" applyNumberFormat="1" applyFont="1" applyFill="1" applyBorder="1" applyAlignment="1">
      <alignment horizontal="center" vertical="center" wrapText="1"/>
      <protection/>
    </xf>
    <xf numFmtId="3" fontId="22" fillId="0" borderId="9" xfId="89" applyNumberFormat="1" applyFont="1" applyFill="1" applyBorder="1" applyAlignment="1">
      <alignment vertical="center" wrapText="1"/>
      <protection/>
    </xf>
    <xf numFmtId="220" fontId="22" fillId="0" borderId="9" xfId="89" applyNumberFormat="1" applyFont="1" applyFill="1" applyBorder="1" applyAlignment="1">
      <alignment horizontal="center" vertical="center"/>
      <protection/>
    </xf>
    <xf numFmtId="3" fontId="22" fillId="0" borderId="9" xfId="89" applyNumberFormat="1" applyFont="1" applyBorder="1" applyAlignment="1">
      <alignment horizontal="center" vertical="center" wrapText="1"/>
      <protection/>
    </xf>
    <xf numFmtId="3" fontId="22" fillId="0" borderId="9" xfId="89" applyNumberFormat="1" applyFont="1" applyBorder="1" applyAlignment="1">
      <alignment horizontal="center" vertical="center"/>
      <protection/>
    </xf>
    <xf numFmtId="220" fontId="22" fillId="0" borderId="9" xfId="121" applyNumberFormat="1" applyFont="1" applyBorder="1" applyAlignment="1">
      <alignment horizontal="center" vertical="center"/>
    </xf>
    <xf numFmtId="9" fontId="22" fillId="0" borderId="9" xfId="121" applyFont="1" applyBorder="1" applyAlignment="1">
      <alignment horizontal="center" vertical="center"/>
    </xf>
    <xf numFmtId="0" fontId="29" fillId="0" borderId="9" xfId="89" applyFont="1" applyBorder="1" applyAlignment="1">
      <alignment horizontal="left" vertical="center" wrapText="1"/>
      <protection/>
    </xf>
    <xf numFmtId="9" fontId="22" fillId="0" borderId="9" xfId="120" applyFont="1" applyFill="1" applyBorder="1" applyAlignment="1">
      <alignment horizontal="center" vertical="center"/>
    </xf>
    <xf numFmtId="0" fontId="61" fillId="0" borderId="9" xfId="88" applyBorder="1">
      <alignment/>
      <protection/>
    </xf>
    <xf numFmtId="9" fontId="22" fillId="0" borderId="9" xfId="88" applyNumberFormat="1" applyFont="1" applyFill="1" applyBorder="1" applyAlignment="1">
      <alignment horizontal="center" vertical="center"/>
      <protection/>
    </xf>
    <xf numFmtId="9" fontId="23" fillId="0" borderId="9" xfId="88" applyNumberFormat="1" applyFont="1" applyFill="1" applyBorder="1" applyAlignment="1">
      <alignment horizontal="center" vertical="center"/>
      <protection/>
    </xf>
    <xf numFmtId="0" fontId="21" fillId="25" borderId="9" xfId="88" applyFont="1" applyFill="1" applyBorder="1" applyAlignment="1">
      <alignment horizontal="center" vertical="center"/>
      <protection/>
    </xf>
    <xf numFmtId="0" fontId="0" fillId="25" borderId="9" xfId="88" applyFont="1" applyFill="1" applyBorder="1" applyAlignment="1">
      <alignment horizontal="center" vertical="center"/>
      <protection/>
    </xf>
    <xf numFmtId="0" fontId="26" fillId="25" borderId="9" xfId="112" applyFont="1" applyFill="1" applyBorder="1" applyAlignment="1">
      <alignment horizontal="center" vertical="center" wrapText="1"/>
      <protection/>
    </xf>
    <xf numFmtId="0" fontId="17" fillId="0" borderId="9" xfId="0" applyFont="1" applyFill="1" applyBorder="1" applyAlignment="1">
      <alignment/>
    </xf>
    <xf numFmtId="3" fontId="22" fillId="27" borderId="9" xfId="88" applyNumberFormat="1" applyFont="1" applyFill="1" applyBorder="1" applyAlignment="1">
      <alignment horizontal="center" vertical="center"/>
      <protection/>
    </xf>
    <xf numFmtId="220" fontId="22" fillId="0" borderId="9" xfId="120" applyNumberFormat="1" applyFont="1" applyBorder="1" applyAlignment="1">
      <alignment horizontal="center" vertical="center"/>
    </xf>
    <xf numFmtId="9" fontId="22" fillId="0" borderId="9" xfId="120" applyFont="1" applyBorder="1" applyAlignment="1">
      <alignment horizontal="center" vertical="center"/>
    </xf>
    <xf numFmtId="9" fontId="22" fillId="0" borderId="9" xfId="120" applyNumberFormat="1" applyFont="1" applyBorder="1" applyAlignment="1">
      <alignment horizontal="center" vertical="center"/>
    </xf>
    <xf numFmtId="0" fontId="29" fillId="0" borderId="9" xfId="88" applyFont="1" applyBorder="1" applyAlignment="1">
      <alignment horizontal="left" vertical="center" wrapText="1"/>
      <protection/>
    </xf>
    <xf numFmtId="0" fontId="26" fillId="0" borderId="0" xfId="88" applyFont="1" applyFill="1" applyAlignment="1">
      <alignment vertical="center"/>
      <protection/>
    </xf>
    <xf numFmtId="3" fontId="26" fillId="0" borderId="0" xfId="88" applyNumberFormat="1" applyFont="1" applyFill="1" applyAlignment="1">
      <alignment vertical="center"/>
      <protection/>
    </xf>
    <xf numFmtId="0" fontId="29" fillId="25" borderId="0" xfId="88" applyFont="1" applyFill="1" applyBorder="1">
      <alignment/>
      <protection/>
    </xf>
    <xf numFmtId="0" fontId="29" fillId="0" borderId="0" xfId="88" applyFont="1" applyFill="1">
      <alignment/>
      <protection/>
    </xf>
    <xf numFmtId="0" fontId="29" fillId="25" borderId="0" xfId="88" applyFont="1" applyFill="1">
      <alignment/>
      <protection/>
    </xf>
    <xf numFmtId="0" fontId="17" fillId="0" borderId="9" xfId="0" applyFont="1" applyFill="1" applyBorder="1" applyAlignment="1">
      <alignment wrapText="1"/>
    </xf>
    <xf numFmtId="0" fontId="17" fillId="0" borderId="9" xfId="0" applyFont="1" applyFill="1" applyBorder="1" applyAlignment="1">
      <alignment horizontal="center"/>
    </xf>
    <xf numFmtId="3" fontId="17" fillId="0" borderId="9" xfId="0" applyNumberFormat="1" applyFont="1" applyFill="1" applyBorder="1" applyAlignment="1">
      <alignment horizontal="center"/>
    </xf>
    <xf numFmtId="3" fontId="17" fillId="0" borderId="0" xfId="88" applyNumberFormat="1" applyFont="1" applyAlignment="1">
      <alignment horizontal="left" wrapText="1"/>
      <protection/>
    </xf>
    <xf numFmtId="0" fontId="0" fillId="0" borderId="9" xfId="0" applyBorder="1" applyAlignment="1">
      <alignment/>
    </xf>
    <xf numFmtId="0" fontId="17" fillId="0" borderId="0" xfId="88" applyFont="1" applyFill="1" applyAlignment="1">
      <alignment horizontal="left" wrapText="1"/>
      <protection/>
    </xf>
    <xf numFmtId="0" fontId="17" fillId="0" borderId="0" xfId="88" applyFont="1" applyAlignment="1">
      <alignment horizontal="center" wrapText="1"/>
      <protection/>
    </xf>
    <xf numFmtId="3" fontId="0" fillId="0" borderId="0" xfId="88" applyNumberFormat="1" applyFont="1" applyAlignment="1">
      <alignment horizontal="center" vertical="center"/>
      <protection/>
    </xf>
    <xf numFmtId="3" fontId="0" fillId="0" borderId="0" xfId="88" applyNumberFormat="1" applyFont="1" applyBorder="1" applyAlignment="1">
      <alignment horizontal="center" vertical="center"/>
      <protection/>
    </xf>
    <xf numFmtId="0" fontId="22" fillId="0" borderId="9" xfId="88" applyFont="1" applyFill="1" applyBorder="1" applyAlignment="1">
      <alignment horizontal="center" vertical="top" wrapText="1"/>
      <protection/>
    </xf>
    <xf numFmtId="0" fontId="23" fillId="0" borderId="0" xfId="0" applyFont="1" applyFill="1" applyAlignment="1">
      <alignment/>
    </xf>
    <xf numFmtId="4" fontId="22" fillId="25" borderId="9" xfId="88" applyNumberFormat="1" applyFont="1" applyFill="1" applyBorder="1" applyAlignment="1">
      <alignment horizontal="center" vertical="center" wrapText="1"/>
      <protection/>
    </xf>
    <xf numFmtId="4" fontId="22" fillId="0" borderId="9" xfId="75" applyNumberFormat="1" applyFont="1" applyFill="1" applyBorder="1" applyAlignment="1" applyProtection="1">
      <alignment horizontal="center" vertical="center" wrapText="1"/>
      <protection/>
    </xf>
    <xf numFmtId="9" fontId="23" fillId="0" borderId="9" xfId="88" applyNumberFormat="1" applyFont="1" applyFill="1" applyBorder="1" applyAlignment="1">
      <alignment horizontal="center" vertical="center"/>
      <protection/>
    </xf>
    <xf numFmtId="9" fontId="23" fillId="0" borderId="9" xfId="88" applyNumberFormat="1" applyFont="1" applyFill="1" applyBorder="1" applyAlignment="1">
      <alignment horizontal="left" vertical="center" indent="2"/>
      <protection/>
    </xf>
    <xf numFmtId="4" fontId="23" fillId="0" borderId="0" xfId="0" applyNumberFormat="1" applyFont="1" applyAlignment="1">
      <alignment horizontal="center" vertical="center"/>
    </xf>
    <xf numFmtId="10" fontId="23" fillId="0" borderId="9" xfId="88" applyNumberFormat="1" applyFont="1" applyFill="1" applyBorder="1" applyAlignment="1">
      <alignment horizontal="center" vertical="center"/>
      <protection/>
    </xf>
    <xf numFmtId="3" fontId="0" fillId="0" borderId="0" xfId="0" applyNumberFormat="1" applyAlignment="1">
      <alignment/>
    </xf>
    <xf numFmtId="3" fontId="0" fillId="0" borderId="9" xfId="0" applyNumberFormat="1" applyBorder="1" applyAlignment="1">
      <alignment/>
    </xf>
    <xf numFmtId="3" fontId="61" fillId="0" borderId="0" xfId="88" applyNumberFormat="1" applyAlignment="1">
      <alignment horizontal="right" vertical="center"/>
      <protection/>
    </xf>
    <xf numFmtId="3" fontId="17" fillId="0" borderId="0" xfId="88" applyNumberFormat="1" applyFont="1" applyFill="1" applyAlignment="1">
      <alignment horizontal="left" wrapText="1"/>
      <protection/>
    </xf>
    <xf numFmtId="3" fontId="19" fillId="20" borderId="9" xfId="88" applyNumberFormat="1" applyFont="1" applyFill="1" applyBorder="1" applyAlignment="1">
      <alignment horizontal="center" vertical="center" wrapText="1"/>
      <protection/>
    </xf>
    <xf numFmtId="0" fontId="17" fillId="28" borderId="9" xfId="88" applyFont="1" applyFill="1" applyBorder="1" applyAlignment="1">
      <alignment horizontal="center" vertical="center" wrapText="1"/>
      <protection/>
    </xf>
    <xf numFmtId="0" fontId="21" fillId="0" borderId="0" xfId="88" applyFont="1" applyFill="1" applyBorder="1" applyAlignment="1">
      <alignment horizontal="left" vertical="center" wrapText="1"/>
      <protection/>
    </xf>
    <xf numFmtId="0" fontId="26" fillId="0" borderId="0" xfId="0" applyFont="1" applyAlignment="1">
      <alignment horizontal="left"/>
    </xf>
    <xf numFmtId="222" fontId="22" fillId="0" borderId="9" xfId="88" applyNumberFormat="1" applyFont="1" applyFill="1" applyBorder="1" applyAlignment="1">
      <alignment horizontal="center" vertical="center" wrapText="1"/>
      <protection/>
    </xf>
    <xf numFmtId="3" fontId="17" fillId="0" borderId="0" xfId="0" applyNumberFormat="1" applyFont="1" applyFill="1" applyBorder="1" applyAlignment="1">
      <alignment horizontal="center"/>
    </xf>
    <xf numFmtId="9" fontId="17" fillId="0" borderId="0" xfId="0" applyNumberFormat="1" applyFont="1" applyFill="1" applyBorder="1" applyAlignment="1">
      <alignment horizontal="center" vertical="center" wrapText="1"/>
    </xf>
    <xf numFmtId="0" fontId="26" fillId="0" borderId="0" xfId="0" applyFont="1" applyAlignment="1">
      <alignment horizontal="left"/>
    </xf>
    <xf numFmtId="0" fontId="26" fillId="0" borderId="0" xfId="0" applyFont="1" applyAlignment="1">
      <alignment/>
    </xf>
    <xf numFmtId="0" fontId="26" fillId="0" borderId="0" xfId="0" applyFont="1" applyFill="1" applyBorder="1" applyAlignment="1">
      <alignment/>
    </xf>
    <xf numFmtId="3" fontId="63" fillId="0" borderId="0" xfId="88" applyNumberFormat="1" applyFont="1" applyBorder="1">
      <alignment/>
      <protection/>
    </xf>
    <xf numFmtId="9" fontId="51" fillId="0" borderId="0" xfId="88" applyNumberFormat="1" applyFont="1" applyBorder="1" applyAlignment="1">
      <alignment horizontal="center" vertical="center"/>
      <protection/>
    </xf>
    <xf numFmtId="9" fontId="51" fillId="0" borderId="0" xfId="88" applyNumberFormat="1" applyFont="1" applyFill="1" applyBorder="1" applyAlignment="1">
      <alignment horizontal="center" vertical="center"/>
      <protection/>
    </xf>
    <xf numFmtId="9" fontId="51" fillId="0" borderId="0" xfId="88" applyNumberFormat="1" applyFont="1" applyBorder="1">
      <alignment/>
      <protection/>
    </xf>
    <xf numFmtId="0" fontId="63" fillId="0" borderId="0" xfId="88" applyFont="1" applyBorder="1" applyAlignment="1">
      <alignment horizontal="center" vertical="center"/>
      <protection/>
    </xf>
    <xf numFmtId="0" fontId="21" fillId="0" borderId="0" xfId="88" applyFont="1" applyFill="1" applyBorder="1" applyAlignment="1">
      <alignment horizontal="left" vertical="center"/>
      <protection/>
    </xf>
    <xf numFmtId="0" fontId="21" fillId="0" borderId="0" xfId="88" applyFont="1" applyFill="1" applyBorder="1" applyAlignment="1">
      <alignment horizontal="center" vertical="center" wrapText="1"/>
      <protection/>
    </xf>
    <xf numFmtId="3" fontId="23" fillId="0" borderId="0" xfId="88" applyNumberFormat="1" applyFont="1" applyBorder="1" applyAlignment="1">
      <alignment horizontal="center" vertical="center" wrapText="1"/>
      <protection/>
    </xf>
    <xf numFmtId="3" fontId="23" fillId="0" borderId="0" xfId="88" applyNumberFormat="1" applyFont="1" applyBorder="1" applyAlignment="1">
      <alignment horizontal="center" vertical="center"/>
      <protection/>
    </xf>
    <xf numFmtId="3" fontId="22" fillId="0" borderId="0" xfId="88" applyNumberFormat="1" applyFont="1" applyFill="1" applyBorder="1" applyAlignment="1">
      <alignment horizontal="center" vertical="center"/>
      <protection/>
    </xf>
    <xf numFmtId="3" fontId="23" fillId="0" borderId="0" xfId="88" applyNumberFormat="1" applyFont="1" applyFill="1" applyBorder="1" applyAlignment="1">
      <alignment horizontal="center" vertical="center"/>
      <protection/>
    </xf>
    <xf numFmtId="9" fontId="22" fillId="0" borderId="0" xfId="88" applyNumberFormat="1" applyFont="1" applyBorder="1" applyAlignment="1">
      <alignment horizontal="center" vertical="center"/>
      <protection/>
    </xf>
    <xf numFmtId="3" fontId="22" fillId="0" borderId="0" xfId="88" applyNumberFormat="1" applyFont="1" applyFill="1" applyBorder="1" applyAlignment="1">
      <alignment horizontal="center" vertical="center" wrapText="1"/>
      <protection/>
    </xf>
    <xf numFmtId="9" fontId="23" fillId="0" borderId="0" xfId="88" applyNumberFormat="1" applyFont="1" applyBorder="1" applyAlignment="1">
      <alignment horizontal="center" vertical="center"/>
      <protection/>
    </xf>
    <xf numFmtId="0" fontId="26" fillId="0" borderId="0" xfId="88" applyFont="1" applyBorder="1" applyAlignment="1">
      <alignment horizontal="left" vertical="top" wrapText="1"/>
      <protection/>
    </xf>
    <xf numFmtId="0" fontId="0" fillId="0" borderId="0" xfId="0" applyBorder="1" applyAlignment="1">
      <alignment/>
    </xf>
    <xf numFmtId="3" fontId="0" fillId="0" borderId="0" xfId="0" applyNumberFormat="1" applyBorder="1" applyAlignment="1">
      <alignment/>
    </xf>
    <xf numFmtId="9" fontId="23" fillId="0" borderId="0" xfId="88" applyNumberFormat="1" applyFont="1" applyBorder="1" applyAlignment="1">
      <alignment horizontal="center" vertical="center"/>
      <protection/>
    </xf>
    <xf numFmtId="10" fontId="23" fillId="0" borderId="0" xfId="88" applyNumberFormat="1" applyFont="1" applyFill="1" applyBorder="1" applyAlignment="1">
      <alignment horizontal="center" vertical="center"/>
      <protection/>
    </xf>
    <xf numFmtId="9" fontId="23" fillId="0" borderId="0" xfId="88" applyNumberFormat="1" applyFont="1" applyFill="1" applyBorder="1" applyAlignment="1">
      <alignment horizontal="center" vertical="center"/>
      <protection/>
    </xf>
    <xf numFmtId="9" fontId="23" fillId="0" borderId="0" xfId="88" applyNumberFormat="1" applyFont="1" applyFill="1" applyBorder="1" applyAlignment="1">
      <alignment horizontal="left" vertical="center" indent="2"/>
      <protection/>
    </xf>
    <xf numFmtId="9" fontId="23" fillId="0" borderId="0" xfId="0" applyNumberFormat="1" applyFont="1" applyBorder="1" applyAlignment="1">
      <alignment horizontal="center" vertical="center"/>
    </xf>
    <xf numFmtId="4" fontId="23" fillId="0" borderId="9" xfId="0" applyNumberFormat="1" applyFont="1" applyBorder="1" applyAlignment="1">
      <alignment horizontal="center" vertical="center" wrapText="1"/>
    </xf>
    <xf numFmtId="0" fontId="32" fillId="28" borderId="9" xfId="88" applyFont="1" applyFill="1" applyBorder="1">
      <alignment/>
      <protection/>
    </xf>
    <xf numFmtId="0" fontId="32" fillId="0" borderId="0" xfId="88" applyFont="1">
      <alignment/>
      <protection/>
    </xf>
    <xf numFmtId="3" fontId="32" fillId="0" borderId="0" xfId="88" applyNumberFormat="1" applyFont="1">
      <alignment/>
      <protection/>
    </xf>
    <xf numFmtId="3" fontId="32" fillId="28" borderId="9" xfId="88" applyNumberFormat="1" applyFont="1" applyFill="1" applyBorder="1" applyAlignment="1">
      <alignment horizontal="center" vertical="center"/>
      <protection/>
    </xf>
    <xf numFmtId="3" fontId="32" fillId="28" borderId="9" xfId="88" applyNumberFormat="1" applyFont="1" applyFill="1" applyBorder="1" applyAlignment="1">
      <alignment horizontal="center" vertical="center" wrapText="1"/>
      <protection/>
    </xf>
    <xf numFmtId="10" fontId="32" fillId="28" borderId="9" xfId="88" applyNumberFormat="1" applyFont="1" applyFill="1" applyBorder="1" applyAlignment="1">
      <alignment horizontal="center" vertical="center"/>
      <protection/>
    </xf>
    <xf numFmtId="10" fontId="32" fillId="28" borderId="9" xfId="88" applyNumberFormat="1" applyFont="1" applyFill="1" applyBorder="1" applyAlignment="1">
      <alignment horizontal="center" vertical="center" wrapText="1"/>
      <protection/>
    </xf>
    <xf numFmtId="3" fontId="22" fillId="0" borderId="9" xfId="111" applyNumberFormat="1" applyFont="1" applyFill="1" applyBorder="1" applyAlignment="1">
      <alignment horizontal="center" vertical="center"/>
      <protection/>
    </xf>
    <xf numFmtId="0" fontId="26" fillId="29" borderId="0" xfId="88" applyFont="1" applyFill="1" applyAlignment="1">
      <alignment vertical="center"/>
      <protection/>
    </xf>
    <xf numFmtId="0" fontId="0" fillId="0" borderId="9" xfId="0" applyFont="1" applyFill="1" applyBorder="1" applyAlignment="1">
      <alignment wrapText="1"/>
    </xf>
    <xf numFmtId="9" fontId="23" fillId="0" borderId="9" xfId="0" applyNumberFormat="1" applyFont="1" applyFill="1" applyBorder="1" applyAlignment="1">
      <alignment horizontal="center" vertical="center"/>
    </xf>
    <xf numFmtId="3" fontId="0" fillId="0" borderId="9" xfId="0" applyNumberFormat="1" applyFill="1" applyBorder="1" applyAlignment="1">
      <alignment/>
    </xf>
    <xf numFmtId="0" fontId="49" fillId="25" borderId="9" xfId="88" applyFont="1" applyFill="1" applyBorder="1" applyAlignment="1">
      <alignment horizontal="center" vertical="center" wrapText="1"/>
      <protection/>
    </xf>
    <xf numFmtId="0" fontId="49" fillId="0" borderId="9" xfId="88" applyFont="1" applyFill="1" applyBorder="1" applyAlignment="1">
      <alignment horizontal="center" vertical="center" wrapText="1"/>
      <protection/>
    </xf>
    <xf numFmtId="0" fontId="49" fillId="25" borderId="0" xfId="88" applyFont="1" applyFill="1">
      <alignment/>
      <protection/>
    </xf>
    <xf numFmtId="9" fontId="23" fillId="0" borderId="9" xfId="119" applyFont="1" applyFill="1" applyBorder="1" applyAlignment="1">
      <alignment horizontal="center" vertical="center" wrapText="1"/>
    </xf>
    <xf numFmtId="0" fontId="29" fillId="27" borderId="0" xfId="88" applyFont="1" applyFill="1">
      <alignment/>
      <protection/>
    </xf>
    <xf numFmtId="220" fontId="32" fillId="28" borderId="9" xfId="88" applyNumberFormat="1" applyFont="1" applyFill="1" applyBorder="1" applyAlignment="1">
      <alignment horizontal="center" vertical="center" wrapText="1"/>
      <protection/>
    </xf>
    <xf numFmtId="9" fontId="22" fillId="0" borderId="9" xfId="119" applyFont="1" applyFill="1" applyBorder="1" applyAlignment="1">
      <alignment horizontal="center" vertical="center"/>
    </xf>
    <xf numFmtId="0" fontId="29" fillId="0" borderId="9" xfId="88" applyFont="1" applyFill="1" applyBorder="1" applyAlignment="1">
      <alignment horizontal="center" vertical="center" wrapText="1"/>
      <protection/>
    </xf>
    <xf numFmtId="3" fontId="24" fillId="0" borderId="9" xfId="88" applyNumberFormat="1" applyFont="1" applyFill="1" applyBorder="1" applyAlignment="1">
      <alignment horizontal="center" vertical="center"/>
      <protection/>
    </xf>
    <xf numFmtId="10" fontId="24" fillId="0" borderId="9" xfId="88" applyNumberFormat="1" applyFont="1" applyFill="1" applyBorder="1" applyAlignment="1">
      <alignment horizontal="center" vertical="center"/>
      <protection/>
    </xf>
    <xf numFmtId="10" fontId="24" fillId="0" borderId="9" xfId="88" applyNumberFormat="1" applyFont="1" applyFill="1" applyBorder="1" applyAlignment="1">
      <alignment horizontal="center" vertical="center" wrapText="1"/>
      <protection/>
    </xf>
    <xf numFmtId="220" fontId="24" fillId="0" borderId="9" xfId="88" applyNumberFormat="1" applyFont="1" applyFill="1" applyBorder="1" applyAlignment="1">
      <alignment horizontal="center" vertical="center" wrapText="1"/>
      <protection/>
    </xf>
    <xf numFmtId="0" fontId="32" fillId="0" borderId="9" xfId="88" applyFont="1" applyFill="1" applyBorder="1" applyAlignment="1">
      <alignment horizontal="center" vertical="center" wrapText="1"/>
      <protection/>
    </xf>
    <xf numFmtId="0" fontId="21"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3" fontId="22"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xf>
    <xf numFmtId="3" fontId="22" fillId="0" borderId="9" xfId="0" applyNumberFormat="1" applyFont="1" applyFill="1" applyBorder="1" applyAlignment="1">
      <alignment horizontal="center" vertical="center" wrapText="1"/>
    </xf>
    <xf numFmtId="0" fontId="17" fillId="30" borderId="9" xfId="0" applyFont="1" applyFill="1" applyBorder="1" applyAlignment="1">
      <alignment horizontal="center" vertical="center" wrapText="1"/>
    </xf>
    <xf numFmtId="0" fontId="17" fillId="30" borderId="9" xfId="0" applyFont="1" applyFill="1" applyBorder="1" applyAlignment="1">
      <alignment/>
    </xf>
    <xf numFmtId="0" fontId="17" fillId="30" borderId="9" xfId="0" applyFont="1" applyFill="1" applyBorder="1" applyAlignment="1">
      <alignment horizontal="center" vertical="center"/>
    </xf>
    <xf numFmtId="0" fontId="20" fillId="30" borderId="9" xfId="0" applyFont="1" applyFill="1" applyBorder="1" applyAlignment="1">
      <alignment horizontal="center" vertical="center" wrapText="1"/>
    </xf>
    <xf numFmtId="3" fontId="19" fillId="30" borderId="9" xfId="0" applyNumberFormat="1" applyFont="1" applyFill="1" applyBorder="1" applyAlignment="1">
      <alignment horizontal="center" vertical="center" wrapText="1"/>
    </xf>
    <xf numFmtId="0" fontId="24" fillId="30" borderId="9" xfId="0" applyFont="1" applyFill="1" applyBorder="1" applyAlignment="1">
      <alignment horizontal="center" vertical="center"/>
    </xf>
    <xf numFmtId="0" fontId="24" fillId="30" borderId="9" xfId="0" applyFont="1" applyFill="1" applyBorder="1" applyAlignment="1">
      <alignment horizontal="center" vertical="center" wrapText="1"/>
    </xf>
    <xf numFmtId="0" fontId="17" fillId="30" borderId="9" xfId="0" applyFont="1" applyFill="1" applyBorder="1" applyAlignment="1">
      <alignment horizontal="center"/>
    </xf>
    <xf numFmtId="3" fontId="25" fillId="30" borderId="9" xfId="0" applyNumberFormat="1" applyFont="1" applyFill="1" applyBorder="1" applyAlignment="1">
      <alignment horizontal="center" vertical="center"/>
    </xf>
    <xf numFmtId="3" fontId="21" fillId="0" borderId="9" xfId="88" applyNumberFormat="1" applyFont="1" applyFill="1" applyBorder="1" applyAlignment="1">
      <alignment horizontal="center" vertical="center" wrapText="1"/>
      <protection/>
    </xf>
    <xf numFmtId="3" fontId="22" fillId="0" borderId="9" xfId="0" applyNumberFormat="1" applyFont="1" applyFill="1" applyBorder="1" applyAlignment="1">
      <alignment horizontal="center" vertical="center"/>
    </xf>
    <xf numFmtId="9" fontId="23" fillId="0" borderId="9" xfId="120" applyFont="1" applyFill="1" applyBorder="1" applyAlignment="1">
      <alignment horizontal="center" vertical="center"/>
    </xf>
    <xf numFmtId="0" fontId="22" fillId="0" borderId="9" xfId="88" applyFont="1" applyFill="1" applyBorder="1" applyAlignment="1">
      <alignment horizontal="center" vertical="center"/>
      <protection/>
    </xf>
    <xf numFmtId="0" fontId="22" fillId="0" borderId="9" xfId="88" applyFont="1" applyFill="1" applyBorder="1" applyAlignment="1">
      <alignment horizontal="center" vertical="center" wrapText="1"/>
      <protection/>
    </xf>
    <xf numFmtId="0" fontId="21" fillId="0" borderId="9" xfId="113" applyFont="1" applyFill="1" applyBorder="1" applyAlignment="1">
      <alignment horizontal="center" vertical="center" wrapText="1"/>
      <protection/>
    </xf>
    <xf numFmtId="0" fontId="21" fillId="0" borderId="9" xfId="113" applyFont="1" applyFill="1" applyBorder="1" applyAlignment="1">
      <alignment horizontal="left" vertical="center" wrapText="1"/>
      <protection/>
    </xf>
    <xf numFmtId="3" fontId="21" fillId="0" borderId="9" xfId="88" applyNumberFormat="1" applyFont="1" applyFill="1" applyBorder="1" applyAlignment="1">
      <alignment horizontal="center" vertical="center"/>
      <protection/>
    </xf>
    <xf numFmtId="10" fontId="21" fillId="0" borderId="9" xfId="88" applyNumberFormat="1" applyFont="1" applyFill="1" applyBorder="1" applyAlignment="1">
      <alignment horizontal="center" vertical="center"/>
      <protection/>
    </xf>
    <xf numFmtId="10" fontId="21" fillId="0" borderId="9" xfId="88" applyNumberFormat="1" applyFont="1" applyFill="1" applyBorder="1" applyAlignment="1">
      <alignment horizontal="center" vertical="center" wrapText="1"/>
      <protection/>
    </xf>
    <xf numFmtId="0" fontId="29" fillId="0" borderId="9" xfId="88" applyFont="1" applyFill="1" applyBorder="1" applyAlignment="1">
      <alignment horizontal="center" vertical="center"/>
      <protection/>
    </xf>
    <xf numFmtId="0" fontId="21" fillId="0" borderId="9" xfId="113" applyFont="1" applyFill="1" applyBorder="1" applyAlignment="1">
      <alignment vertical="center" wrapText="1"/>
      <protection/>
    </xf>
    <xf numFmtId="3" fontId="21" fillId="0" borderId="9" xfId="165" applyNumberFormat="1" applyFont="1" applyFill="1" applyBorder="1" applyAlignment="1">
      <alignment horizontal="center" vertical="center" wrapText="1"/>
      <protection/>
    </xf>
    <xf numFmtId="3" fontId="21" fillId="0" borderId="9" xfId="165" applyNumberFormat="1" applyFont="1" applyFill="1" applyBorder="1" applyAlignment="1">
      <alignment vertical="center" wrapText="1"/>
      <protection/>
    </xf>
    <xf numFmtId="9" fontId="19" fillId="30" borderId="9" xfId="120" applyFont="1" applyFill="1" applyBorder="1" applyAlignment="1">
      <alignment horizontal="center" vertical="center" wrapText="1"/>
    </xf>
    <xf numFmtId="9" fontId="23" fillId="0" borderId="9" xfId="120" applyFont="1" applyFill="1" applyBorder="1" applyAlignment="1">
      <alignment horizontal="center" vertical="center" wrapText="1"/>
    </xf>
    <xf numFmtId="9" fontId="22" fillId="0" borderId="9" xfId="120" applyFont="1" applyFill="1" applyBorder="1" applyAlignment="1">
      <alignment horizontal="center" vertical="center" wrapText="1"/>
    </xf>
    <xf numFmtId="9" fontId="23" fillId="0" borderId="9" xfId="120" applyFont="1" applyFill="1" applyBorder="1" applyAlignment="1">
      <alignment horizontal="center" vertical="center" wrapText="1"/>
    </xf>
    <xf numFmtId="3" fontId="23" fillId="0" borderId="9" xfId="0" applyNumberFormat="1" applyFont="1" applyFill="1" applyBorder="1" applyAlignment="1">
      <alignment horizontal="center" vertical="center"/>
    </xf>
    <xf numFmtId="3" fontId="34" fillId="0" borderId="9" xfId="0" applyNumberFormat="1" applyFont="1" applyFill="1" applyBorder="1" applyAlignment="1">
      <alignment horizontal="center" vertical="center"/>
    </xf>
    <xf numFmtId="220" fontId="21" fillId="0" borderId="9" xfId="88" applyNumberFormat="1" applyFont="1" applyFill="1" applyBorder="1" applyAlignment="1">
      <alignment horizontal="center" vertical="center" wrapText="1"/>
      <protection/>
    </xf>
    <xf numFmtId="0" fontId="26" fillId="0" borderId="9" xfId="0" applyFont="1" applyFill="1" applyBorder="1" applyAlignment="1">
      <alignment wrapText="1"/>
    </xf>
    <xf numFmtId="0" fontId="24" fillId="0" borderId="9" xfId="88" applyFont="1" applyFill="1" applyBorder="1" applyAlignment="1">
      <alignment horizontal="center" vertical="center" wrapText="1"/>
      <protection/>
    </xf>
    <xf numFmtId="9" fontId="24" fillId="0" borderId="9" xfId="88" applyNumberFormat="1" applyFont="1" applyFill="1" applyBorder="1" applyAlignment="1">
      <alignment horizontal="center" vertical="center"/>
      <protection/>
    </xf>
    <xf numFmtId="0" fontId="24" fillId="0" borderId="9" xfId="0" applyFont="1" applyFill="1" applyBorder="1" applyAlignment="1">
      <alignment horizontal="center" vertical="center" wrapText="1"/>
    </xf>
    <xf numFmtId="3" fontId="24" fillId="0" borderId="9" xfId="88" applyNumberFormat="1" applyFont="1" applyBorder="1">
      <alignment/>
      <protection/>
    </xf>
    <xf numFmtId="0" fontId="24" fillId="0" borderId="9" xfId="88" applyFont="1" applyBorder="1" applyAlignment="1">
      <alignment horizontal="center" vertical="center"/>
      <protection/>
    </xf>
    <xf numFmtId="0" fontId="0" fillId="0" borderId="0" xfId="0" applyAlignment="1">
      <alignment horizontal="right"/>
    </xf>
    <xf numFmtId="0" fontId="17" fillId="0" borderId="0" xfId="88" applyFont="1" applyAlignment="1">
      <alignment horizontal="left" vertical="center"/>
      <protection/>
    </xf>
    <xf numFmtId="0" fontId="56" fillId="0" borderId="0" xfId="0" applyFont="1" applyAlignment="1">
      <alignment horizontal="justify" vertical="center"/>
    </xf>
    <xf numFmtId="0" fontId="57" fillId="0" borderId="0" xfId="0" applyFont="1" applyAlignment="1">
      <alignment/>
    </xf>
    <xf numFmtId="0" fontId="57" fillId="0" borderId="0" xfId="0" applyFont="1" applyAlignment="1">
      <alignment horizontal="justify" vertical="center"/>
    </xf>
    <xf numFmtId="0" fontId="26" fillId="0" borderId="0" xfId="0" applyFont="1" applyAlignment="1">
      <alignment/>
    </xf>
    <xf numFmtId="0" fontId="17" fillId="0" borderId="0" xfId="0" applyFont="1" applyAlignment="1">
      <alignment horizontal="left" wrapText="1"/>
    </xf>
    <xf numFmtId="0" fontId="17" fillId="0" borderId="0" xfId="0" applyFont="1" applyAlignment="1">
      <alignment horizontal="left"/>
    </xf>
    <xf numFmtId="0" fontId="17" fillId="0" borderId="0" xfId="88" applyFont="1" applyFill="1" applyAlignment="1">
      <alignment horizontal="left"/>
      <protection/>
    </xf>
    <xf numFmtId="0" fontId="17" fillId="0" borderId="0" xfId="88" applyFont="1" applyAlignment="1">
      <alignment horizontal="left"/>
      <protection/>
    </xf>
    <xf numFmtId="0" fontId="26" fillId="27" borderId="9" xfId="88" applyFont="1" applyFill="1" applyBorder="1" applyAlignment="1">
      <alignment wrapText="1"/>
      <protection/>
    </xf>
    <xf numFmtId="0" fontId="26" fillId="27" borderId="9" xfId="88" applyNumberFormat="1" applyFont="1" applyFill="1" applyBorder="1" applyAlignment="1">
      <alignment wrapText="1"/>
      <protection/>
    </xf>
    <xf numFmtId="0" fontId="22" fillId="27" borderId="11" xfId="88" applyFont="1" applyFill="1" applyBorder="1" applyAlignment="1">
      <alignment horizontal="center" vertical="center" wrapText="1"/>
      <protection/>
    </xf>
    <xf numFmtId="0" fontId="22" fillId="27" borderId="9" xfId="0" applyFont="1" applyFill="1" applyBorder="1" applyAlignment="1">
      <alignment horizontal="center" vertical="center" wrapText="1"/>
    </xf>
    <xf numFmtId="0" fontId="22" fillId="27" borderId="9" xfId="0" applyFont="1" applyFill="1" applyBorder="1" applyAlignment="1">
      <alignment horizontal="center" vertical="center"/>
    </xf>
    <xf numFmtId="0" fontId="25" fillId="27" borderId="9" xfId="0" applyFont="1" applyFill="1" applyBorder="1" applyAlignment="1">
      <alignment horizontal="center" vertical="center"/>
    </xf>
    <xf numFmtId="0" fontId="17" fillId="27" borderId="9" xfId="0" applyFont="1" applyFill="1" applyBorder="1" applyAlignment="1">
      <alignment horizontal="center" vertical="center" wrapText="1"/>
    </xf>
    <xf numFmtId="0" fontId="17" fillId="27" borderId="0" xfId="88" applyFont="1" applyFill="1" applyAlignment="1">
      <alignment horizontal="center" wrapText="1"/>
      <protection/>
    </xf>
    <xf numFmtId="0" fontId="17" fillId="27" borderId="0" xfId="88" applyFont="1" applyFill="1" applyAlignment="1">
      <alignment/>
      <protection/>
    </xf>
    <xf numFmtId="0" fontId="61" fillId="27" borderId="0" xfId="88" applyFill="1">
      <alignment/>
      <protection/>
    </xf>
    <xf numFmtId="0" fontId="64" fillId="27" borderId="9" xfId="88" applyFont="1" applyFill="1" applyBorder="1" applyAlignment="1">
      <alignment horizontal="center" vertical="center" wrapText="1"/>
      <protection/>
    </xf>
    <xf numFmtId="0" fontId="21" fillId="27" borderId="9" xfId="88" applyFont="1" applyFill="1" applyBorder="1" applyAlignment="1">
      <alignment horizontal="center" vertical="center" wrapText="1"/>
      <protection/>
    </xf>
    <xf numFmtId="0" fontId="21" fillId="27" borderId="9" xfId="88" applyFont="1" applyFill="1" applyBorder="1" applyAlignment="1">
      <alignment horizontal="center" vertical="center"/>
      <protection/>
    </xf>
    <xf numFmtId="9" fontId="23" fillId="27" borderId="9" xfId="120" applyFont="1" applyFill="1" applyBorder="1" applyAlignment="1">
      <alignment horizontal="center" vertical="center" wrapText="1"/>
    </xf>
    <xf numFmtId="3" fontId="23" fillId="27" borderId="9" xfId="0" applyNumberFormat="1" applyFont="1" applyFill="1" applyBorder="1" applyAlignment="1">
      <alignment horizontal="center" vertical="center" wrapText="1"/>
    </xf>
    <xf numFmtId="3" fontId="23" fillId="27" borderId="15" xfId="0" applyNumberFormat="1" applyFont="1" applyFill="1" applyBorder="1" applyAlignment="1">
      <alignment horizontal="center" vertical="center" wrapText="1"/>
    </xf>
    <xf numFmtId="0" fontId="0" fillId="27" borderId="9" xfId="0" applyFill="1" applyBorder="1" applyAlignment="1">
      <alignment horizontal="left" wrapText="1"/>
    </xf>
    <xf numFmtId="3" fontId="22" fillId="27" borderId="9" xfId="0" applyNumberFormat="1" applyFont="1" applyFill="1" applyBorder="1" applyAlignment="1">
      <alignment horizontal="center" vertical="center"/>
    </xf>
    <xf numFmtId="3" fontId="22" fillId="27" borderId="15" xfId="0" applyNumberFormat="1" applyFont="1" applyFill="1" applyBorder="1" applyAlignment="1">
      <alignment horizontal="center" vertical="center"/>
    </xf>
    <xf numFmtId="0" fontId="0" fillId="27" borderId="0" xfId="0" applyFill="1" applyAlignment="1">
      <alignment/>
    </xf>
    <xf numFmtId="0" fontId="21" fillId="27" borderId="9" xfId="0" applyFont="1" applyFill="1" applyBorder="1" applyAlignment="1">
      <alignment horizontal="left" vertical="center" wrapText="1"/>
    </xf>
    <xf numFmtId="3" fontId="23" fillId="27" borderId="9" xfId="0" applyNumberFormat="1" applyFont="1" applyFill="1" applyBorder="1" applyAlignment="1">
      <alignment horizontal="left" vertical="center" wrapText="1"/>
    </xf>
    <xf numFmtId="0" fontId="0" fillId="27" borderId="0" xfId="0" applyFont="1" applyFill="1" applyAlignment="1">
      <alignment horizontal="left" vertical="center" wrapText="1"/>
    </xf>
    <xf numFmtId="0" fontId="29" fillId="27" borderId="9" xfId="0" applyFont="1" applyFill="1" applyBorder="1" applyAlignment="1">
      <alignment horizontal="left" wrapText="1"/>
    </xf>
    <xf numFmtId="0" fontId="29" fillId="27" borderId="0" xfId="0" applyFont="1" applyFill="1" applyAlignment="1">
      <alignment/>
    </xf>
    <xf numFmtId="3" fontId="23" fillId="27" borderId="9" xfId="0" applyNumberFormat="1" applyFont="1" applyFill="1" applyBorder="1" applyAlignment="1">
      <alignment horizontal="left" vertical="center"/>
    </xf>
    <xf numFmtId="0" fontId="21" fillId="27" borderId="9" xfId="0" applyFont="1" applyFill="1" applyBorder="1" applyAlignment="1">
      <alignment horizontal="center" vertical="center" wrapText="1"/>
    </xf>
    <xf numFmtId="3" fontId="19" fillId="30" borderId="9" xfId="0" applyNumberFormat="1" applyFont="1" applyFill="1" applyBorder="1" applyAlignment="1">
      <alignment horizontal="center" vertical="center" wrapText="1"/>
    </xf>
    <xf numFmtId="3" fontId="25" fillId="30" borderId="9" xfId="0" applyNumberFormat="1" applyFont="1" applyFill="1" applyBorder="1" applyAlignment="1">
      <alignment horizontal="center" vertical="center"/>
    </xf>
    <xf numFmtId="3" fontId="23" fillId="27" borderId="15" xfId="0" applyNumberFormat="1" applyFont="1" applyFill="1" applyBorder="1" applyAlignment="1">
      <alignment horizontal="center" vertical="center"/>
    </xf>
    <xf numFmtId="3" fontId="23" fillId="27" borderId="9" xfId="0" applyNumberFormat="1" applyFont="1" applyFill="1" applyBorder="1" applyAlignment="1">
      <alignment horizontal="center" vertical="center"/>
    </xf>
    <xf numFmtId="0" fontId="0" fillId="27" borderId="9" xfId="0" applyFont="1" applyFill="1" applyBorder="1" applyAlignment="1">
      <alignment horizontal="left" wrapText="1"/>
    </xf>
    <xf numFmtId="0" fontId="17" fillId="27" borderId="0" xfId="0" applyFont="1" applyFill="1" applyAlignment="1">
      <alignment/>
    </xf>
    <xf numFmtId="3" fontId="22" fillId="27" borderId="9" xfId="0" applyNumberFormat="1" applyFont="1" applyFill="1" applyBorder="1" applyAlignment="1">
      <alignment horizontal="left" vertical="center" wrapText="1"/>
    </xf>
    <xf numFmtId="3" fontId="19" fillId="30" borderId="9" xfId="0" applyNumberFormat="1" applyFont="1" applyFill="1" applyBorder="1" applyAlignment="1">
      <alignment horizontal="center" vertical="center" wrapText="1"/>
    </xf>
    <xf numFmtId="3" fontId="21" fillId="27" borderId="9" xfId="88" applyNumberFormat="1" applyFont="1" applyFill="1" applyBorder="1" applyAlignment="1">
      <alignment horizontal="center" vertical="center"/>
      <protection/>
    </xf>
    <xf numFmtId="0" fontId="22" fillId="27" borderId="9" xfId="88" applyFont="1" applyFill="1" applyBorder="1" applyAlignment="1">
      <alignment horizontal="center" vertical="center" wrapText="1"/>
      <protection/>
    </xf>
    <xf numFmtId="0" fontId="29" fillId="0" borderId="9" xfId="88" applyFont="1" applyFill="1" applyBorder="1" applyAlignment="1">
      <alignment horizontal="left" vertical="top" wrapText="1"/>
      <protection/>
    </xf>
    <xf numFmtId="3" fontId="29" fillId="0" borderId="9" xfId="88" applyNumberFormat="1" applyFont="1" applyFill="1" applyBorder="1" applyAlignment="1">
      <alignment horizontal="left" vertical="center" wrapText="1"/>
      <protection/>
    </xf>
    <xf numFmtId="0" fontId="29" fillId="0" borderId="9" xfId="88" applyFont="1" applyFill="1" applyBorder="1" applyAlignment="1">
      <alignment horizontal="left" vertical="center" wrapText="1"/>
      <protection/>
    </xf>
    <xf numFmtId="0" fontId="29" fillId="0" borderId="9" xfId="88" applyFont="1" applyFill="1" applyBorder="1" applyAlignment="1">
      <alignment horizontal="left" vertical="center" wrapText="1"/>
      <protection/>
    </xf>
    <xf numFmtId="0" fontId="29" fillId="0" borderId="16" xfId="91" applyFont="1" applyFill="1" applyBorder="1" applyAlignment="1">
      <alignment horizontal="left" vertical="top" wrapText="1"/>
      <protection/>
    </xf>
    <xf numFmtId="0" fontId="26" fillId="27" borderId="9" xfId="88" applyFont="1" applyFill="1" applyBorder="1" applyAlignment="1">
      <alignment horizontal="center" vertical="center" wrapText="1"/>
      <protection/>
    </xf>
    <xf numFmtId="3" fontId="61" fillId="27" borderId="0" xfId="88" applyNumberFormat="1" applyFill="1">
      <alignment/>
      <protection/>
    </xf>
    <xf numFmtId="4" fontId="26" fillId="27" borderId="9" xfId="88" applyNumberFormat="1" applyFont="1" applyFill="1" applyBorder="1" applyAlignment="1">
      <alignment horizontal="center" vertical="center"/>
      <protection/>
    </xf>
    <xf numFmtId="0" fontId="26" fillId="27" borderId="9" xfId="89" applyFont="1" applyFill="1" applyBorder="1" applyAlignment="1">
      <alignment horizontal="center" vertical="center" wrapText="1"/>
      <protection/>
    </xf>
    <xf numFmtId="198" fontId="26" fillId="27" borderId="9" xfId="88" applyNumberFormat="1" applyFont="1" applyFill="1" applyBorder="1" applyAlignment="1">
      <alignment horizontal="center" vertical="center"/>
      <protection/>
    </xf>
    <xf numFmtId="3" fontId="64" fillId="27" borderId="9" xfId="89" applyNumberFormat="1" applyFont="1" applyFill="1" applyBorder="1" applyAlignment="1">
      <alignment horizontal="center" vertical="center" wrapText="1"/>
      <protection/>
    </xf>
    <xf numFmtId="3" fontId="21" fillId="27" borderId="9" xfId="89" applyNumberFormat="1" applyFont="1" applyFill="1" applyBorder="1" applyAlignment="1">
      <alignment horizontal="center" vertical="center" wrapText="1"/>
      <protection/>
    </xf>
    <xf numFmtId="3" fontId="26" fillId="27" borderId="9" xfId="88" applyNumberFormat="1" applyFont="1" applyFill="1" applyBorder="1" applyAlignment="1">
      <alignment horizontal="center" vertical="center" wrapText="1"/>
      <protection/>
    </xf>
    <xf numFmtId="3" fontId="64" fillId="27" borderId="9" xfId="89" applyNumberFormat="1" applyFont="1" applyFill="1" applyBorder="1" applyAlignment="1">
      <alignment horizontal="center" vertical="center"/>
      <protection/>
    </xf>
    <xf numFmtId="3" fontId="65" fillId="27" borderId="9" xfId="88" applyNumberFormat="1" applyFont="1" applyFill="1" applyBorder="1" applyAlignment="1">
      <alignment horizontal="center" vertical="center" wrapText="1"/>
      <protection/>
    </xf>
    <xf numFmtId="0" fontId="26" fillId="27" borderId="9" xfId="88" applyFont="1" applyFill="1" applyBorder="1" applyAlignment="1">
      <alignment vertical="center" wrapText="1"/>
      <protection/>
    </xf>
    <xf numFmtId="0" fontId="26" fillId="27" borderId="9" xfId="88" applyFont="1" applyFill="1" applyBorder="1" applyAlignment="1">
      <alignment horizontal="left" vertical="center" wrapText="1"/>
      <protection/>
    </xf>
    <xf numFmtId="0" fontId="64" fillId="27" borderId="9" xfId="88" applyFont="1" applyFill="1" applyBorder="1" applyAlignment="1">
      <alignment horizontal="left" vertical="center" wrapText="1"/>
      <protection/>
    </xf>
    <xf numFmtId="3" fontId="26" fillId="27" borderId="0" xfId="88" applyNumberFormat="1" applyFont="1" applyFill="1" applyBorder="1">
      <alignment/>
      <protection/>
    </xf>
    <xf numFmtId="0" fontId="61" fillId="27" borderId="0" xfId="88" applyFont="1" applyFill="1">
      <alignment/>
      <protection/>
    </xf>
    <xf numFmtId="0" fontId="61" fillId="27" borderId="0" xfId="88" applyFont="1" applyFill="1" applyAlignment="1">
      <alignment vertical="center"/>
      <protection/>
    </xf>
    <xf numFmtId="3" fontId="20" fillId="27" borderId="0" xfId="88" applyNumberFormat="1" applyFont="1" applyFill="1" applyBorder="1">
      <alignment/>
      <protection/>
    </xf>
    <xf numFmtId="3" fontId="26" fillId="27" borderId="0" xfId="88" applyNumberFormat="1" applyFont="1" applyFill="1" applyBorder="1">
      <alignment/>
      <protection/>
    </xf>
    <xf numFmtId="0" fontId="17" fillId="27" borderId="0" xfId="88" applyFont="1" applyFill="1" applyBorder="1" applyAlignment="1">
      <alignment horizontal="center"/>
      <protection/>
    </xf>
    <xf numFmtId="3" fontId="23" fillId="27" borderId="9" xfId="88" applyNumberFormat="1" applyFont="1" applyFill="1" applyBorder="1" applyAlignment="1">
      <alignment horizontal="center" vertical="center"/>
      <protection/>
    </xf>
    <xf numFmtId="9" fontId="23" fillId="27" borderId="9" xfId="88" applyNumberFormat="1" applyFont="1" applyFill="1" applyBorder="1" applyAlignment="1">
      <alignment horizontal="center" vertical="center"/>
      <protection/>
    </xf>
    <xf numFmtId="10" fontId="23" fillId="27" borderId="9" xfId="88" applyNumberFormat="1" applyFont="1" applyFill="1" applyBorder="1" applyAlignment="1">
      <alignment horizontal="center" vertical="center"/>
      <protection/>
    </xf>
    <xf numFmtId="9" fontId="23" fillId="27" borderId="9" xfId="88" applyNumberFormat="1" applyFont="1" applyFill="1" applyBorder="1" applyAlignment="1">
      <alignment horizontal="center" vertical="center"/>
      <protection/>
    </xf>
    <xf numFmtId="9" fontId="23" fillId="27" borderId="9" xfId="88" applyNumberFormat="1" applyFont="1" applyFill="1" applyBorder="1" applyAlignment="1">
      <alignment horizontal="left" vertical="center" indent="2"/>
      <protection/>
    </xf>
    <xf numFmtId="0" fontId="17" fillId="27" borderId="0" xfId="88" applyFont="1" applyFill="1" applyAlignment="1">
      <alignment horizontal="left"/>
      <protection/>
    </xf>
    <xf numFmtId="0" fontId="0" fillId="27" borderId="0" xfId="0" applyFill="1" applyAlignment="1">
      <alignment horizontal="right"/>
    </xf>
    <xf numFmtId="0" fontId="66" fillId="27" borderId="0" xfId="88" applyFont="1" applyFill="1" applyBorder="1" applyAlignment="1">
      <alignment horizontal="center"/>
      <protection/>
    </xf>
    <xf numFmtId="0" fontId="61" fillId="27" borderId="0" xfId="88" applyFill="1" applyBorder="1" applyAlignment="1">
      <alignment/>
      <protection/>
    </xf>
    <xf numFmtId="0" fontId="61" fillId="27" borderId="0" xfId="88" applyFill="1" applyAlignment="1">
      <alignment vertical="center"/>
      <protection/>
    </xf>
    <xf numFmtId="0" fontId="67" fillId="27" borderId="0" xfId="88" applyFont="1" applyFill="1">
      <alignment/>
      <protection/>
    </xf>
    <xf numFmtId="0" fontId="19" fillId="27" borderId="9" xfId="88" applyFont="1" applyFill="1" applyBorder="1" applyAlignment="1">
      <alignment horizontal="center" vertical="center" wrapText="1"/>
      <protection/>
    </xf>
    <xf numFmtId="0" fontId="67" fillId="27" borderId="9" xfId="88" applyFont="1" applyFill="1" applyBorder="1" applyAlignment="1">
      <alignment horizontal="center" vertical="center" wrapText="1"/>
      <protection/>
    </xf>
    <xf numFmtId="0" fontId="64" fillId="27" borderId="9" xfId="88" applyFont="1" applyFill="1" applyBorder="1" applyAlignment="1">
      <alignment/>
      <protection/>
    </xf>
    <xf numFmtId="0" fontId="64" fillId="27" borderId="9" xfId="88" applyFont="1" applyFill="1" applyBorder="1" applyAlignment="1">
      <alignment horizontal="center" vertical="center"/>
      <protection/>
    </xf>
    <xf numFmtId="0" fontId="64" fillId="27" borderId="9" xfId="88" applyFont="1" applyFill="1" applyBorder="1" applyAlignment="1">
      <alignment horizontal="right"/>
      <protection/>
    </xf>
    <xf numFmtId="3" fontId="64" fillId="27" borderId="9" xfId="88" applyNumberFormat="1" applyFont="1" applyFill="1" applyBorder="1" applyAlignment="1">
      <alignment horizontal="center" vertical="center" wrapText="1"/>
      <protection/>
    </xf>
    <xf numFmtId="10" fontId="26" fillId="27" borderId="9" xfId="120" applyNumberFormat="1" applyFont="1" applyFill="1" applyBorder="1" applyAlignment="1">
      <alignment horizontal="center" vertical="center"/>
    </xf>
    <xf numFmtId="10" fontId="64" fillId="27" borderId="9" xfId="120" applyNumberFormat="1" applyFont="1" applyFill="1" applyBorder="1" applyAlignment="1">
      <alignment horizontal="center" vertical="center" wrapText="1"/>
    </xf>
    <xf numFmtId="3" fontId="64" fillId="27" borderId="9" xfId="89" applyNumberFormat="1" applyFont="1" applyFill="1" applyBorder="1" applyAlignment="1">
      <alignment horizontal="center" vertical="center"/>
      <protection/>
    </xf>
    <xf numFmtId="3" fontId="26" fillId="27" borderId="9" xfId="88" applyNumberFormat="1" applyFont="1" applyFill="1" applyBorder="1" applyAlignment="1">
      <alignment horizontal="center" vertical="center"/>
      <protection/>
    </xf>
    <xf numFmtId="3" fontId="21" fillId="27" borderId="9" xfId="88" applyNumberFormat="1" applyFont="1" applyFill="1" applyBorder="1" applyAlignment="1">
      <alignment horizontal="center" vertical="center" wrapText="1"/>
      <protection/>
    </xf>
    <xf numFmtId="3" fontId="26" fillId="27" borderId="9" xfId="88" applyNumberFormat="1" applyFont="1" applyFill="1" applyBorder="1" applyAlignment="1">
      <alignment horizontal="center" vertical="center" wrapText="1"/>
      <protection/>
    </xf>
    <xf numFmtId="9" fontId="23" fillId="27" borderId="9" xfId="0" applyNumberFormat="1" applyFont="1" applyFill="1" applyBorder="1" applyAlignment="1">
      <alignment horizontal="center" vertical="center"/>
    </xf>
    <xf numFmtId="3" fontId="23" fillId="27" borderId="9" xfId="88" applyNumberFormat="1" applyFont="1" applyFill="1" applyBorder="1" applyAlignment="1">
      <alignment horizontal="left" vertical="center" wrapText="1"/>
      <protection/>
    </xf>
    <xf numFmtId="4" fontId="23" fillId="27" borderId="9" xfId="0" applyNumberFormat="1" applyFont="1" applyFill="1" applyBorder="1" applyAlignment="1">
      <alignment horizontal="left" vertical="center" wrapText="1"/>
    </xf>
    <xf numFmtId="4" fontId="23" fillId="27" borderId="9" xfId="0" applyNumberFormat="1" applyFont="1" applyFill="1" applyBorder="1" applyAlignment="1">
      <alignment horizontal="center" vertical="center"/>
    </xf>
    <xf numFmtId="9" fontId="22" fillId="27" borderId="9" xfId="88" applyNumberFormat="1" applyFont="1" applyFill="1" applyBorder="1" applyAlignment="1">
      <alignment horizontal="center" vertical="center"/>
      <protection/>
    </xf>
    <xf numFmtId="0" fontId="19" fillId="27" borderId="9" xfId="0" applyFont="1" applyFill="1" applyBorder="1" applyAlignment="1">
      <alignment horizontal="center" vertical="center" wrapText="1"/>
    </xf>
    <xf numFmtId="3" fontId="24" fillId="27" borderId="0" xfId="88" applyNumberFormat="1" applyFont="1" applyFill="1" applyBorder="1">
      <alignment/>
      <protection/>
    </xf>
    <xf numFmtId="0" fontId="29" fillId="27" borderId="0" xfId="88" applyFont="1" applyFill="1">
      <alignment/>
      <protection/>
    </xf>
    <xf numFmtId="0" fontId="68" fillId="27" borderId="0" xfId="88" applyFont="1" applyFill="1">
      <alignment/>
      <protection/>
    </xf>
    <xf numFmtId="0" fontId="32" fillId="27" borderId="9" xfId="88" applyFont="1" applyFill="1" applyBorder="1" applyAlignment="1">
      <alignment horizontal="center" vertical="center"/>
      <protection/>
    </xf>
    <xf numFmtId="0" fontId="32" fillId="27" borderId="9" xfId="88" applyFont="1" applyFill="1" applyBorder="1" applyAlignment="1">
      <alignment horizontal="center"/>
      <protection/>
    </xf>
    <xf numFmtId="0" fontId="32" fillId="27" borderId="9" xfId="88" applyFont="1" applyFill="1" applyBorder="1">
      <alignment/>
      <protection/>
    </xf>
    <xf numFmtId="0" fontId="61" fillId="27" borderId="0" xfId="88" applyFill="1" applyAlignment="1">
      <alignment wrapText="1"/>
      <protection/>
    </xf>
    <xf numFmtId="3" fontId="25" fillId="27" borderId="9" xfId="88" applyNumberFormat="1" applyFont="1" applyFill="1" applyBorder="1" applyAlignment="1">
      <alignment horizontal="left" vertical="center" wrapText="1"/>
      <protection/>
    </xf>
    <xf numFmtId="10" fontId="22" fillId="27" borderId="9" xfId="120" applyNumberFormat="1" applyFont="1" applyFill="1" applyBorder="1" applyAlignment="1">
      <alignment horizontal="center" vertical="center" wrapText="1"/>
    </xf>
    <xf numFmtId="3" fontId="22" fillId="27" borderId="9" xfId="88" applyNumberFormat="1" applyFont="1" applyFill="1" applyBorder="1" applyAlignment="1">
      <alignment horizontal="center" vertical="center" wrapText="1"/>
      <protection/>
    </xf>
    <xf numFmtId="0" fontId="22" fillId="27" borderId="9" xfId="88" applyFont="1" applyFill="1" applyBorder="1" applyAlignment="1">
      <alignment horizontal="center" vertical="center" wrapText="1"/>
      <protection/>
    </xf>
    <xf numFmtId="0" fontId="68" fillId="27" borderId="0" xfId="88" applyFont="1" applyFill="1" applyAlignment="1">
      <alignment wrapText="1"/>
      <protection/>
    </xf>
    <xf numFmtId="0" fontId="25" fillId="27" borderId="9" xfId="88" applyFont="1" applyFill="1" applyBorder="1" applyAlignment="1">
      <alignment horizontal="left" vertical="center" wrapText="1"/>
      <protection/>
    </xf>
    <xf numFmtId="9" fontId="25" fillId="27" borderId="9" xfId="120" applyNumberFormat="1" applyFont="1" applyFill="1" applyBorder="1" applyAlignment="1">
      <alignment horizontal="center" vertical="center" wrapText="1"/>
    </xf>
    <xf numFmtId="10" fontId="25" fillId="27" borderId="17" xfId="120" applyNumberFormat="1" applyFont="1" applyFill="1" applyBorder="1" applyAlignment="1">
      <alignment horizontal="center" vertical="center" wrapText="1"/>
    </xf>
    <xf numFmtId="0" fontId="68" fillId="27" borderId="0" xfId="88" applyFont="1" applyFill="1" applyAlignment="1">
      <alignment wrapText="1"/>
      <protection/>
    </xf>
    <xf numFmtId="3" fontId="25" fillId="27" borderId="17" xfId="88" applyNumberFormat="1" applyFont="1" applyFill="1" applyBorder="1" applyAlignment="1">
      <alignment horizontal="center" vertical="center" wrapText="1"/>
      <protection/>
    </xf>
    <xf numFmtId="10" fontId="25" fillId="27" borderId="9" xfId="120" applyNumberFormat="1" applyFont="1" applyFill="1" applyBorder="1" applyAlignment="1">
      <alignment horizontal="center" vertical="center" wrapText="1"/>
    </xf>
    <xf numFmtId="3" fontId="25" fillId="27" borderId="9" xfId="88" applyNumberFormat="1" applyFont="1" applyFill="1" applyBorder="1" applyAlignment="1">
      <alignment horizontal="center" vertical="center" wrapText="1"/>
      <protection/>
    </xf>
    <xf numFmtId="0" fontId="25" fillId="27" borderId="9" xfId="88" applyFont="1" applyFill="1" applyBorder="1" applyAlignment="1">
      <alignment horizontal="center" vertical="center" wrapText="1"/>
      <protection/>
    </xf>
    <xf numFmtId="0" fontId="32" fillId="27" borderId="9" xfId="88" applyFont="1" applyFill="1" applyBorder="1" applyAlignment="1">
      <alignment horizontal="center" vertical="center" wrapText="1"/>
      <protection/>
    </xf>
    <xf numFmtId="0" fontId="61" fillId="27" borderId="0" xfId="88" applyFill="1" applyAlignment="1">
      <alignment horizontal="center" vertical="center"/>
      <protection/>
    </xf>
    <xf numFmtId="0" fontId="17" fillId="27" borderId="0" xfId="88" applyFont="1" applyFill="1" applyAlignment="1">
      <alignment wrapText="1"/>
      <protection/>
    </xf>
    <xf numFmtId="0" fontId="17" fillId="27" borderId="0" xfId="88" applyFont="1" applyFill="1" applyAlignment="1">
      <alignment horizontal="center"/>
      <protection/>
    </xf>
    <xf numFmtId="3" fontId="22" fillId="27" borderId="9" xfId="88" applyNumberFormat="1" applyFont="1" applyFill="1" applyBorder="1" applyAlignment="1">
      <alignment horizontal="center" vertical="center"/>
      <protection/>
    </xf>
    <xf numFmtId="0" fontId="26" fillId="0" borderId="9" xfId="88" applyFont="1" applyBorder="1" applyAlignment="1">
      <alignment horizontal="left" vertical="top" wrapText="1"/>
      <protection/>
    </xf>
    <xf numFmtId="0" fontId="26" fillId="0" borderId="9" xfId="88" applyFont="1" applyFill="1" applyBorder="1" applyAlignment="1">
      <alignment horizontal="left" vertical="top" wrapText="1"/>
      <protection/>
    </xf>
    <xf numFmtId="0" fontId="20" fillId="0" borderId="9" xfId="88" applyFont="1" applyBorder="1" applyAlignment="1">
      <alignment horizontal="justify" wrapText="1"/>
      <protection/>
    </xf>
    <xf numFmtId="0" fontId="20" fillId="25" borderId="9" xfId="88" applyFont="1" applyFill="1" applyBorder="1" applyAlignment="1">
      <alignment horizontal="justify" wrapText="1"/>
      <protection/>
    </xf>
    <xf numFmtId="0" fontId="20" fillId="0" borderId="9" xfId="88" applyFont="1" applyBorder="1" applyAlignment="1">
      <alignment vertical="top" wrapText="1"/>
      <protection/>
    </xf>
    <xf numFmtId="0" fontId="21" fillId="27" borderId="9" xfId="93" applyFont="1" applyFill="1" applyBorder="1" applyAlignment="1">
      <alignment horizontal="center" vertical="center" wrapText="1"/>
      <protection/>
    </xf>
    <xf numFmtId="9" fontId="21" fillId="27" borderId="9" xfId="88" applyNumberFormat="1" applyFont="1" applyFill="1" applyBorder="1" applyAlignment="1">
      <alignment horizontal="center" vertical="center"/>
      <protection/>
    </xf>
    <xf numFmtId="3" fontId="21" fillId="27" borderId="9" xfId="88" applyNumberFormat="1" applyFont="1" applyFill="1" applyBorder="1" applyAlignment="1">
      <alignment horizontal="left" vertical="top" wrapText="1"/>
      <protection/>
    </xf>
    <xf numFmtId="3" fontId="21" fillId="27" borderId="9" xfId="91" applyNumberFormat="1" applyFont="1" applyFill="1" applyBorder="1" applyAlignment="1">
      <alignment horizontal="center" vertical="center"/>
      <protection/>
    </xf>
    <xf numFmtId="0" fontId="26" fillId="27" borderId="18" xfId="0" applyFont="1" applyFill="1" applyBorder="1" applyAlignment="1">
      <alignment horizontal="center" vertical="center" wrapText="1"/>
    </xf>
    <xf numFmtId="3" fontId="64" fillId="27" borderId="9" xfId="88" applyNumberFormat="1" applyFont="1" applyFill="1" applyBorder="1" applyAlignment="1">
      <alignment horizontal="justify" vertical="top" wrapText="1"/>
      <protection/>
    </xf>
    <xf numFmtId="3" fontId="26" fillId="27" borderId="9" xfId="88" applyNumberFormat="1" applyFont="1" applyFill="1" applyBorder="1" applyAlignment="1">
      <alignment horizontal="justify" vertical="top" wrapText="1"/>
      <protection/>
    </xf>
    <xf numFmtId="0" fontId="21" fillId="27" borderId="9" xfId="88" applyFont="1" applyFill="1" applyBorder="1" applyAlignment="1">
      <alignment horizontal="left" vertical="center" wrapText="1"/>
      <protection/>
    </xf>
    <xf numFmtId="0" fontId="21" fillId="27" borderId="9" xfId="88" applyFont="1" applyFill="1" applyBorder="1" applyAlignment="1">
      <alignment horizontal="right" vertical="center" wrapText="1"/>
      <protection/>
    </xf>
    <xf numFmtId="3" fontId="21" fillId="27" borderId="9" xfId="88" applyNumberFormat="1" applyFont="1" applyFill="1" applyBorder="1" applyAlignment="1">
      <alignment horizontal="right" vertical="center" wrapText="1"/>
      <protection/>
    </xf>
    <xf numFmtId="0" fontId="21" fillId="27" borderId="9" xfId="89" applyFont="1" applyFill="1" applyBorder="1" applyAlignment="1">
      <alignment horizontal="center" vertical="center" wrapText="1"/>
      <protection/>
    </xf>
    <xf numFmtId="0" fontId="26" fillId="27" borderId="9" xfId="88" applyFont="1" applyFill="1" applyBorder="1" applyAlignment="1">
      <alignment horizontal="left" vertical="center" wrapText="1"/>
      <protection/>
    </xf>
    <xf numFmtId="0" fontId="0" fillId="0" borderId="9" xfId="0" applyFont="1" applyFill="1" applyBorder="1" applyAlignment="1">
      <alignment horizontal="left" vertical="center" wrapText="1"/>
    </xf>
    <xf numFmtId="0" fontId="22" fillId="27" borderId="9" xfId="88" applyFont="1" applyFill="1" applyBorder="1" applyAlignment="1">
      <alignment horizontal="center" vertical="center" wrapText="1"/>
      <protection/>
    </xf>
    <xf numFmtId="0" fontId="21" fillId="27" borderId="9" xfId="88" applyFont="1" applyFill="1" applyBorder="1" applyAlignment="1">
      <alignment horizontal="center" vertical="center"/>
      <protection/>
    </xf>
    <xf numFmtId="0" fontId="21" fillId="27" borderId="9" xfId="88" applyFont="1" applyFill="1" applyBorder="1" applyAlignment="1">
      <alignment vertical="center"/>
      <protection/>
    </xf>
    <xf numFmtId="0" fontId="21" fillId="27" borderId="9" xfId="88" applyFont="1" applyFill="1" applyBorder="1" applyAlignment="1">
      <alignment horizontal="center" vertical="center" wrapText="1"/>
      <protection/>
    </xf>
    <xf numFmtId="3" fontId="21" fillId="27" borderId="9" xfId="88" applyNumberFormat="1" applyFont="1" applyFill="1" applyBorder="1" applyAlignment="1">
      <alignment horizontal="right" vertical="center"/>
      <protection/>
    </xf>
    <xf numFmtId="9" fontId="21" fillId="27" borderId="9" xfId="88" applyNumberFormat="1" applyFont="1" applyFill="1" applyBorder="1" applyAlignment="1">
      <alignment horizontal="right" vertical="center"/>
      <protection/>
    </xf>
    <xf numFmtId="3" fontId="21" fillId="27" borderId="9" xfId="88" applyNumberFormat="1" applyFont="1" applyFill="1" applyBorder="1" applyAlignment="1">
      <alignment horizontal="left" vertical="center" wrapText="1"/>
      <protection/>
    </xf>
    <xf numFmtId="0" fontId="26" fillId="27" borderId="9" xfId="88" applyFont="1" applyFill="1" applyBorder="1" applyAlignment="1">
      <alignment vertical="center" wrapText="1"/>
      <protection/>
    </xf>
    <xf numFmtId="0" fontId="0" fillId="27" borderId="0" xfId="0" applyFont="1" applyFill="1" applyAlignment="1">
      <alignment/>
    </xf>
    <xf numFmtId="0" fontId="0" fillId="0" borderId="0" xfId="0" applyFont="1" applyAlignment="1">
      <alignment horizontal="left"/>
    </xf>
    <xf numFmtId="0" fontId="68" fillId="0" borderId="0" xfId="88" applyFont="1" applyBorder="1">
      <alignment/>
      <protection/>
    </xf>
    <xf numFmtId="3" fontId="68" fillId="0" borderId="0" xfId="88" applyNumberFormat="1" applyFont="1" applyBorder="1">
      <alignment/>
      <protection/>
    </xf>
    <xf numFmtId="0" fontId="61" fillId="0" borderId="0" xfId="88" applyFont="1">
      <alignment/>
      <protection/>
    </xf>
    <xf numFmtId="0" fontId="61" fillId="0" borderId="0" xfId="88" applyFont="1" applyFill="1">
      <alignment/>
      <protection/>
    </xf>
    <xf numFmtId="3" fontId="17" fillId="0" borderId="0" xfId="88" applyNumberFormat="1" applyFont="1" applyFill="1" applyBorder="1">
      <alignment/>
      <protection/>
    </xf>
    <xf numFmtId="3" fontId="17" fillId="0" borderId="0" xfId="88" applyNumberFormat="1" applyFont="1" applyBorder="1">
      <alignment/>
      <protection/>
    </xf>
    <xf numFmtId="220" fontId="17" fillId="0" borderId="0" xfId="88" applyNumberFormat="1" applyFont="1" applyBorder="1">
      <alignment/>
      <protection/>
    </xf>
    <xf numFmtId="0" fontId="68" fillId="0" borderId="0" xfId="88" applyFont="1">
      <alignment/>
      <protection/>
    </xf>
    <xf numFmtId="3" fontId="0" fillId="0" borderId="0" xfId="88" applyNumberFormat="1" applyFont="1" applyBorder="1">
      <alignment/>
      <protection/>
    </xf>
    <xf numFmtId="220" fontId="61" fillId="0" borderId="0" xfId="88" applyNumberFormat="1" applyFont="1">
      <alignment/>
      <protection/>
    </xf>
    <xf numFmtId="220" fontId="0" fillId="0" borderId="0" xfId="88" applyNumberFormat="1" applyFont="1" applyBorder="1">
      <alignment/>
      <protection/>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9" fontId="0" fillId="0" borderId="0" xfId="88" applyNumberFormat="1" applyFont="1" applyBorder="1" applyAlignment="1">
      <alignment horizontal="center" vertical="center"/>
      <protection/>
    </xf>
    <xf numFmtId="3" fontId="0" fillId="0" borderId="0" xfId="0" applyNumberFormat="1" applyFont="1" applyAlignment="1">
      <alignment/>
    </xf>
    <xf numFmtId="0" fontId="21" fillId="27" borderId="0" xfId="88" applyFont="1" applyFill="1" applyAlignment="1">
      <alignment vertical="center"/>
      <protection/>
    </xf>
    <xf numFmtId="3" fontId="26" fillId="27" borderId="0" xfId="88" applyNumberFormat="1" applyFont="1" applyFill="1" applyAlignment="1">
      <alignment vertical="center"/>
      <protection/>
    </xf>
    <xf numFmtId="0" fontId="0" fillId="0" borderId="19" xfId="0" applyBorder="1" applyAlignment="1">
      <alignment/>
    </xf>
    <xf numFmtId="0" fontId="17" fillId="0" borderId="0" xfId="0" applyFont="1" applyBorder="1" applyAlignment="1">
      <alignment/>
    </xf>
    <xf numFmtId="0" fontId="17" fillId="0" borderId="19" xfId="0" applyFont="1" applyBorder="1" applyAlignment="1">
      <alignment/>
    </xf>
    <xf numFmtId="0" fontId="58" fillId="0" borderId="0" xfId="0" applyFont="1" applyAlignment="1">
      <alignment/>
    </xf>
    <xf numFmtId="0" fontId="58" fillId="0" borderId="0" xfId="0" applyFont="1" applyAlignment="1">
      <alignment horizontal="justify" vertical="center"/>
    </xf>
    <xf numFmtId="0" fontId="58" fillId="0" borderId="0" xfId="0" applyFont="1" applyAlignment="1">
      <alignment horizontal="center"/>
    </xf>
    <xf numFmtId="0" fontId="17" fillId="20" borderId="9" xfId="0" applyFont="1" applyFill="1" applyBorder="1" applyAlignment="1">
      <alignment horizontal="center" vertical="center" wrapText="1"/>
    </xf>
    <xf numFmtId="0" fontId="0" fillId="0" borderId="9" xfId="0" applyBorder="1" applyAlignment="1">
      <alignment horizontal="center" vertical="center" wrapText="1"/>
    </xf>
    <xf numFmtId="0" fontId="19" fillId="20" borderId="9" xfId="0" applyFont="1" applyFill="1" applyBorder="1" applyAlignment="1">
      <alignment horizontal="center" vertical="center"/>
    </xf>
    <xf numFmtId="0" fontId="19" fillId="20" borderId="9" xfId="0" applyFont="1" applyFill="1" applyBorder="1" applyAlignment="1">
      <alignment horizontal="center" vertical="center" wrapText="1"/>
    </xf>
    <xf numFmtId="0" fontId="0" fillId="0" borderId="9" xfId="0" applyBorder="1" applyAlignment="1">
      <alignment horizontal="center" vertical="center"/>
    </xf>
    <xf numFmtId="0" fontId="19" fillId="20" borderId="11" xfId="0" applyFont="1" applyFill="1" applyBorder="1" applyAlignment="1">
      <alignment horizontal="center" vertical="center" wrapText="1"/>
    </xf>
    <xf numFmtId="0" fontId="19" fillId="20" borderId="12" xfId="0" applyFont="1" applyFill="1" applyBorder="1" applyAlignment="1">
      <alignment horizontal="center" vertical="center" wrapText="1"/>
    </xf>
    <xf numFmtId="0" fontId="19" fillId="20" borderId="20" xfId="0" applyFont="1" applyFill="1" applyBorder="1" applyAlignment="1">
      <alignment horizontal="center" vertical="center" wrapText="1"/>
    </xf>
    <xf numFmtId="0" fontId="19" fillId="20" borderId="15" xfId="0" applyFont="1" applyFill="1" applyBorder="1" applyAlignment="1">
      <alignment horizontal="center" vertical="center" wrapText="1"/>
    </xf>
    <xf numFmtId="0" fontId="19" fillId="20" borderId="21" xfId="0" applyFont="1" applyFill="1" applyBorder="1" applyAlignment="1">
      <alignment horizontal="center" vertical="center" wrapText="1"/>
    </xf>
    <xf numFmtId="0" fontId="19" fillId="20" borderId="22" xfId="0" applyFont="1" applyFill="1" applyBorder="1" applyAlignment="1">
      <alignment horizontal="center" vertical="center" wrapText="1"/>
    </xf>
    <xf numFmtId="0" fontId="0" fillId="0" borderId="9" xfId="0" applyBorder="1" applyAlignment="1">
      <alignment/>
    </xf>
    <xf numFmtId="0" fontId="0" fillId="0" borderId="9" xfId="0" applyBorder="1" applyAlignment="1">
      <alignment/>
    </xf>
    <xf numFmtId="0" fontId="0" fillId="27" borderId="11" xfId="0" applyFill="1" applyBorder="1" applyAlignment="1">
      <alignment horizontal="center" wrapText="1"/>
    </xf>
    <xf numFmtId="0" fontId="0" fillId="27" borderId="20" xfId="0" applyFill="1" applyBorder="1" applyAlignment="1">
      <alignment horizontal="center" wrapText="1"/>
    </xf>
    <xf numFmtId="0" fontId="0" fillId="0" borderId="0" xfId="0" applyFont="1" applyAlignment="1">
      <alignment horizontal="left" wrapText="1"/>
    </xf>
    <xf numFmtId="0" fontId="66" fillId="27" borderId="0" xfId="88" applyFont="1" applyFill="1" applyBorder="1" applyAlignment="1">
      <alignment horizontal="center"/>
      <protection/>
    </xf>
    <xf numFmtId="0" fontId="19" fillId="27" borderId="9" xfId="88" applyFont="1" applyFill="1" applyBorder="1" applyAlignment="1">
      <alignment horizontal="center" vertical="center" wrapText="1"/>
      <protection/>
    </xf>
    <xf numFmtId="0" fontId="67" fillId="27" borderId="9" xfId="88" applyFont="1" applyFill="1" applyBorder="1" applyAlignment="1">
      <alignment/>
      <protection/>
    </xf>
    <xf numFmtId="0" fontId="67" fillId="27" borderId="9" xfId="88" applyFont="1" applyFill="1" applyBorder="1" applyAlignment="1">
      <alignment horizontal="center" vertical="center"/>
      <protection/>
    </xf>
    <xf numFmtId="0" fontId="19" fillId="27" borderId="9" xfId="0" applyFont="1" applyFill="1" applyBorder="1" applyAlignment="1">
      <alignment horizontal="center" vertical="center" wrapText="1"/>
    </xf>
    <xf numFmtId="0" fontId="0" fillId="27" borderId="9" xfId="0" applyFill="1" applyBorder="1" applyAlignment="1">
      <alignment horizontal="center" vertical="center" wrapText="1"/>
    </xf>
    <xf numFmtId="0" fontId="67" fillId="27" borderId="9" xfId="88" applyFont="1" applyFill="1" applyBorder="1" applyAlignment="1">
      <alignment horizontal="center" vertical="center" wrapText="1"/>
      <protection/>
    </xf>
    <xf numFmtId="0" fontId="19" fillId="27" borderId="9" xfId="88" applyFont="1" applyFill="1" applyBorder="1" applyAlignment="1">
      <alignment horizontal="center" vertical="center"/>
      <protection/>
    </xf>
    <xf numFmtId="0" fontId="19" fillId="27" borderId="11" xfId="88" applyFont="1" applyFill="1" applyBorder="1" applyAlignment="1">
      <alignment horizontal="center" vertical="center" wrapText="1"/>
      <protection/>
    </xf>
    <xf numFmtId="0" fontId="19" fillId="27" borderId="12" xfId="88" applyFont="1" applyFill="1" applyBorder="1" applyAlignment="1">
      <alignment horizontal="center" vertical="center" wrapText="1"/>
      <protection/>
    </xf>
    <xf numFmtId="0" fontId="19" fillId="27" borderId="20" xfId="88" applyFont="1" applyFill="1" applyBorder="1" applyAlignment="1">
      <alignment horizontal="center" vertical="center" wrapText="1"/>
      <protection/>
    </xf>
    <xf numFmtId="0" fontId="0" fillId="27" borderId="0" xfId="0" applyFont="1" applyFill="1" applyAlignment="1">
      <alignment horizontal="left" wrapText="1"/>
    </xf>
    <xf numFmtId="0" fontId="25" fillId="20" borderId="9" xfId="88" applyFont="1" applyFill="1" applyBorder="1" applyAlignment="1">
      <alignment horizontal="center" vertical="center" wrapText="1"/>
      <protection/>
    </xf>
    <xf numFmtId="0" fontId="29" fillId="0" borderId="9" xfId="88" applyFont="1" applyBorder="1" applyAlignment="1">
      <alignment/>
      <protection/>
    </xf>
    <xf numFmtId="0" fontId="32" fillId="20" borderId="9" xfId="88" applyFont="1" applyFill="1" applyBorder="1" applyAlignment="1">
      <alignment horizontal="center" vertical="center" wrapText="1"/>
      <protection/>
    </xf>
    <xf numFmtId="0" fontId="29" fillId="0" borderId="9" xfId="88" applyFont="1" applyBorder="1" applyAlignment="1">
      <alignment horizontal="center" vertical="center" wrapText="1"/>
      <protection/>
    </xf>
    <xf numFmtId="0" fontId="29" fillId="0" borderId="9" xfId="88" applyFont="1" applyBorder="1" applyAlignment="1">
      <alignment horizontal="center" vertical="center"/>
      <protection/>
    </xf>
    <xf numFmtId="0" fontId="25" fillId="20" borderId="9" xfId="88" applyFont="1" applyFill="1" applyBorder="1" applyAlignment="1">
      <alignment horizontal="center" vertical="center"/>
      <protection/>
    </xf>
    <xf numFmtId="0" fontId="32" fillId="0" borderId="0" xfId="88" applyFont="1" applyAlignment="1">
      <alignment horizontal="left" wrapText="1"/>
      <protection/>
    </xf>
    <xf numFmtId="0" fontId="32" fillId="0" borderId="9" xfId="88" applyFont="1" applyFill="1" applyBorder="1" applyAlignment="1">
      <alignment horizontal="right" vertical="center"/>
      <protection/>
    </xf>
    <xf numFmtId="0" fontId="32" fillId="20" borderId="9" xfId="88" applyFont="1" applyFill="1" applyBorder="1" applyAlignment="1">
      <alignment horizontal="right" vertical="center"/>
      <protection/>
    </xf>
    <xf numFmtId="3" fontId="21" fillId="27" borderId="11" xfId="88" applyNumberFormat="1" applyFont="1" applyFill="1" applyBorder="1" applyAlignment="1">
      <alignment horizontal="left" vertical="top" wrapText="1"/>
      <protection/>
    </xf>
    <xf numFmtId="3" fontId="21" fillId="27" borderId="12" xfId="88" applyNumberFormat="1" applyFont="1" applyFill="1" applyBorder="1" applyAlignment="1">
      <alignment horizontal="left" vertical="top" wrapText="1"/>
      <protection/>
    </xf>
    <xf numFmtId="3" fontId="21" fillId="27" borderId="20" xfId="88" applyNumberFormat="1" applyFont="1" applyFill="1" applyBorder="1" applyAlignment="1">
      <alignment horizontal="left" vertical="top" wrapText="1"/>
      <protection/>
    </xf>
    <xf numFmtId="0" fontId="17" fillId="0" borderId="0" xfId="88" applyFont="1" applyAlignment="1">
      <alignment horizontal="left" wrapText="1"/>
      <protection/>
    </xf>
    <xf numFmtId="3" fontId="19" fillId="20" borderId="9" xfId="88" applyNumberFormat="1" applyFont="1" applyFill="1" applyBorder="1" applyAlignment="1">
      <alignment horizontal="center" vertical="center" wrapText="1"/>
      <protection/>
    </xf>
    <xf numFmtId="3" fontId="61" fillId="0" borderId="9" xfId="88" applyNumberFormat="1" applyFont="1" applyBorder="1" applyAlignment="1">
      <alignment horizontal="center" vertical="center" wrapText="1"/>
      <protection/>
    </xf>
    <xf numFmtId="0" fontId="19" fillId="20" borderId="9" xfId="88" applyFont="1" applyFill="1" applyBorder="1" applyAlignment="1">
      <alignment horizontal="center" vertical="center"/>
      <protection/>
    </xf>
    <xf numFmtId="4" fontId="19" fillId="20" borderId="9" xfId="88" applyNumberFormat="1" applyFont="1" applyFill="1" applyBorder="1" applyAlignment="1">
      <alignment horizontal="center" vertical="center"/>
      <protection/>
    </xf>
    <xf numFmtId="0" fontId="19" fillId="20" borderId="9" xfId="88" applyFont="1" applyFill="1" applyBorder="1" applyAlignment="1">
      <alignment horizontal="center" vertical="center" wrapText="1"/>
      <protection/>
    </xf>
    <xf numFmtId="0" fontId="61" fillId="0" borderId="9" xfId="88" applyBorder="1" applyAlignment="1">
      <alignment/>
      <protection/>
    </xf>
    <xf numFmtId="0" fontId="17" fillId="20" borderId="9" xfId="88" applyFont="1" applyFill="1" applyBorder="1" applyAlignment="1">
      <alignment horizontal="center" vertical="center" wrapText="1"/>
      <protection/>
    </xf>
    <xf numFmtId="0" fontId="61" fillId="0" borderId="9" xfId="88" applyBorder="1" applyAlignment="1">
      <alignment horizontal="center" vertical="center" wrapText="1"/>
      <protection/>
    </xf>
    <xf numFmtId="0" fontId="61" fillId="0" borderId="9" xfId="88" applyBorder="1" applyAlignment="1">
      <alignment horizontal="center" vertical="center"/>
      <protection/>
    </xf>
    <xf numFmtId="3" fontId="61" fillId="0" borderId="9" xfId="88" applyNumberFormat="1" applyFont="1" applyBorder="1" applyAlignment="1">
      <alignment horizontal="center" vertical="center"/>
      <protection/>
    </xf>
    <xf numFmtId="4" fontId="19" fillId="20" borderId="9" xfId="88" applyNumberFormat="1" applyFont="1" applyFill="1" applyBorder="1" applyAlignment="1">
      <alignment horizontal="center" vertical="center" wrapText="1"/>
      <protection/>
    </xf>
    <xf numFmtId="0" fontId="21" fillId="0" borderId="15" xfId="88" applyFont="1" applyFill="1" applyBorder="1" applyAlignment="1">
      <alignment horizontal="left" vertical="center"/>
      <protection/>
    </xf>
    <xf numFmtId="0" fontId="21" fillId="0" borderId="22" xfId="88" applyFont="1" applyFill="1" applyBorder="1" applyAlignment="1">
      <alignment horizontal="left" vertical="center"/>
      <protection/>
    </xf>
    <xf numFmtId="0" fontId="25" fillId="27" borderId="9" xfId="88" applyFont="1" applyFill="1" applyBorder="1" applyAlignment="1">
      <alignment horizontal="center" vertical="center"/>
      <protection/>
    </xf>
    <xf numFmtId="0" fontId="25" fillId="27" borderId="9" xfId="0" applyFont="1" applyFill="1" applyBorder="1" applyAlignment="1">
      <alignment horizontal="center" vertical="center" wrapText="1"/>
    </xf>
    <xf numFmtId="0" fontId="32" fillId="27" borderId="9" xfId="88" applyFont="1" applyFill="1" applyBorder="1" applyAlignment="1">
      <alignment horizontal="center" vertical="center" wrapText="1"/>
      <protection/>
    </xf>
    <xf numFmtId="0" fontId="29" fillId="27" borderId="9" xfId="88" applyFont="1" applyFill="1" applyBorder="1" applyAlignment="1">
      <alignment horizontal="center" vertical="center" wrapText="1"/>
      <protection/>
    </xf>
    <xf numFmtId="0" fontId="25" fillId="27" borderId="9" xfId="88" applyFont="1" applyFill="1" applyBorder="1" applyAlignment="1">
      <alignment horizontal="center" vertical="center" wrapText="1"/>
      <protection/>
    </xf>
    <xf numFmtId="0" fontId="29" fillId="27" borderId="9" xfId="88" applyFont="1" applyFill="1" applyBorder="1" applyAlignment="1">
      <alignment horizontal="center" vertical="center"/>
      <protection/>
    </xf>
    <xf numFmtId="0" fontId="29" fillId="27" borderId="9" xfId="88" applyFont="1" applyFill="1" applyBorder="1" applyAlignment="1">
      <alignment/>
      <protection/>
    </xf>
    <xf numFmtId="0" fontId="29" fillId="27" borderId="9" xfId="0" applyFont="1" applyFill="1" applyBorder="1" applyAlignment="1">
      <alignment horizontal="center" vertical="center" wrapText="1"/>
    </xf>
    <xf numFmtId="0" fontId="20" fillId="0" borderId="9" xfId="88" applyFont="1" applyFill="1" applyBorder="1" applyAlignment="1">
      <alignment horizontal="center" vertical="center"/>
      <protection/>
    </xf>
    <xf numFmtId="0" fontId="20" fillId="0" borderId="9" xfId="88" applyFont="1" applyFill="1" applyBorder="1" applyAlignment="1">
      <alignment horizontal="center" vertical="center" wrapText="1"/>
      <protection/>
    </xf>
    <xf numFmtId="0" fontId="26" fillId="0" borderId="9" xfId="88" applyFont="1" applyFill="1" applyBorder="1" applyAlignment="1">
      <alignment horizontal="center" vertical="center" wrapText="1"/>
      <protection/>
    </xf>
    <xf numFmtId="0" fontId="26" fillId="0" borderId="9" xfId="88" applyFont="1" applyFill="1" applyBorder="1" applyAlignment="1">
      <alignment horizontal="center" vertical="center"/>
      <protection/>
    </xf>
    <xf numFmtId="0" fontId="26" fillId="0" borderId="9" xfId="88" applyFont="1" applyFill="1" applyBorder="1" applyAlignment="1">
      <alignment/>
      <protection/>
    </xf>
    <xf numFmtId="0" fontId="1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9" fillId="28" borderId="9" xfId="0" applyFont="1" applyFill="1" applyBorder="1" applyAlignment="1">
      <alignment horizontal="center" vertical="center" wrapText="1"/>
    </xf>
    <xf numFmtId="220" fontId="19" fillId="20" borderId="9" xfId="88" applyNumberFormat="1" applyFont="1" applyFill="1" applyBorder="1" applyAlignment="1">
      <alignment horizontal="center" vertical="center" wrapText="1"/>
      <protection/>
    </xf>
    <xf numFmtId="220" fontId="61" fillId="0" borderId="9" xfId="88" applyNumberFormat="1" applyBorder="1" applyAlignment="1">
      <alignment horizontal="center" vertical="center" wrapText="1"/>
      <protection/>
    </xf>
    <xf numFmtId="220" fontId="61" fillId="0" borderId="9" xfId="88" applyNumberFormat="1" applyBorder="1" applyAlignment="1">
      <alignment horizontal="center" vertical="center"/>
      <protection/>
    </xf>
    <xf numFmtId="0" fontId="26" fillId="0" borderId="0" xfId="0" applyFont="1" applyAlignment="1">
      <alignment horizontal="left" wrapText="1"/>
    </xf>
    <xf numFmtId="0" fontId="19" fillId="20" borderId="23" xfId="88" applyFont="1" applyFill="1" applyBorder="1" applyAlignment="1">
      <alignment horizontal="center" vertical="center" wrapText="1"/>
      <protection/>
    </xf>
    <xf numFmtId="0" fontId="19" fillId="20" borderId="24" xfId="88" applyFont="1" applyFill="1" applyBorder="1" applyAlignment="1">
      <alignment horizontal="center" vertical="center" wrapText="1"/>
      <protection/>
    </xf>
    <xf numFmtId="0" fontId="61" fillId="0" borderId="24" xfId="88" applyBorder="1" applyAlignment="1">
      <alignment/>
      <protection/>
    </xf>
    <xf numFmtId="0" fontId="19" fillId="20" borderId="25" xfId="88" applyFont="1" applyFill="1" applyBorder="1" applyAlignment="1">
      <alignment horizontal="center" vertical="center" wrapText="1"/>
      <protection/>
    </xf>
    <xf numFmtId="0" fontId="61" fillId="0" borderId="26" xfId="88" applyBorder="1" applyAlignment="1">
      <alignment/>
      <protection/>
    </xf>
    <xf numFmtId="0" fontId="19" fillId="20" borderId="27" xfId="88" applyFont="1" applyFill="1" applyBorder="1" applyAlignment="1">
      <alignment horizontal="center" vertical="center" wrapText="1"/>
      <protection/>
    </xf>
    <xf numFmtId="0" fontId="19" fillId="20" borderId="12" xfId="88" applyFont="1" applyFill="1" applyBorder="1" applyAlignment="1">
      <alignment horizontal="center" vertical="center" wrapText="1"/>
      <protection/>
    </xf>
    <xf numFmtId="0" fontId="61" fillId="0" borderId="12" xfId="88" applyBorder="1" applyAlignment="1">
      <alignment horizontal="center" vertical="center"/>
      <protection/>
    </xf>
    <xf numFmtId="0" fontId="61" fillId="0" borderId="12" xfId="88" applyBorder="1" applyAlignment="1">
      <alignment/>
      <protection/>
    </xf>
    <xf numFmtId="0" fontId="19" fillId="20" borderId="15" xfId="88" applyFont="1" applyFill="1" applyBorder="1" applyAlignment="1">
      <alignment horizontal="center" vertical="center"/>
      <protection/>
    </xf>
    <xf numFmtId="4" fontId="19" fillId="20" borderId="21" xfId="88" applyNumberFormat="1" applyFont="1" applyFill="1" applyBorder="1" applyAlignment="1">
      <alignment horizontal="center" vertical="center"/>
      <protection/>
    </xf>
    <xf numFmtId="0" fontId="19" fillId="20" borderId="21" xfId="88" applyFont="1" applyFill="1" applyBorder="1" applyAlignment="1">
      <alignment horizontal="center" vertical="center"/>
      <protection/>
    </xf>
    <xf numFmtId="4" fontId="19" fillId="20" borderId="22" xfId="88" applyNumberFormat="1" applyFont="1" applyFill="1" applyBorder="1" applyAlignment="1">
      <alignment horizontal="center" vertical="center"/>
      <protection/>
    </xf>
    <xf numFmtId="3" fontId="19" fillId="20" borderId="11" xfId="88" applyNumberFormat="1" applyFont="1" applyFill="1" applyBorder="1" applyAlignment="1">
      <alignment horizontal="center" vertical="center" wrapText="1"/>
      <protection/>
    </xf>
    <xf numFmtId="3" fontId="0" fillId="0" borderId="12" xfId="88" applyNumberFormat="1" applyFont="1" applyBorder="1" applyAlignment="1">
      <alignment horizontal="center" vertical="center" wrapText="1"/>
      <protection/>
    </xf>
    <xf numFmtId="0" fontId="19" fillId="20" borderId="28" xfId="88" applyFont="1" applyFill="1" applyBorder="1" applyAlignment="1">
      <alignment horizontal="center" vertical="center" wrapText="1"/>
      <protection/>
    </xf>
    <xf numFmtId="0" fontId="61" fillId="0" borderId="29" xfId="88" applyBorder="1">
      <alignment/>
      <protection/>
    </xf>
    <xf numFmtId="0" fontId="17" fillId="20" borderId="11" xfId="88" applyFont="1" applyFill="1" applyBorder="1" applyAlignment="1">
      <alignment horizontal="center" vertical="center" wrapText="1"/>
      <protection/>
    </xf>
    <xf numFmtId="0" fontId="61" fillId="0" borderId="12" xfId="88" applyBorder="1" applyAlignment="1">
      <alignment horizontal="center" vertical="center" wrapText="1"/>
      <protection/>
    </xf>
    <xf numFmtId="0" fontId="19" fillId="20" borderId="29" xfId="88" applyFont="1" applyFill="1" applyBorder="1" applyAlignment="1">
      <alignment horizontal="center" vertical="center" wrapText="1"/>
      <protection/>
    </xf>
    <xf numFmtId="0" fontId="32" fillId="20" borderId="11" xfId="88" applyFont="1" applyFill="1" applyBorder="1" applyAlignment="1">
      <alignment horizontal="center" vertical="center" wrapText="1"/>
      <protection/>
    </xf>
    <xf numFmtId="0" fontId="29" fillId="0" borderId="12" xfId="88" applyFont="1" applyBorder="1" applyAlignment="1">
      <alignment horizontal="center" vertical="center" wrapText="1"/>
      <protection/>
    </xf>
    <xf numFmtId="0" fontId="57" fillId="0" borderId="0" xfId="0" applyFont="1" applyAlignment="1">
      <alignment horizontal="left"/>
    </xf>
    <xf numFmtId="0" fontId="58" fillId="0" borderId="0" xfId="0" applyFont="1" applyAlignment="1">
      <alignment horizontal="left"/>
    </xf>
    <xf numFmtId="0" fontId="19" fillId="20" borderId="30" xfId="88" applyFont="1" applyFill="1" applyBorder="1" applyAlignment="1">
      <alignment horizontal="center" vertical="center" wrapText="1"/>
      <protection/>
    </xf>
    <xf numFmtId="4" fontId="19" fillId="20" borderId="30" xfId="88" applyNumberFormat="1" applyFont="1" applyFill="1" applyBorder="1" applyAlignment="1">
      <alignment horizontal="center" vertical="center" wrapText="1"/>
      <protection/>
    </xf>
    <xf numFmtId="4" fontId="19" fillId="20" borderId="29" xfId="88" applyNumberFormat="1" applyFont="1" applyFill="1" applyBorder="1" applyAlignment="1">
      <alignment horizontal="center" vertical="center" wrapText="1"/>
      <protection/>
    </xf>
    <xf numFmtId="3" fontId="0" fillId="0" borderId="12" xfId="88" applyNumberFormat="1" applyFont="1" applyBorder="1" applyAlignment="1">
      <alignment horizontal="center" vertical="center"/>
      <protection/>
    </xf>
  </cellXfs>
  <cellStyles count="159">
    <cellStyle name="Normal" xfId="0"/>
    <cellStyle name=" 1"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Bad" xfId="52"/>
    <cellStyle name="Calculation" xfId="53"/>
    <cellStyle name="Check" xfId="54"/>
    <cellStyle name="Check Cell" xfId="55"/>
    <cellStyle name="Comma" xfId="56"/>
    <cellStyle name="Comma [0]" xfId="57"/>
    <cellStyle name="Comma 2" xfId="58"/>
    <cellStyle name="Currency" xfId="59"/>
    <cellStyle name="Currency [0]" xfId="60"/>
    <cellStyle name="Currency 2" xfId="61"/>
    <cellStyle name="Data" xfId="62"/>
    <cellStyle name="estimation" xfId="63"/>
    <cellStyle name="exo" xfId="64"/>
    <cellStyle name="Explanatory Text" xfId="65"/>
    <cellStyle name="Followed Hyperlink" xfId="66"/>
    <cellStyle name="Forecast" xfId="67"/>
    <cellStyle name="Good" xfId="68"/>
    <cellStyle name="Head1" xfId="69"/>
    <cellStyle name="Heading 1" xfId="70"/>
    <cellStyle name="Heading 2" xfId="71"/>
    <cellStyle name="Heading 3" xfId="72"/>
    <cellStyle name="Heading 4" xfId="73"/>
    <cellStyle name="Historical" xfId="74"/>
    <cellStyle name="Hyperlink" xfId="75"/>
    <cellStyle name="Indent0" xfId="76"/>
    <cellStyle name="Indent1" xfId="77"/>
    <cellStyle name="Indent2" xfId="78"/>
    <cellStyle name="Indent3" xfId="79"/>
    <cellStyle name="Indent4" xfId="80"/>
    <cellStyle name="Indent5" xfId="81"/>
    <cellStyle name="info" xfId="82"/>
    <cellStyle name="Input" xfId="83"/>
    <cellStyle name="Koefic." xfId="84"/>
    <cellStyle name="Linked Cell" xfId="85"/>
    <cellStyle name="Neutral" xfId="86"/>
    <cellStyle name="Normal 15" xfId="87"/>
    <cellStyle name="Normal 2" xfId="88"/>
    <cellStyle name="Normal 2 2" xfId="89"/>
    <cellStyle name="Normal 2 2 10" xfId="90"/>
    <cellStyle name="Normal 2 3" xfId="91"/>
    <cellStyle name="Normal 2 4" xfId="92"/>
    <cellStyle name="Normal 2_RAPLM KOPSAVILKUMS_precizets" xfId="93"/>
    <cellStyle name="Normal 3" xfId="94"/>
    <cellStyle name="Normal 30" xfId="95"/>
    <cellStyle name="Normal 30 3" xfId="96"/>
    <cellStyle name="Normal 30 4" xfId="97"/>
    <cellStyle name="Normal 30 8" xfId="98"/>
    <cellStyle name="Normal 30 9" xfId="99"/>
    <cellStyle name="Normal 39" xfId="100"/>
    <cellStyle name="Normal 4" xfId="101"/>
    <cellStyle name="Normal 40" xfId="102"/>
    <cellStyle name="Normal 44" xfId="103"/>
    <cellStyle name="Normal 5" xfId="104"/>
    <cellStyle name="Normal 6" xfId="105"/>
    <cellStyle name="Normal 7" xfId="106"/>
    <cellStyle name="Normal 8" xfId="107"/>
    <cellStyle name="Normal 9" xfId="108"/>
    <cellStyle name="Normal 9 2" xfId="109"/>
    <cellStyle name="Normal_1piel " xfId="110"/>
    <cellStyle name="Normal_ES fondu veidlapa" xfId="111"/>
    <cellStyle name="Normal_ES fondu veidlapa_1" xfId="112"/>
    <cellStyle name="Normal_LM_pasakumu_finansu_plans_final_14.03.2007" xfId="113"/>
    <cellStyle name="Normal_sam" xfId="114"/>
    <cellStyle name="Note" xfId="115"/>
    <cellStyle name="Note 2" xfId="116"/>
    <cellStyle name="Output" xfId="117"/>
    <cellStyle name="Parastais_Registrs" xfId="118"/>
    <cellStyle name="Percent" xfId="119"/>
    <cellStyle name="Percent 2" xfId="120"/>
    <cellStyle name="Percent 2 2" xfId="121"/>
    <cellStyle name="Pie??m." xfId="122"/>
    <cellStyle name="residual" xfId="123"/>
    <cellStyle name="SAPBEXaggData" xfId="124"/>
    <cellStyle name="SAPBEXaggDataEmph" xfId="125"/>
    <cellStyle name="SAPBEXaggItem" xfId="126"/>
    <cellStyle name="SAPBEXaggItemX" xfId="127"/>
    <cellStyle name="SAPBEXchaText" xfId="128"/>
    <cellStyle name="SAPBEXexcBad7" xfId="129"/>
    <cellStyle name="SAPBEXexcBad8" xfId="130"/>
    <cellStyle name="SAPBEXexcBad9" xfId="131"/>
    <cellStyle name="SAPBEXexcCritical4" xfId="132"/>
    <cellStyle name="SAPBEXexcCritical5" xfId="133"/>
    <cellStyle name="SAPBEXexcCritical6" xfId="134"/>
    <cellStyle name="SAPBEXexcGood1" xfId="135"/>
    <cellStyle name="SAPBEXexcGood2" xfId="136"/>
    <cellStyle name="SAPBEXexcGood3" xfId="137"/>
    <cellStyle name="SAPBEXfilterDrill" xfId="138"/>
    <cellStyle name="SAPBEXfilterItem" xfId="139"/>
    <cellStyle name="SAPBEXfilterText" xfId="140"/>
    <cellStyle name="SAPBEXformats" xfId="141"/>
    <cellStyle name="SAPBEXheaderItem" xfId="142"/>
    <cellStyle name="SAPBEXheaderText" xfId="143"/>
    <cellStyle name="SAPBEXHLevel0" xfId="144"/>
    <cellStyle name="SAPBEXHLevel0X" xfId="145"/>
    <cellStyle name="SAPBEXHLevel1" xfId="146"/>
    <cellStyle name="SAPBEXHLevel1X" xfId="147"/>
    <cellStyle name="SAPBEXHLevel2" xfId="148"/>
    <cellStyle name="SAPBEXHLevel2X" xfId="149"/>
    <cellStyle name="SAPBEXHLevel3" xfId="150"/>
    <cellStyle name="SAPBEXHLevel3X" xfId="151"/>
    <cellStyle name="SAPBEXinputData" xfId="152"/>
    <cellStyle name="SAPBEXresData" xfId="153"/>
    <cellStyle name="SAPBEXresDataEmph" xfId="154"/>
    <cellStyle name="SAPBEXresItem" xfId="155"/>
    <cellStyle name="SAPBEXresItemX" xfId="156"/>
    <cellStyle name="SAPBEXstdData" xfId="157"/>
    <cellStyle name="SAPBEXstdDataEmph" xfId="158"/>
    <cellStyle name="SAPBEXstdItem" xfId="159"/>
    <cellStyle name="SAPBEXstdItemX" xfId="160"/>
    <cellStyle name="SAPBEXtitle" xfId="161"/>
    <cellStyle name="SAPBEXundefined" xfId="162"/>
    <cellStyle name="Sce_Title" xfId="163"/>
    <cellStyle name="Stils 1" xfId="164"/>
    <cellStyle name="Style 1" xfId="165"/>
    <cellStyle name="Sub-title" xfId="166"/>
    <cellStyle name="Title" xfId="167"/>
    <cellStyle name="Title 2" xfId="168"/>
    <cellStyle name="Total" xfId="169"/>
    <cellStyle name="V?st." xfId="170"/>
    <cellStyle name="Warning Text" xfId="171"/>
    <cellStyle name="Years"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UD\_VAP\F_PAN\VAP_registrs\VAPmaksajumu_regists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d_reg"/>
      <sheetName val="Ien_reg_2008"/>
      <sheetName val="atskaite_2008"/>
      <sheetName val="Pivot"/>
      <sheetName val="nobide_analize"/>
      <sheetName val="Report_date"/>
      <sheetName val="Ien_reg_2007"/>
      <sheetName val="atskaite_2007"/>
      <sheetName val="Ien_reg_2006"/>
      <sheetName val="atskaite_2006"/>
      <sheetName val="Ien_reg_2005"/>
      <sheetName val="atskaite_2005"/>
      <sheetName val="menesi"/>
      <sheetName val="atskaite_2005-2008"/>
    </sheetNames>
    <sheetDataSet>
      <sheetData sheetId="0">
        <row r="2">
          <cell r="B2">
            <v>4</v>
          </cell>
          <cell r="C2">
            <v>112526</v>
          </cell>
          <cell r="D2">
            <v>4</v>
          </cell>
          <cell r="E2">
            <v>112526</v>
          </cell>
          <cell r="G2">
            <v>1</v>
          </cell>
          <cell r="H2" t="str">
            <v>ERAF</v>
          </cell>
          <cell r="N2">
            <v>4</v>
          </cell>
          <cell r="P2" t="str">
            <v>12</v>
          </cell>
        </row>
        <row r="3">
          <cell r="B3">
            <v>1</v>
          </cell>
          <cell r="C3">
            <v>8451</v>
          </cell>
          <cell r="D3">
            <v>4</v>
          </cell>
          <cell r="E3">
            <v>8426</v>
          </cell>
          <cell r="G3">
            <v>1</v>
          </cell>
          <cell r="H3" t="str">
            <v>ERAF</v>
          </cell>
          <cell r="N3">
            <v>4</v>
          </cell>
          <cell r="P3" t="str">
            <v>31</v>
          </cell>
        </row>
        <row r="4">
          <cell r="B4">
            <v>2</v>
          </cell>
          <cell r="C4">
            <v>10000</v>
          </cell>
          <cell r="D4">
            <v>4</v>
          </cell>
          <cell r="E4">
            <v>10000</v>
          </cell>
          <cell r="G4">
            <v>1</v>
          </cell>
          <cell r="H4" t="str">
            <v>ERAF</v>
          </cell>
          <cell r="N4">
            <v>4</v>
          </cell>
          <cell r="P4" t="str">
            <v>31</v>
          </cell>
        </row>
        <row r="5">
          <cell r="B5">
            <v>4</v>
          </cell>
          <cell r="C5">
            <v>9985</v>
          </cell>
          <cell r="D5">
            <v>5</v>
          </cell>
          <cell r="E5">
            <v>9985</v>
          </cell>
          <cell r="G5">
            <v>1</v>
          </cell>
          <cell r="H5" t="str">
            <v>ERAF</v>
          </cell>
          <cell r="N5">
            <v>5</v>
          </cell>
          <cell r="P5" t="str">
            <v>31</v>
          </cell>
        </row>
        <row r="6">
          <cell r="B6">
            <v>4</v>
          </cell>
          <cell r="C6">
            <v>7022.5</v>
          </cell>
          <cell r="D6">
            <v>4</v>
          </cell>
          <cell r="E6">
            <v>7022.5</v>
          </cell>
          <cell r="G6">
            <v>1</v>
          </cell>
          <cell r="H6" t="str">
            <v>ERAF</v>
          </cell>
          <cell r="N6">
            <v>4</v>
          </cell>
          <cell r="P6" t="str">
            <v>31</v>
          </cell>
        </row>
        <row r="7">
          <cell r="B7">
            <v>4</v>
          </cell>
          <cell r="C7">
            <v>10000</v>
          </cell>
          <cell r="D7">
            <v>6</v>
          </cell>
          <cell r="E7">
            <v>10000</v>
          </cell>
          <cell r="G7">
            <v>1</v>
          </cell>
          <cell r="H7" t="str">
            <v>ERAF</v>
          </cell>
          <cell r="N7">
            <v>6</v>
          </cell>
          <cell r="P7" t="str">
            <v>31</v>
          </cell>
        </row>
        <row r="8">
          <cell r="B8">
            <v>4</v>
          </cell>
          <cell r="C8">
            <v>10000</v>
          </cell>
          <cell r="D8">
            <v>5</v>
          </cell>
          <cell r="E8">
            <v>7802.26</v>
          </cell>
          <cell r="G8">
            <v>2</v>
          </cell>
          <cell r="H8" t="str">
            <v>ERAF</v>
          </cell>
          <cell r="N8">
            <v>5</v>
          </cell>
          <cell r="P8" t="str">
            <v>32</v>
          </cell>
        </row>
        <row r="9">
          <cell r="B9">
            <v>4</v>
          </cell>
          <cell r="C9">
            <v>333768.5</v>
          </cell>
          <cell r="D9">
            <v>6</v>
          </cell>
          <cell r="E9">
            <v>333768.5</v>
          </cell>
          <cell r="G9">
            <v>1</v>
          </cell>
          <cell r="H9" t="str">
            <v>ERAF</v>
          </cell>
          <cell r="N9">
            <v>6</v>
          </cell>
          <cell r="P9" t="str">
            <v>12</v>
          </cell>
        </row>
        <row r="10">
          <cell r="B10">
            <v>10</v>
          </cell>
          <cell r="C10">
            <v>138282</v>
          </cell>
          <cell r="D10">
            <v>11</v>
          </cell>
          <cell r="E10">
            <v>138282</v>
          </cell>
          <cell r="G10">
            <v>1</v>
          </cell>
          <cell r="H10" t="str">
            <v>ERAF</v>
          </cell>
          <cell r="N10">
            <v>11</v>
          </cell>
          <cell r="P10" t="str">
            <v>12</v>
          </cell>
        </row>
        <row r="11">
          <cell r="B11">
            <v>8</v>
          </cell>
          <cell r="C11">
            <v>1000000</v>
          </cell>
          <cell r="D11">
            <v>11</v>
          </cell>
          <cell r="E11">
            <v>1000000</v>
          </cell>
          <cell r="G11">
            <v>1</v>
          </cell>
          <cell r="H11" t="str">
            <v>ERAF</v>
          </cell>
          <cell r="N11">
            <v>11</v>
          </cell>
          <cell r="P11" t="str">
            <v>12</v>
          </cell>
        </row>
        <row r="12">
          <cell r="B12">
            <v>7</v>
          </cell>
          <cell r="C12">
            <v>770721</v>
          </cell>
          <cell r="D12">
            <v>8</v>
          </cell>
          <cell r="E12">
            <v>770720.6</v>
          </cell>
          <cell r="G12">
            <v>1</v>
          </cell>
          <cell r="H12" t="str">
            <v>ERAF</v>
          </cell>
          <cell r="N12">
            <v>8</v>
          </cell>
          <cell r="P12" t="str">
            <v>12</v>
          </cell>
        </row>
        <row r="13">
          <cell r="B13">
            <v>4</v>
          </cell>
          <cell r="C13">
            <v>2000</v>
          </cell>
          <cell r="D13">
            <v>6</v>
          </cell>
          <cell r="E13">
            <v>0</v>
          </cell>
          <cell r="G13">
            <v>1</v>
          </cell>
          <cell r="H13" t="str">
            <v>ERAF</v>
          </cell>
          <cell r="N13">
            <v>6</v>
          </cell>
          <cell r="P13" t="str">
            <v>31</v>
          </cell>
        </row>
        <row r="14">
          <cell r="B14">
            <v>5</v>
          </cell>
          <cell r="C14">
            <v>185714.1</v>
          </cell>
          <cell r="D14">
            <v>6</v>
          </cell>
          <cell r="E14">
            <v>185714.1</v>
          </cell>
          <cell r="G14">
            <v>1</v>
          </cell>
          <cell r="H14" t="str">
            <v>ERAF</v>
          </cell>
          <cell r="N14">
            <v>6</v>
          </cell>
          <cell r="P14" t="str">
            <v>12</v>
          </cell>
        </row>
        <row r="15">
          <cell r="B15">
            <v>6</v>
          </cell>
          <cell r="C15">
            <v>1000000</v>
          </cell>
          <cell r="D15">
            <v>7</v>
          </cell>
          <cell r="E15">
            <v>1000000</v>
          </cell>
          <cell r="G15">
            <v>1</v>
          </cell>
          <cell r="H15" t="str">
            <v>ERAF</v>
          </cell>
          <cell r="N15">
            <v>7</v>
          </cell>
          <cell r="P15" t="str">
            <v>12</v>
          </cell>
        </row>
        <row r="16">
          <cell r="B16">
            <v>5</v>
          </cell>
          <cell r="C16">
            <v>1000000</v>
          </cell>
          <cell r="D16">
            <v>12</v>
          </cell>
          <cell r="E16">
            <v>990255.62</v>
          </cell>
          <cell r="G16">
            <v>1</v>
          </cell>
          <cell r="H16" t="str">
            <v>ERAF</v>
          </cell>
          <cell r="N16">
            <v>12</v>
          </cell>
          <cell r="P16" t="str">
            <v>12</v>
          </cell>
        </row>
        <row r="17">
          <cell r="B17">
            <v>7</v>
          </cell>
          <cell r="C17">
            <v>375673.2</v>
          </cell>
          <cell r="D17">
            <v>8</v>
          </cell>
          <cell r="E17">
            <v>375673.19</v>
          </cell>
          <cell r="G17">
            <v>1</v>
          </cell>
          <cell r="H17" t="str">
            <v>ERAF</v>
          </cell>
          <cell r="N17">
            <v>8</v>
          </cell>
          <cell r="P17" t="str">
            <v>12</v>
          </cell>
        </row>
        <row r="18">
          <cell r="B18">
            <v>10</v>
          </cell>
          <cell r="C18">
            <v>641654</v>
          </cell>
          <cell r="D18">
            <v>12</v>
          </cell>
          <cell r="E18">
            <v>641654</v>
          </cell>
          <cell r="G18">
            <v>1</v>
          </cell>
          <cell r="H18" t="str">
            <v>ERAF</v>
          </cell>
          <cell r="N18">
            <v>12</v>
          </cell>
          <cell r="P18" t="str">
            <v>12</v>
          </cell>
        </row>
        <row r="19">
          <cell r="B19">
            <v>9</v>
          </cell>
          <cell r="C19">
            <v>538900.41</v>
          </cell>
          <cell r="D19">
            <v>10</v>
          </cell>
          <cell r="E19">
            <v>516538.78</v>
          </cell>
          <cell r="G19">
            <v>1</v>
          </cell>
          <cell r="H19" t="str">
            <v>ERAF</v>
          </cell>
          <cell r="N19">
            <v>10</v>
          </cell>
          <cell r="P19" t="str">
            <v>12</v>
          </cell>
        </row>
        <row r="20">
          <cell r="B20">
            <v>8</v>
          </cell>
          <cell r="C20">
            <v>807811.96</v>
          </cell>
          <cell r="D20">
            <v>8</v>
          </cell>
          <cell r="E20">
            <v>807772.78</v>
          </cell>
          <cell r="G20">
            <v>1</v>
          </cell>
          <cell r="H20" t="str">
            <v>ERAF</v>
          </cell>
          <cell r="N20">
            <v>8</v>
          </cell>
          <cell r="P20" t="str">
            <v>12</v>
          </cell>
        </row>
        <row r="21">
          <cell r="B21">
            <v>7</v>
          </cell>
          <cell r="C21">
            <v>481114</v>
          </cell>
          <cell r="D21">
            <v>8</v>
          </cell>
          <cell r="E21">
            <v>481114</v>
          </cell>
          <cell r="G21">
            <v>1</v>
          </cell>
          <cell r="H21" t="str">
            <v>ERAF</v>
          </cell>
          <cell r="N21">
            <v>8</v>
          </cell>
          <cell r="P21" t="str">
            <v>12</v>
          </cell>
        </row>
        <row r="22">
          <cell r="B22">
            <v>8</v>
          </cell>
          <cell r="C22">
            <v>221561.47</v>
          </cell>
          <cell r="D22">
            <v>10</v>
          </cell>
          <cell r="E22">
            <v>221561.47</v>
          </cell>
          <cell r="G22">
            <v>1</v>
          </cell>
          <cell r="H22" t="str">
            <v>ERAF</v>
          </cell>
          <cell r="N22">
            <v>10</v>
          </cell>
          <cell r="P22" t="str">
            <v>12</v>
          </cell>
        </row>
        <row r="23">
          <cell r="B23">
            <v>10</v>
          </cell>
          <cell r="C23">
            <v>285026</v>
          </cell>
          <cell r="D23">
            <v>10</v>
          </cell>
          <cell r="E23">
            <v>285026</v>
          </cell>
          <cell r="G23">
            <v>1</v>
          </cell>
          <cell r="H23" t="str">
            <v>ERAF</v>
          </cell>
          <cell r="N23">
            <v>10</v>
          </cell>
          <cell r="P23" t="str">
            <v>12</v>
          </cell>
        </row>
        <row r="24">
          <cell r="B24">
            <v>9</v>
          </cell>
          <cell r="C24">
            <v>315872.51</v>
          </cell>
          <cell r="D24">
            <v>12</v>
          </cell>
          <cell r="E24">
            <v>315872.5</v>
          </cell>
          <cell r="G24">
            <v>1</v>
          </cell>
          <cell r="H24" t="str">
            <v>ERAF</v>
          </cell>
          <cell r="N24">
            <v>12</v>
          </cell>
          <cell r="P24" t="str">
            <v>12</v>
          </cell>
        </row>
        <row r="25">
          <cell r="B25">
            <v>11</v>
          </cell>
          <cell r="C25">
            <v>640873.32</v>
          </cell>
          <cell r="D25">
            <v>14</v>
          </cell>
          <cell r="E25">
            <v>638721.82</v>
          </cell>
          <cell r="G25">
            <v>1</v>
          </cell>
          <cell r="H25" t="str">
            <v>ERAF</v>
          </cell>
          <cell r="L25" t="str">
            <v>-</v>
          </cell>
          <cell r="N25">
            <v>14</v>
          </cell>
          <cell r="P25" t="str">
            <v>12</v>
          </cell>
        </row>
        <row r="26">
          <cell r="B26">
            <v>8</v>
          </cell>
          <cell r="C26">
            <v>324000</v>
          </cell>
          <cell r="D26">
            <v>9</v>
          </cell>
          <cell r="E26">
            <v>324000</v>
          </cell>
          <cell r="G26">
            <v>1</v>
          </cell>
          <cell r="H26" t="str">
            <v>ERAF</v>
          </cell>
          <cell r="N26">
            <v>9</v>
          </cell>
          <cell r="P26" t="str">
            <v>12</v>
          </cell>
        </row>
        <row r="27">
          <cell r="B27">
            <v>6</v>
          </cell>
          <cell r="C27">
            <v>694622.5</v>
          </cell>
          <cell r="D27">
            <v>8</v>
          </cell>
          <cell r="E27">
            <v>694622.5</v>
          </cell>
          <cell r="G27">
            <v>1</v>
          </cell>
          <cell r="H27" t="str">
            <v>ERAF</v>
          </cell>
          <cell r="N27">
            <v>8</v>
          </cell>
          <cell r="P27" t="str">
            <v>12</v>
          </cell>
        </row>
        <row r="28">
          <cell r="B28">
            <v>9</v>
          </cell>
          <cell r="C28">
            <v>66175.2</v>
          </cell>
          <cell r="D28">
            <v>10</v>
          </cell>
          <cell r="E28">
            <v>66175.2</v>
          </cell>
          <cell r="G28">
            <v>1</v>
          </cell>
          <cell r="H28" t="str">
            <v>ERAF</v>
          </cell>
          <cell r="N28">
            <v>10</v>
          </cell>
          <cell r="P28" t="str">
            <v>12</v>
          </cell>
        </row>
        <row r="29">
          <cell r="B29">
            <v>8</v>
          </cell>
          <cell r="C29">
            <v>234875.61</v>
          </cell>
          <cell r="D29">
            <v>9</v>
          </cell>
          <cell r="E29">
            <v>234875.61</v>
          </cell>
          <cell r="G29">
            <v>1</v>
          </cell>
          <cell r="H29" t="str">
            <v>ERAF</v>
          </cell>
          <cell r="N29">
            <v>9</v>
          </cell>
          <cell r="P29" t="str">
            <v>12</v>
          </cell>
        </row>
        <row r="30">
          <cell r="B30">
            <v>10</v>
          </cell>
          <cell r="C30">
            <v>203371.58</v>
          </cell>
          <cell r="D30">
            <v>12</v>
          </cell>
          <cell r="E30">
            <v>203371.58</v>
          </cell>
          <cell r="G30">
            <v>1</v>
          </cell>
          <cell r="H30" t="str">
            <v>ERAF</v>
          </cell>
          <cell r="N30">
            <v>12</v>
          </cell>
          <cell r="P30" t="str">
            <v>12</v>
          </cell>
        </row>
        <row r="31">
          <cell r="B31">
            <v>9</v>
          </cell>
          <cell r="C31">
            <v>873974</v>
          </cell>
          <cell r="D31">
            <v>10</v>
          </cell>
          <cell r="E31">
            <v>873974</v>
          </cell>
          <cell r="G31">
            <v>1</v>
          </cell>
          <cell r="H31" t="str">
            <v>ERAF</v>
          </cell>
          <cell r="N31">
            <v>10</v>
          </cell>
          <cell r="P31" t="str">
            <v>12</v>
          </cell>
        </row>
        <row r="32">
          <cell r="B32">
            <v>8</v>
          </cell>
          <cell r="C32">
            <v>8920</v>
          </cell>
          <cell r="D32">
            <v>6</v>
          </cell>
          <cell r="E32">
            <v>0</v>
          </cell>
          <cell r="G32">
            <v>1</v>
          </cell>
          <cell r="H32" t="str">
            <v>ERAF</v>
          </cell>
          <cell r="N32">
            <v>6</v>
          </cell>
          <cell r="P32" t="str">
            <v>31</v>
          </cell>
        </row>
        <row r="33">
          <cell r="B33">
            <v>8</v>
          </cell>
          <cell r="C33">
            <v>32527</v>
          </cell>
          <cell r="D33">
            <v>10</v>
          </cell>
          <cell r="E33">
            <v>14736</v>
          </cell>
          <cell r="G33">
            <v>1</v>
          </cell>
          <cell r="H33" t="str">
            <v>ERAF</v>
          </cell>
          <cell r="N33">
            <v>10</v>
          </cell>
          <cell r="P33" t="str">
            <v>11</v>
          </cell>
        </row>
        <row r="34">
          <cell r="B34">
            <v>3</v>
          </cell>
          <cell r="C34">
            <v>8101</v>
          </cell>
          <cell r="D34">
            <v>15</v>
          </cell>
          <cell r="E34">
            <v>5331.02</v>
          </cell>
          <cell r="G34">
            <v>1</v>
          </cell>
          <cell r="H34" t="str">
            <v>ERAF</v>
          </cell>
          <cell r="L34" t="str">
            <v>-</v>
          </cell>
          <cell r="N34">
            <v>15</v>
          </cell>
          <cell r="P34" t="str">
            <v>32</v>
          </cell>
        </row>
        <row r="35">
          <cell r="B35">
            <v>1</v>
          </cell>
          <cell r="C35">
            <v>9705</v>
          </cell>
          <cell r="D35">
            <v>15</v>
          </cell>
          <cell r="E35">
            <v>7652.87</v>
          </cell>
          <cell r="G35">
            <v>1</v>
          </cell>
          <cell r="H35" t="str">
            <v>ERAF</v>
          </cell>
          <cell r="L35" t="str">
            <v>-</v>
          </cell>
          <cell r="N35">
            <v>15</v>
          </cell>
          <cell r="P35" t="str">
            <v>32</v>
          </cell>
        </row>
        <row r="36">
          <cell r="B36">
            <v>5</v>
          </cell>
          <cell r="C36">
            <v>9880</v>
          </cell>
          <cell r="D36">
            <v>7</v>
          </cell>
          <cell r="E36">
            <v>1452.2</v>
          </cell>
          <cell r="G36">
            <v>1</v>
          </cell>
          <cell r="H36" t="str">
            <v>ERAF</v>
          </cell>
          <cell r="N36">
            <v>7</v>
          </cell>
          <cell r="P36" t="str">
            <v>32</v>
          </cell>
        </row>
        <row r="37">
          <cell r="B37">
            <v>6</v>
          </cell>
          <cell r="C37">
            <v>10000</v>
          </cell>
          <cell r="D37">
            <v>9</v>
          </cell>
          <cell r="E37">
            <v>7128.21</v>
          </cell>
          <cell r="G37">
            <v>1</v>
          </cell>
          <cell r="H37" t="str">
            <v>ERAF</v>
          </cell>
          <cell r="N37">
            <v>9</v>
          </cell>
          <cell r="P37" t="str">
            <v>32</v>
          </cell>
        </row>
        <row r="38">
          <cell r="B38">
            <v>5</v>
          </cell>
          <cell r="C38">
            <v>1947.2</v>
          </cell>
          <cell r="D38">
            <v>8</v>
          </cell>
          <cell r="E38">
            <v>1271</v>
          </cell>
          <cell r="G38">
            <v>1</v>
          </cell>
          <cell r="H38" t="str">
            <v>ERAF</v>
          </cell>
          <cell r="N38">
            <v>8</v>
          </cell>
          <cell r="P38" t="str">
            <v>32</v>
          </cell>
        </row>
        <row r="39">
          <cell r="B39">
            <v>5</v>
          </cell>
          <cell r="C39">
            <v>6237</v>
          </cell>
          <cell r="D39">
            <v>7</v>
          </cell>
          <cell r="E39">
            <v>6218.98</v>
          </cell>
          <cell r="G39">
            <v>1</v>
          </cell>
          <cell r="H39" t="str">
            <v>ERAF</v>
          </cell>
          <cell r="N39">
            <v>7</v>
          </cell>
          <cell r="P39" t="str">
            <v>32</v>
          </cell>
        </row>
        <row r="40">
          <cell r="B40">
            <v>5</v>
          </cell>
          <cell r="C40">
            <v>1341.46</v>
          </cell>
          <cell r="D40">
            <v>7</v>
          </cell>
          <cell r="E40">
            <v>0</v>
          </cell>
          <cell r="G40">
            <v>1</v>
          </cell>
          <cell r="H40" t="str">
            <v>ERAF</v>
          </cell>
          <cell r="N40">
            <v>7</v>
          </cell>
          <cell r="P40" t="str">
            <v>32</v>
          </cell>
        </row>
        <row r="41">
          <cell r="B41">
            <v>6</v>
          </cell>
          <cell r="C41">
            <v>7250</v>
          </cell>
          <cell r="D41">
            <v>9</v>
          </cell>
          <cell r="E41">
            <v>7249.99</v>
          </cell>
          <cell r="G41">
            <v>1</v>
          </cell>
          <cell r="H41" t="str">
            <v>ERAF</v>
          </cell>
          <cell r="N41">
            <v>9</v>
          </cell>
          <cell r="P41" t="str">
            <v>31</v>
          </cell>
        </row>
        <row r="42">
          <cell r="B42">
            <v>3</v>
          </cell>
          <cell r="C42">
            <v>2416.5</v>
          </cell>
          <cell r="D42">
            <v>6</v>
          </cell>
          <cell r="E42">
            <v>2416</v>
          </cell>
          <cell r="G42">
            <v>1</v>
          </cell>
          <cell r="H42" t="str">
            <v>ERAF</v>
          </cell>
          <cell r="N42">
            <v>6</v>
          </cell>
          <cell r="P42" t="str">
            <v>31</v>
          </cell>
        </row>
        <row r="43">
          <cell r="B43">
            <v>6</v>
          </cell>
          <cell r="C43">
            <v>8725</v>
          </cell>
          <cell r="D43">
            <v>6</v>
          </cell>
          <cell r="E43">
            <v>8725</v>
          </cell>
          <cell r="G43">
            <v>1</v>
          </cell>
          <cell r="H43" t="str">
            <v>ERAF</v>
          </cell>
          <cell r="N43">
            <v>6</v>
          </cell>
          <cell r="P43" t="str">
            <v>31</v>
          </cell>
        </row>
        <row r="44">
          <cell r="B44">
            <v>4</v>
          </cell>
          <cell r="C44">
            <v>9117.5</v>
          </cell>
          <cell r="D44">
            <v>6</v>
          </cell>
          <cell r="E44">
            <v>9117.5</v>
          </cell>
          <cell r="G44">
            <v>1</v>
          </cell>
          <cell r="H44" t="str">
            <v>ERAF</v>
          </cell>
          <cell r="N44">
            <v>6</v>
          </cell>
          <cell r="P44" t="str">
            <v>31</v>
          </cell>
        </row>
        <row r="45">
          <cell r="B45">
            <v>4</v>
          </cell>
          <cell r="C45">
            <v>9375</v>
          </cell>
          <cell r="D45">
            <v>11</v>
          </cell>
          <cell r="E45">
            <v>9375</v>
          </cell>
          <cell r="G45">
            <v>1</v>
          </cell>
          <cell r="H45" t="str">
            <v>ERAF</v>
          </cell>
          <cell r="N45">
            <v>11</v>
          </cell>
          <cell r="P45" t="str">
            <v>31</v>
          </cell>
        </row>
        <row r="46">
          <cell r="B46">
            <v>7</v>
          </cell>
          <cell r="C46">
            <v>4412</v>
          </cell>
          <cell r="D46">
            <v>8</v>
          </cell>
          <cell r="E46">
            <v>0</v>
          </cell>
          <cell r="G46">
            <v>1</v>
          </cell>
          <cell r="H46" t="str">
            <v>ERAF</v>
          </cell>
          <cell r="N46">
            <v>8</v>
          </cell>
          <cell r="P46" t="str">
            <v>31</v>
          </cell>
        </row>
        <row r="47">
          <cell r="B47">
            <v>5</v>
          </cell>
          <cell r="C47">
            <v>5130</v>
          </cell>
          <cell r="D47">
            <v>7</v>
          </cell>
          <cell r="E47">
            <v>5130</v>
          </cell>
          <cell r="G47">
            <v>1</v>
          </cell>
          <cell r="H47" t="str">
            <v>ERAF</v>
          </cell>
          <cell r="N47">
            <v>7</v>
          </cell>
          <cell r="P47" t="str">
            <v>31</v>
          </cell>
        </row>
        <row r="48">
          <cell r="B48">
            <v>6</v>
          </cell>
          <cell r="C48">
            <v>9855</v>
          </cell>
          <cell r="D48">
            <v>8</v>
          </cell>
          <cell r="E48">
            <v>9855</v>
          </cell>
          <cell r="G48">
            <v>1</v>
          </cell>
          <cell r="H48" t="str">
            <v>ERAF</v>
          </cell>
          <cell r="N48">
            <v>8</v>
          </cell>
          <cell r="P48" t="str">
            <v>31</v>
          </cell>
        </row>
        <row r="49">
          <cell r="B49">
            <v>6</v>
          </cell>
          <cell r="C49">
            <v>10000</v>
          </cell>
          <cell r="D49">
            <v>7</v>
          </cell>
          <cell r="E49">
            <v>10000</v>
          </cell>
          <cell r="G49">
            <v>1</v>
          </cell>
          <cell r="H49" t="str">
            <v>ERAF</v>
          </cell>
          <cell r="N49">
            <v>7</v>
          </cell>
          <cell r="P49" t="str">
            <v>31</v>
          </cell>
        </row>
        <row r="50">
          <cell r="B50">
            <v>9</v>
          </cell>
          <cell r="C50">
            <v>295824.17</v>
          </cell>
          <cell r="D50">
            <v>11</v>
          </cell>
          <cell r="E50">
            <v>295824.17</v>
          </cell>
          <cell r="G50">
            <v>1</v>
          </cell>
          <cell r="H50" t="str">
            <v>ERAF</v>
          </cell>
          <cell r="N50">
            <v>11</v>
          </cell>
          <cell r="P50" t="str">
            <v>12</v>
          </cell>
        </row>
        <row r="51">
          <cell r="B51">
            <v>10</v>
          </cell>
          <cell r="C51">
            <v>379333</v>
          </cell>
          <cell r="D51">
            <v>10</v>
          </cell>
          <cell r="E51">
            <v>379333</v>
          </cell>
          <cell r="G51">
            <v>1</v>
          </cell>
          <cell r="H51" t="str">
            <v>ERAF</v>
          </cell>
          <cell r="N51">
            <v>10</v>
          </cell>
          <cell r="P51" t="str">
            <v>12</v>
          </cell>
        </row>
        <row r="52">
          <cell r="B52">
            <v>7</v>
          </cell>
          <cell r="C52">
            <v>140338.19</v>
          </cell>
          <cell r="D52">
            <v>8</v>
          </cell>
          <cell r="E52">
            <v>140321.35</v>
          </cell>
          <cell r="G52">
            <v>1</v>
          </cell>
          <cell r="H52" t="str">
            <v>ERAF</v>
          </cell>
          <cell r="N52">
            <v>8</v>
          </cell>
          <cell r="P52" t="str">
            <v>12</v>
          </cell>
        </row>
        <row r="53">
          <cell r="B53">
            <v>6</v>
          </cell>
          <cell r="C53">
            <v>86503.53</v>
          </cell>
          <cell r="D53">
            <v>11</v>
          </cell>
          <cell r="E53">
            <v>86503.52</v>
          </cell>
          <cell r="G53">
            <v>1</v>
          </cell>
          <cell r="H53" t="str">
            <v>ERAF</v>
          </cell>
          <cell r="N53">
            <v>11</v>
          </cell>
          <cell r="P53" t="str">
            <v>12</v>
          </cell>
        </row>
        <row r="54">
          <cell r="B54">
            <v>25</v>
          </cell>
          <cell r="C54">
            <v>770469</v>
          </cell>
          <cell r="D54">
            <v>27</v>
          </cell>
          <cell r="E54">
            <v>770469</v>
          </cell>
          <cell r="G54">
            <v>1</v>
          </cell>
          <cell r="H54" t="str">
            <v>ERAF</v>
          </cell>
          <cell r="N54">
            <v>27</v>
          </cell>
          <cell r="P54" t="str">
            <v>12</v>
          </cell>
        </row>
        <row r="55">
          <cell r="B55">
            <v>12</v>
          </cell>
          <cell r="C55">
            <v>559546.65</v>
          </cell>
          <cell r="D55">
            <v>12</v>
          </cell>
          <cell r="E55">
            <v>559546.65</v>
          </cell>
          <cell r="G55">
            <v>1</v>
          </cell>
          <cell r="H55" t="str">
            <v>ERAF</v>
          </cell>
          <cell r="N55">
            <v>12</v>
          </cell>
          <cell r="P55" t="str">
            <v>12</v>
          </cell>
        </row>
        <row r="56">
          <cell r="B56">
            <v>11</v>
          </cell>
          <cell r="C56">
            <v>627473.64</v>
          </cell>
          <cell r="D56">
            <v>12</v>
          </cell>
          <cell r="E56">
            <v>627338.4</v>
          </cell>
          <cell r="G56">
            <v>1</v>
          </cell>
          <cell r="H56" t="str">
            <v>ERAF</v>
          </cell>
          <cell r="N56">
            <v>12</v>
          </cell>
          <cell r="P56" t="str">
            <v>12</v>
          </cell>
        </row>
        <row r="57">
          <cell r="B57">
            <v>11</v>
          </cell>
          <cell r="C57">
            <v>114085</v>
          </cell>
          <cell r="D57">
            <v>11</v>
          </cell>
          <cell r="E57">
            <v>113933.75</v>
          </cell>
          <cell r="G57">
            <v>1</v>
          </cell>
          <cell r="H57" t="str">
            <v>ERAF</v>
          </cell>
          <cell r="N57">
            <v>11</v>
          </cell>
          <cell r="P57" t="str">
            <v>11</v>
          </cell>
        </row>
        <row r="58">
          <cell r="B58">
            <v>11</v>
          </cell>
          <cell r="C58">
            <v>1000000</v>
          </cell>
          <cell r="D58">
            <v>10</v>
          </cell>
          <cell r="E58">
            <v>0</v>
          </cell>
          <cell r="G58">
            <v>1</v>
          </cell>
          <cell r="H58" t="str">
            <v>ERAF</v>
          </cell>
          <cell r="N58">
            <v>10</v>
          </cell>
          <cell r="P58" t="str">
            <v>12</v>
          </cell>
        </row>
        <row r="59">
          <cell r="B59">
            <v>6</v>
          </cell>
          <cell r="C59">
            <v>8598</v>
          </cell>
          <cell r="D59">
            <v>11</v>
          </cell>
          <cell r="E59">
            <v>6937.62</v>
          </cell>
          <cell r="G59">
            <v>1</v>
          </cell>
          <cell r="H59" t="str">
            <v>ERAF</v>
          </cell>
          <cell r="N59">
            <v>11</v>
          </cell>
          <cell r="P59" t="str">
            <v>32</v>
          </cell>
        </row>
        <row r="60">
          <cell r="B60">
            <v>11</v>
          </cell>
          <cell r="C60">
            <v>7450</v>
          </cell>
          <cell r="D60">
            <v>12</v>
          </cell>
          <cell r="E60">
            <v>7450</v>
          </cell>
          <cell r="G60">
            <v>1</v>
          </cell>
          <cell r="H60" t="str">
            <v>ERAF</v>
          </cell>
          <cell r="N60">
            <v>12</v>
          </cell>
          <cell r="P60" t="str">
            <v>31</v>
          </cell>
        </row>
        <row r="61">
          <cell r="B61">
            <v>11</v>
          </cell>
          <cell r="C61">
            <v>150064</v>
          </cell>
          <cell r="D61">
            <v>10</v>
          </cell>
          <cell r="E61">
            <v>0</v>
          </cell>
          <cell r="G61">
            <v>1</v>
          </cell>
          <cell r="H61" t="str">
            <v>ERAF</v>
          </cell>
          <cell r="N61">
            <v>10</v>
          </cell>
          <cell r="P61" t="str">
            <v>12</v>
          </cell>
        </row>
        <row r="62">
          <cell r="B62">
            <v>5</v>
          </cell>
          <cell r="C62">
            <v>8950</v>
          </cell>
          <cell r="D62">
            <v>7</v>
          </cell>
          <cell r="E62">
            <v>8950</v>
          </cell>
          <cell r="G62">
            <v>1</v>
          </cell>
          <cell r="H62" t="str">
            <v>ERAF</v>
          </cell>
          <cell r="N62">
            <v>7</v>
          </cell>
          <cell r="P62" t="str">
            <v>31</v>
          </cell>
        </row>
        <row r="63">
          <cell r="B63">
            <v>23</v>
          </cell>
          <cell r="C63">
            <v>1000000</v>
          </cell>
          <cell r="D63">
            <v>24</v>
          </cell>
          <cell r="E63">
            <v>1000000</v>
          </cell>
          <cell r="G63">
            <v>1</v>
          </cell>
          <cell r="H63" t="str">
            <v>ERAF</v>
          </cell>
          <cell r="L63" t="str">
            <v>-</v>
          </cell>
          <cell r="N63">
            <v>24</v>
          </cell>
          <cell r="P63" t="str">
            <v>12</v>
          </cell>
        </row>
        <row r="64">
          <cell r="B64">
            <v>9</v>
          </cell>
          <cell r="C64">
            <v>60836.75</v>
          </cell>
          <cell r="D64">
            <v>9</v>
          </cell>
          <cell r="E64">
            <v>60836.75</v>
          </cell>
          <cell r="G64">
            <v>1</v>
          </cell>
          <cell r="H64" t="str">
            <v>ERAF</v>
          </cell>
          <cell r="N64">
            <v>9</v>
          </cell>
          <cell r="P64" t="str">
            <v>13</v>
          </cell>
        </row>
        <row r="65">
          <cell r="B65">
            <v>8</v>
          </cell>
          <cell r="C65">
            <v>9850</v>
          </cell>
          <cell r="D65">
            <v>9</v>
          </cell>
          <cell r="E65">
            <v>9850</v>
          </cell>
          <cell r="G65">
            <v>1</v>
          </cell>
          <cell r="H65" t="str">
            <v>ERAF</v>
          </cell>
          <cell r="N65">
            <v>9</v>
          </cell>
          <cell r="P65" t="str">
            <v>31</v>
          </cell>
        </row>
        <row r="66">
          <cell r="B66">
            <v>7</v>
          </cell>
          <cell r="C66">
            <v>10000</v>
          </cell>
          <cell r="D66">
            <v>8</v>
          </cell>
          <cell r="E66">
            <v>10000</v>
          </cell>
          <cell r="G66">
            <v>2</v>
          </cell>
          <cell r="H66" t="str">
            <v>ERAF</v>
          </cell>
          <cell r="N66">
            <v>8</v>
          </cell>
          <cell r="P66" t="str">
            <v>31</v>
          </cell>
        </row>
        <row r="67">
          <cell r="B67">
            <v>11</v>
          </cell>
          <cell r="C67">
            <v>268236.8</v>
          </cell>
          <cell r="D67">
            <v>14</v>
          </cell>
          <cell r="E67">
            <v>268236.5</v>
          </cell>
          <cell r="G67">
            <v>1</v>
          </cell>
          <cell r="H67" t="str">
            <v>ERAF</v>
          </cell>
          <cell r="L67" t="str">
            <v>-</v>
          </cell>
          <cell r="N67">
            <v>14</v>
          </cell>
          <cell r="P67" t="str">
            <v>12</v>
          </cell>
        </row>
        <row r="68">
          <cell r="B68">
            <v>11</v>
          </cell>
          <cell r="C68">
            <v>79591</v>
          </cell>
          <cell r="D68">
            <v>12</v>
          </cell>
          <cell r="E68">
            <v>79591</v>
          </cell>
          <cell r="G68">
            <v>1</v>
          </cell>
          <cell r="H68" t="str">
            <v>ERAF</v>
          </cell>
          <cell r="N68">
            <v>12</v>
          </cell>
          <cell r="P68" t="str">
            <v>12</v>
          </cell>
        </row>
        <row r="69">
          <cell r="B69">
            <v>7</v>
          </cell>
          <cell r="C69">
            <v>942.21</v>
          </cell>
          <cell r="D69">
            <v>10</v>
          </cell>
          <cell r="E69">
            <v>382.69</v>
          </cell>
          <cell r="G69">
            <v>1</v>
          </cell>
          <cell r="H69" t="str">
            <v>ERAF</v>
          </cell>
          <cell r="N69">
            <v>10</v>
          </cell>
          <cell r="P69" t="str">
            <v>32</v>
          </cell>
        </row>
        <row r="70">
          <cell r="B70">
            <v>8</v>
          </cell>
          <cell r="C70">
            <v>5719.7</v>
          </cell>
          <cell r="D70">
            <v>10</v>
          </cell>
          <cell r="E70">
            <v>5220.59</v>
          </cell>
          <cell r="G70">
            <v>1</v>
          </cell>
          <cell r="H70" t="str">
            <v>ERAF</v>
          </cell>
          <cell r="N70">
            <v>10</v>
          </cell>
          <cell r="P70" t="str">
            <v>32</v>
          </cell>
        </row>
        <row r="71">
          <cell r="B71">
            <v>11</v>
          </cell>
          <cell r="C71">
            <v>7000</v>
          </cell>
          <cell r="D71">
            <v>12</v>
          </cell>
          <cell r="E71">
            <v>7000</v>
          </cell>
          <cell r="G71">
            <v>1</v>
          </cell>
          <cell r="H71" t="str">
            <v>ERAF</v>
          </cell>
          <cell r="N71">
            <v>12</v>
          </cell>
          <cell r="P71" t="str">
            <v>31</v>
          </cell>
        </row>
        <row r="72">
          <cell r="B72">
            <v>10</v>
          </cell>
          <cell r="C72">
            <v>10000</v>
          </cell>
          <cell r="D72">
            <v>11</v>
          </cell>
          <cell r="E72">
            <v>0</v>
          </cell>
          <cell r="G72">
            <v>1</v>
          </cell>
          <cell r="H72" t="str">
            <v>ERAF</v>
          </cell>
          <cell r="N72">
            <v>11</v>
          </cell>
          <cell r="P72" t="str">
            <v>31</v>
          </cell>
        </row>
        <row r="73">
          <cell r="B73">
            <v>8</v>
          </cell>
          <cell r="C73">
            <v>10000</v>
          </cell>
          <cell r="D73">
            <v>12</v>
          </cell>
          <cell r="E73">
            <v>0</v>
          </cell>
          <cell r="G73">
            <v>1</v>
          </cell>
          <cell r="H73" t="str">
            <v>ERAF</v>
          </cell>
          <cell r="N73">
            <v>12</v>
          </cell>
          <cell r="P73" t="str">
            <v>31</v>
          </cell>
        </row>
        <row r="74">
          <cell r="B74">
            <v>8</v>
          </cell>
          <cell r="C74">
            <v>9540.5</v>
          </cell>
          <cell r="D74">
            <v>9</v>
          </cell>
          <cell r="E74">
            <v>9540.5</v>
          </cell>
          <cell r="G74">
            <v>1</v>
          </cell>
          <cell r="H74" t="str">
            <v>ERAF</v>
          </cell>
          <cell r="N74">
            <v>9</v>
          </cell>
          <cell r="P74" t="str">
            <v>31</v>
          </cell>
        </row>
        <row r="75">
          <cell r="B75">
            <v>9</v>
          </cell>
          <cell r="C75">
            <v>4764</v>
          </cell>
          <cell r="D75">
            <v>9</v>
          </cell>
          <cell r="E75">
            <v>4764</v>
          </cell>
          <cell r="G75">
            <v>1</v>
          </cell>
          <cell r="H75" t="str">
            <v>ERAF</v>
          </cell>
          <cell r="N75">
            <v>9</v>
          </cell>
          <cell r="P75" t="str">
            <v>31</v>
          </cell>
        </row>
        <row r="76">
          <cell r="B76">
            <v>7</v>
          </cell>
          <cell r="C76">
            <v>9425</v>
          </cell>
          <cell r="D76">
            <v>8</v>
          </cell>
          <cell r="E76">
            <v>9425</v>
          </cell>
          <cell r="G76">
            <v>2</v>
          </cell>
          <cell r="H76" t="str">
            <v>ERAF</v>
          </cell>
          <cell r="N76">
            <v>8</v>
          </cell>
          <cell r="P76" t="str">
            <v>31</v>
          </cell>
        </row>
        <row r="77">
          <cell r="B77">
            <v>9</v>
          </cell>
          <cell r="C77">
            <v>9669</v>
          </cell>
          <cell r="D77">
            <v>12</v>
          </cell>
          <cell r="E77">
            <v>9669</v>
          </cell>
          <cell r="G77">
            <v>1</v>
          </cell>
          <cell r="H77" t="str">
            <v>ERAF</v>
          </cell>
          <cell r="N77">
            <v>12</v>
          </cell>
          <cell r="P77" t="str">
            <v>31</v>
          </cell>
        </row>
        <row r="78">
          <cell r="B78">
            <v>9</v>
          </cell>
          <cell r="C78">
            <v>9810</v>
          </cell>
          <cell r="D78">
            <v>10</v>
          </cell>
          <cell r="E78">
            <v>9810</v>
          </cell>
          <cell r="G78">
            <v>1</v>
          </cell>
          <cell r="H78" t="str">
            <v>ERAF</v>
          </cell>
          <cell r="N78">
            <v>10</v>
          </cell>
          <cell r="P78" t="str">
            <v>31</v>
          </cell>
        </row>
        <row r="79">
          <cell r="B79">
            <v>8</v>
          </cell>
          <cell r="C79">
            <v>9925</v>
          </cell>
          <cell r="D79">
            <v>9</v>
          </cell>
          <cell r="E79">
            <v>9925</v>
          </cell>
          <cell r="G79">
            <v>1</v>
          </cell>
          <cell r="H79" t="str">
            <v>ERAF</v>
          </cell>
          <cell r="N79">
            <v>9</v>
          </cell>
          <cell r="P79" t="str">
            <v>31</v>
          </cell>
        </row>
        <row r="80">
          <cell r="B80">
            <v>8</v>
          </cell>
          <cell r="C80">
            <v>10000</v>
          </cell>
          <cell r="D80">
            <v>9</v>
          </cell>
          <cell r="E80">
            <v>10000</v>
          </cell>
          <cell r="G80">
            <v>1</v>
          </cell>
          <cell r="H80" t="str">
            <v>ERAF</v>
          </cell>
          <cell r="N80">
            <v>9</v>
          </cell>
          <cell r="P80" t="str">
            <v>31</v>
          </cell>
        </row>
        <row r="81">
          <cell r="B81">
            <v>9</v>
          </cell>
          <cell r="C81">
            <v>10000</v>
          </cell>
          <cell r="D81">
            <v>9</v>
          </cell>
          <cell r="E81">
            <v>10000</v>
          </cell>
          <cell r="G81">
            <v>1</v>
          </cell>
          <cell r="H81" t="str">
            <v>ERAF</v>
          </cell>
          <cell r="N81">
            <v>9</v>
          </cell>
          <cell r="P81" t="str">
            <v>31</v>
          </cell>
        </row>
        <row r="82">
          <cell r="B82">
            <v>8</v>
          </cell>
          <cell r="C82">
            <v>9900</v>
          </cell>
          <cell r="D82">
            <v>10</v>
          </cell>
          <cell r="E82">
            <v>9900</v>
          </cell>
          <cell r="G82">
            <v>1</v>
          </cell>
          <cell r="H82" t="str">
            <v>ERAF</v>
          </cell>
          <cell r="N82">
            <v>10</v>
          </cell>
          <cell r="P82" t="str">
            <v>31</v>
          </cell>
        </row>
        <row r="83">
          <cell r="B83">
            <v>8</v>
          </cell>
          <cell r="C83">
            <v>10000</v>
          </cell>
          <cell r="D83">
            <v>8</v>
          </cell>
          <cell r="E83">
            <v>10000</v>
          </cell>
          <cell r="G83">
            <v>1</v>
          </cell>
          <cell r="H83" t="str">
            <v>ERAF</v>
          </cell>
          <cell r="N83">
            <v>8</v>
          </cell>
          <cell r="P83" t="str">
            <v>31</v>
          </cell>
        </row>
        <row r="84">
          <cell r="B84">
            <v>8</v>
          </cell>
          <cell r="C84">
            <v>7750</v>
          </cell>
          <cell r="D84">
            <v>9</v>
          </cell>
          <cell r="E84">
            <v>7750</v>
          </cell>
          <cell r="G84">
            <v>1</v>
          </cell>
          <cell r="H84" t="str">
            <v>ERAF</v>
          </cell>
          <cell r="N84">
            <v>9</v>
          </cell>
          <cell r="P84" t="str">
            <v>31</v>
          </cell>
        </row>
        <row r="85">
          <cell r="B85">
            <v>9</v>
          </cell>
          <cell r="C85">
            <v>6854</v>
          </cell>
          <cell r="D85">
            <v>10</v>
          </cell>
          <cell r="E85">
            <v>6854</v>
          </cell>
          <cell r="G85">
            <v>1</v>
          </cell>
          <cell r="H85" t="str">
            <v>ESF</v>
          </cell>
          <cell r="N85">
            <v>10</v>
          </cell>
          <cell r="P85" t="str">
            <v>40</v>
          </cell>
        </row>
        <row r="86">
          <cell r="B86">
            <v>10</v>
          </cell>
          <cell r="C86">
            <v>4291.33</v>
          </cell>
          <cell r="D86">
            <v>11</v>
          </cell>
          <cell r="E86">
            <v>4244.39</v>
          </cell>
          <cell r="G86">
            <v>1</v>
          </cell>
          <cell r="H86" t="str">
            <v>ESF</v>
          </cell>
          <cell r="N86">
            <v>11</v>
          </cell>
          <cell r="P86" t="str">
            <v>40</v>
          </cell>
        </row>
        <row r="87">
          <cell r="B87">
            <v>5</v>
          </cell>
          <cell r="C87">
            <v>4416.6</v>
          </cell>
          <cell r="D87">
            <v>15</v>
          </cell>
          <cell r="E87">
            <v>3604.44</v>
          </cell>
          <cell r="G87">
            <v>1</v>
          </cell>
          <cell r="H87" t="str">
            <v>ESF</v>
          </cell>
          <cell r="L87" t="str">
            <v>-</v>
          </cell>
          <cell r="N87">
            <v>15</v>
          </cell>
          <cell r="P87" t="str">
            <v>40</v>
          </cell>
        </row>
        <row r="88">
          <cell r="B88">
            <v>10</v>
          </cell>
          <cell r="C88">
            <v>20993.28</v>
          </cell>
          <cell r="D88">
            <v>13</v>
          </cell>
          <cell r="E88">
            <v>19876.63</v>
          </cell>
          <cell r="G88">
            <v>1</v>
          </cell>
          <cell r="H88" t="str">
            <v>ESF</v>
          </cell>
          <cell r="L88" t="str">
            <v>-</v>
          </cell>
          <cell r="N88">
            <v>13</v>
          </cell>
          <cell r="P88" t="str">
            <v>40</v>
          </cell>
        </row>
        <row r="89">
          <cell r="B89">
            <v>8</v>
          </cell>
          <cell r="C89">
            <v>3579.26</v>
          </cell>
          <cell r="D89">
            <v>9</v>
          </cell>
          <cell r="E89">
            <v>3570.38</v>
          </cell>
          <cell r="G89">
            <v>1</v>
          </cell>
          <cell r="H89" t="str">
            <v>ESF</v>
          </cell>
          <cell r="N89">
            <v>9</v>
          </cell>
          <cell r="P89" t="str">
            <v>40</v>
          </cell>
        </row>
        <row r="90">
          <cell r="B90">
            <v>12</v>
          </cell>
          <cell r="C90">
            <v>9216.84</v>
          </cell>
          <cell r="D90">
            <v>14</v>
          </cell>
          <cell r="E90">
            <v>8145.65</v>
          </cell>
          <cell r="G90">
            <v>1</v>
          </cell>
          <cell r="H90" t="str">
            <v>ESF</v>
          </cell>
          <cell r="L90" t="str">
            <v>-</v>
          </cell>
          <cell r="N90">
            <v>14</v>
          </cell>
          <cell r="P90" t="str">
            <v>40</v>
          </cell>
        </row>
        <row r="91">
          <cell r="B91">
            <v>9</v>
          </cell>
          <cell r="C91">
            <v>5600</v>
          </cell>
          <cell r="D91">
            <v>9</v>
          </cell>
          <cell r="E91">
            <v>4745.76</v>
          </cell>
          <cell r="G91">
            <v>2</v>
          </cell>
          <cell r="H91" t="str">
            <v>ESF</v>
          </cell>
          <cell r="N91">
            <v>9</v>
          </cell>
          <cell r="P91" t="str">
            <v>40</v>
          </cell>
        </row>
        <row r="92">
          <cell r="B92">
            <v>13</v>
          </cell>
          <cell r="C92">
            <v>13358.43</v>
          </cell>
          <cell r="D92">
            <v>16</v>
          </cell>
          <cell r="E92">
            <v>12654.38</v>
          </cell>
          <cell r="G92">
            <v>1</v>
          </cell>
          <cell r="H92" t="str">
            <v>ESF</v>
          </cell>
          <cell r="L92" t="str">
            <v>-</v>
          </cell>
          <cell r="N92">
            <v>16</v>
          </cell>
          <cell r="P92" t="str">
            <v>40</v>
          </cell>
        </row>
        <row r="93">
          <cell r="B93">
            <v>12</v>
          </cell>
          <cell r="C93">
            <v>43391.04</v>
          </cell>
          <cell r="D93">
            <v>12</v>
          </cell>
          <cell r="E93">
            <v>43391.04</v>
          </cell>
          <cell r="G93">
            <v>1</v>
          </cell>
          <cell r="H93" t="str">
            <v>ERAF</v>
          </cell>
          <cell r="N93">
            <v>12</v>
          </cell>
          <cell r="P93" t="str">
            <v>11</v>
          </cell>
        </row>
        <row r="94">
          <cell r="B94">
            <v>9</v>
          </cell>
          <cell r="C94">
            <v>8958</v>
          </cell>
          <cell r="D94">
            <v>11</v>
          </cell>
          <cell r="E94">
            <v>8958</v>
          </cell>
          <cell r="G94">
            <v>1</v>
          </cell>
          <cell r="H94" t="str">
            <v>ERAF</v>
          </cell>
          <cell r="N94">
            <v>11</v>
          </cell>
          <cell r="P94" t="str">
            <v>31</v>
          </cell>
        </row>
        <row r="95">
          <cell r="B95">
            <v>25</v>
          </cell>
          <cell r="C95">
            <v>176447</v>
          </cell>
          <cell r="D95">
            <v>19</v>
          </cell>
          <cell r="E95">
            <v>0</v>
          </cell>
          <cell r="G95">
            <v>1</v>
          </cell>
          <cell r="H95" t="str">
            <v>ERAF</v>
          </cell>
          <cell r="N95">
            <v>19</v>
          </cell>
          <cell r="P95" t="str">
            <v>12</v>
          </cell>
        </row>
        <row r="96">
          <cell r="B96">
            <v>9</v>
          </cell>
          <cell r="C96">
            <v>9400</v>
          </cell>
          <cell r="D96">
            <v>11</v>
          </cell>
          <cell r="E96">
            <v>9400</v>
          </cell>
          <cell r="G96">
            <v>1</v>
          </cell>
          <cell r="H96" t="str">
            <v>ERAF</v>
          </cell>
          <cell r="N96">
            <v>11</v>
          </cell>
          <cell r="P96" t="str">
            <v>31</v>
          </cell>
        </row>
        <row r="97">
          <cell r="B97">
            <v>10</v>
          </cell>
          <cell r="C97">
            <v>10000</v>
          </cell>
          <cell r="D97">
            <v>10</v>
          </cell>
          <cell r="E97">
            <v>10000</v>
          </cell>
          <cell r="G97">
            <v>1</v>
          </cell>
          <cell r="H97" t="str">
            <v>ERAF</v>
          </cell>
          <cell r="N97">
            <v>10</v>
          </cell>
          <cell r="P97" t="str">
            <v>31</v>
          </cell>
        </row>
        <row r="98">
          <cell r="B98">
            <v>10</v>
          </cell>
          <cell r="C98">
            <v>8700</v>
          </cell>
          <cell r="D98">
            <v>11</v>
          </cell>
          <cell r="E98">
            <v>8700</v>
          </cell>
          <cell r="G98">
            <v>1</v>
          </cell>
          <cell r="H98" t="str">
            <v>ERAF</v>
          </cell>
          <cell r="N98">
            <v>11</v>
          </cell>
          <cell r="P98" t="str">
            <v>31</v>
          </cell>
        </row>
        <row r="99">
          <cell r="B99">
            <v>11</v>
          </cell>
          <cell r="C99">
            <v>10000</v>
          </cell>
          <cell r="D99">
            <v>22</v>
          </cell>
          <cell r="E99">
            <v>10000</v>
          </cell>
          <cell r="G99">
            <v>1</v>
          </cell>
          <cell r="H99" t="str">
            <v>ERAF</v>
          </cell>
          <cell r="N99">
            <v>22</v>
          </cell>
          <cell r="P99" t="str">
            <v>31</v>
          </cell>
        </row>
        <row r="100">
          <cell r="B100">
            <v>13</v>
          </cell>
          <cell r="C100">
            <v>10000</v>
          </cell>
          <cell r="D100">
            <v>14</v>
          </cell>
          <cell r="E100">
            <v>10000</v>
          </cell>
          <cell r="G100">
            <v>1</v>
          </cell>
          <cell r="H100" t="str">
            <v>ERAF</v>
          </cell>
          <cell r="L100" t="str">
            <v>-</v>
          </cell>
          <cell r="N100">
            <v>14</v>
          </cell>
          <cell r="P100" t="str">
            <v>31</v>
          </cell>
        </row>
        <row r="101">
          <cell r="B101">
            <v>10</v>
          </cell>
          <cell r="C101">
            <v>9800</v>
          </cell>
          <cell r="D101">
            <v>10</v>
          </cell>
          <cell r="E101">
            <v>9800</v>
          </cell>
          <cell r="G101">
            <v>1</v>
          </cell>
          <cell r="H101" t="str">
            <v>ERAF</v>
          </cell>
          <cell r="N101">
            <v>10</v>
          </cell>
          <cell r="P101" t="str">
            <v>31</v>
          </cell>
        </row>
        <row r="102">
          <cell r="B102">
            <v>10</v>
          </cell>
          <cell r="C102">
            <v>9975</v>
          </cell>
          <cell r="D102">
            <v>10</v>
          </cell>
          <cell r="E102">
            <v>9975</v>
          </cell>
          <cell r="G102">
            <v>1</v>
          </cell>
          <cell r="H102" t="str">
            <v>ERAF</v>
          </cell>
          <cell r="N102">
            <v>10</v>
          </cell>
          <cell r="P102" t="str">
            <v>31</v>
          </cell>
        </row>
        <row r="103">
          <cell r="B103">
            <v>11</v>
          </cell>
          <cell r="C103">
            <v>9750</v>
          </cell>
          <cell r="D103">
            <v>11</v>
          </cell>
          <cell r="E103">
            <v>9750</v>
          </cell>
          <cell r="G103">
            <v>1</v>
          </cell>
          <cell r="H103" t="str">
            <v>ERAF</v>
          </cell>
          <cell r="N103">
            <v>11</v>
          </cell>
          <cell r="P103" t="str">
            <v>31</v>
          </cell>
        </row>
        <row r="104">
          <cell r="B104">
            <v>10</v>
          </cell>
          <cell r="C104">
            <v>9750</v>
          </cell>
          <cell r="D104">
            <v>10</v>
          </cell>
          <cell r="E104">
            <v>9750</v>
          </cell>
          <cell r="G104">
            <v>1</v>
          </cell>
          <cell r="H104" t="str">
            <v>ERAF</v>
          </cell>
          <cell r="N104">
            <v>10</v>
          </cell>
          <cell r="P104" t="str">
            <v>31</v>
          </cell>
        </row>
        <row r="105">
          <cell r="B105">
            <v>20</v>
          </cell>
          <cell r="C105">
            <v>10000</v>
          </cell>
          <cell r="D105">
            <v>24</v>
          </cell>
          <cell r="E105">
            <v>10000</v>
          </cell>
          <cell r="G105">
            <v>1</v>
          </cell>
          <cell r="H105" t="str">
            <v>ERAF</v>
          </cell>
          <cell r="N105">
            <v>24</v>
          </cell>
          <cell r="P105" t="str">
            <v>31</v>
          </cell>
        </row>
        <row r="106">
          <cell r="B106">
            <v>13</v>
          </cell>
          <cell r="C106">
            <v>9190</v>
          </cell>
          <cell r="D106">
            <v>14</v>
          </cell>
          <cell r="E106">
            <v>9190</v>
          </cell>
          <cell r="G106">
            <v>1</v>
          </cell>
          <cell r="H106" t="str">
            <v>ERAF</v>
          </cell>
          <cell r="L106" t="str">
            <v>-</v>
          </cell>
          <cell r="N106">
            <v>14</v>
          </cell>
          <cell r="P106" t="str">
            <v>31</v>
          </cell>
        </row>
        <row r="107">
          <cell r="B107">
            <v>10</v>
          </cell>
          <cell r="C107">
            <v>9775</v>
          </cell>
          <cell r="D107">
            <v>11</v>
          </cell>
          <cell r="E107">
            <v>9775</v>
          </cell>
          <cell r="G107">
            <v>1</v>
          </cell>
          <cell r="H107" t="str">
            <v>ERAF</v>
          </cell>
          <cell r="N107">
            <v>11</v>
          </cell>
          <cell r="P107" t="str">
            <v>31</v>
          </cell>
        </row>
        <row r="108">
          <cell r="B108">
            <v>10</v>
          </cell>
          <cell r="C108">
            <v>9925</v>
          </cell>
          <cell r="D108">
            <v>11</v>
          </cell>
          <cell r="E108">
            <v>9925</v>
          </cell>
          <cell r="G108">
            <v>1</v>
          </cell>
          <cell r="H108" t="str">
            <v>ERAF</v>
          </cell>
          <cell r="N108">
            <v>11</v>
          </cell>
          <cell r="P108" t="str">
            <v>31</v>
          </cell>
        </row>
        <row r="109">
          <cell r="B109">
            <v>10</v>
          </cell>
          <cell r="C109">
            <v>7100</v>
          </cell>
          <cell r="D109">
            <v>11</v>
          </cell>
          <cell r="E109">
            <v>7100</v>
          </cell>
          <cell r="G109">
            <v>1</v>
          </cell>
          <cell r="H109" t="str">
            <v>ERAF</v>
          </cell>
          <cell r="N109">
            <v>11</v>
          </cell>
          <cell r="P109" t="str">
            <v>31</v>
          </cell>
        </row>
        <row r="110">
          <cell r="B110">
            <v>10</v>
          </cell>
          <cell r="C110">
            <v>9900</v>
          </cell>
          <cell r="D110">
            <v>10</v>
          </cell>
          <cell r="E110">
            <v>9900</v>
          </cell>
          <cell r="G110">
            <v>1</v>
          </cell>
          <cell r="H110" t="str">
            <v>ERAF</v>
          </cell>
          <cell r="N110">
            <v>10</v>
          </cell>
          <cell r="P110" t="str">
            <v>31</v>
          </cell>
        </row>
        <row r="111">
          <cell r="B111">
            <v>11</v>
          </cell>
          <cell r="C111">
            <v>9000</v>
          </cell>
          <cell r="D111">
            <v>12</v>
          </cell>
          <cell r="E111">
            <v>9000</v>
          </cell>
          <cell r="G111">
            <v>1</v>
          </cell>
          <cell r="H111" t="str">
            <v>ERAF</v>
          </cell>
          <cell r="N111">
            <v>12</v>
          </cell>
          <cell r="P111" t="str">
            <v>31</v>
          </cell>
        </row>
        <row r="112">
          <cell r="B112">
            <v>12</v>
          </cell>
          <cell r="C112">
            <v>9990</v>
          </cell>
          <cell r="D112">
            <v>11</v>
          </cell>
          <cell r="E112">
            <v>9990</v>
          </cell>
          <cell r="G112">
            <v>1</v>
          </cell>
          <cell r="H112" t="str">
            <v>ERAF</v>
          </cell>
          <cell r="N112">
            <v>11</v>
          </cell>
          <cell r="P112" t="str">
            <v>31</v>
          </cell>
        </row>
        <row r="113">
          <cell r="B113">
            <v>11</v>
          </cell>
          <cell r="C113">
            <v>9911.27</v>
          </cell>
          <cell r="D113">
            <v>11</v>
          </cell>
          <cell r="E113">
            <v>9843.22</v>
          </cell>
          <cell r="G113">
            <v>1</v>
          </cell>
          <cell r="H113" t="str">
            <v>ERAF</v>
          </cell>
          <cell r="N113">
            <v>11</v>
          </cell>
          <cell r="P113" t="str">
            <v>32</v>
          </cell>
        </row>
        <row r="114">
          <cell r="B114">
            <v>12</v>
          </cell>
          <cell r="C114">
            <v>2335.5</v>
          </cell>
          <cell r="D114">
            <v>13</v>
          </cell>
          <cell r="E114">
            <v>2315.5</v>
          </cell>
          <cell r="G114">
            <v>1</v>
          </cell>
          <cell r="H114" t="str">
            <v>ERAF</v>
          </cell>
          <cell r="L114" t="str">
            <v>-</v>
          </cell>
          <cell r="N114">
            <v>13</v>
          </cell>
          <cell r="P114" t="str">
            <v>32</v>
          </cell>
        </row>
        <row r="115">
          <cell r="B115">
            <v>11</v>
          </cell>
          <cell r="C115">
            <v>1746.03</v>
          </cell>
          <cell r="D115">
            <v>12</v>
          </cell>
          <cell r="E115">
            <v>1026.03</v>
          </cell>
          <cell r="G115">
            <v>1</v>
          </cell>
          <cell r="H115" t="str">
            <v>ERAF</v>
          </cell>
          <cell r="N115">
            <v>12</v>
          </cell>
          <cell r="P115" t="str">
            <v>32</v>
          </cell>
        </row>
        <row r="116">
          <cell r="B116">
            <v>12</v>
          </cell>
          <cell r="C116">
            <v>9450</v>
          </cell>
          <cell r="D116">
            <v>12</v>
          </cell>
          <cell r="E116">
            <v>9450</v>
          </cell>
          <cell r="G116">
            <v>1</v>
          </cell>
          <cell r="H116" t="str">
            <v>ERAF</v>
          </cell>
          <cell r="N116">
            <v>12</v>
          </cell>
          <cell r="P116" t="str">
            <v>31</v>
          </cell>
        </row>
        <row r="117">
          <cell r="B117">
            <v>12</v>
          </cell>
          <cell r="C117">
            <v>9771.5</v>
          </cell>
          <cell r="D117">
            <v>14</v>
          </cell>
          <cell r="E117">
            <v>9771.5</v>
          </cell>
          <cell r="G117">
            <v>1</v>
          </cell>
          <cell r="H117" t="str">
            <v>ERAF</v>
          </cell>
          <cell r="L117" t="str">
            <v>-</v>
          </cell>
          <cell r="N117">
            <v>14</v>
          </cell>
          <cell r="P117" t="str">
            <v>31</v>
          </cell>
        </row>
        <row r="118">
          <cell r="B118">
            <v>12</v>
          </cell>
          <cell r="C118">
            <v>9750</v>
          </cell>
          <cell r="D118">
            <v>12</v>
          </cell>
          <cell r="E118">
            <v>9750</v>
          </cell>
          <cell r="G118">
            <v>1</v>
          </cell>
          <cell r="H118" t="str">
            <v>ERAF</v>
          </cell>
          <cell r="N118">
            <v>12</v>
          </cell>
          <cell r="P118" t="str">
            <v>31</v>
          </cell>
        </row>
        <row r="119">
          <cell r="B119">
            <v>11</v>
          </cell>
          <cell r="C119">
            <v>2470</v>
          </cell>
          <cell r="D119">
            <v>12</v>
          </cell>
          <cell r="E119">
            <v>2470</v>
          </cell>
          <cell r="G119">
            <v>1</v>
          </cell>
          <cell r="H119" t="str">
            <v>ERAF</v>
          </cell>
          <cell r="N119">
            <v>12</v>
          </cell>
          <cell r="P119" t="str">
            <v>31</v>
          </cell>
        </row>
        <row r="120">
          <cell r="B120">
            <v>20</v>
          </cell>
          <cell r="C120">
            <v>45954.9</v>
          </cell>
          <cell r="D120">
            <v>25</v>
          </cell>
          <cell r="E120">
            <v>43886.47</v>
          </cell>
          <cell r="G120">
            <v>1</v>
          </cell>
          <cell r="H120" t="str">
            <v>ERAF</v>
          </cell>
          <cell r="N120">
            <v>25</v>
          </cell>
          <cell r="P120" t="str">
            <v>20</v>
          </cell>
        </row>
        <row r="121">
          <cell r="B121">
            <v>20</v>
          </cell>
          <cell r="C121">
            <v>150000</v>
          </cell>
          <cell r="D121">
            <v>23</v>
          </cell>
          <cell r="E121">
            <v>150000</v>
          </cell>
          <cell r="G121">
            <v>1</v>
          </cell>
          <cell r="H121" t="str">
            <v>ERAF</v>
          </cell>
          <cell r="N121">
            <v>23</v>
          </cell>
          <cell r="P121" t="str">
            <v>20</v>
          </cell>
        </row>
        <row r="122">
          <cell r="B122">
            <v>19</v>
          </cell>
          <cell r="C122">
            <v>599326</v>
          </cell>
          <cell r="D122">
            <v>15</v>
          </cell>
          <cell r="E122">
            <v>599326</v>
          </cell>
          <cell r="G122">
            <v>1</v>
          </cell>
          <cell r="H122" t="str">
            <v>ERAF</v>
          </cell>
          <cell r="L122" t="str">
            <v>-</v>
          </cell>
          <cell r="N122">
            <v>15</v>
          </cell>
          <cell r="P122" t="str">
            <v>12</v>
          </cell>
        </row>
        <row r="123">
          <cell r="B123">
            <v>13</v>
          </cell>
          <cell r="C123">
            <v>143231</v>
          </cell>
          <cell r="D123">
            <v>12</v>
          </cell>
          <cell r="E123">
            <v>142551.38</v>
          </cell>
          <cell r="G123">
            <v>1</v>
          </cell>
          <cell r="H123" t="str">
            <v>ERAF</v>
          </cell>
          <cell r="N123">
            <v>12</v>
          </cell>
          <cell r="P123" t="str">
            <v>12</v>
          </cell>
        </row>
        <row r="124">
          <cell r="B124">
            <v>15</v>
          </cell>
          <cell r="C124">
            <v>584003</v>
          </cell>
          <cell r="D124">
            <v>12</v>
          </cell>
          <cell r="E124">
            <v>579946.87</v>
          </cell>
          <cell r="G124">
            <v>1</v>
          </cell>
          <cell r="H124" t="str">
            <v>ERAF</v>
          </cell>
          <cell r="N124">
            <v>12</v>
          </cell>
          <cell r="P124" t="str">
            <v>12</v>
          </cell>
        </row>
        <row r="125">
          <cell r="B125">
            <v>14</v>
          </cell>
          <cell r="C125">
            <v>91195</v>
          </cell>
          <cell r="D125">
            <v>14</v>
          </cell>
          <cell r="E125">
            <v>91195</v>
          </cell>
          <cell r="G125">
            <v>1</v>
          </cell>
          <cell r="H125" t="str">
            <v>ERAF</v>
          </cell>
          <cell r="L125" t="str">
            <v>-</v>
          </cell>
          <cell r="N125">
            <v>14</v>
          </cell>
          <cell r="P125" t="str">
            <v>12</v>
          </cell>
        </row>
        <row r="126">
          <cell r="B126">
            <v>27</v>
          </cell>
          <cell r="C126">
            <v>859769</v>
          </cell>
          <cell r="D126">
            <v>30</v>
          </cell>
          <cell r="E126">
            <v>859769</v>
          </cell>
          <cell r="G126">
            <v>1</v>
          </cell>
          <cell r="H126" t="str">
            <v>ERAF</v>
          </cell>
          <cell r="N126">
            <v>30</v>
          </cell>
          <cell r="P126" t="str">
            <v>12</v>
          </cell>
        </row>
        <row r="127">
          <cell r="B127">
            <v>17</v>
          </cell>
          <cell r="C127">
            <v>261159.16</v>
          </cell>
          <cell r="D127">
            <v>18</v>
          </cell>
          <cell r="E127">
            <v>259118.78</v>
          </cell>
          <cell r="G127">
            <v>1</v>
          </cell>
          <cell r="H127" t="str">
            <v>ERAF</v>
          </cell>
          <cell r="N127">
            <v>18</v>
          </cell>
          <cell r="P127" t="str">
            <v>12</v>
          </cell>
        </row>
        <row r="128">
          <cell r="B128">
            <v>24</v>
          </cell>
          <cell r="C128">
            <v>464477</v>
          </cell>
          <cell r="D128">
            <v>24</v>
          </cell>
          <cell r="E128">
            <v>464476.23</v>
          </cell>
          <cell r="G128">
            <v>1</v>
          </cell>
          <cell r="H128" t="str">
            <v>ERAF</v>
          </cell>
          <cell r="N128">
            <v>24</v>
          </cell>
          <cell r="P128" t="str">
            <v>12</v>
          </cell>
        </row>
        <row r="129">
          <cell r="B129">
            <v>14</v>
          </cell>
          <cell r="C129">
            <v>360670</v>
          </cell>
          <cell r="D129">
            <v>13</v>
          </cell>
          <cell r="E129">
            <v>360670</v>
          </cell>
          <cell r="G129">
            <v>1</v>
          </cell>
          <cell r="H129" t="str">
            <v>ERAF</v>
          </cell>
          <cell r="L129" t="str">
            <v>-</v>
          </cell>
          <cell r="N129">
            <v>13</v>
          </cell>
          <cell r="P129" t="str">
            <v>12</v>
          </cell>
        </row>
        <row r="130">
          <cell r="B130">
            <v>14</v>
          </cell>
          <cell r="C130">
            <v>664418</v>
          </cell>
          <cell r="D130">
            <v>12</v>
          </cell>
          <cell r="E130">
            <v>664417.98</v>
          </cell>
          <cell r="G130">
            <v>1</v>
          </cell>
          <cell r="H130" t="str">
            <v>ERAF</v>
          </cell>
          <cell r="N130">
            <v>12</v>
          </cell>
          <cell r="P130" t="str">
            <v>12</v>
          </cell>
        </row>
        <row r="131">
          <cell r="B131">
            <v>13</v>
          </cell>
          <cell r="C131">
            <v>168735</v>
          </cell>
          <cell r="D131">
            <v>14</v>
          </cell>
          <cell r="E131">
            <v>168734.45</v>
          </cell>
          <cell r="G131">
            <v>1</v>
          </cell>
          <cell r="H131" t="str">
            <v>ERAF</v>
          </cell>
          <cell r="L131" t="str">
            <v>-</v>
          </cell>
          <cell r="N131">
            <v>14</v>
          </cell>
          <cell r="P131" t="str">
            <v>12</v>
          </cell>
        </row>
        <row r="132">
          <cell r="B132">
            <v>15</v>
          </cell>
          <cell r="C132">
            <v>522380</v>
          </cell>
          <cell r="D132">
            <v>17</v>
          </cell>
          <cell r="E132">
            <v>522379.82</v>
          </cell>
          <cell r="G132">
            <v>1</v>
          </cell>
          <cell r="H132" t="str">
            <v>ERAF</v>
          </cell>
          <cell r="L132" t="str">
            <v>-</v>
          </cell>
          <cell r="N132">
            <v>17</v>
          </cell>
          <cell r="P132" t="str">
            <v>12</v>
          </cell>
        </row>
        <row r="133">
          <cell r="B133">
            <v>15</v>
          </cell>
          <cell r="C133">
            <v>1000000</v>
          </cell>
          <cell r="D133">
            <v>16</v>
          </cell>
          <cell r="E133">
            <v>1000000</v>
          </cell>
          <cell r="G133">
            <v>1</v>
          </cell>
          <cell r="H133" t="str">
            <v>ERAF</v>
          </cell>
          <cell r="L133" t="str">
            <v>-</v>
          </cell>
          <cell r="N133">
            <v>16</v>
          </cell>
          <cell r="P133" t="str">
            <v>12</v>
          </cell>
        </row>
        <row r="134">
          <cell r="B134">
            <v>24</v>
          </cell>
          <cell r="C134">
            <v>1000000</v>
          </cell>
          <cell r="D134">
            <v>25</v>
          </cell>
          <cell r="E134">
            <v>1000000</v>
          </cell>
          <cell r="G134">
            <v>1</v>
          </cell>
          <cell r="H134" t="str">
            <v>ERAF</v>
          </cell>
          <cell r="N134">
            <v>25</v>
          </cell>
          <cell r="P134" t="str">
            <v>12</v>
          </cell>
        </row>
        <row r="135">
          <cell r="B135">
            <v>16</v>
          </cell>
          <cell r="C135">
            <v>597125</v>
          </cell>
          <cell r="D135">
            <v>17</v>
          </cell>
          <cell r="E135">
            <v>597125</v>
          </cell>
          <cell r="G135">
            <v>1</v>
          </cell>
          <cell r="H135" t="str">
            <v>ERAF</v>
          </cell>
          <cell r="L135" t="str">
            <v>-</v>
          </cell>
          <cell r="N135">
            <v>17</v>
          </cell>
          <cell r="P135" t="str">
            <v>12</v>
          </cell>
        </row>
        <row r="136">
          <cell r="B136">
            <v>13</v>
          </cell>
          <cell r="C136">
            <v>523706</v>
          </cell>
          <cell r="D136">
            <v>14</v>
          </cell>
          <cell r="E136">
            <v>523706</v>
          </cell>
          <cell r="G136">
            <v>1</v>
          </cell>
          <cell r="H136" t="str">
            <v>ERAF</v>
          </cell>
          <cell r="L136" t="str">
            <v>-</v>
          </cell>
          <cell r="N136">
            <v>14</v>
          </cell>
          <cell r="P136" t="str">
            <v>12</v>
          </cell>
        </row>
        <row r="137">
          <cell r="B137">
            <v>15</v>
          </cell>
          <cell r="C137">
            <v>607264</v>
          </cell>
          <cell r="D137">
            <v>14</v>
          </cell>
          <cell r="E137">
            <v>607264</v>
          </cell>
          <cell r="G137">
            <v>1</v>
          </cell>
          <cell r="H137" t="str">
            <v>ERAF</v>
          </cell>
          <cell r="L137" t="str">
            <v>-</v>
          </cell>
          <cell r="N137">
            <v>14</v>
          </cell>
          <cell r="P137" t="str">
            <v>12</v>
          </cell>
        </row>
        <row r="138">
          <cell r="B138">
            <v>18</v>
          </cell>
          <cell r="C138">
            <v>929948</v>
          </cell>
          <cell r="D138">
            <v>20</v>
          </cell>
          <cell r="E138">
            <v>175820.37</v>
          </cell>
          <cell r="G138">
            <v>1</v>
          </cell>
          <cell r="H138" t="str">
            <v>ERAF</v>
          </cell>
          <cell r="L138" t="str">
            <v>-</v>
          </cell>
          <cell r="N138">
            <v>20</v>
          </cell>
          <cell r="P138" t="str">
            <v>12</v>
          </cell>
        </row>
        <row r="139">
          <cell r="B139">
            <v>16</v>
          </cell>
          <cell r="C139">
            <v>910319.43</v>
          </cell>
          <cell r="D139">
            <v>17</v>
          </cell>
          <cell r="E139">
            <v>910319.43</v>
          </cell>
          <cell r="G139">
            <v>1</v>
          </cell>
          <cell r="H139" t="str">
            <v>ERAF</v>
          </cell>
          <cell r="L139" t="str">
            <v>-</v>
          </cell>
          <cell r="N139">
            <v>17</v>
          </cell>
          <cell r="P139" t="str">
            <v>12</v>
          </cell>
        </row>
        <row r="140">
          <cell r="B140" t="str">
            <v>-</v>
          </cell>
          <cell r="G140">
            <v>1</v>
          </cell>
          <cell r="H140" t="str">
            <v>ERAF</v>
          </cell>
          <cell r="L140" t="str">
            <v>-</v>
          </cell>
          <cell r="N140" t="str">
            <v>-</v>
          </cell>
          <cell r="P140" t="str">
            <v>12</v>
          </cell>
        </row>
        <row r="141">
          <cell r="B141">
            <v>13</v>
          </cell>
          <cell r="C141">
            <v>215366</v>
          </cell>
          <cell r="D141">
            <v>17</v>
          </cell>
          <cell r="E141">
            <v>212903.35</v>
          </cell>
          <cell r="G141">
            <v>1</v>
          </cell>
          <cell r="H141" t="str">
            <v>ERAF</v>
          </cell>
          <cell r="L141" t="str">
            <v>-</v>
          </cell>
          <cell r="N141">
            <v>17</v>
          </cell>
          <cell r="P141" t="str">
            <v>12</v>
          </cell>
        </row>
        <row r="142">
          <cell r="B142">
            <v>21</v>
          </cell>
          <cell r="C142">
            <v>243907</v>
          </cell>
          <cell r="D142">
            <v>22</v>
          </cell>
          <cell r="E142">
            <v>243906.65</v>
          </cell>
          <cell r="G142">
            <v>1</v>
          </cell>
          <cell r="H142" t="str">
            <v>ERAF</v>
          </cell>
          <cell r="N142">
            <v>22</v>
          </cell>
          <cell r="P142" t="str">
            <v>12</v>
          </cell>
        </row>
        <row r="143">
          <cell r="B143">
            <v>19</v>
          </cell>
          <cell r="C143">
            <v>317006.9</v>
          </cell>
          <cell r="D143">
            <v>24</v>
          </cell>
          <cell r="E143">
            <v>317006.89</v>
          </cell>
          <cell r="G143">
            <v>1</v>
          </cell>
          <cell r="H143" t="str">
            <v>ERAF</v>
          </cell>
          <cell r="N143">
            <v>24</v>
          </cell>
          <cell r="P143" t="str">
            <v>12</v>
          </cell>
        </row>
        <row r="144">
          <cell r="B144">
            <v>14</v>
          </cell>
          <cell r="C144">
            <v>19908</v>
          </cell>
          <cell r="D144">
            <v>15</v>
          </cell>
          <cell r="E144">
            <v>18960.19</v>
          </cell>
          <cell r="G144">
            <v>1</v>
          </cell>
          <cell r="H144" t="str">
            <v>ERAF</v>
          </cell>
          <cell r="L144" t="str">
            <v>-</v>
          </cell>
          <cell r="N144">
            <v>15</v>
          </cell>
          <cell r="P144" t="str">
            <v>20</v>
          </cell>
        </row>
        <row r="145">
          <cell r="B145">
            <v>23</v>
          </cell>
          <cell r="C145">
            <v>40220</v>
          </cell>
          <cell r="D145">
            <v>19</v>
          </cell>
          <cell r="E145">
            <v>0</v>
          </cell>
          <cell r="G145">
            <v>1</v>
          </cell>
          <cell r="H145" t="str">
            <v>ERAF</v>
          </cell>
          <cell r="N145">
            <v>19</v>
          </cell>
          <cell r="P145" t="str">
            <v>11</v>
          </cell>
        </row>
        <row r="146">
          <cell r="B146">
            <v>20</v>
          </cell>
          <cell r="C146">
            <v>749539.05</v>
          </cell>
          <cell r="D146">
            <v>23</v>
          </cell>
          <cell r="E146">
            <v>749539.05</v>
          </cell>
          <cell r="G146">
            <v>1</v>
          </cell>
          <cell r="H146" t="str">
            <v>ERAF</v>
          </cell>
          <cell r="N146">
            <v>23</v>
          </cell>
          <cell r="P146" t="str">
            <v>12</v>
          </cell>
        </row>
        <row r="147">
          <cell r="B147">
            <v>18</v>
          </cell>
          <cell r="C147">
            <v>443162.85</v>
          </cell>
          <cell r="D147">
            <v>22</v>
          </cell>
          <cell r="E147">
            <v>418912.61</v>
          </cell>
          <cell r="G147">
            <v>1</v>
          </cell>
          <cell r="H147" t="str">
            <v>ERAF</v>
          </cell>
          <cell r="N147">
            <v>22</v>
          </cell>
          <cell r="P147" t="str">
            <v>12</v>
          </cell>
        </row>
        <row r="148">
          <cell r="B148">
            <v>18</v>
          </cell>
          <cell r="C148">
            <v>266091.46</v>
          </cell>
          <cell r="D148">
            <v>18</v>
          </cell>
          <cell r="E148">
            <v>266091.45</v>
          </cell>
          <cell r="G148">
            <v>1</v>
          </cell>
          <cell r="H148" t="str">
            <v>ERAF</v>
          </cell>
          <cell r="N148">
            <v>18</v>
          </cell>
          <cell r="P148" t="str">
            <v>12</v>
          </cell>
        </row>
        <row r="149">
          <cell r="B149">
            <v>25</v>
          </cell>
          <cell r="C149">
            <v>535839.2</v>
          </cell>
          <cell r="D149">
            <v>27</v>
          </cell>
          <cell r="E149">
            <v>535347.39</v>
          </cell>
          <cell r="G149">
            <v>1</v>
          </cell>
          <cell r="H149" t="str">
            <v>ERAF</v>
          </cell>
          <cell r="N149">
            <v>27</v>
          </cell>
          <cell r="P149" t="str">
            <v>12</v>
          </cell>
        </row>
        <row r="150">
          <cell r="B150">
            <v>20</v>
          </cell>
          <cell r="C150">
            <v>98790.08</v>
          </cell>
          <cell r="D150">
            <v>17</v>
          </cell>
          <cell r="E150">
            <v>98790.08</v>
          </cell>
          <cell r="G150">
            <v>1</v>
          </cell>
          <cell r="H150" t="str">
            <v>ERAF</v>
          </cell>
          <cell r="L150" t="str">
            <v>-</v>
          </cell>
          <cell r="N150">
            <v>17</v>
          </cell>
          <cell r="P150" t="str">
            <v>13</v>
          </cell>
        </row>
        <row r="151">
          <cell r="B151">
            <v>24</v>
          </cell>
          <cell r="C151">
            <v>94614.95</v>
          </cell>
          <cell r="D151">
            <v>19</v>
          </cell>
          <cell r="E151">
            <v>92768.76</v>
          </cell>
          <cell r="G151">
            <v>1</v>
          </cell>
          <cell r="H151" t="str">
            <v>ERAF</v>
          </cell>
          <cell r="N151">
            <v>19</v>
          </cell>
          <cell r="P151" t="str">
            <v>11</v>
          </cell>
        </row>
        <row r="152">
          <cell r="B152">
            <v>15</v>
          </cell>
          <cell r="C152">
            <v>796124.21</v>
          </cell>
          <cell r="D152">
            <v>16</v>
          </cell>
          <cell r="E152">
            <v>796120.54</v>
          </cell>
          <cell r="G152">
            <v>1</v>
          </cell>
          <cell r="H152" t="str">
            <v>ERAF</v>
          </cell>
          <cell r="L152" t="str">
            <v>-</v>
          </cell>
          <cell r="N152">
            <v>16</v>
          </cell>
          <cell r="P152" t="str">
            <v>12</v>
          </cell>
        </row>
        <row r="153">
          <cell r="B153">
            <v>17</v>
          </cell>
          <cell r="C153">
            <v>565021</v>
          </cell>
          <cell r="D153">
            <v>24</v>
          </cell>
          <cell r="E153">
            <v>544147.58</v>
          </cell>
          <cell r="G153">
            <v>1</v>
          </cell>
          <cell r="H153" t="str">
            <v>ERAF</v>
          </cell>
          <cell r="L153" t="str">
            <v>-</v>
          </cell>
          <cell r="N153">
            <v>24</v>
          </cell>
          <cell r="P153" t="str">
            <v>12</v>
          </cell>
        </row>
        <row r="154">
          <cell r="B154">
            <v>38</v>
          </cell>
          <cell r="C154">
            <v>230955.4</v>
          </cell>
          <cell r="D154">
            <v>40</v>
          </cell>
          <cell r="E154">
            <v>230955.4</v>
          </cell>
          <cell r="G154">
            <v>1</v>
          </cell>
          <cell r="H154" t="str">
            <v>ERAF</v>
          </cell>
          <cell r="L154" t="str">
            <v>-</v>
          </cell>
          <cell r="N154">
            <v>40</v>
          </cell>
          <cell r="P154" t="str">
            <v>11</v>
          </cell>
        </row>
        <row r="155">
          <cell r="B155">
            <v>20</v>
          </cell>
          <cell r="C155">
            <v>9600</v>
          </cell>
          <cell r="D155">
            <v>18</v>
          </cell>
          <cell r="E155">
            <v>9600</v>
          </cell>
          <cell r="G155">
            <v>1</v>
          </cell>
          <cell r="H155" t="str">
            <v>ERAF</v>
          </cell>
          <cell r="N155">
            <v>18</v>
          </cell>
          <cell r="P155" t="str">
            <v>31</v>
          </cell>
        </row>
        <row r="156">
          <cell r="B156">
            <v>18</v>
          </cell>
          <cell r="C156">
            <v>50494.5</v>
          </cell>
          <cell r="D156">
            <v>21</v>
          </cell>
          <cell r="E156">
            <v>50146.76</v>
          </cell>
          <cell r="G156">
            <v>1</v>
          </cell>
          <cell r="H156" t="str">
            <v>ERAF</v>
          </cell>
          <cell r="N156">
            <v>21</v>
          </cell>
          <cell r="P156" t="str">
            <v>20</v>
          </cell>
        </row>
        <row r="157">
          <cell r="B157">
            <v>15</v>
          </cell>
          <cell r="C157">
            <v>119662.32</v>
          </cell>
          <cell r="D157">
            <v>17</v>
          </cell>
          <cell r="E157">
            <v>100958.25</v>
          </cell>
          <cell r="G157">
            <v>1</v>
          </cell>
          <cell r="H157" t="str">
            <v>ERAF</v>
          </cell>
          <cell r="L157" t="str">
            <v>-</v>
          </cell>
          <cell r="N157">
            <v>17</v>
          </cell>
          <cell r="P157" t="str">
            <v>20</v>
          </cell>
        </row>
        <row r="158">
          <cell r="B158">
            <v>31</v>
          </cell>
          <cell r="C158">
            <v>97250.1</v>
          </cell>
          <cell r="D158">
            <v>35</v>
          </cell>
          <cell r="E158">
            <v>84840.25</v>
          </cell>
          <cell r="G158">
            <v>1</v>
          </cell>
          <cell r="H158" t="str">
            <v>ERAF</v>
          </cell>
          <cell r="L158" t="str">
            <v>-</v>
          </cell>
          <cell r="N158">
            <v>35</v>
          </cell>
          <cell r="P158" t="str">
            <v>20</v>
          </cell>
        </row>
        <row r="159">
          <cell r="B159">
            <v>17</v>
          </cell>
          <cell r="C159">
            <v>27508.73</v>
          </cell>
          <cell r="D159">
            <v>32</v>
          </cell>
          <cell r="E159">
            <v>16332.23</v>
          </cell>
          <cell r="G159">
            <v>1</v>
          </cell>
          <cell r="H159" t="str">
            <v>ERAF</v>
          </cell>
          <cell r="L159" t="str">
            <v>-</v>
          </cell>
          <cell r="N159">
            <v>32</v>
          </cell>
          <cell r="P159" t="str">
            <v>20</v>
          </cell>
        </row>
        <row r="160">
          <cell r="B160">
            <v>21</v>
          </cell>
          <cell r="C160">
            <v>986023</v>
          </cell>
          <cell r="D160">
            <v>23</v>
          </cell>
          <cell r="E160">
            <v>985854.47</v>
          </cell>
          <cell r="G160">
            <v>1</v>
          </cell>
          <cell r="H160" t="str">
            <v>ERAF</v>
          </cell>
          <cell r="N160">
            <v>23</v>
          </cell>
          <cell r="P160" t="str">
            <v>12</v>
          </cell>
        </row>
        <row r="161">
          <cell r="B161">
            <v>31</v>
          </cell>
          <cell r="C161">
            <v>566326</v>
          </cell>
          <cell r="D161">
            <v>36</v>
          </cell>
          <cell r="E161">
            <v>556051.51</v>
          </cell>
          <cell r="G161">
            <v>1</v>
          </cell>
          <cell r="H161" t="str">
            <v>ERAF</v>
          </cell>
          <cell r="L161" t="str">
            <v>-</v>
          </cell>
          <cell r="N161">
            <v>36</v>
          </cell>
          <cell r="P161" t="str">
            <v>12</v>
          </cell>
        </row>
        <row r="162">
          <cell r="B162">
            <v>24</v>
          </cell>
          <cell r="C162">
            <v>406968</v>
          </cell>
          <cell r="D162">
            <v>28</v>
          </cell>
          <cell r="E162">
            <v>397611.97</v>
          </cell>
          <cell r="G162">
            <v>1</v>
          </cell>
          <cell r="H162" t="str">
            <v>ERAF</v>
          </cell>
          <cell r="N162">
            <v>28</v>
          </cell>
          <cell r="P162" t="str">
            <v>12</v>
          </cell>
        </row>
        <row r="163">
          <cell r="B163">
            <v>24</v>
          </cell>
          <cell r="C163">
            <v>57533.7</v>
          </cell>
          <cell r="D163">
            <v>19</v>
          </cell>
          <cell r="E163">
            <v>0</v>
          </cell>
          <cell r="G163">
            <v>1</v>
          </cell>
          <cell r="H163" t="str">
            <v>ERAF</v>
          </cell>
          <cell r="N163">
            <v>19</v>
          </cell>
          <cell r="P163" t="str">
            <v>20</v>
          </cell>
        </row>
        <row r="164">
          <cell r="B164">
            <v>13</v>
          </cell>
          <cell r="C164">
            <v>103994</v>
          </cell>
          <cell r="D164">
            <v>14</v>
          </cell>
          <cell r="E164">
            <v>103994</v>
          </cell>
          <cell r="G164">
            <v>1</v>
          </cell>
          <cell r="H164" t="str">
            <v>ERAF</v>
          </cell>
          <cell r="L164" t="str">
            <v>-</v>
          </cell>
          <cell r="N164">
            <v>14</v>
          </cell>
          <cell r="P164" t="str">
            <v>12</v>
          </cell>
        </row>
        <row r="165">
          <cell r="B165">
            <v>16</v>
          </cell>
          <cell r="C165">
            <v>190951</v>
          </cell>
          <cell r="D165">
            <v>17</v>
          </cell>
          <cell r="E165">
            <v>190951</v>
          </cell>
          <cell r="G165">
            <v>1</v>
          </cell>
          <cell r="H165" t="str">
            <v>ERAF</v>
          </cell>
          <cell r="L165" t="str">
            <v>-</v>
          </cell>
          <cell r="N165">
            <v>17</v>
          </cell>
          <cell r="P165" t="str">
            <v>12</v>
          </cell>
        </row>
        <row r="166">
          <cell r="B166">
            <v>19</v>
          </cell>
          <cell r="C166">
            <v>58498.42</v>
          </cell>
          <cell r="D166">
            <v>19</v>
          </cell>
          <cell r="E166">
            <v>58498.42</v>
          </cell>
          <cell r="G166">
            <v>1</v>
          </cell>
          <cell r="H166" t="str">
            <v>ERAF</v>
          </cell>
          <cell r="N166">
            <v>19</v>
          </cell>
          <cell r="P166" t="str">
            <v>12</v>
          </cell>
        </row>
        <row r="167">
          <cell r="B167">
            <v>29</v>
          </cell>
          <cell r="C167">
            <v>1500000</v>
          </cell>
          <cell r="D167">
            <v>30</v>
          </cell>
          <cell r="E167">
            <v>1500000</v>
          </cell>
          <cell r="G167">
            <v>1</v>
          </cell>
          <cell r="H167" t="str">
            <v>ERAF</v>
          </cell>
          <cell r="L167" t="str">
            <v>-</v>
          </cell>
          <cell r="N167">
            <v>30</v>
          </cell>
          <cell r="P167" t="str">
            <v>13</v>
          </cell>
        </row>
        <row r="168">
          <cell r="B168">
            <v>15</v>
          </cell>
          <cell r="C168">
            <v>42848.7</v>
          </cell>
          <cell r="D168">
            <v>16</v>
          </cell>
          <cell r="E168">
            <v>42848.7</v>
          </cell>
          <cell r="G168">
            <v>1</v>
          </cell>
          <cell r="H168" t="str">
            <v>ERAF</v>
          </cell>
          <cell r="L168" t="str">
            <v>-</v>
          </cell>
          <cell r="N168">
            <v>16</v>
          </cell>
          <cell r="P168" t="str">
            <v>11</v>
          </cell>
        </row>
        <row r="169">
          <cell r="B169">
            <v>21</v>
          </cell>
          <cell r="C169">
            <v>138966.87</v>
          </cell>
          <cell r="D169">
            <v>23</v>
          </cell>
          <cell r="E169">
            <v>128694.55</v>
          </cell>
          <cell r="G169">
            <v>1</v>
          </cell>
          <cell r="H169" t="str">
            <v>ERAF</v>
          </cell>
          <cell r="N169">
            <v>23</v>
          </cell>
          <cell r="P169" t="str">
            <v>11</v>
          </cell>
        </row>
        <row r="170">
          <cell r="B170">
            <v>18</v>
          </cell>
          <cell r="C170">
            <v>2475</v>
          </cell>
          <cell r="D170">
            <v>19</v>
          </cell>
          <cell r="E170">
            <v>0</v>
          </cell>
          <cell r="G170">
            <v>1</v>
          </cell>
          <cell r="H170" t="str">
            <v>ERAF</v>
          </cell>
          <cell r="N170">
            <v>19</v>
          </cell>
          <cell r="P170" t="str">
            <v>31</v>
          </cell>
        </row>
        <row r="171">
          <cell r="B171">
            <v>24</v>
          </cell>
          <cell r="C171">
            <v>183042.62</v>
          </cell>
          <cell r="D171">
            <v>26</v>
          </cell>
          <cell r="E171">
            <v>183042.62</v>
          </cell>
          <cell r="G171">
            <v>1</v>
          </cell>
          <cell r="H171" t="str">
            <v>ERAF</v>
          </cell>
          <cell r="N171">
            <v>26</v>
          </cell>
          <cell r="P171" t="str">
            <v>11</v>
          </cell>
        </row>
        <row r="172">
          <cell r="B172">
            <v>16</v>
          </cell>
          <cell r="C172">
            <v>345148.96</v>
          </cell>
          <cell r="D172">
            <v>14</v>
          </cell>
          <cell r="E172">
            <v>345148.96</v>
          </cell>
          <cell r="G172">
            <v>1</v>
          </cell>
          <cell r="H172" t="str">
            <v>ERAF</v>
          </cell>
          <cell r="L172" t="str">
            <v>-</v>
          </cell>
          <cell r="N172">
            <v>14</v>
          </cell>
          <cell r="P172" t="str">
            <v>11</v>
          </cell>
        </row>
        <row r="173">
          <cell r="B173">
            <v>20</v>
          </cell>
          <cell r="C173">
            <v>500000</v>
          </cell>
          <cell r="D173">
            <v>24</v>
          </cell>
          <cell r="E173">
            <v>500000</v>
          </cell>
          <cell r="G173">
            <v>1</v>
          </cell>
          <cell r="H173" t="str">
            <v>ERAF</v>
          </cell>
          <cell r="N173">
            <v>24</v>
          </cell>
          <cell r="P173" t="str">
            <v>11</v>
          </cell>
        </row>
        <row r="174">
          <cell r="B174">
            <v>13</v>
          </cell>
          <cell r="C174">
            <v>6990</v>
          </cell>
          <cell r="D174">
            <v>13</v>
          </cell>
          <cell r="E174">
            <v>6990</v>
          </cell>
          <cell r="G174">
            <v>1</v>
          </cell>
          <cell r="H174" t="str">
            <v>ERAF</v>
          </cell>
          <cell r="L174" t="str">
            <v>-</v>
          </cell>
          <cell r="N174">
            <v>13</v>
          </cell>
          <cell r="P174" t="str">
            <v>31</v>
          </cell>
        </row>
        <row r="175">
          <cell r="B175">
            <v>15</v>
          </cell>
          <cell r="C175">
            <v>8275</v>
          </cell>
          <cell r="D175">
            <v>16</v>
          </cell>
          <cell r="E175">
            <v>8275</v>
          </cell>
          <cell r="G175">
            <v>1</v>
          </cell>
          <cell r="H175" t="str">
            <v>ERAF</v>
          </cell>
          <cell r="L175" t="str">
            <v>-</v>
          </cell>
          <cell r="N175">
            <v>16</v>
          </cell>
          <cell r="P175" t="str">
            <v>31</v>
          </cell>
        </row>
        <row r="176">
          <cell r="B176">
            <v>15</v>
          </cell>
          <cell r="C176">
            <v>9925</v>
          </cell>
          <cell r="D176">
            <v>16</v>
          </cell>
          <cell r="E176">
            <v>9925</v>
          </cell>
          <cell r="G176">
            <v>1</v>
          </cell>
          <cell r="H176" t="str">
            <v>ERAF</v>
          </cell>
          <cell r="L176" t="str">
            <v>-</v>
          </cell>
          <cell r="N176">
            <v>16</v>
          </cell>
          <cell r="P176" t="str">
            <v>31</v>
          </cell>
        </row>
        <row r="177">
          <cell r="B177">
            <v>20</v>
          </cell>
          <cell r="C177">
            <v>9960</v>
          </cell>
          <cell r="D177">
            <v>45</v>
          </cell>
          <cell r="E177">
            <v>0</v>
          </cell>
          <cell r="G177">
            <v>1</v>
          </cell>
          <cell r="H177" t="str">
            <v>ERAF</v>
          </cell>
          <cell r="L177" t="str">
            <v>-</v>
          </cell>
          <cell r="N177">
            <v>45</v>
          </cell>
          <cell r="P177" t="str">
            <v>31</v>
          </cell>
        </row>
        <row r="178">
          <cell r="B178">
            <v>16</v>
          </cell>
          <cell r="C178">
            <v>8725</v>
          </cell>
          <cell r="D178">
            <v>18</v>
          </cell>
          <cell r="E178">
            <v>8725</v>
          </cell>
          <cell r="G178">
            <v>1</v>
          </cell>
          <cell r="H178" t="str">
            <v>ERAF</v>
          </cell>
          <cell r="N178">
            <v>18</v>
          </cell>
          <cell r="P178" t="str">
            <v>31</v>
          </cell>
        </row>
        <row r="179">
          <cell r="B179">
            <v>13</v>
          </cell>
          <cell r="C179">
            <v>9315</v>
          </cell>
          <cell r="D179">
            <v>14</v>
          </cell>
          <cell r="E179">
            <v>9315</v>
          </cell>
          <cell r="G179">
            <v>1</v>
          </cell>
          <cell r="H179" t="str">
            <v>ERAF</v>
          </cell>
          <cell r="L179" t="str">
            <v>-</v>
          </cell>
          <cell r="N179">
            <v>14</v>
          </cell>
          <cell r="P179" t="str">
            <v>31</v>
          </cell>
        </row>
        <row r="180">
          <cell r="B180">
            <v>13</v>
          </cell>
          <cell r="C180">
            <v>9900</v>
          </cell>
          <cell r="D180">
            <v>14</v>
          </cell>
          <cell r="E180">
            <v>9900</v>
          </cell>
          <cell r="G180">
            <v>1</v>
          </cell>
          <cell r="H180" t="str">
            <v>ERAF</v>
          </cell>
          <cell r="L180" t="str">
            <v>-</v>
          </cell>
          <cell r="N180">
            <v>14</v>
          </cell>
          <cell r="P180" t="str">
            <v>31</v>
          </cell>
        </row>
        <row r="181">
          <cell r="B181">
            <v>15</v>
          </cell>
          <cell r="C181">
            <v>7000</v>
          </cell>
          <cell r="D181">
            <v>14</v>
          </cell>
          <cell r="E181">
            <v>7000</v>
          </cell>
          <cell r="G181">
            <v>1</v>
          </cell>
          <cell r="H181" t="str">
            <v>ERAF</v>
          </cell>
          <cell r="L181" t="str">
            <v>-</v>
          </cell>
          <cell r="N181">
            <v>14</v>
          </cell>
          <cell r="P181" t="str">
            <v>31</v>
          </cell>
        </row>
        <row r="182">
          <cell r="B182">
            <v>24</v>
          </cell>
          <cell r="C182">
            <v>25944.65</v>
          </cell>
          <cell r="D182">
            <v>21</v>
          </cell>
          <cell r="E182">
            <v>0</v>
          </cell>
          <cell r="G182">
            <v>1</v>
          </cell>
          <cell r="H182" t="str">
            <v>ERAF</v>
          </cell>
          <cell r="N182">
            <v>21</v>
          </cell>
          <cell r="P182" t="str">
            <v>20</v>
          </cell>
        </row>
        <row r="183">
          <cell r="B183">
            <v>14</v>
          </cell>
          <cell r="C183">
            <v>31140</v>
          </cell>
          <cell r="D183">
            <v>15</v>
          </cell>
          <cell r="E183">
            <v>31138.74</v>
          </cell>
          <cell r="G183">
            <v>1</v>
          </cell>
          <cell r="H183" t="str">
            <v>ERAF</v>
          </cell>
          <cell r="L183" t="str">
            <v>-</v>
          </cell>
          <cell r="N183">
            <v>15</v>
          </cell>
          <cell r="P183" t="str">
            <v>20</v>
          </cell>
        </row>
        <row r="184">
          <cell r="B184">
            <v>19</v>
          </cell>
          <cell r="C184">
            <v>150000</v>
          </cell>
          <cell r="D184">
            <v>21</v>
          </cell>
          <cell r="E184">
            <v>150000</v>
          </cell>
          <cell r="G184">
            <v>1</v>
          </cell>
          <cell r="H184" t="str">
            <v>ERAF</v>
          </cell>
          <cell r="N184">
            <v>21</v>
          </cell>
          <cell r="P184" t="str">
            <v>20</v>
          </cell>
        </row>
        <row r="185">
          <cell r="B185">
            <v>19</v>
          </cell>
          <cell r="C185">
            <v>683206</v>
          </cell>
          <cell r="D185">
            <v>21</v>
          </cell>
          <cell r="E185">
            <v>683206</v>
          </cell>
          <cell r="G185">
            <v>1</v>
          </cell>
          <cell r="H185" t="str">
            <v>ERAF</v>
          </cell>
          <cell r="N185">
            <v>21</v>
          </cell>
          <cell r="P185" t="str">
            <v>12</v>
          </cell>
        </row>
        <row r="186">
          <cell r="B186">
            <v>27</v>
          </cell>
          <cell r="C186">
            <v>13763.82</v>
          </cell>
          <cell r="D186">
            <v>28</v>
          </cell>
          <cell r="E186">
            <v>13763.82</v>
          </cell>
          <cell r="G186">
            <v>1</v>
          </cell>
          <cell r="H186" t="str">
            <v>ERAF</v>
          </cell>
          <cell r="N186">
            <v>28</v>
          </cell>
          <cell r="P186" t="str">
            <v>13</v>
          </cell>
        </row>
        <row r="187">
          <cell r="B187">
            <v>18</v>
          </cell>
          <cell r="C187">
            <v>14860.43</v>
          </cell>
          <cell r="D187">
            <v>19</v>
          </cell>
          <cell r="E187">
            <v>14857.19</v>
          </cell>
          <cell r="G187">
            <v>1</v>
          </cell>
          <cell r="H187" t="str">
            <v>ERAF</v>
          </cell>
          <cell r="N187">
            <v>19</v>
          </cell>
          <cell r="P187" t="str">
            <v>11</v>
          </cell>
        </row>
        <row r="188">
          <cell r="B188">
            <v>13</v>
          </cell>
          <cell r="C188">
            <v>23412</v>
          </cell>
          <cell r="D188">
            <v>13</v>
          </cell>
          <cell r="E188">
            <v>23412</v>
          </cell>
          <cell r="G188">
            <v>1</v>
          </cell>
          <cell r="H188" t="str">
            <v>ERAF</v>
          </cell>
          <cell r="L188" t="str">
            <v>-</v>
          </cell>
          <cell r="N188">
            <v>13</v>
          </cell>
          <cell r="P188" t="str">
            <v>11</v>
          </cell>
        </row>
        <row r="189">
          <cell r="B189">
            <v>37</v>
          </cell>
          <cell r="C189">
            <v>16751.96</v>
          </cell>
          <cell r="D189">
            <v>35</v>
          </cell>
          <cell r="E189">
            <v>16751.96</v>
          </cell>
          <cell r="G189">
            <v>1</v>
          </cell>
          <cell r="H189" t="str">
            <v>ERAF</v>
          </cell>
          <cell r="L189" t="str">
            <v>-</v>
          </cell>
          <cell r="N189">
            <v>35</v>
          </cell>
          <cell r="P189" t="str">
            <v>11</v>
          </cell>
        </row>
        <row r="190">
          <cell r="B190">
            <v>13</v>
          </cell>
          <cell r="C190">
            <v>9570</v>
          </cell>
          <cell r="D190">
            <v>12</v>
          </cell>
          <cell r="E190">
            <v>9570</v>
          </cell>
          <cell r="G190">
            <v>1</v>
          </cell>
          <cell r="H190" t="str">
            <v>ERAF</v>
          </cell>
          <cell r="N190">
            <v>12</v>
          </cell>
          <cell r="P190" t="str">
            <v>31</v>
          </cell>
        </row>
        <row r="191">
          <cell r="B191">
            <v>13</v>
          </cell>
          <cell r="C191">
            <v>9850</v>
          </cell>
          <cell r="D191">
            <v>14</v>
          </cell>
          <cell r="E191">
            <v>9850</v>
          </cell>
          <cell r="G191">
            <v>1</v>
          </cell>
          <cell r="H191" t="str">
            <v>ERAF</v>
          </cell>
          <cell r="L191" t="str">
            <v>-</v>
          </cell>
          <cell r="N191">
            <v>14</v>
          </cell>
          <cell r="P191" t="str">
            <v>31</v>
          </cell>
        </row>
        <row r="192">
          <cell r="B192">
            <v>13</v>
          </cell>
          <cell r="C192">
            <v>10000</v>
          </cell>
          <cell r="D192">
            <v>14</v>
          </cell>
          <cell r="E192">
            <v>10000</v>
          </cell>
          <cell r="G192">
            <v>1</v>
          </cell>
          <cell r="H192" t="str">
            <v>ERAF</v>
          </cell>
          <cell r="L192" t="str">
            <v>-</v>
          </cell>
          <cell r="N192">
            <v>14</v>
          </cell>
          <cell r="P192" t="str">
            <v>31</v>
          </cell>
        </row>
        <row r="193">
          <cell r="B193">
            <v>15</v>
          </cell>
          <cell r="C193">
            <v>10000</v>
          </cell>
          <cell r="D193">
            <v>16</v>
          </cell>
          <cell r="E193">
            <v>10000</v>
          </cell>
          <cell r="G193">
            <v>1</v>
          </cell>
          <cell r="H193" t="str">
            <v>ERAF</v>
          </cell>
          <cell r="L193" t="str">
            <v>-</v>
          </cell>
          <cell r="N193">
            <v>16</v>
          </cell>
          <cell r="P193" t="str">
            <v>31</v>
          </cell>
        </row>
        <row r="194">
          <cell r="B194">
            <v>20</v>
          </cell>
          <cell r="C194">
            <v>10000</v>
          </cell>
          <cell r="D194">
            <v>23</v>
          </cell>
          <cell r="E194">
            <v>0</v>
          </cell>
          <cell r="G194">
            <v>1</v>
          </cell>
          <cell r="H194" t="str">
            <v>ERAF</v>
          </cell>
          <cell r="N194">
            <v>23</v>
          </cell>
          <cell r="P194" t="str">
            <v>31</v>
          </cell>
        </row>
        <row r="195">
          <cell r="B195">
            <v>13</v>
          </cell>
          <cell r="C195">
            <v>10000</v>
          </cell>
          <cell r="D195">
            <v>12</v>
          </cell>
          <cell r="E195">
            <v>10000</v>
          </cell>
          <cell r="G195">
            <v>1</v>
          </cell>
          <cell r="H195" t="str">
            <v>ERAF</v>
          </cell>
          <cell r="N195">
            <v>12</v>
          </cell>
          <cell r="P195" t="str">
            <v>31</v>
          </cell>
        </row>
        <row r="196">
          <cell r="B196">
            <v>13</v>
          </cell>
          <cell r="C196">
            <v>2400</v>
          </cell>
          <cell r="D196">
            <v>14</v>
          </cell>
          <cell r="E196">
            <v>2400</v>
          </cell>
          <cell r="G196">
            <v>1</v>
          </cell>
          <cell r="H196" t="str">
            <v>ERAF</v>
          </cell>
          <cell r="L196" t="str">
            <v>-</v>
          </cell>
          <cell r="N196">
            <v>14</v>
          </cell>
          <cell r="P196" t="str">
            <v>31</v>
          </cell>
        </row>
        <row r="197">
          <cell r="B197">
            <v>17</v>
          </cell>
          <cell r="C197">
            <v>6150</v>
          </cell>
          <cell r="D197">
            <v>18</v>
          </cell>
          <cell r="E197">
            <v>6150</v>
          </cell>
          <cell r="G197">
            <v>1</v>
          </cell>
          <cell r="H197" t="str">
            <v>ERAF</v>
          </cell>
          <cell r="N197">
            <v>18</v>
          </cell>
          <cell r="P197" t="str">
            <v>31</v>
          </cell>
        </row>
        <row r="198">
          <cell r="B198">
            <v>14</v>
          </cell>
          <cell r="C198">
            <v>9750</v>
          </cell>
          <cell r="D198">
            <v>15</v>
          </cell>
          <cell r="E198">
            <v>9750</v>
          </cell>
          <cell r="G198">
            <v>1</v>
          </cell>
          <cell r="H198" t="str">
            <v>ERAF</v>
          </cell>
          <cell r="L198" t="str">
            <v>-</v>
          </cell>
          <cell r="N198">
            <v>15</v>
          </cell>
          <cell r="P198" t="str">
            <v>31</v>
          </cell>
        </row>
        <row r="199">
          <cell r="B199">
            <v>16</v>
          </cell>
          <cell r="C199">
            <v>9832.5</v>
          </cell>
          <cell r="D199">
            <v>16</v>
          </cell>
          <cell r="E199">
            <v>9832.5</v>
          </cell>
          <cell r="G199">
            <v>1</v>
          </cell>
          <cell r="H199" t="str">
            <v>ERAF</v>
          </cell>
          <cell r="L199" t="str">
            <v>-</v>
          </cell>
          <cell r="N199">
            <v>16</v>
          </cell>
          <cell r="P199" t="str">
            <v>31</v>
          </cell>
        </row>
        <row r="200">
          <cell r="B200">
            <v>13</v>
          </cell>
          <cell r="C200">
            <v>10000</v>
          </cell>
          <cell r="D200">
            <v>15</v>
          </cell>
          <cell r="E200">
            <v>10000</v>
          </cell>
          <cell r="G200">
            <v>1</v>
          </cell>
          <cell r="H200" t="str">
            <v>ERAF</v>
          </cell>
          <cell r="L200" t="str">
            <v>-</v>
          </cell>
          <cell r="N200">
            <v>15</v>
          </cell>
          <cell r="P200" t="str">
            <v>31</v>
          </cell>
        </row>
        <row r="201">
          <cell r="B201">
            <v>14</v>
          </cell>
          <cell r="C201">
            <v>9750</v>
          </cell>
          <cell r="D201">
            <v>15</v>
          </cell>
          <cell r="E201">
            <v>9750</v>
          </cell>
          <cell r="G201">
            <v>1</v>
          </cell>
          <cell r="H201" t="str">
            <v>ERAF</v>
          </cell>
          <cell r="L201" t="str">
            <v>-</v>
          </cell>
          <cell r="N201">
            <v>15</v>
          </cell>
          <cell r="P201" t="str">
            <v>31</v>
          </cell>
        </row>
        <row r="202">
          <cell r="B202">
            <v>14</v>
          </cell>
          <cell r="C202">
            <v>2490</v>
          </cell>
          <cell r="D202">
            <v>15</v>
          </cell>
          <cell r="E202">
            <v>2490</v>
          </cell>
          <cell r="G202">
            <v>1</v>
          </cell>
          <cell r="H202" t="str">
            <v>ERAF</v>
          </cell>
          <cell r="L202" t="str">
            <v>-</v>
          </cell>
          <cell r="N202">
            <v>15</v>
          </cell>
          <cell r="P202" t="str">
            <v>31</v>
          </cell>
        </row>
        <row r="203">
          <cell r="B203">
            <v>17</v>
          </cell>
          <cell r="C203">
            <v>10000</v>
          </cell>
          <cell r="D203">
            <v>17</v>
          </cell>
          <cell r="E203">
            <v>10000</v>
          </cell>
          <cell r="G203">
            <v>1</v>
          </cell>
          <cell r="H203" t="str">
            <v>ERAF</v>
          </cell>
          <cell r="L203" t="str">
            <v>-</v>
          </cell>
          <cell r="N203">
            <v>17</v>
          </cell>
          <cell r="P203" t="str">
            <v>31</v>
          </cell>
        </row>
        <row r="204">
          <cell r="B204">
            <v>14</v>
          </cell>
          <cell r="C204">
            <v>9750</v>
          </cell>
          <cell r="D204">
            <v>15</v>
          </cell>
          <cell r="E204">
            <v>9750</v>
          </cell>
          <cell r="G204">
            <v>1</v>
          </cell>
          <cell r="H204" t="str">
            <v>ERAF</v>
          </cell>
          <cell r="L204" t="str">
            <v>-</v>
          </cell>
          <cell r="N204">
            <v>15</v>
          </cell>
          <cell r="P204" t="str">
            <v>31</v>
          </cell>
        </row>
        <row r="205">
          <cell r="B205">
            <v>13</v>
          </cell>
          <cell r="C205">
            <v>9900</v>
          </cell>
          <cell r="D205">
            <v>13</v>
          </cell>
          <cell r="E205">
            <v>9900</v>
          </cell>
          <cell r="G205">
            <v>1</v>
          </cell>
          <cell r="H205" t="str">
            <v>ERAF</v>
          </cell>
          <cell r="L205" t="str">
            <v>-</v>
          </cell>
          <cell r="N205">
            <v>13</v>
          </cell>
          <cell r="P205" t="str">
            <v>31</v>
          </cell>
        </row>
        <row r="206">
          <cell r="B206">
            <v>14</v>
          </cell>
          <cell r="C206">
            <v>7800</v>
          </cell>
          <cell r="D206">
            <v>18</v>
          </cell>
          <cell r="E206">
            <v>7800</v>
          </cell>
          <cell r="G206">
            <v>1</v>
          </cell>
          <cell r="H206" t="str">
            <v>ERAF</v>
          </cell>
          <cell r="N206">
            <v>18</v>
          </cell>
          <cell r="P206" t="str">
            <v>31</v>
          </cell>
        </row>
        <row r="207">
          <cell r="B207">
            <v>13</v>
          </cell>
          <cell r="C207">
            <v>9625</v>
          </cell>
          <cell r="D207">
            <v>15</v>
          </cell>
          <cell r="E207">
            <v>9625.5</v>
          </cell>
          <cell r="G207">
            <v>1</v>
          </cell>
          <cell r="H207" t="str">
            <v>ERAF</v>
          </cell>
          <cell r="L207" t="str">
            <v>-</v>
          </cell>
          <cell r="N207">
            <v>15</v>
          </cell>
          <cell r="P207" t="str">
            <v>31</v>
          </cell>
        </row>
        <row r="208">
          <cell r="B208">
            <v>13</v>
          </cell>
          <cell r="C208">
            <v>9900</v>
          </cell>
          <cell r="D208">
            <v>14</v>
          </cell>
          <cell r="E208">
            <v>9900</v>
          </cell>
          <cell r="G208">
            <v>1</v>
          </cell>
          <cell r="H208" t="str">
            <v>ERAF</v>
          </cell>
          <cell r="L208" t="str">
            <v>-</v>
          </cell>
          <cell r="N208">
            <v>14</v>
          </cell>
          <cell r="P208" t="str">
            <v>31</v>
          </cell>
        </row>
        <row r="209">
          <cell r="B209">
            <v>13</v>
          </cell>
          <cell r="C209">
            <v>10000</v>
          </cell>
          <cell r="D209">
            <v>14</v>
          </cell>
          <cell r="E209">
            <v>10000</v>
          </cell>
          <cell r="G209">
            <v>1</v>
          </cell>
          <cell r="H209" t="str">
            <v>ERAF</v>
          </cell>
          <cell r="L209" t="str">
            <v>-</v>
          </cell>
          <cell r="N209">
            <v>14</v>
          </cell>
          <cell r="P209" t="str">
            <v>31</v>
          </cell>
        </row>
        <row r="210">
          <cell r="B210">
            <v>13</v>
          </cell>
          <cell r="C210">
            <v>2497</v>
          </cell>
          <cell r="D210">
            <v>14</v>
          </cell>
          <cell r="E210">
            <v>2497</v>
          </cell>
          <cell r="G210">
            <v>1</v>
          </cell>
          <cell r="H210" t="str">
            <v>ERAF</v>
          </cell>
          <cell r="L210" t="str">
            <v>-</v>
          </cell>
          <cell r="N210">
            <v>14</v>
          </cell>
          <cell r="P210" t="str">
            <v>31</v>
          </cell>
        </row>
        <row r="211">
          <cell r="B211">
            <v>17</v>
          </cell>
          <cell r="C211">
            <v>10000</v>
          </cell>
          <cell r="D211">
            <v>25</v>
          </cell>
          <cell r="E211">
            <v>10000</v>
          </cell>
          <cell r="G211">
            <v>1</v>
          </cell>
          <cell r="H211" t="str">
            <v>ERAF</v>
          </cell>
          <cell r="N211">
            <v>25</v>
          </cell>
          <cell r="P211" t="str">
            <v>31</v>
          </cell>
        </row>
        <row r="212">
          <cell r="B212">
            <v>14</v>
          </cell>
          <cell r="C212">
            <v>9850</v>
          </cell>
          <cell r="D212">
            <v>14</v>
          </cell>
          <cell r="E212">
            <v>9850</v>
          </cell>
          <cell r="G212">
            <v>1</v>
          </cell>
          <cell r="H212" t="str">
            <v>ERAF</v>
          </cell>
          <cell r="L212" t="str">
            <v>-</v>
          </cell>
          <cell r="N212">
            <v>14</v>
          </cell>
          <cell r="P212" t="str">
            <v>31</v>
          </cell>
        </row>
        <row r="213">
          <cell r="B213">
            <v>18</v>
          </cell>
          <cell r="C213">
            <v>30000</v>
          </cell>
          <cell r="D213">
            <v>22</v>
          </cell>
          <cell r="E213">
            <v>30000</v>
          </cell>
          <cell r="G213">
            <v>1</v>
          </cell>
          <cell r="H213" t="str">
            <v>ESF</v>
          </cell>
          <cell r="N213">
            <v>22</v>
          </cell>
          <cell r="P213" t="str">
            <v>40</v>
          </cell>
        </row>
        <row r="214">
          <cell r="B214">
            <v>13</v>
          </cell>
          <cell r="C214">
            <v>5312.11</v>
          </cell>
          <cell r="D214">
            <v>15</v>
          </cell>
          <cell r="E214">
            <v>4491.75</v>
          </cell>
          <cell r="G214">
            <v>1</v>
          </cell>
          <cell r="H214" t="str">
            <v>ESF</v>
          </cell>
          <cell r="L214" t="str">
            <v>-</v>
          </cell>
          <cell r="N214">
            <v>15</v>
          </cell>
          <cell r="P214" t="str">
            <v>40</v>
          </cell>
        </row>
        <row r="215">
          <cell r="B215">
            <v>14</v>
          </cell>
          <cell r="C215">
            <v>26516.64</v>
          </cell>
          <cell r="D215">
            <v>27</v>
          </cell>
          <cell r="E215">
            <v>16308.22</v>
          </cell>
          <cell r="G215">
            <v>1</v>
          </cell>
          <cell r="H215" t="str">
            <v>ESF</v>
          </cell>
          <cell r="N215">
            <v>27</v>
          </cell>
          <cell r="P215" t="str">
            <v>40</v>
          </cell>
        </row>
        <row r="216">
          <cell r="B216">
            <v>19</v>
          </cell>
          <cell r="C216">
            <v>30000</v>
          </cell>
          <cell r="D216">
            <v>22</v>
          </cell>
          <cell r="E216">
            <v>30000</v>
          </cell>
          <cell r="G216">
            <v>1</v>
          </cell>
          <cell r="H216" t="str">
            <v>ESF</v>
          </cell>
          <cell r="N216">
            <v>22</v>
          </cell>
          <cell r="P216" t="str">
            <v>40</v>
          </cell>
        </row>
        <row r="217">
          <cell r="B217">
            <v>14</v>
          </cell>
          <cell r="C217">
            <v>12425.66</v>
          </cell>
          <cell r="D217">
            <v>18</v>
          </cell>
          <cell r="E217">
            <v>12148.07</v>
          </cell>
          <cell r="G217">
            <v>1</v>
          </cell>
          <cell r="H217" t="str">
            <v>ESF</v>
          </cell>
          <cell r="N217">
            <v>18</v>
          </cell>
          <cell r="P217" t="str">
            <v>40</v>
          </cell>
        </row>
        <row r="218">
          <cell r="B218">
            <v>13</v>
          </cell>
          <cell r="C218">
            <v>3947.04</v>
          </cell>
          <cell r="D218">
            <v>15</v>
          </cell>
          <cell r="E218">
            <v>3846.24</v>
          </cell>
          <cell r="G218">
            <v>1</v>
          </cell>
          <cell r="H218" t="str">
            <v>ESF</v>
          </cell>
          <cell r="L218" t="str">
            <v>-</v>
          </cell>
          <cell r="N218">
            <v>15</v>
          </cell>
          <cell r="P218" t="str">
            <v>40</v>
          </cell>
        </row>
        <row r="219">
          <cell r="B219">
            <v>15</v>
          </cell>
          <cell r="C219">
            <v>9873.88</v>
          </cell>
          <cell r="D219">
            <v>19</v>
          </cell>
          <cell r="E219">
            <v>7740.44</v>
          </cell>
          <cell r="G219">
            <v>1</v>
          </cell>
          <cell r="H219" t="str">
            <v>ESF</v>
          </cell>
          <cell r="N219">
            <v>19</v>
          </cell>
          <cell r="P219" t="str">
            <v>40</v>
          </cell>
        </row>
        <row r="220">
          <cell r="B220">
            <v>19</v>
          </cell>
          <cell r="C220">
            <v>21343.55</v>
          </cell>
          <cell r="D220">
            <v>21</v>
          </cell>
          <cell r="E220">
            <v>20330.84</v>
          </cell>
          <cell r="G220">
            <v>1</v>
          </cell>
          <cell r="H220" t="str">
            <v>ESF</v>
          </cell>
          <cell r="N220">
            <v>21</v>
          </cell>
          <cell r="P220" t="str">
            <v>40</v>
          </cell>
        </row>
        <row r="221">
          <cell r="B221">
            <v>17</v>
          </cell>
          <cell r="C221">
            <v>5413.37</v>
          </cell>
          <cell r="D221">
            <v>24</v>
          </cell>
          <cell r="E221">
            <v>4508.69</v>
          </cell>
          <cell r="G221">
            <v>1</v>
          </cell>
          <cell r="H221" t="str">
            <v>ESF</v>
          </cell>
          <cell r="N221">
            <v>24</v>
          </cell>
          <cell r="P221" t="str">
            <v>40</v>
          </cell>
        </row>
        <row r="222">
          <cell r="B222">
            <v>14</v>
          </cell>
          <cell r="C222">
            <v>19250.43</v>
          </cell>
          <cell r="D222">
            <v>17</v>
          </cell>
          <cell r="E222">
            <v>18976.34</v>
          </cell>
          <cell r="G222">
            <v>1</v>
          </cell>
          <cell r="H222" t="str">
            <v>ESF</v>
          </cell>
          <cell r="L222" t="str">
            <v>-</v>
          </cell>
          <cell r="N222">
            <v>17</v>
          </cell>
          <cell r="P222" t="str">
            <v>40</v>
          </cell>
        </row>
        <row r="223">
          <cell r="B223">
            <v>16</v>
          </cell>
          <cell r="C223">
            <v>10000</v>
          </cell>
          <cell r="D223">
            <v>17</v>
          </cell>
          <cell r="E223">
            <v>10000</v>
          </cell>
          <cell r="G223">
            <v>1</v>
          </cell>
          <cell r="H223" t="str">
            <v>ERAF</v>
          </cell>
          <cell r="L223" t="str">
            <v>-</v>
          </cell>
          <cell r="N223">
            <v>17</v>
          </cell>
          <cell r="P223" t="str">
            <v>31</v>
          </cell>
        </row>
        <row r="224">
          <cell r="B224">
            <v>15</v>
          </cell>
          <cell r="C224">
            <v>9900</v>
          </cell>
          <cell r="D224">
            <v>15</v>
          </cell>
          <cell r="E224">
            <v>9900</v>
          </cell>
          <cell r="G224">
            <v>1</v>
          </cell>
          <cell r="H224" t="str">
            <v>ERAF</v>
          </cell>
          <cell r="L224" t="str">
            <v>-</v>
          </cell>
          <cell r="N224">
            <v>15</v>
          </cell>
          <cell r="P224" t="str">
            <v>31</v>
          </cell>
        </row>
        <row r="225">
          <cell r="B225">
            <v>15</v>
          </cell>
          <cell r="C225">
            <v>9750</v>
          </cell>
          <cell r="D225">
            <v>14</v>
          </cell>
          <cell r="E225">
            <v>9750</v>
          </cell>
          <cell r="G225">
            <v>1</v>
          </cell>
          <cell r="H225" t="str">
            <v>ERAF</v>
          </cell>
          <cell r="L225" t="str">
            <v>-</v>
          </cell>
          <cell r="N225">
            <v>14</v>
          </cell>
          <cell r="P225" t="str">
            <v>31</v>
          </cell>
        </row>
        <row r="226">
          <cell r="B226">
            <v>14</v>
          </cell>
          <cell r="C226">
            <v>2490</v>
          </cell>
          <cell r="D226">
            <v>15</v>
          </cell>
          <cell r="E226">
            <v>2490</v>
          </cell>
          <cell r="G226">
            <v>1</v>
          </cell>
          <cell r="H226" t="str">
            <v>ERAF</v>
          </cell>
          <cell r="L226" t="str">
            <v>-</v>
          </cell>
          <cell r="N226">
            <v>15</v>
          </cell>
          <cell r="P226" t="str">
            <v>31</v>
          </cell>
        </row>
        <row r="227">
          <cell r="B227">
            <v>14</v>
          </cell>
          <cell r="C227">
            <v>9825</v>
          </cell>
          <cell r="D227">
            <v>16</v>
          </cell>
          <cell r="E227">
            <v>9825</v>
          </cell>
          <cell r="G227">
            <v>1</v>
          </cell>
          <cell r="H227" t="str">
            <v>ERAF</v>
          </cell>
          <cell r="L227" t="str">
            <v>-</v>
          </cell>
          <cell r="N227">
            <v>16</v>
          </cell>
          <cell r="P227" t="str">
            <v>31</v>
          </cell>
        </row>
        <row r="228">
          <cell r="B228">
            <v>14</v>
          </cell>
          <cell r="C228">
            <v>8400</v>
          </cell>
          <cell r="D228">
            <v>16</v>
          </cell>
          <cell r="E228">
            <v>8400</v>
          </cell>
          <cell r="G228">
            <v>1</v>
          </cell>
          <cell r="H228" t="str">
            <v>ERAF</v>
          </cell>
          <cell r="N228">
            <v>16</v>
          </cell>
          <cell r="P228" t="str">
            <v>31</v>
          </cell>
        </row>
        <row r="229">
          <cell r="B229">
            <v>14</v>
          </cell>
          <cell r="C229">
            <v>10000</v>
          </cell>
          <cell r="D229">
            <v>14</v>
          </cell>
          <cell r="E229">
            <v>10000</v>
          </cell>
          <cell r="G229">
            <v>1</v>
          </cell>
          <cell r="H229" t="str">
            <v>ERAF</v>
          </cell>
          <cell r="L229" t="str">
            <v>-</v>
          </cell>
          <cell r="N229">
            <v>14</v>
          </cell>
          <cell r="P229" t="str">
            <v>31</v>
          </cell>
        </row>
        <row r="230">
          <cell r="B230">
            <v>14</v>
          </cell>
          <cell r="C230">
            <v>5950</v>
          </cell>
          <cell r="D230">
            <v>15</v>
          </cell>
          <cell r="E230">
            <v>5950</v>
          </cell>
          <cell r="G230">
            <v>1</v>
          </cell>
          <cell r="H230" t="str">
            <v>ERAF</v>
          </cell>
          <cell r="L230" t="str">
            <v>-</v>
          </cell>
          <cell r="N230">
            <v>15</v>
          </cell>
          <cell r="P230" t="str">
            <v>31</v>
          </cell>
        </row>
        <row r="231">
          <cell r="B231">
            <v>14</v>
          </cell>
          <cell r="C231">
            <v>10000</v>
          </cell>
          <cell r="D231">
            <v>14</v>
          </cell>
          <cell r="E231">
            <v>10000</v>
          </cell>
          <cell r="G231">
            <v>1</v>
          </cell>
          <cell r="H231" t="str">
            <v>ERAF</v>
          </cell>
          <cell r="L231" t="str">
            <v>-</v>
          </cell>
          <cell r="N231">
            <v>14</v>
          </cell>
          <cell r="P231" t="str">
            <v>31</v>
          </cell>
        </row>
        <row r="232">
          <cell r="B232">
            <v>15</v>
          </cell>
          <cell r="C232">
            <v>9125</v>
          </cell>
          <cell r="D232">
            <v>15</v>
          </cell>
          <cell r="E232">
            <v>9125</v>
          </cell>
          <cell r="G232">
            <v>1</v>
          </cell>
          <cell r="H232" t="str">
            <v>ERAF</v>
          </cell>
          <cell r="L232" t="str">
            <v>-</v>
          </cell>
          <cell r="N232">
            <v>15</v>
          </cell>
          <cell r="P232" t="str">
            <v>31</v>
          </cell>
        </row>
        <row r="233">
          <cell r="B233">
            <v>17</v>
          </cell>
          <cell r="C233">
            <v>10000</v>
          </cell>
          <cell r="D233">
            <v>18</v>
          </cell>
          <cell r="E233">
            <v>10000</v>
          </cell>
          <cell r="G233">
            <v>1</v>
          </cell>
          <cell r="H233" t="str">
            <v>ERAF</v>
          </cell>
          <cell r="N233">
            <v>18</v>
          </cell>
          <cell r="P233" t="str">
            <v>31</v>
          </cell>
        </row>
        <row r="234">
          <cell r="B234">
            <v>15</v>
          </cell>
          <cell r="C234">
            <v>9800</v>
          </cell>
          <cell r="D234">
            <v>15</v>
          </cell>
          <cell r="E234">
            <v>9800</v>
          </cell>
          <cell r="G234">
            <v>1</v>
          </cell>
          <cell r="H234" t="str">
            <v>ERAF</v>
          </cell>
          <cell r="L234" t="str">
            <v>-</v>
          </cell>
          <cell r="N234">
            <v>15</v>
          </cell>
          <cell r="P234" t="str">
            <v>31</v>
          </cell>
        </row>
        <row r="235">
          <cell r="B235">
            <v>19</v>
          </cell>
          <cell r="C235">
            <v>10000</v>
          </cell>
          <cell r="D235">
            <v>29</v>
          </cell>
          <cell r="E235">
            <v>9808.72</v>
          </cell>
          <cell r="G235">
            <v>1</v>
          </cell>
          <cell r="H235" t="str">
            <v>ERAF</v>
          </cell>
          <cell r="N235">
            <v>29</v>
          </cell>
          <cell r="P235" t="str">
            <v>31</v>
          </cell>
        </row>
        <row r="236">
          <cell r="B236">
            <v>17</v>
          </cell>
          <cell r="C236">
            <v>9680</v>
          </cell>
          <cell r="D236">
            <v>18</v>
          </cell>
          <cell r="E236">
            <v>9680</v>
          </cell>
          <cell r="G236">
            <v>1</v>
          </cell>
          <cell r="H236" t="str">
            <v>ERAF</v>
          </cell>
          <cell r="N236">
            <v>18</v>
          </cell>
          <cell r="P236" t="str">
            <v>31</v>
          </cell>
        </row>
        <row r="237">
          <cell r="B237">
            <v>16</v>
          </cell>
          <cell r="C237">
            <v>9900</v>
          </cell>
          <cell r="D237">
            <v>17</v>
          </cell>
          <cell r="E237">
            <v>9900</v>
          </cell>
          <cell r="G237">
            <v>1</v>
          </cell>
          <cell r="H237" t="str">
            <v>ERAF</v>
          </cell>
          <cell r="L237" t="str">
            <v>-</v>
          </cell>
          <cell r="N237">
            <v>17</v>
          </cell>
          <cell r="P237" t="str">
            <v>31</v>
          </cell>
        </row>
        <row r="238">
          <cell r="B238">
            <v>19</v>
          </cell>
          <cell r="C238">
            <v>10000</v>
          </cell>
          <cell r="D238">
            <v>32</v>
          </cell>
          <cell r="E238">
            <v>9500</v>
          </cell>
          <cell r="G238">
            <v>1</v>
          </cell>
          <cell r="H238" t="str">
            <v>ERAF</v>
          </cell>
          <cell r="L238" t="str">
            <v>-</v>
          </cell>
          <cell r="N238">
            <v>32</v>
          </cell>
          <cell r="P238" t="str">
            <v>31</v>
          </cell>
        </row>
        <row r="239">
          <cell r="B239">
            <v>18</v>
          </cell>
          <cell r="C239">
            <v>6700</v>
          </cell>
          <cell r="D239">
            <v>19</v>
          </cell>
          <cell r="E239">
            <v>6700</v>
          </cell>
          <cell r="G239">
            <v>1</v>
          </cell>
          <cell r="H239" t="str">
            <v>ERAF</v>
          </cell>
          <cell r="N239">
            <v>19</v>
          </cell>
          <cell r="P239" t="str">
            <v>31</v>
          </cell>
        </row>
        <row r="240">
          <cell r="B240">
            <v>15</v>
          </cell>
          <cell r="C240">
            <v>8700</v>
          </cell>
          <cell r="D240">
            <v>17</v>
          </cell>
          <cell r="E240">
            <v>8700</v>
          </cell>
          <cell r="G240">
            <v>1</v>
          </cell>
          <cell r="H240" t="str">
            <v>ERAF</v>
          </cell>
          <cell r="L240" t="str">
            <v>-</v>
          </cell>
          <cell r="N240">
            <v>17</v>
          </cell>
          <cell r="P240" t="str">
            <v>31</v>
          </cell>
        </row>
        <row r="241">
          <cell r="B241">
            <v>17</v>
          </cell>
          <cell r="C241">
            <v>9880</v>
          </cell>
          <cell r="D241">
            <v>19</v>
          </cell>
          <cell r="E241">
            <v>9880</v>
          </cell>
          <cell r="G241">
            <v>1</v>
          </cell>
          <cell r="H241" t="str">
            <v>ERAF</v>
          </cell>
          <cell r="N241">
            <v>19</v>
          </cell>
          <cell r="P241" t="str">
            <v>31</v>
          </cell>
        </row>
        <row r="242">
          <cell r="B242">
            <v>15</v>
          </cell>
          <cell r="C242">
            <v>10000</v>
          </cell>
          <cell r="D242">
            <v>16</v>
          </cell>
          <cell r="E242">
            <v>10000</v>
          </cell>
          <cell r="G242">
            <v>1</v>
          </cell>
          <cell r="H242" t="str">
            <v>ERAF</v>
          </cell>
          <cell r="L242" t="str">
            <v>-</v>
          </cell>
          <cell r="N242">
            <v>16</v>
          </cell>
          <cell r="P242" t="str">
            <v>31</v>
          </cell>
        </row>
        <row r="243">
          <cell r="B243">
            <v>21</v>
          </cell>
          <cell r="C243">
            <v>10000</v>
          </cell>
          <cell r="D243">
            <v>21</v>
          </cell>
          <cell r="E243">
            <v>10000</v>
          </cell>
          <cell r="G243">
            <v>1</v>
          </cell>
          <cell r="H243" t="str">
            <v>ERAF</v>
          </cell>
          <cell r="N243">
            <v>21</v>
          </cell>
          <cell r="P243" t="str">
            <v>31</v>
          </cell>
        </row>
        <row r="244">
          <cell r="B244">
            <v>16</v>
          </cell>
          <cell r="C244">
            <v>10000</v>
          </cell>
          <cell r="D244">
            <v>19</v>
          </cell>
          <cell r="E244">
            <v>10000</v>
          </cell>
          <cell r="G244">
            <v>1</v>
          </cell>
          <cell r="H244" t="str">
            <v>ERAF</v>
          </cell>
          <cell r="N244">
            <v>19</v>
          </cell>
          <cell r="P244" t="str">
            <v>31</v>
          </cell>
        </row>
        <row r="245">
          <cell r="B245">
            <v>17</v>
          </cell>
          <cell r="C245">
            <v>9500</v>
          </cell>
          <cell r="D245">
            <v>17</v>
          </cell>
          <cell r="E245">
            <v>9500</v>
          </cell>
          <cell r="G245">
            <v>1</v>
          </cell>
          <cell r="H245" t="str">
            <v>ERAF</v>
          </cell>
          <cell r="L245" t="str">
            <v>-</v>
          </cell>
          <cell r="N245">
            <v>17</v>
          </cell>
          <cell r="P245" t="str">
            <v>31</v>
          </cell>
        </row>
        <row r="246">
          <cell r="B246">
            <v>17</v>
          </cell>
          <cell r="C246">
            <v>10000</v>
          </cell>
          <cell r="D246">
            <v>18</v>
          </cell>
          <cell r="E246">
            <v>10000</v>
          </cell>
          <cell r="G246">
            <v>1</v>
          </cell>
          <cell r="H246" t="str">
            <v>ERAF</v>
          </cell>
          <cell r="N246">
            <v>18</v>
          </cell>
          <cell r="P246" t="str">
            <v>31</v>
          </cell>
        </row>
        <row r="247">
          <cell r="B247">
            <v>17</v>
          </cell>
          <cell r="C247">
            <v>9993.5</v>
          </cell>
          <cell r="D247">
            <v>18</v>
          </cell>
          <cell r="E247">
            <v>9993.5</v>
          </cell>
          <cell r="G247">
            <v>1</v>
          </cell>
          <cell r="H247" t="str">
            <v>ERAF</v>
          </cell>
          <cell r="N247">
            <v>18</v>
          </cell>
          <cell r="P247" t="str">
            <v>31</v>
          </cell>
        </row>
        <row r="248">
          <cell r="B248">
            <v>17</v>
          </cell>
          <cell r="C248">
            <v>9750</v>
          </cell>
          <cell r="D248">
            <v>18</v>
          </cell>
          <cell r="E248">
            <v>9750</v>
          </cell>
          <cell r="G248">
            <v>1</v>
          </cell>
          <cell r="H248" t="str">
            <v>ERAF</v>
          </cell>
          <cell r="N248">
            <v>18</v>
          </cell>
          <cell r="P248" t="str">
            <v>31</v>
          </cell>
        </row>
        <row r="249">
          <cell r="B249">
            <v>17</v>
          </cell>
          <cell r="C249">
            <v>10000</v>
          </cell>
          <cell r="D249">
            <v>22</v>
          </cell>
          <cell r="E249">
            <v>10000</v>
          </cell>
          <cell r="G249">
            <v>1</v>
          </cell>
          <cell r="H249" t="str">
            <v>ERAF</v>
          </cell>
          <cell r="N249">
            <v>22</v>
          </cell>
          <cell r="P249" t="str">
            <v>31</v>
          </cell>
        </row>
        <row r="250">
          <cell r="B250">
            <v>17</v>
          </cell>
          <cell r="C250">
            <v>20368.63</v>
          </cell>
          <cell r="D250">
            <v>18</v>
          </cell>
          <cell r="E250">
            <v>20368.63</v>
          </cell>
          <cell r="G250">
            <v>1</v>
          </cell>
          <cell r="H250" t="str">
            <v>ERAF</v>
          </cell>
          <cell r="N250">
            <v>18</v>
          </cell>
          <cell r="P250" t="str">
            <v>13</v>
          </cell>
        </row>
        <row r="251">
          <cell r="B251">
            <v>21</v>
          </cell>
          <cell r="C251">
            <v>57189.78</v>
          </cell>
          <cell r="D251">
            <v>37</v>
          </cell>
          <cell r="E251">
            <v>38683.98</v>
          </cell>
          <cell r="G251">
            <v>1</v>
          </cell>
          <cell r="H251" t="str">
            <v>ERAF</v>
          </cell>
          <cell r="L251" t="str">
            <v>-</v>
          </cell>
          <cell r="N251">
            <v>37</v>
          </cell>
          <cell r="P251" t="str">
            <v>20</v>
          </cell>
        </row>
        <row r="252">
          <cell r="B252">
            <v>26</v>
          </cell>
          <cell r="C252">
            <v>136128</v>
          </cell>
          <cell r="D252">
            <v>30</v>
          </cell>
          <cell r="E252">
            <v>135460.84</v>
          </cell>
          <cell r="G252">
            <v>1</v>
          </cell>
          <cell r="H252" t="str">
            <v>ERAF</v>
          </cell>
          <cell r="N252">
            <v>30</v>
          </cell>
          <cell r="P252" t="str">
            <v>20</v>
          </cell>
        </row>
        <row r="253">
          <cell r="B253">
            <v>21</v>
          </cell>
          <cell r="C253">
            <v>102518.99</v>
          </cell>
          <cell r="D253">
            <v>23</v>
          </cell>
          <cell r="E253">
            <v>91867.06</v>
          </cell>
          <cell r="G253">
            <v>1</v>
          </cell>
          <cell r="H253" t="str">
            <v>ERAF</v>
          </cell>
          <cell r="N253">
            <v>23</v>
          </cell>
          <cell r="P253" t="str">
            <v>20</v>
          </cell>
        </row>
        <row r="254">
          <cell r="B254">
            <v>21</v>
          </cell>
          <cell r="C254">
            <v>148375.41</v>
          </cell>
          <cell r="D254">
            <v>26</v>
          </cell>
          <cell r="E254">
            <v>148214.08</v>
          </cell>
          <cell r="G254">
            <v>1</v>
          </cell>
          <cell r="H254" t="str">
            <v>ERAF</v>
          </cell>
          <cell r="N254">
            <v>26</v>
          </cell>
          <cell r="P254" t="str">
            <v>20</v>
          </cell>
        </row>
        <row r="255">
          <cell r="B255">
            <v>16</v>
          </cell>
          <cell r="C255">
            <v>2200.72</v>
          </cell>
          <cell r="D255">
            <v>16</v>
          </cell>
          <cell r="E255">
            <v>1486.18</v>
          </cell>
          <cell r="G255">
            <v>1</v>
          </cell>
          <cell r="H255" t="str">
            <v>ERAF</v>
          </cell>
          <cell r="L255" t="str">
            <v>-</v>
          </cell>
          <cell r="N255">
            <v>16</v>
          </cell>
          <cell r="P255" t="str">
            <v>32</v>
          </cell>
        </row>
        <row r="256">
          <cell r="B256">
            <v>43</v>
          </cell>
          <cell r="C256">
            <v>370399.19</v>
          </cell>
          <cell r="D256">
            <v>44</v>
          </cell>
          <cell r="E256">
            <v>370399.19</v>
          </cell>
          <cell r="G256">
            <v>1</v>
          </cell>
          <cell r="H256" t="str">
            <v>ERAF</v>
          </cell>
          <cell r="L256" t="str">
            <v>-</v>
          </cell>
          <cell r="N256">
            <v>44</v>
          </cell>
          <cell r="P256" t="str">
            <v>12</v>
          </cell>
        </row>
        <row r="257">
          <cell r="B257">
            <v>19</v>
          </cell>
          <cell r="C257">
            <v>411213.92</v>
          </cell>
          <cell r="D257">
            <v>20</v>
          </cell>
          <cell r="E257">
            <v>411213.79</v>
          </cell>
          <cell r="G257">
            <v>1</v>
          </cell>
          <cell r="H257" t="str">
            <v>ERAF</v>
          </cell>
          <cell r="N257">
            <v>20</v>
          </cell>
          <cell r="P257" t="str">
            <v>12</v>
          </cell>
        </row>
        <row r="258">
          <cell r="B258">
            <v>24</v>
          </cell>
          <cell r="C258">
            <v>170500</v>
          </cell>
          <cell r="D258">
            <v>23</v>
          </cell>
          <cell r="E258">
            <v>170500</v>
          </cell>
          <cell r="G258">
            <v>1</v>
          </cell>
          <cell r="H258" t="str">
            <v>ERAF</v>
          </cell>
          <cell r="N258">
            <v>23</v>
          </cell>
          <cell r="P258" t="str">
            <v>12</v>
          </cell>
        </row>
        <row r="259">
          <cell r="B259">
            <v>20</v>
          </cell>
          <cell r="C259">
            <v>13576.28</v>
          </cell>
          <cell r="D259">
            <v>23</v>
          </cell>
          <cell r="E259">
            <v>12902.35</v>
          </cell>
          <cell r="G259">
            <v>1</v>
          </cell>
          <cell r="H259" t="str">
            <v>ESF</v>
          </cell>
          <cell r="N259">
            <v>23</v>
          </cell>
          <cell r="P259" t="str">
            <v>40</v>
          </cell>
        </row>
        <row r="260">
          <cell r="B260">
            <v>22</v>
          </cell>
          <cell r="C260">
            <v>21131.46</v>
          </cell>
          <cell r="D260">
            <v>28</v>
          </cell>
          <cell r="E260">
            <v>19759.75</v>
          </cell>
          <cell r="G260">
            <v>1</v>
          </cell>
          <cell r="H260" t="str">
            <v>ESF</v>
          </cell>
          <cell r="N260">
            <v>28</v>
          </cell>
          <cell r="P260" t="str">
            <v>40</v>
          </cell>
        </row>
        <row r="261">
          <cell r="B261">
            <v>26</v>
          </cell>
          <cell r="C261">
            <v>30000</v>
          </cell>
          <cell r="D261">
            <v>36</v>
          </cell>
          <cell r="E261">
            <v>21326.7</v>
          </cell>
          <cell r="G261">
            <v>1</v>
          </cell>
          <cell r="H261" t="str">
            <v>ESF</v>
          </cell>
          <cell r="L261" t="str">
            <v>-</v>
          </cell>
          <cell r="N261">
            <v>36</v>
          </cell>
          <cell r="P261" t="str">
            <v>40</v>
          </cell>
        </row>
        <row r="262">
          <cell r="B262">
            <v>16</v>
          </cell>
          <cell r="C262">
            <v>6372</v>
          </cell>
          <cell r="D262">
            <v>16</v>
          </cell>
          <cell r="E262">
            <v>6372</v>
          </cell>
          <cell r="G262">
            <v>1</v>
          </cell>
          <cell r="H262" t="str">
            <v>ESF</v>
          </cell>
          <cell r="L262" t="str">
            <v>-</v>
          </cell>
          <cell r="N262">
            <v>16</v>
          </cell>
          <cell r="P262" t="str">
            <v>40</v>
          </cell>
        </row>
        <row r="263">
          <cell r="B263">
            <v>18</v>
          </cell>
          <cell r="C263">
            <v>7142.04</v>
          </cell>
          <cell r="D263">
            <v>21</v>
          </cell>
          <cell r="E263">
            <v>6902.92</v>
          </cell>
          <cell r="G263">
            <v>1</v>
          </cell>
          <cell r="H263" t="str">
            <v>ESF</v>
          </cell>
          <cell r="N263">
            <v>21</v>
          </cell>
          <cell r="P263" t="str">
            <v>40</v>
          </cell>
        </row>
        <row r="264">
          <cell r="B264">
            <v>19</v>
          </cell>
          <cell r="C264">
            <v>7499.93</v>
          </cell>
          <cell r="D264">
            <v>22</v>
          </cell>
          <cell r="E264">
            <v>6918.72</v>
          </cell>
          <cell r="G264">
            <v>1</v>
          </cell>
          <cell r="H264" t="str">
            <v>ESF</v>
          </cell>
          <cell r="N264">
            <v>22</v>
          </cell>
          <cell r="P264" t="str">
            <v>40</v>
          </cell>
        </row>
        <row r="265">
          <cell r="B265">
            <v>25</v>
          </cell>
          <cell r="C265">
            <v>18110.09</v>
          </cell>
          <cell r="D265">
            <v>27</v>
          </cell>
          <cell r="E265">
            <v>16211.83</v>
          </cell>
          <cell r="G265">
            <v>1</v>
          </cell>
          <cell r="H265" t="str">
            <v>ESF</v>
          </cell>
          <cell r="N265">
            <v>27</v>
          </cell>
          <cell r="P265" t="str">
            <v>40</v>
          </cell>
        </row>
        <row r="266">
          <cell r="B266">
            <v>18</v>
          </cell>
          <cell r="C266">
            <v>11250.43</v>
          </cell>
          <cell r="D266">
            <v>23</v>
          </cell>
          <cell r="E266">
            <v>8557.61</v>
          </cell>
          <cell r="G266">
            <v>1</v>
          </cell>
          <cell r="H266" t="str">
            <v>ESF</v>
          </cell>
          <cell r="N266">
            <v>23</v>
          </cell>
          <cell r="P266" t="str">
            <v>40</v>
          </cell>
        </row>
        <row r="267">
          <cell r="B267">
            <v>18</v>
          </cell>
          <cell r="D267">
            <v>27</v>
          </cell>
          <cell r="E267">
            <v>42.24</v>
          </cell>
          <cell r="G267">
            <v>1</v>
          </cell>
          <cell r="H267" t="str">
            <v>ESF</v>
          </cell>
          <cell r="N267">
            <v>27</v>
          </cell>
          <cell r="P267" t="str">
            <v>40</v>
          </cell>
        </row>
        <row r="268">
          <cell r="B268">
            <v>33</v>
          </cell>
          <cell r="C268">
            <v>68995</v>
          </cell>
          <cell r="D268">
            <v>23</v>
          </cell>
          <cell r="E268">
            <v>0</v>
          </cell>
          <cell r="G268">
            <v>1</v>
          </cell>
          <cell r="H268" t="str">
            <v>ERAF</v>
          </cell>
          <cell r="N268">
            <v>23</v>
          </cell>
          <cell r="P268" t="str">
            <v>20</v>
          </cell>
        </row>
        <row r="269">
          <cell r="B269">
            <v>22</v>
          </cell>
          <cell r="C269">
            <v>59190.24</v>
          </cell>
          <cell r="D269">
            <v>24</v>
          </cell>
          <cell r="E269">
            <v>59190.24</v>
          </cell>
          <cell r="G269">
            <v>1</v>
          </cell>
          <cell r="H269" t="str">
            <v>ERAF</v>
          </cell>
          <cell r="N269">
            <v>24</v>
          </cell>
          <cell r="P269" t="str">
            <v>13</v>
          </cell>
        </row>
        <row r="270">
          <cell r="B270">
            <v>25</v>
          </cell>
          <cell r="C270">
            <v>148832.1</v>
          </cell>
          <cell r="D270">
            <v>24</v>
          </cell>
          <cell r="E270">
            <v>0</v>
          </cell>
          <cell r="G270">
            <v>1</v>
          </cell>
          <cell r="H270" t="str">
            <v>ERAF</v>
          </cell>
          <cell r="N270">
            <v>24</v>
          </cell>
          <cell r="P270" t="str">
            <v>20</v>
          </cell>
        </row>
        <row r="271">
          <cell r="B271">
            <v>28</v>
          </cell>
          <cell r="C271">
            <v>67550.9</v>
          </cell>
          <cell r="D271">
            <v>33</v>
          </cell>
          <cell r="E271">
            <v>60279.91</v>
          </cell>
          <cell r="G271">
            <v>1</v>
          </cell>
          <cell r="H271" t="str">
            <v>ERAF</v>
          </cell>
          <cell r="L271" t="str">
            <v>-</v>
          </cell>
          <cell r="N271">
            <v>33</v>
          </cell>
          <cell r="P271" t="str">
            <v>20</v>
          </cell>
        </row>
        <row r="272">
          <cell r="B272">
            <v>37</v>
          </cell>
          <cell r="C272">
            <v>150000</v>
          </cell>
          <cell r="D272">
            <v>40</v>
          </cell>
          <cell r="E272">
            <v>150000</v>
          </cell>
          <cell r="G272">
            <v>1</v>
          </cell>
          <cell r="H272" t="str">
            <v>ERAF</v>
          </cell>
          <cell r="N272">
            <v>40</v>
          </cell>
          <cell r="P272" t="str">
            <v>20</v>
          </cell>
        </row>
        <row r="273">
          <cell r="B273">
            <v>22</v>
          </cell>
          <cell r="C273">
            <v>10000</v>
          </cell>
          <cell r="D273">
            <v>24</v>
          </cell>
          <cell r="E273">
            <v>0</v>
          </cell>
          <cell r="G273">
            <v>1</v>
          </cell>
          <cell r="H273" t="str">
            <v>ERAF</v>
          </cell>
          <cell r="N273">
            <v>24</v>
          </cell>
          <cell r="P273" t="str">
            <v>31</v>
          </cell>
        </row>
        <row r="274">
          <cell r="B274">
            <v>19</v>
          </cell>
          <cell r="C274">
            <v>9850</v>
          </cell>
          <cell r="D274">
            <v>19</v>
          </cell>
          <cell r="E274">
            <v>9850</v>
          </cell>
          <cell r="G274">
            <v>1</v>
          </cell>
          <cell r="H274" t="str">
            <v>ERAF</v>
          </cell>
          <cell r="N274">
            <v>19</v>
          </cell>
          <cell r="P274" t="str">
            <v>31</v>
          </cell>
        </row>
        <row r="275">
          <cell r="B275">
            <v>23</v>
          </cell>
          <cell r="C275">
            <v>8800</v>
          </cell>
          <cell r="D275">
            <v>24</v>
          </cell>
          <cell r="E275">
            <v>8800</v>
          </cell>
          <cell r="G275">
            <v>1</v>
          </cell>
          <cell r="H275" t="str">
            <v>ERAF</v>
          </cell>
          <cell r="N275">
            <v>24</v>
          </cell>
          <cell r="P275" t="str">
            <v>31</v>
          </cell>
        </row>
        <row r="276">
          <cell r="B276">
            <v>19</v>
          </cell>
          <cell r="C276">
            <v>10000</v>
          </cell>
          <cell r="D276">
            <v>20</v>
          </cell>
          <cell r="E276">
            <v>10000</v>
          </cell>
          <cell r="G276">
            <v>1</v>
          </cell>
          <cell r="H276" t="str">
            <v>ERAF</v>
          </cell>
          <cell r="N276">
            <v>20</v>
          </cell>
          <cell r="P276" t="str">
            <v>31</v>
          </cell>
        </row>
        <row r="277">
          <cell r="B277">
            <v>19</v>
          </cell>
          <cell r="C277">
            <v>9980</v>
          </cell>
          <cell r="D277">
            <v>19</v>
          </cell>
          <cell r="E277">
            <v>9980</v>
          </cell>
          <cell r="G277">
            <v>1</v>
          </cell>
          <cell r="H277" t="str">
            <v>ERAF</v>
          </cell>
          <cell r="N277">
            <v>19</v>
          </cell>
          <cell r="P277" t="str">
            <v>31</v>
          </cell>
        </row>
        <row r="278">
          <cell r="B278">
            <v>28</v>
          </cell>
          <cell r="C278">
            <v>22629.61</v>
          </cell>
          <cell r="D278">
            <v>27</v>
          </cell>
          <cell r="E278">
            <v>0</v>
          </cell>
          <cell r="G278">
            <v>1</v>
          </cell>
          <cell r="H278" t="str">
            <v>ERAF</v>
          </cell>
          <cell r="N278">
            <v>27</v>
          </cell>
          <cell r="P278" t="str">
            <v>12</v>
          </cell>
        </row>
        <row r="279">
          <cell r="B279">
            <v>20</v>
          </cell>
          <cell r="C279">
            <v>9720</v>
          </cell>
          <cell r="D279">
            <v>21</v>
          </cell>
          <cell r="E279">
            <v>9720</v>
          </cell>
          <cell r="G279">
            <v>1</v>
          </cell>
          <cell r="H279" t="str">
            <v>ERAF</v>
          </cell>
          <cell r="N279">
            <v>21</v>
          </cell>
          <cell r="P279" t="str">
            <v>31</v>
          </cell>
        </row>
        <row r="280">
          <cell r="B280">
            <v>20</v>
          </cell>
          <cell r="C280">
            <v>3921.97</v>
          </cell>
          <cell r="D280">
            <v>20</v>
          </cell>
          <cell r="E280">
            <v>3921.97</v>
          </cell>
          <cell r="G280">
            <v>1</v>
          </cell>
          <cell r="H280" t="str">
            <v>ERAF</v>
          </cell>
          <cell r="N280">
            <v>20</v>
          </cell>
          <cell r="P280" t="str">
            <v>31</v>
          </cell>
        </row>
        <row r="281">
          <cell r="B281">
            <v>18</v>
          </cell>
          <cell r="C281">
            <v>10000</v>
          </cell>
          <cell r="D281">
            <v>19</v>
          </cell>
          <cell r="E281">
            <v>10000</v>
          </cell>
          <cell r="G281">
            <v>1</v>
          </cell>
          <cell r="H281" t="str">
            <v>ERAF</v>
          </cell>
          <cell r="N281">
            <v>19</v>
          </cell>
          <cell r="P281" t="str">
            <v>31</v>
          </cell>
        </row>
        <row r="282">
          <cell r="B282">
            <v>18</v>
          </cell>
          <cell r="C282">
            <v>9280</v>
          </cell>
          <cell r="D282">
            <v>19</v>
          </cell>
          <cell r="E282">
            <v>9280</v>
          </cell>
          <cell r="G282">
            <v>1</v>
          </cell>
          <cell r="H282" t="str">
            <v>ERAF</v>
          </cell>
          <cell r="N282">
            <v>19</v>
          </cell>
          <cell r="P282" t="str">
            <v>31</v>
          </cell>
        </row>
        <row r="283">
          <cell r="B283">
            <v>22</v>
          </cell>
          <cell r="C283">
            <v>8750</v>
          </cell>
          <cell r="D283">
            <v>23</v>
          </cell>
          <cell r="E283">
            <v>8750</v>
          </cell>
          <cell r="G283">
            <v>1</v>
          </cell>
          <cell r="H283" t="str">
            <v>ERAF</v>
          </cell>
          <cell r="N283">
            <v>23</v>
          </cell>
          <cell r="P283" t="str">
            <v>31</v>
          </cell>
        </row>
        <row r="284">
          <cell r="B284">
            <v>18</v>
          </cell>
          <cell r="C284">
            <v>9875</v>
          </cell>
          <cell r="D284">
            <v>19</v>
          </cell>
          <cell r="E284">
            <v>9875</v>
          </cell>
          <cell r="G284">
            <v>1</v>
          </cell>
          <cell r="H284" t="str">
            <v>ERAF</v>
          </cell>
          <cell r="N284">
            <v>19</v>
          </cell>
          <cell r="P284" t="str">
            <v>31</v>
          </cell>
        </row>
        <row r="285">
          <cell r="B285">
            <v>18</v>
          </cell>
          <cell r="C285">
            <v>9900</v>
          </cell>
          <cell r="D285">
            <v>18</v>
          </cell>
          <cell r="E285">
            <v>9900</v>
          </cell>
          <cell r="G285">
            <v>1</v>
          </cell>
          <cell r="H285" t="str">
            <v>ERAF</v>
          </cell>
          <cell r="N285">
            <v>18</v>
          </cell>
          <cell r="P285" t="str">
            <v>31</v>
          </cell>
        </row>
        <row r="286">
          <cell r="B286">
            <v>18</v>
          </cell>
          <cell r="C286">
            <v>9600</v>
          </cell>
          <cell r="D286">
            <v>19</v>
          </cell>
          <cell r="E286">
            <v>9600</v>
          </cell>
          <cell r="G286">
            <v>1</v>
          </cell>
          <cell r="H286" t="str">
            <v>ERAF</v>
          </cell>
          <cell r="N286">
            <v>19</v>
          </cell>
          <cell r="P286" t="str">
            <v>31</v>
          </cell>
        </row>
        <row r="287">
          <cell r="B287">
            <v>18</v>
          </cell>
          <cell r="C287">
            <v>9983</v>
          </cell>
          <cell r="D287">
            <v>19</v>
          </cell>
          <cell r="E287">
            <v>9983</v>
          </cell>
          <cell r="G287">
            <v>1</v>
          </cell>
          <cell r="H287" t="str">
            <v>ERAF</v>
          </cell>
          <cell r="N287">
            <v>19</v>
          </cell>
          <cell r="P287" t="str">
            <v>31</v>
          </cell>
        </row>
        <row r="288">
          <cell r="B288">
            <v>18</v>
          </cell>
          <cell r="C288">
            <v>7300</v>
          </cell>
          <cell r="D288">
            <v>19</v>
          </cell>
          <cell r="E288">
            <v>7300</v>
          </cell>
          <cell r="G288">
            <v>1</v>
          </cell>
          <cell r="H288" t="str">
            <v>ERAF</v>
          </cell>
          <cell r="N288">
            <v>19</v>
          </cell>
          <cell r="P288" t="str">
            <v>31</v>
          </cell>
        </row>
        <row r="289">
          <cell r="B289">
            <v>21</v>
          </cell>
          <cell r="C289">
            <v>8000</v>
          </cell>
          <cell r="D289">
            <v>29</v>
          </cell>
          <cell r="E289">
            <v>8000</v>
          </cell>
          <cell r="G289">
            <v>1</v>
          </cell>
          <cell r="H289" t="str">
            <v>ERAF</v>
          </cell>
          <cell r="N289">
            <v>29</v>
          </cell>
          <cell r="P289" t="str">
            <v>31</v>
          </cell>
        </row>
        <row r="290">
          <cell r="B290">
            <v>18</v>
          </cell>
          <cell r="C290">
            <v>9750</v>
          </cell>
          <cell r="D290">
            <v>20</v>
          </cell>
          <cell r="E290">
            <v>9750</v>
          </cell>
          <cell r="G290">
            <v>1</v>
          </cell>
          <cell r="H290" t="str">
            <v>ERAF</v>
          </cell>
          <cell r="N290">
            <v>20</v>
          </cell>
          <cell r="P290" t="str">
            <v>31</v>
          </cell>
        </row>
        <row r="291">
          <cell r="B291">
            <v>18</v>
          </cell>
          <cell r="C291">
            <v>10000</v>
          </cell>
          <cell r="D291">
            <v>18</v>
          </cell>
          <cell r="E291">
            <v>10000</v>
          </cell>
          <cell r="G291">
            <v>1</v>
          </cell>
          <cell r="H291" t="str">
            <v>ERAF</v>
          </cell>
          <cell r="N291">
            <v>18</v>
          </cell>
          <cell r="P291" t="str">
            <v>31</v>
          </cell>
        </row>
        <row r="292">
          <cell r="B292">
            <v>18</v>
          </cell>
          <cell r="C292">
            <v>9900</v>
          </cell>
          <cell r="D292">
            <v>18</v>
          </cell>
          <cell r="E292">
            <v>9900</v>
          </cell>
          <cell r="G292">
            <v>1</v>
          </cell>
          <cell r="H292" t="str">
            <v>ERAF</v>
          </cell>
          <cell r="N292">
            <v>18</v>
          </cell>
          <cell r="P292" t="str">
            <v>31</v>
          </cell>
        </row>
        <row r="293">
          <cell r="B293">
            <v>18</v>
          </cell>
          <cell r="C293">
            <v>9975.5</v>
          </cell>
          <cell r="D293">
            <v>19</v>
          </cell>
          <cell r="E293">
            <v>9975.5</v>
          </cell>
          <cell r="G293">
            <v>1</v>
          </cell>
          <cell r="H293" t="str">
            <v>ERAF</v>
          </cell>
          <cell r="N293">
            <v>19</v>
          </cell>
          <cell r="P293" t="str">
            <v>31</v>
          </cell>
        </row>
        <row r="294">
          <cell r="B294">
            <v>18</v>
          </cell>
          <cell r="C294">
            <v>9280</v>
          </cell>
          <cell r="D294">
            <v>18</v>
          </cell>
          <cell r="E294">
            <v>9280</v>
          </cell>
          <cell r="G294">
            <v>1</v>
          </cell>
          <cell r="H294" t="str">
            <v>ERAF</v>
          </cell>
          <cell r="N294">
            <v>18</v>
          </cell>
          <cell r="P294" t="str">
            <v>31</v>
          </cell>
        </row>
        <row r="295">
          <cell r="B295">
            <v>19</v>
          </cell>
          <cell r="C295">
            <v>8280</v>
          </cell>
          <cell r="D295">
            <v>18</v>
          </cell>
          <cell r="E295">
            <v>8280</v>
          </cell>
          <cell r="G295">
            <v>1</v>
          </cell>
          <cell r="H295" t="str">
            <v>ERAF</v>
          </cell>
          <cell r="N295">
            <v>18</v>
          </cell>
          <cell r="P295" t="str">
            <v>31</v>
          </cell>
        </row>
        <row r="296">
          <cell r="B296">
            <v>27</v>
          </cell>
          <cell r="C296">
            <v>9900</v>
          </cell>
          <cell r="D296">
            <v>27</v>
          </cell>
          <cell r="E296">
            <v>0</v>
          </cell>
          <cell r="G296">
            <v>1</v>
          </cell>
          <cell r="H296" t="str">
            <v>ERAF</v>
          </cell>
          <cell r="N296">
            <v>27</v>
          </cell>
          <cell r="P296" t="str">
            <v>31</v>
          </cell>
        </row>
        <row r="297">
          <cell r="B297">
            <v>18</v>
          </cell>
          <cell r="C297">
            <v>9997.5</v>
          </cell>
          <cell r="D297">
            <v>20</v>
          </cell>
          <cell r="E297">
            <v>9997.5</v>
          </cell>
          <cell r="G297">
            <v>1</v>
          </cell>
          <cell r="H297" t="str">
            <v>ERAF</v>
          </cell>
          <cell r="N297">
            <v>20</v>
          </cell>
          <cell r="P297" t="str">
            <v>31</v>
          </cell>
        </row>
        <row r="298">
          <cell r="B298">
            <v>19</v>
          </cell>
          <cell r="C298">
            <v>9900</v>
          </cell>
          <cell r="D298">
            <v>20</v>
          </cell>
          <cell r="E298">
            <v>9900</v>
          </cell>
          <cell r="G298">
            <v>1</v>
          </cell>
          <cell r="H298" t="str">
            <v>ERAF</v>
          </cell>
          <cell r="N298">
            <v>20</v>
          </cell>
          <cell r="P298" t="str">
            <v>31</v>
          </cell>
        </row>
        <row r="299">
          <cell r="B299">
            <v>19</v>
          </cell>
          <cell r="C299">
            <v>10000</v>
          </cell>
          <cell r="D299">
            <v>19</v>
          </cell>
          <cell r="E299">
            <v>10000</v>
          </cell>
          <cell r="G299">
            <v>1</v>
          </cell>
          <cell r="H299" t="str">
            <v>ERAF</v>
          </cell>
          <cell r="N299">
            <v>19</v>
          </cell>
          <cell r="P299" t="str">
            <v>31</v>
          </cell>
        </row>
        <row r="300">
          <cell r="B300">
            <v>18</v>
          </cell>
          <cell r="C300">
            <v>9996</v>
          </cell>
          <cell r="D300">
            <v>19</v>
          </cell>
          <cell r="E300">
            <v>9996</v>
          </cell>
          <cell r="G300">
            <v>1</v>
          </cell>
          <cell r="H300" t="str">
            <v>ERAF</v>
          </cell>
          <cell r="N300">
            <v>19</v>
          </cell>
          <cell r="P300" t="str">
            <v>31</v>
          </cell>
        </row>
        <row r="301">
          <cell r="B301">
            <v>18</v>
          </cell>
          <cell r="C301">
            <v>10000</v>
          </cell>
          <cell r="D301">
            <v>18</v>
          </cell>
          <cell r="E301">
            <v>10000</v>
          </cell>
          <cell r="G301">
            <v>1</v>
          </cell>
          <cell r="H301" t="str">
            <v>ERAF</v>
          </cell>
          <cell r="N301">
            <v>18</v>
          </cell>
          <cell r="P301" t="str">
            <v>31</v>
          </cell>
        </row>
        <row r="302">
          <cell r="B302">
            <v>18</v>
          </cell>
          <cell r="C302">
            <v>9987</v>
          </cell>
          <cell r="D302">
            <v>20</v>
          </cell>
          <cell r="E302">
            <v>9987</v>
          </cell>
          <cell r="G302">
            <v>1</v>
          </cell>
          <cell r="H302" t="str">
            <v>ERAF</v>
          </cell>
          <cell r="N302">
            <v>20</v>
          </cell>
          <cell r="P302" t="str">
            <v>31</v>
          </cell>
        </row>
        <row r="303">
          <cell r="B303">
            <v>19</v>
          </cell>
          <cell r="C303">
            <v>9980</v>
          </cell>
          <cell r="D303">
            <v>19</v>
          </cell>
          <cell r="E303">
            <v>9980</v>
          </cell>
          <cell r="G303">
            <v>1</v>
          </cell>
          <cell r="H303" t="str">
            <v>ERAF</v>
          </cell>
          <cell r="N303">
            <v>19</v>
          </cell>
          <cell r="P303" t="str">
            <v>31</v>
          </cell>
        </row>
        <row r="304">
          <cell r="B304">
            <v>17</v>
          </cell>
          <cell r="C304">
            <v>10000</v>
          </cell>
          <cell r="D304">
            <v>18</v>
          </cell>
          <cell r="E304">
            <v>10000</v>
          </cell>
          <cell r="G304">
            <v>1</v>
          </cell>
          <cell r="H304" t="str">
            <v>ERAF</v>
          </cell>
          <cell r="N304">
            <v>18</v>
          </cell>
          <cell r="P304" t="str">
            <v>31</v>
          </cell>
        </row>
        <row r="305">
          <cell r="B305">
            <v>17</v>
          </cell>
          <cell r="C305">
            <v>9750</v>
          </cell>
          <cell r="D305">
            <v>18</v>
          </cell>
          <cell r="E305">
            <v>9750</v>
          </cell>
          <cell r="G305">
            <v>1</v>
          </cell>
          <cell r="H305" t="str">
            <v>ERAF</v>
          </cell>
          <cell r="N305">
            <v>18</v>
          </cell>
          <cell r="P305" t="str">
            <v>31</v>
          </cell>
        </row>
        <row r="306">
          <cell r="B306">
            <v>18</v>
          </cell>
          <cell r="C306">
            <v>10000</v>
          </cell>
          <cell r="D306">
            <v>19</v>
          </cell>
          <cell r="E306">
            <v>10000</v>
          </cell>
          <cell r="G306">
            <v>1</v>
          </cell>
          <cell r="H306" t="str">
            <v>ERAF</v>
          </cell>
          <cell r="N306">
            <v>19</v>
          </cell>
          <cell r="P306" t="str">
            <v>31</v>
          </cell>
        </row>
        <row r="307">
          <cell r="B307">
            <v>17</v>
          </cell>
          <cell r="C307">
            <v>9955.5</v>
          </cell>
          <cell r="D307">
            <v>18</v>
          </cell>
          <cell r="E307">
            <v>9955.5</v>
          </cell>
          <cell r="G307">
            <v>1</v>
          </cell>
          <cell r="H307" t="str">
            <v>ERAF</v>
          </cell>
          <cell r="N307">
            <v>18</v>
          </cell>
          <cell r="P307" t="str">
            <v>31</v>
          </cell>
        </row>
        <row r="308">
          <cell r="B308">
            <v>17</v>
          </cell>
          <cell r="C308">
            <v>9450</v>
          </cell>
          <cell r="D308">
            <v>17</v>
          </cell>
          <cell r="E308">
            <v>9450</v>
          </cell>
          <cell r="G308">
            <v>1</v>
          </cell>
          <cell r="H308" t="str">
            <v>ERAF</v>
          </cell>
          <cell r="L308" t="str">
            <v>-</v>
          </cell>
          <cell r="N308">
            <v>17</v>
          </cell>
          <cell r="P308" t="str">
            <v>31</v>
          </cell>
        </row>
        <row r="309">
          <cell r="B309">
            <v>19</v>
          </cell>
          <cell r="C309">
            <v>5532.44</v>
          </cell>
          <cell r="D309">
            <v>19</v>
          </cell>
          <cell r="E309">
            <v>5531.08</v>
          </cell>
          <cell r="G309">
            <v>1</v>
          </cell>
          <cell r="H309" t="str">
            <v>ERAF</v>
          </cell>
          <cell r="N309">
            <v>19</v>
          </cell>
          <cell r="P309" t="str">
            <v>32</v>
          </cell>
        </row>
        <row r="310">
          <cell r="B310">
            <v>18</v>
          </cell>
          <cell r="C310">
            <v>3661.5</v>
          </cell>
          <cell r="D310">
            <v>19</v>
          </cell>
          <cell r="E310">
            <v>3588.92</v>
          </cell>
          <cell r="G310">
            <v>1</v>
          </cell>
          <cell r="H310" t="str">
            <v>ERAF</v>
          </cell>
          <cell r="N310">
            <v>19</v>
          </cell>
          <cell r="P310" t="str">
            <v>32</v>
          </cell>
        </row>
        <row r="311">
          <cell r="B311">
            <v>19</v>
          </cell>
          <cell r="C311">
            <v>6766.71</v>
          </cell>
          <cell r="D311">
            <v>22</v>
          </cell>
          <cell r="E311">
            <v>6756.92</v>
          </cell>
          <cell r="G311">
            <v>1</v>
          </cell>
          <cell r="H311" t="str">
            <v>ERAF</v>
          </cell>
          <cell r="N311">
            <v>22</v>
          </cell>
          <cell r="P311" t="str">
            <v>32</v>
          </cell>
        </row>
        <row r="312">
          <cell r="B312">
            <v>25</v>
          </cell>
          <cell r="C312">
            <v>8500.5</v>
          </cell>
          <cell r="D312">
            <v>29</v>
          </cell>
          <cell r="E312">
            <v>0</v>
          </cell>
          <cell r="G312">
            <v>1</v>
          </cell>
          <cell r="H312" t="str">
            <v>ERAF</v>
          </cell>
          <cell r="N312">
            <v>29</v>
          </cell>
          <cell r="P312" t="str">
            <v>20</v>
          </cell>
        </row>
        <row r="313">
          <cell r="B313">
            <v>24</v>
          </cell>
          <cell r="C313">
            <v>29172.08</v>
          </cell>
          <cell r="D313">
            <v>44</v>
          </cell>
          <cell r="E313">
            <v>25997.41</v>
          </cell>
          <cell r="G313">
            <v>1</v>
          </cell>
          <cell r="H313" t="str">
            <v>ESF</v>
          </cell>
          <cell r="L313" t="str">
            <v>-</v>
          </cell>
          <cell r="N313">
            <v>44</v>
          </cell>
          <cell r="P313" t="str">
            <v>40</v>
          </cell>
        </row>
        <row r="314">
          <cell r="B314">
            <v>25</v>
          </cell>
          <cell r="C314">
            <v>29577.6</v>
          </cell>
          <cell r="D314">
            <v>26</v>
          </cell>
          <cell r="E314">
            <v>29577.6</v>
          </cell>
          <cell r="G314">
            <v>1</v>
          </cell>
          <cell r="H314" t="str">
            <v>ESF</v>
          </cell>
          <cell r="N314">
            <v>26</v>
          </cell>
          <cell r="P314" t="str">
            <v>40</v>
          </cell>
        </row>
        <row r="315">
          <cell r="B315">
            <v>22</v>
          </cell>
          <cell r="C315">
            <v>15882</v>
          </cell>
          <cell r="D315">
            <v>22</v>
          </cell>
          <cell r="E315">
            <v>15747.6</v>
          </cell>
          <cell r="G315">
            <v>1</v>
          </cell>
          <cell r="H315" t="str">
            <v>ESF</v>
          </cell>
          <cell r="N315">
            <v>22</v>
          </cell>
          <cell r="P315" t="str">
            <v>40</v>
          </cell>
        </row>
        <row r="316">
          <cell r="B316">
            <v>27</v>
          </cell>
          <cell r="C316">
            <v>29589.92</v>
          </cell>
          <cell r="D316">
            <v>31</v>
          </cell>
          <cell r="E316">
            <v>29189.92</v>
          </cell>
          <cell r="G316">
            <v>1</v>
          </cell>
          <cell r="H316" t="str">
            <v>ESF</v>
          </cell>
          <cell r="L316" t="str">
            <v>-</v>
          </cell>
          <cell r="N316">
            <v>31</v>
          </cell>
          <cell r="P316" t="str">
            <v>40</v>
          </cell>
        </row>
        <row r="317">
          <cell r="B317">
            <v>22</v>
          </cell>
          <cell r="C317">
            <v>4854.15</v>
          </cell>
          <cell r="D317">
            <v>25</v>
          </cell>
          <cell r="E317">
            <v>4633.97</v>
          </cell>
          <cell r="G317">
            <v>1</v>
          </cell>
          <cell r="H317" t="str">
            <v>ESF</v>
          </cell>
          <cell r="N317">
            <v>25</v>
          </cell>
          <cell r="P317" t="str">
            <v>40</v>
          </cell>
        </row>
        <row r="318">
          <cell r="B318">
            <v>21</v>
          </cell>
          <cell r="C318">
            <v>11460.17</v>
          </cell>
          <cell r="D318">
            <v>24</v>
          </cell>
          <cell r="E318">
            <v>10262.15</v>
          </cell>
          <cell r="G318">
            <v>1</v>
          </cell>
          <cell r="H318" t="str">
            <v>ESF</v>
          </cell>
          <cell r="N318">
            <v>24</v>
          </cell>
          <cell r="P318" t="str">
            <v>40</v>
          </cell>
        </row>
        <row r="319">
          <cell r="B319">
            <v>39</v>
          </cell>
          <cell r="C319">
            <v>28960.84</v>
          </cell>
          <cell r="D319">
            <v>44</v>
          </cell>
          <cell r="E319">
            <v>14829.18</v>
          </cell>
          <cell r="G319">
            <v>1</v>
          </cell>
          <cell r="H319" t="str">
            <v>ESF</v>
          </cell>
          <cell r="L319" t="str">
            <v>-</v>
          </cell>
          <cell r="N319">
            <v>44</v>
          </cell>
          <cell r="P319" t="str">
            <v>40</v>
          </cell>
        </row>
        <row r="320">
          <cell r="B320">
            <v>22</v>
          </cell>
          <cell r="C320">
            <v>30000</v>
          </cell>
          <cell r="D320">
            <v>26</v>
          </cell>
          <cell r="E320">
            <v>30000</v>
          </cell>
          <cell r="G320">
            <v>1</v>
          </cell>
          <cell r="H320" t="str">
            <v>ESF</v>
          </cell>
          <cell r="N320">
            <v>26</v>
          </cell>
          <cell r="P320" t="str">
            <v>40</v>
          </cell>
        </row>
        <row r="321">
          <cell r="B321">
            <v>25</v>
          </cell>
          <cell r="C321">
            <v>23506.77</v>
          </cell>
          <cell r="D321">
            <v>27</v>
          </cell>
          <cell r="E321">
            <v>23506.77</v>
          </cell>
          <cell r="G321">
            <v>1</v>
          </cell>
          <cell r="H321" t="str">
            <v>ESF</v>
          </cell>
          <cell r="N321">
            <v>27</v>
          </cell>
          <cell r="P321" t="str">
            <v>40</v>
          </cell>
        </row>
        <row r="322">
          <cell r="B322">
            <v>22</v>
          </cell>
          <cell r="C322">
            <v>9256</v>
          </cell>
          <cell r="D322">
            <v>24</v>
          </cell>
          <cell r="E322">
            <v>9229.15</v>
          </cell>
          <cell r="G322">
            <v>1</v>
          </cell>
          <cell r="H322" t="str">
            <v>ESF</v>
          </cell>
          <cell r="L322" t="str">
            <v>-</v>
          </cell>
          <cell r="N322">
            <v>24</v>
          </cell>
          <cell r="P322" t="str">
            <v>40</v>
          </cell>
        </row>
        <row r="323">
          <cell r="B323">
            <v>27</v>
          </cell>
          <cell r="C323">
            <v>140635.85</v>
          </cell>
          <cell r="D323">
            <v>29</v>
          </cell>
          <cell r="E323">
            <v>137740.47</v>
          </cell>
          <cell r="G323">
            <v>1</v>
          </cell>
          <cell r="H323" t="str">
            <v>ERAF</v>
          </cell>
          <cell r="N323">
            <v>29</v>
          </cell>
          <cell r="P323" t="str">
            <v>11</v>
          </cell>
        </row>
        <row r="324">
          <cell r="B324">
            <v>42</v>
          </cell>
          <cell r="C324">
            <v>489837.46</v>
          </cell>
          <cell r="D324">
            <v>44</v>
          </cell>
          <cell r="E324">
            <v>489837.46</v>
          </cell>
          <cell r="G324">
            <v>1</v>
          </cell>
          <cell r="H324" t="str">
            <v>ERAF</v>
          </cell>
          <cell r="L324" t="str">
            <v>-</v>
          </cell>
          <cell r="N324">
            <v>44</v>
          </cell>
          <cell r="P324" t="str">
            <v>11</v>
          </cell>
        </row>
        <row r="325">
          <cell r="B325">
            <v>22</v>
          </cell>
          <cell r="C325">
            <v>7415</v>
          </cell>
          <cell r="D325">
            <v>29</v>
          </cell>
          <cell r="E325">
            <v>0</v>
          </cell>
          <cell r="G325">
            <v>1</v>
          </cell>
          <cell r="H325" t="str">
            <v>ERAF</v>
          </cell>
          <cell r="N325">
            <v>29</v>
          </cell>
          <cell r="P325" t="str">
            <v>31</v>
          </cell>
        </row>
        <row r="326">
          <cell r="B326">
            <v>24</v>
          </cell>
          <cell r="C326">
            <v>145500</v>
          </cell>
          <cell r="D326">
            <v>26</v>
          </cell>
          <cell r="E326">
            <v>145500</v>
          </cell>
          <cell r="G326">
            <v>1</v>
          </cell>
          <cell r="H326" t="str">
            <v>ERAF</v>
          </cell>
          <cell r="N326">
            <v>26</v>
          </cell>
          <cell r="P326" t="str">
            <v>11</v>
          </cell>
        </row>
        <row r="327">
          <cell r="B327">
            <v>36</v>
          </cell>
          <cell r="C327">
            <v>415763.72</v>
          </cell>
          <cell r="D327">
            <v>41</v>
          </cell>
          <cell r="E327">
            <v>414187.67</v>
          </cell>
          <cell r="G327">
            <v>1</v>
          </cell>
          <cell r="H327" t="str">
            <v>ERAF</v>
          </cell>
          <cell r="L327" t="str">
            <v>-</v>
          </cell>
          <cell r="N327">
            <v>41</v>
          </cell>
          <cell r="P327" t="str">
            <v>11</v>
          </cell>
        </row>
        <row r="328">
          <cell r="B328">
            <v>22</v>
          </cell>
          <cell r="C328">
            <v>107218.08</v>
          </cell>
          <cell r="D328">
            <v>23</v>
          </cell>
          <cell r="E328">
            <v>105743.67</v>
          </cell>
          <cell r="G328">
            <v>1</v>
          </cell>
          <cell r="H328" t="str">
            <v>ERAF</v>
          </cell>
          <cell r="N328">
            <v>23</v>
          </cell>
          <cell r="P328" t="str">
            <v>11</v>
          </cell>
        </row>
        <row r="329">
          <cell r="B329">
            <v>29</v>
          </cell>
          <cell r="C329">
            <v>512525.18</v>
          </cell>
          <cell r="D329">
            <v>29</v>
          </cell>
          <cell r="E329">
            <v>0</v>
          </cell>
          <cell r="G329">
            <v>1</v>
          </cell>
          <cell r="H329" t="str">
            <v>ERAF</v>
          </cell>
          <cell r="N329">
            <v>29</v>
          </cell>
          <cell r="P329" t="str">
            <v>12</v>
          </cell>
        </row>
        <row r="330">
          <cell r="B330">
            <v>21</v>
          </cell>
          <cell r="C330">
            <v>10000</v>
          </cell>
          <cell r="D330">
            <v>30</v>
          </cell>
          <cell r="E330">
            <v>0</v>
          </cell>
          <cell r="G330">
            <v>1</v>
          </cell>
          <cell r="H330" t="str">
            <v>ERAF</v>
          </cell>
          <cell r="N330">
            <v>30</v>
          </cell>
          <cell r="P330" t="str">
            <v>31</v>
          </cell>
        </row>
        <row r="331">
          <cell r="B331">
            <v>35</v>
          </cell>
          <cell r="C331">
            <v>546192.9</v>
          </cell>
          <cell r="D331">
            <v>30</v>
          </cell>
          <cell r="E331">
            <v>0</v>
          </cell>
          <cell r="G331">
            <v>1</v>
          </cell>
          <cell r="H331" t="str">
            <v>ERAF</v>
          </cell>
          <cell r="N331">
            <v>30</v>
          </cell>
          <cell r="P331" t="str">
            <v>12</v>
          </cell>
        </row>
        <row r="332">
          <cell r="B332">
            <v>24</v>
          </cell>
          <cell r="C332">
            <v>15934.41</v>
          </cell>
          <cell r="D332">
            <v>26</v>
          </cell>
          <cell r="E332">
            <v>15908.4</v>
          </cell>
          <cell r="G332">
            <v>1</v>
          </cell>
          <cell r="H332" t="str">
            <v>ERAF</v>
          </cell>
          <cell r="N332">
            <v>26</v>
          </cell>
          <cell r="P332" t="str">
            <v>20</v>
          </cell>
        </row>
        <row r="333">
          <cell r="B333">
            <v>38</v>
          </cell>
          <cell r="C333">
            <v>150000</v>
          </cell>
          <cell r="D333">
            <v>42</v>
          </cell>
          <cell r="E333">
            <v>150000</v>
          </cell>
          <cell r="G333">
            <v>1</v>
          </cell>
          <cell r="H333" t="str">
            <v>ERAF</v>
          </cell>
          <cell r="L333" t="str">
            <v>-</v>
          </cell>
          <cell r="N333">
            <v>42</v>
          </cell>
          <cell r="P333" t="str">
            <v>20</v>
          </cell>
        </row>
        <row r="334">
          <cell r="B334">
            <v>21</v>
          </cell>
          <cell r="C334">
            <v>9820</v>
          </cell>
          <cell r="D334">
            <v>22</v>
          </cell>
          <cell r="E334">
            <v>9820</v>
          </cell>
          <cell r="G334">
            <v>1</v>
          </cell>
          <cell r="H334" t="str">
            <v>ERAF</v>
          </cell>
          <cell r="N334">
            <v>22</v>
          </cell>
          <cell r="P334" t="str">
            <v>31</v>
          </cell>
        </row>
        <row r="335">
          <cell r="B335">
            <v>30</v>
          </cell>
          <cell r="C335">
            <v>8530</v>
          </cell>
          <cell r="D335">
            <v>30</v>
          </cell>
          <cell r="E335">
            <v>0</v>
          </cell>
          <cell r="G335">
            <v>1</v>
          </cell>
          <cell r="H335" t="str">
            <v>ERAF</v>
          </cell>
          <cell r="N335">
            <v>30</v>
          </cell>
          <cell r="P335" t="str">
            <v>32</v>
          </cell>
        </row>
        <row r="336">
          <cell r="B336">
            <v>27</v>
          </cell>
          <cell r="C336">
            <v>4228.39</v>
          </cell>
          <cell r="D336">
            <v>30</v>
          </cell>
          <cell r="E336">
            <v>0</v>
          </cell>
          <cell r="G336">
            <v>1</v>
          </cell>
          <cell r="H336" t="str">
            <v>ERAF</v>
          </cell>
          <cell r="N336">
            <v>30</v>
          </cell>
          <cell r="P336" t="str">
            <v>32</v>
          </cell>
        </row>
        <row r="337">
          <cell r="B337">
            <v>24</v>
          </cell>
          <cell r="C337">
            <v>10000</v>
          </cell>
          <cell r="D337">
            <v>24</v>
          </cell>
          <cell r="E337">
            <v>10000</v>
          </cell>
          <cell r="G337">
            <v>1</v>
          </cell>
          <cell r="H337" t="str">
            <v>ERAF</v>
          </cell>
          <cell r="N337">
            <v>24</v>
          </cell>
          <cell r="P337" t="str">
            <v>31</v>
          </cell>
        </row>
        <row r="338">
          <cell r="B338">
            <v>21</v>
          </cell>
          <cell r="C338">
            <v>10000</v>
          </cell>
          <cell r="D338">
            <v>27</v>
          </cell>
          <cell r="E338">
            <v>10000</v>
          </cell>
          <cell r="G338">
            <v>1</v>
          </cell>
          <cell r="H338" t="str">
            <v>ERAF</v>
          </cell>
          <cell r="N338">
            <v>27</v>
          </cell>
          <cell r="P338" t="str">
            <v>31</v>
          </cell>
        </row>
        <row r="339">
          <cell r="B339">
            <v>27</v>
          </cell>
          <cell r="C339">
            <v>9200</v>
          </cell>
          <cell r="D339">
            <v>32</v>
          </cell>
          <cell r="E339">
            <v>9200</v>
          </cell>
          <cell r="G339">
            <v>1</v>
          </cell>
          <cell r="H339" t="str">
            <v>ERAF</v>
          </cell>
          <cell r="L339" t="str">
            <v>-</v>
          </cell>
          <cell r="N339">
            <v>32</v>
          </cell>
          <cell r="P339" t="str">
            <v>31</v>
          </cell>
        </row>
        <row r="340">
          <cell r="B340">
            <v>20</v>
          </cell>
          <cell r="C340">
            <v>7140</v>
          </cell>
          <cell r="D340">
            <v>34</v>
          </cell>
          <cell r="E340">
            <v>7140</v>
          </cell>
          <cell r="G340">
            <v>1</v>
          </cell>
          <cell r="H340" t="str">
            <v>ERAF</v>
          </cell>
          <cell r="L340" t="str">
            <v>-</v>
          </cell>
          <cell r="N340">
            <v>34</v>
          </cell>
          <cell r="P340" t="str">
            <v>31</v>
          </cell>
        </row>
        <row r="341">
          <cell r="B341">
            <v>23</v>
          </cell>
          <cell r="C341">
            <v>10000</v>
          </cell>
          <cell r="D341">
            <v>24</v>
          </cell>
          <cell r="E341">
            <v>10000</v>
          </cell>
          <cell r="G341">
            <v>1</v>
          </cell>
          <cell r="H341" t="str">
            <v>ERAF</v>
          </cell>
          <cell r="L341" t="str">
            <v>-</v>
          </cell>
          <cell r="N341">
            <v>24</v>
          </cell>
          <cell r="P341" t="str">
            <v>31</v>
          </cell>
        </row>
        <row r="342">
          <cell r="B342">
            <v>25</v>
          </cell>
          <cell r="C342">
            <v>8500</v>
          </cell>
          <cell r="D342">
            <v>25</v>
          </cell>
          <cell r="E342">
            <v>8500</v>
          </cell>
          <cell r="G342">
            <v>1</v>
          </cell>
          <cell r="H342" t="str">
            <v>ERAF</v>
          </cell>
          <cell r="N342">
            <v>25</v>
          </cell>
          <cell r="P342" t="str">
            <v>31</v>
          </cell>
        </row>
        <row r="343">
          <cell r="B343">
            <v>21</v>
          </cell>
          <cell r="C343">
            <v>9750</v>
          </cell>
          <cell r="D343">
            <v>22</v>
          </cell>
          <cell r="E343">
            <v>9750</v>
          </cell>
          <cell r="G343">
            <v>1</v>
          </cell>
          <cell r="H343" t="str">
            <v>ERAF</v>
          </cell>
          <cell r="N343">
            <v>22</v>
          </cell>
          <cell r="P343" t="str">
            <v>31</v>
          </cell>
        </row>
        <row r="344">
          <cell r="B344">
            <v>23</v>
          </cell>
          <cell r="C344">
            <v>10000</v>
          </cell>
          <cell r="D344">
            <v>23</v>
          </cell>
          <cell r="E344">
            <v>10000</v>
          </cell>
          <cell r="G344">
            <v>1</v>
          </cell>
          <cell r="H344" t="str">
            <v>ERAF</v>
          </cell>
          <cell r="N344">
            <v>23</v>
          </cell>
          <cell r="P344" t="str">
            <v>31</v>
          </cell>
        </row>
        <row r="345">
          <cell r="B345">
            <v>20</v>
          </cell>
          <cell r="C345">
            <v>10000</v>
          </cell>
          <cell r="D345">
            <v>21</v>
          </cell>
          <cell r="E345">
            <v>10000</v>
          </cell>
          <cell r="G345">
            <v>1</v>
          </cell>
          <cell r="H345" t="str">
            <v>ERAF</v>
          </cell>
          <cell r="N345">
            <v>21</v>
          </cell>
          <cell r="P345" t="str">
            <v>31</v>
          </cell>
        </row>
        <row r="346">
          <cell r="B346">
            <v>25</v>
          </cell>
          <cell r="C346">
            <v>10000</v>
          </cell>
          <cell r="D346">
            <v>25</v>
          </cell>
          <cell r="E346">
            <v>10000</v>
          </cell>
          <cell r="G346">
            <v>1</v>
          </cell>
          <cell r="H346" t="str">
            <v>ERAF</v>
          </cell>
          <cell r="N346">
            <v>25</v>
          </cell>
          <cell r="P346" t="str">
            <v>31</v>
          </cell>
        </row>
        <row r="347">
          <cell r="B347">
            <v>21</v>
          </cell>
          <cell r="C347">
            <v>9600</v>
          </cell>
          <cell r="D347">
            <v>21</v>
          </cell>
          <cell r="E347">
            <v>9600</v>
          </cell>
          <cell r="G347">
            <v>1</v>
          </cell>
          <cell r="H347" t="str">
            <v>ERAF</v>
          </cell>
          <cell r="N347">
            <v>21</v>
          </cell>
          <cell r="P347" t="str">
            <v>31</v>
          </cell>
        </row>
        <row r="348">
          <cell r="B348">
            <v>23</v>
          </cell>
          <cell r="C348">
            <v>10000</v>
          </cell>
          <cell r="D348">
            <v>27</v>
          </cell>
          <cell r="E348">
            <v>10000</v>
          </cell>
          <cell r="G348">
            <v>1</v>
          </cell>
          <cell r="H348" t="str">
            <v>ERAF</v>
          </cell>
          <cell r="N348">
            <v>27</v>
          </cell>
          <cell r="P348" t="str">
            <v>31</v>
          </cell>
        </row>
        <row r="349">
          <cell r="B349">
            <v>21</v>
          </cell>
          <cell r="C349">
            <v>10000</v>
          </cell>
          <cell r="D349">
            <v>22</v>
          </cell>
          <cell r="E349">
            <v>10000</v>
          </cell>
          <cell r="G349">
            <v>1</v>
          </cell>
          <cell r="H349" t="str">
            <v>ERAF</v>
          </cell>
          <cell r="N349">
            <v>22</v>
          </cell>
          <cell r="P349" t="str">
            <v>31</v>
          </cell>
        </row>
        <row r="350">
          <cell r="B350">
            <v>20</v>
          </cell>
          <cell r="C350">
            <v>9999.5</v>
          </cell>
          <cell r="D350">
            <v>20</v>
          </cell>
          <cell r="E350">
            <v>9999.5</v>
          </cell>
          <cell r="G350">
            <v>1</v>
          </cell>
          <cell r="H350" t="str">
            <v>ERAF</v>
          </cell>
          <cell r="N350">
            <v>20</v>
          </cell>
          <cell r="P350" t="str">
            <v>31</v>
          </cell>
        </row>
        <row r="351">
          <cell r="B351">
            <v>31</v>
          </cell>
          <cell r="C351">
            <v>9450</v>
          </cell>
          <cell r="D351">
            <v>31</v>
          </cell>
          <cell r="E351">
            <v>9450</v>
          </cell>
          <cell r="G351">
            <v>1</v>
          </cell>
          <cell r="H351" t="str">
            <v>ERAF</v>
          </cell>
          <cell r="L351" t="str">
            <v>-</v>
          </cell>
          <cell r="N351">
            <v>31</v>
          </cell>
          <cell r="P351" t="str">
            <v>31</v>
          </cell>
        </row>
        <row r="352">
          <cell r="B352">
            <v>32</v>
          </cell>
          <cell r="C352">
            <v>22650</v>
          </cell>
          <cell r="D352">
            <v>30</v>
          </cell>
          <cell r="E352">
            <v>0</v>
          </cell>
          <cell r="G352">
            <v>1</v>
          </cell>
          <cell r="H352" t="str">
            <v>ERAF</v>
          </cell>
          <cell r="N352">
            <v>30</v>
          </cell>
          <cell r="P352" t="str">
            <v>32</v>
          </cell>
        </row>
        <row r="353">
          <cell r="B353">
            <v>21</v>
          </cell>
          <cell r="C353">
            <v>10000</v>
          </cell>
          <cell r="D353">
            <v>21</v>
          </cell>
          <cell r="E353">
            <v>10000</v>
          </cell>
          <cell r="G353">
            <v>1</v>
          </cell>
          <cell r="H353" t="str">
            <v>ERAF</v>
          </cell>
          <cell r="N353">
            <v>21</v>
          </cell>
          <cell r="P353" t="str">
            <v>31</v>
          </cell>
        </row>
        <row r="354">
          <cell r="B354">
            <v>32</v>
          </cell>
          <cell r="C354">
            <v>15924.2</v>
          </cell>
          <cell r="D354">
            <v>30</v>
          </cell>
          <cell r="E354">
            <v>0</v>
          </cell>
          <cell r="G354">
            <v>1</v>
          </cell>
          <cell r="H354" t="str">
            <v>ERAF</v>
          </cell>
          <cell r="N354">
            <v>30</v>
          </cell>
          <cell r="P354" t="str">
            <v>32</v>
          </cell>
        </row>
        <row r="355">
          <cell r="B355">
            <v>21</v>
          </cell>
          <cell r="C355">
            <v>10000</v>
          </cell>
          <cell r="D355">
            <v>20</v>
          </cell>
          <cell r="E355">
            <v>10000</v>
          </cell>
          <cell r="G355">
            <v>1</v>
          </cell>
          <cell r="H355" t="str">
            <v>ERAF</v>
          </cell>
          <cell r="N355">
            <v>20</v>
          </cell>
          <cell r="P355" t="str">
            <v>31</v>
          </cell>
        </row>
        <row r="356">
          <cell r="B356">
            <v>21</v>
          </cell>
          <cell r="C356">
            <v>9790</v>
          </cell>
          <cell r="D356">
            <v>22</v>
          </cell>
          <cell r="E356">
            <v>9790</v>
          </cell>
          <cell r="G356">
            <v>1</v>
          </cell>
          <cell r="H356" t="str">
            <v>ERAF</v>
          </cell>
          <cell r="N356">
            <v>22</v>
          </cell>
          <cell r="P356" t="str">
            <v>31</v>
          </cell>
        </row>
        <row r="357">
          <cell r="B357">
            <v>21</v>
          </cell>
          <cell r="C357">
            <v>10000</v>
          </cell>
          <cell r="D357">
            <v>22</v>
          </cell>
          <cell r="E357">
            <v>10000</v>
          </cell>
          <cell r="G357">
            <v>1</v>
          </cell>
          <cell r="H357" t="str">
            <v>ERAF</v>
          </cell>
          <cell r="N357">
            <v>22</v>
          </cell>
          <cell r="P357" t="str">
            <v>31</v>
          </cell>
        </row>
        <row r="358">
          <cell r="B358">
            <v>22</v>
          </cell>
          <cell r="C358">
            <v>10000</v>
          </cell>
          <cell r="D358">
            <v>24</v>
          </cell>
          <cell r="E358">
            <v>10000</v>
          </cell>
          <cell r="G358">
            <v>1</v>
          </cell>
          <cell r="H358" t="str">
            <v>ERAF</v>
          </cell>
          <cell r="N358">
            <v>24</v>
          </cell>
          <cell r="P358" t="str">
            <v>31</v>
          </cell>
        </row>
        <row r="359">
          <cell r="B359">
            <v>21</v>
          </cell>
          <cell r="C359">
            <v>10000</v>
          </cell>
          <cell r="D359">
            <v>22</v>
          </cell>
          <cell r="E359">
            <v>10000</v>
          </cell>
          <cell r="G359">
            <v>1</v>
          </cell>
          <cell r="H359" t="str">
            <v>ERAF</v>
          </cell>
          <cell r="N359">
            <v>22</v>
          </cell>
          <cell r="P359" t="str">
            <v>31</v>
          </cell>
        </row>
        <row r="360">
          <cell r="B360">
            <v>23</v>
          </cell>
          <cell r="C360">
            <v>9677.5</v>
          </cell>
          <cell r="D360">
            <v>24</v>
          </cell>
          <cell r="E360">
            <v>9677.5</v>
          </cell>
          <cell r="G360">
            <v>1</v>
          </cell>
          <cell r="H360" t="str">
            <v>ERAF</v>
          </cell>
          <cell r="N360">
            <v>24</v>
          </cell>
          <cell r="P360" t="str">
            <v>31</v>
          </cell>
        </row>
        <row r="361">
          <cell r="B361">
            <v>23</v>
          </cell>
          <cell r="C361">
            <v>10000</v>
          </cell>
          <cell r="D361">
            <v>24</v>
          </cell>
          <cell r="E361">
            <v>10000</v>
          </cell>
          <cell r="G361">
            <v>1</v>
          </cell>
          <cell r="H361" t="str">
            <v>ERAF</v>
          </cell>
          <cell r="N361">
            <v>24</v>
          </cell>
          <cell r="P361" t="str">
            <v>31</v>
          </cell>
        </row>
        <row r="362">
          <cell r="B362">
            <v>21</v>
          </cell>
          <cell r="C362">
            <v>9990</v>
          </cell>
          <cell r="D362">
            <v>21</v>
          </cell>
          <cell r="E362">
            <v>9990</v>
          </cell>
          <cell r="G362">
            <v>1</v>
          </cell>
          <cell r="H362" t="str">
            <v>ERAF</v>
          </cell>
          <cell r="N362">
            <v>21</v>
          </cell>
          <cell r="P362" t="str">
            <v>31</v>
          </cell>
        </row>
        <row r="363">
          <cell r="B363">
            <v>21</v>
          </cell>
          <cell r="C363">
            <v>9600</v>
          </cell>
          <cell r="D363">
            <v>20</v>
          </cell>
          <cell r="E363">
            <v>9600</v>
          </cell>
          <cell r="G363">
            <v>1</v>
          </cell>
          <cell r="H363" t="str">
            <v>ERAF</v>
          </cell>
          <cell r="N363">
            <v>20</v>
          </cell>
          <cell r="P363" t="str">
            <v>31</v>
          </cell>
        </row>
        <row r="364">
          <cell r="B364">
            <v>21</v>
          </cell>
          <cell r="C364">
            <v>9600</v>
          </cell>
          <cell r="D364">
            <v>22</v>
          </cell>
          <cell r="E364">
            <v>9600</v>
          </cell>
          <cell r="G364">
            <v>1</v>
          </cell>
          <cell r="H364" t="str">
            <v>ERAF</v>
          </cell>
          <cell r="N364">
            <v>22</v>
          </cell>
          <cell r="P364" t="str">
            <v>31</v>
          </cell>
        </row>
        <row r="365">
          <cell r="B365">
            <v>25</v>
          </cell>
          <cell r="C365">
            <v>10000</v>
          </cell>
          <cell r="D365">
            <v>26</v>
          </cell>
          <cell r="E365">
            <v>10000</v>
          </cell>
          <cell r="G365">
            <v>1</v>
          </cell>
          <cell r="H365" t="str">
            <v>ERAF</v>
          </cell>
          <cell r="N365">
            <v>26</v>
          </cell>
          <cell r="P365" t="str">
            <v>31</v>
          </cell>
        </row>
        <row r="366">
          <cell r="B366">
            <v>20</v>
          </cell>
          <cell r="C366">
            <v>10000</v>
          </cell>
          <cell r="D366">
            <v>19</v>
          </cell>
          <cell r="E366">
            <v>10000</v>
          </cell>
          <cell r="G366">
            <v>2</v>
          </cell>
          <cell r="H366" t="str">
            <v>ERAF</v>
          </cell>
          <cell r="N366">
            <v>19</v>
          </cell>
          <cell r="P366" t="str">
            <v>31</v>
          </cell>
        </row>
        <row r="367">
          <cell r="B367">
            <v>22</v>
          </cell>
          <cell r="C367">
            <v>9975</v>
          </cell>
          <cell r="D367">
            <v>23</v>
          </cell>
          <cell r="E367">
            <v>9975</v>
          </cell>
          <cell r="G367">
            <v>1</v>
          </cell>
          <cell r="H367" t="str">
            <v>ERAF</v>
          </cell>
          <cell r="N367">
            <v>23</v>
          </cell>
          <cell r="P367" t="str">
            <v>31</v>
          </cell>
        </row>
        <row r="368">
          <cell r="B368">
            <v>26</v>
          </cell>
          <cell r="C368">
            <v>7500</v>
          </cell>
          <cell r="D368">
            <v>32</v>
          </cell>
          <cell r="E368">
            <v>7500</v>
          </cell>
          <cell r="G368">
            <v>1</v>
          </cell>
          <cell r="H368" t="str">
            <v>ERAF</v>
          </cell>
          <cell r="L368" t="str">
            <v>-</v>
          </cell>
          <cell r="N368">
            <v>32</v>
          </cell>
          <cell r="P368" t="str">
            <v>31</v>
          </cell>
        </row>
        <row r="369">
          <cell r="B369">
            <v>23</v>
          </cell>
          <cell r="C369">
            <v>10000</v>
          </cell>
          <cell r="D369">
            <v>27</v>
          </cell>
          <cell r="E369">
            <v>10000</v>
          </cell>
          <cell r="G369">
            <v>1</v>
          </cell>
          <cell r="H369" t="str">
            <v>ERAF</v>
          </cell>
          <cell r="N369">
            <v>27</v>
          </cell>
          <cell r="P369" t="str">
            <v>31</v>
          </cell>
        </row>
        <row r="370">
          <cell r="B370">
            <v>27</v>
          </cell>
          <cell r="C370">
            <v>5045.6</v>
          </cell>
          <cell r="D370">
            <v>28</v>
          </cell>
          <cell r="E370">
            <v>3263.6</v>
          </cell>
          <cell r="G370">
            <v>1</v>
          </cell>
          <cell r="H370" t="str">
            <v>ERAF</v>
          </cell>
          <cell r="N370">
            <v>28</v>
          </cell>
          <cell r="P370" t="str">
            <v>32</v>
          </cell>
        </row>
        <row r="371">
          <cell r="B371">
            <v>22</v>
          </cell>
          <cell r="C371">
            <v>5300.91</v>
          </cell>
          <cell r="D371">
            <v>24</v>
          </cell>
          <cell r="E371">
            <v>4690.26</v>
          </cell>
          <cell r="G371">
            <v>1</v>
          </cell>
          <cell r="H371" t="str">
            <v>ERAF</v>
          </cell>
          <cell r="N371">
            <v>24</v>
          </cell>
          <cell r="P371" t="str">
            <v>32</v>
          </cell>
        </row>
        <row r="372">
          <cell r="B372">
            <v>24</v>
          </cell>
          <cell r="C372">
            <v>5195.26</v>
          </cell>
          <cell r="D372">
            <v>25</v>
          </cell>
          <cell r="E372">
            <v>4743.31</v>
          </cell>
          <cell r="G372">
            <v>1</v>
          </cell>
          <cell r="H372" t="str">
            <v>ERAF</v>
          </cell>
          <cell r="N372">
            <v>25</v>
          </cell>
          <cell r="P372" t="str">
            <v>32</v>
          </cell>
        </row>
        <row r="373">
          <cell r="B373">
            <v>21</v>
          </cell>
          <cell r="C373">
            <v>1307.13</v>
          </cell>
          <cell r="D373">
            <v>24</v>
          </cell>
          <cell r="E373">
            <v>903.36</v>
          </cell>
          <cell r="G373">
            <v>1</v>
          </cell>
          <cell r="H373" t="str">
            <v>ESF</v>
          </cell>
          <cell r="N373">
            <v>24</v>
          </cell>
          <cell r="P373" t="str">
            <v>40</v>
          </cell>
        </row>
        <row r="374">
          <cell r="B374">
            <v>23</v>
          </cell>
          <cell r="C374">
            <v>29630.4</v>
          </cell>
          <cell r="D374">
            <v>27</v>
          </cell>
          <cell r="E374">
            <v>29630.4</v>
          </cell>
          <cell r="G374">
            <v>1</v>
          </cell>
          <cell r="H374" t="str">
            <v>ESF</v>
          </cell>
          <cell r="N374">
            <v>27</v>
          </cell>
          <cell r="P374" t="str">
            <v>40</v>
          </cell>
        </row>
        <row r="375">
          <cell r="B375">
            <v>21</v>
          </cell>
          <cell r="C375">
            <v>7865.6</v>
          </cell>
          <cell r="D375">
            <v>21</v>
          </cell>
          <cell r="E375">
            <v>7801.6</v>
          </cell>
          <cell r="G375">
            <v>1</v>
          </cell>
          <cell r="H375" t="str">
            <v>ESF</v>
          </cell>
          <cell r="N375">
            <v>21</v>
          </cell>
          <cell r="P375" t="str">
            <v>40</v>
          </cell>
        </row>
        <row r="376">
          <cell r="B376">
            <v>21</v>
          </cell>
          <cell r="C376">
            <v>7865.6</v>
          </cell>
          <cell r="D376">
            <v>25</v>
          </cell>
          <cell r="E376">
            <v>7504.64</v>
          </cell>
          <cell r="G376">
            <v>1</v>
          </cell>
          <cell r="H376" t="str">
            <v>ESF</v>
          </cell>
          <cell r="N376">
            <v>25</v>
          </cell>
          <cell r="P376" t="str">
            <v>40</v>
          </cell>
        </row>
        <row r="377">
          <cell r="B377">
            <v>21</v>
          </cell>
          <cell r="C377">
            <v>18172</v>
          </cell>
          <cell r="D377">
            <v>27</v>
          </cell>
          <cell r="E377">
            <v>17917.72</v>
          </cell>
          <cell r="G377">
            <v>1</v>
          </cell>
          <cell r="H377" t="str">
            <v>ESF</v>
          </cell>
          <cell r="N377">
            <v>27</v>
          </cell>
          <cell r="P377" t="str">
            <v>40</v>
          </cell>
        </row>
        <row r="378">
          <cell r="B378">
            <v>25</v>
          </cell>
          <cell r="C378">
            <v>969.46</v>
          </cell>
          <cell r="D378">
            <v>33</v>
          </cell>
          <cell r="E378">
            <v>969.46</v>
          </cell>
          <cell r="G378">
            <v>1</v>
          </cell>
          <cell r="H378" t="str">
            <v>ESF</v>
          </cell>
          <cell r="L378" t="str">
            <v>-</v>
          </cell>
          <cell r="N378">
            <v>33</v>
          </cell>
          <cell r="P378" t="str">
            <v>40</v>
          </cell>
        </row>
        <row r="379">
          <cell r="B379">
            <v>31</v>
          </cell>
          <cell r="C379">
            <v>22083.07</v>
          </cell>
          <cell r="D379">
            <v>32</v>
          </cell>
          <cell r="E379">
            <v>21991.42</v>
          </cell>
          <cell r="G379">
            <v>1</v>
          </cell>
          <cell r="H379" t="str">
            <v>ESF</v>
          </cell>
          <cell r="L379" t="str">
            <v>-</v>
          </cell>
          <cell r="N379">
            <v>32</v>
          </cell>
          <cell r="P379" t="str">
            <v>40</v>
          </cell>
        </row>
        <row r="380">
          <cell r="B380">
            <v>33</v>
          </cell>
          <cell r="C380">
            <v>6108.55</v>
          </cell>
          <cell r="D380">
            <v>43</v>
          </cell>
          <cell r="E380">
            <v>4548.14</v>
          </cell>
          <cell r="G380">
            <v>1</v>
          </cell>
          <cell r="H380" t="str">
            <v>ESF</v>
          </cell>
          <cell r="L380" t="str">
            <v>-</v>
          </cell>
          <cell r="N380">
            <v>43</v>
          </cell>
          <cell r="P380" t="str">
            <v>40</v>
          </cell>
        </row>
        <row r="381">
          <cell r="B381">
            <v>32</v>
          </cell>
          <cell r="C381">
            <v>5927.03</v>
          </cell>
          <cell r="D381">
            <v>39</v>
          </cell>
          <cell r="E381">
            <v>5716.2</v>
          </cell>
          <cell r="G381">
            <v>1</v>
          </cell>
          <cell r="H381" t="str">
            <v>ESF</v>
          </cell>
          <cell r="L381" t="str">
            <v>-</v>
          </cell>
          <cell r="N381">
            <v>39</v>
          </cell>
          <cell r="P381" t="str">
            <v>40</v>
          </cell>
        </row>
        <row r="382">
          <cell r="B382">
            <v>22</v>
          </cell>
          <cell r="C382">
            <v>30000</v>
          </cell>
          <cell r="D382">
            <v>23</v>
          </cell>
          <cell r="E382">
            <v>30000</v>
          </cell>
          <cell r="G382">
            <v>1</v>
          </cell>
          <cell r="H382" t="str">
            <v>ESF</v>
          </cell>
          <cell r="N382">
            <v>23</v>
          </cell>
          <cell r="P382" t="str">
            <v>40</v>
          </cell>
        </row>
        <row r="383">
          <cell r="B383">
            <v>26</v>
          </cell>
          <cell r="C383">
            <v>23882.99</v>
          </cell>
          <cell r="D383">
            <v>30</v>
          </cell>
          <cell r="E383">
            <v>21567.67</v>
          </cell>
          <cell r="G383">
            <v>1</v>
          </cell>
          <cell r="H383" t="str">
            <v>ESF</v>
          </cell>
          <cell r="L383" t="str">
            <v>-</v>
          </cell>
          <cell r="N383">
            <v>30</v>
          </cell>
          <cell r="P383" t="str">
            <v>40</v>
          </cell>
        </row>
        <row r="384">
          <cell r="B384">
            <v>24</v>
          </cell>
          <cell r="C384">
            <v>25024</v>
          </cell>
          <cell r="D384">
            <v>26</v>
          </cell>
          <cell r="E384">
            <v>24063.98</v>
          </cell>
          <cell r="G384">
            <v>1</v>
          </cell>
          <cell r="H384" t="str">
            <v>ESF</v>
          </cell>
          <cell r="N384">
            <v>26</v>
          </cell>
          <cell r="P384" t="str">
            <v>40</v>
          </cell>
        </row>
        <row r="385">
          <cell r="B385">
            <v>26</v>
          </cell>
          <cell r="C385">
            <v>11993.22</v>
          </cell>
          <cell r="D385">
            <v>29</v>
          </cell>
          <cell r="E385">
            <v>10130.82</v>
          </cell>
          <cell r="G385">
            <v>1</v>
          </cell>
          <cell r="H385" t="str">
            <v>ESF</v>
          </cell>
          <cell r="N385">
            <v>29</v>
          </cell>
          <cell r="P385" t="str">
            <v>40</v>
          </cell>
        </row>
        <row r="386">
          <cell r="B386">
            <v>24</v>
          </cell>
          <cell r="C386">
            <v>29600</v>
          </cell>
          <cell r="D386">
            <v>26</v>
          </cell>
          <cell r="E386">
            <v>29120</v>
          </cell>
          <cell r="G386">
            <v>1</v>
          </cell>
          <cell r="H386" t="str">
            <v>ESF</v>
          </cell>
          <cell r="N386">
            <v>26</v>
          </cell>
          <cell r="P386" t="str">
            <v>40</v>
          </cell>
        </row>
        <row r="387">
          <cell r="B387">
            <v>22</v>
          </cell>
          <cell r="C387">
            <v>3871.2</v>
          </cell>
          <cell r="D387">
            <v>23</v>
          </cell>
          <cell r="E387">
            <v>3871.2</v>
          </cell>
          <cell r="G387">
            <v>1</v>
          </cell>
          <cell r="H387" t="str">
            <v>ESF</v>
          </cell>
          <cell r="N387">
            <v>23</v>
          </cell>
          <cell r="P387" t="str">
            <v>40</v>
          </cell>
        </row>
        <row r="388">
          <cell r="B388">
            <v>40</v>
          </cell>
          <cell r="C388">
            <v>30000</v>
          </cell>
          <cell r="D388">
            <v>43</v>
          </cell>
          <cell r="E388">
            <v>0</v>
          </cell>
          <cell r="G388">
            <v>1</v>
          </cell>
          <cell r="H388" t="str">
            <v>ESF</v>
          </cell>
          <cell r="L388" t="str">
            <v>-</v>
          </cell>
          <cell r="N388">
            <v>43</v>
          </cell>
          <cell r="P388" t="str">
            <v>40</v>
          </cell>
        </row>
        <row r="389">
          <cell r="B389">
            <v>21</v>
          </cell>
          <cell r="C389">
            <v>3960</v>
          </cell>
          <cell r="D389">
            <v>23</v>
          </cell>
          <cell r="E389">
            <v>3960</v>
          </cell>
          <cell r="G389">
            <v>1</v>
          </cell>
          <cell r="H389" t="str">
            <v>ESF</v>
          </cell>
          <cell r="N389">
            <v>23</v>
          </cell>
          <cell r="P389" t="str">
            <v>40</v>
          </cell>
        </row>
        <row r="390">
          <cell r="B390">
            <v>28</v>
          </cell>
          <cell r="C390">
            <v>2342.46</v>
          </cell>
          <cell r="D390">
            <v>31</v>
          </cell>
          <cell r="E390">
            <v>2050.45</v>
          </cell>
          <cell r="G390">
            <v>1</v>
          </cell>
          <cell r="H390" t="str">
            <v>ESF</v>
          </cell>
          <cell r="L390" t="str">
            <v>-</v>
          </cell>
          <cell r="N390">
            <v>31</v>
          </cell>
          <cell r="P390" t="str">
            <v>40</v>
          </cell>
        </row>
        <row r="391">
          <cell r="B391">
            <v>33</v>
          </cell>
          <cell r="C391">
            <v>24407.04</v>
          </cell>
          <cell r="D391">
            <v>34</v>
          </cell>
          <cell r="E391">
            <v>24248.71</v>
          </cell>
          <cell r="G391">
            <v>1</v>
          </cell>
          <cell r="H391" t="str">
            <v>ESF</v>
          </cell>
          <cell r="L391" t="str">
            <v>-</v>
          </cell>
          <cell r="N391">
            <v>34</v>
          </cell>
          <cell r="P391" t="str">
            <v>40</v>
          </cell>
        </row>
        <row r="392">
          <cell r="B392">
            <v>22</v>
          </cell>
          <cell r="C392">
            <v>2990.47</v>
          </cell>
          <cell r="D392">
            <v>23</v>
          </cell>
          <cell r="E392">
            <v>2551.95</v>
          </cell>
          <cell r="G392">
            <v>1</v>
          </cell>
          <cell r="H392" t="str">
            <v>ESF</v>
          </cell>
          <cell r="N392">
            <v>23</v>
          </cell>
          <cell r="P392" t="str">
            <v>40</v>
          </cell>
        </row>
        <row r="393">
          <cell r="B393">
            <v>33</v>
          </cell>
          <cell r="C393">
            <v>7982.12</v>
          </cell>
          <cell r="D393">
            <v>38</v>
          </cell>
          <cell r="E393">
            <v>6275.92</v>
          </cell>
          <cell r="G393">
            <v>1</v>
          </cell>
          <cell r="H393" t="str">
            <v>ESF</v>
          </cell>
          <cell r="L393" t="str">
            <v>-</v>
          </cell>
          <cell r="N393">
            <v>38</v>
          </cell>
          <cell r="P393" t="str">
            <v>40</v>
          </cell>
        </row>
        <row r="394">
          <cell r="B394">
            <v>35</v>
          </cell>
          <cell r="C394">
            <v>19846.41</v>
          </cell>
          <cell r="D394">
            <v>36</v>
          </cell>
          <cell r="E394">
            <v>19491.21</v>
          </cell>
          <cell r="G394">
            <v>1</v>
          </cell>
          <cell r="H394" t="str">
            <v>ESF</v>
          </cell>
          <cell r="L394" t="str">
            <v>-</v>
          </cell>
          <cell r="N394">
            <v>36</v>
          </cell>
          <cell r="P394" t="str">
            <v>40</v>
          </cell>
        </row>
        <row r="395">
          <cell r="B395">
            <v>26</v>
          </cell>
          <cell r="C395">
            <v>35745.21</v>
          </cell>
          <cell r="D395">
            <v>27</v>
          </cell>
          <cell r="E395">
            <v>31881.5</v>
          </cell>
          <cell r="G395">
            <v>1</v>
          </cell>
          <cell r="H395" t="str">
            <v>ERAF</v>
          </cell>
          <cell r="N395">
            <v>27</v>
          </cell>
          <cell r="P395" t="str">
            <v>20</v>
          </cell>
        </row>
        <row r="396">
          <cell r="B396">
            <v>22</v>
          </cell>
          <cell r="C396">
            <v>9900</v>
          </cell>
          <cell r="D396">
            <v>23</v>
          </cell>
          <cell r="E396">
            <v>9900</v>
          </cell>
          <cell r="G396">
            <v>1</v>
          </cell>
          <cell r="H396" t="str">
            <v>ERAF</v>
          </cell>
          <cell r="N396">
            <v>23</v>
          </cell>
          <cell r="P396" t="str">
            <v>31</v>
          </cell>
        </row>
        <row r="397">
          <cell r="B397">
            <v>27</v>
          </cell>
          <cell r="C397">
            <v>10000</v>
          </cell>
          <cell r="D397">
            <v>34</v>
          </cell>
          <cell r="E397">
            <v>10000</v>
          </cell>
          <cell r="G397">
            <v>1</v>
          </cell>
          <cell r="H397" t="str">
            <v>ERAF</v>
          </cell>
          <cell r="L397" t="str">
            <v>-</v>
          </cell>
          <cell r="N397">
            <v>34</v>
          </cell>
          <cell r="P397" t="str">
            <v>31</v>
          </cell>
        </row>
        <row r="398">
          <cell r="B398">
            <v>24</v>
          </cell>
          <cell r="C398">
            <v>10000</v>
          </cell>
          <cell r="D398">
            <v>27</v>
          </cell>
          <cell r="E398">
            <v>10000</v>
          </cell>
          <cell r="G398">
            <v>1</v>
          </cell>
          <cell r="H398" t="str">
            <v>ERAF</v>
          </cell>
          <cell r="N398">
            <v>27</v>
          </cell>
          <cell r="P398" t="str">
            <v>31</v>
          </cell>
        </row>
        <row r="399">
          <cell r="B399">
            <v>24</v>
          </cell>
          <cell r="C399">
            <v>9900</v>
          </cell>
          <cell r="D399">
            <v>25</v>
          </cell>
          <cell r="E399">
            <v>9900</v>
          </cell>
          <cell r="G399">
            <v>1</v>
          </cell>
          <cell r="H399" t="str">
            <v>ERAF</v>
          </cell>
          <cell r="N399">
            <v>25</v>
          </cell>
          <cell r="P399" t="str">
            <v>31</v>
          </cell>
        </row>
        <row r="400">
          <cell r="B400">
            <v>23</v>
          </cell>
          <cell r="C400">
            <v>10000</v>
          </cell>
          <cell r="D400">
            <v>24</v>
          </cell>
          <cell r="E400">
            <v>10000</v>
          </cell>
          <cell r="G400">
            <v>1</v>
          </cell>
          <cell r="H400" t="str">
            <v>ERAF</v>
          </cell>
          <cell r="N400">
            <v>24</v>
          </cell>
          <cell r="P400" t="str">
            <v>31</v>
          </cell>
        </row>
        <row r="401">
          <cell r="B401">
            <v>23</v>
          </cell>
          <cell r="C401">
            <v>10000</v>
          </cell>
          <cell r="D401">
            <v>24</v>
          </cell>
          <cell r="E401">
            <v>10000</v>
          </cell>
          <cell r="G401">
            <v>1</v>
          </cell>
          <cell r="H401" t="str">
            <v>ERAF</v>
          </cell>
          <cell r="N401">
            <v>24</v>
          </cell>
          <cell r="P401" t="str">
            <v>31</v>
          </cell>
        </row>
        <row r="402">
          <cell r="B402">
            <v>24</v>
          </cell>
          <cell r="C402">
            <v>9750</v>
          </cell>
          <cell r="D402">
            <v>24</v>
          </cell>
          <cell r="E402">
            <v>9750</v>
          </cell>
          <cell r="G402">
            <v>1</v>
          </cell>
          <cell r="H402" t="str">
            <v>ERAF</v>
          </cell>
          <cell r="L402" t="str">
            <v>-</v>
          </cell>
          <cell r="N402">
            <v>24</v>
          </cell>
          <cell r="P402" t="str">
            <v>31</v>
          </cell>
        </row>
        <row r="403">
          <cell r="B403">
            <v>23</v>
          </cell>
          <cell r="C403">
            <v>10000</v>
          </cell>
          <cell r="D403">
            <v>23</v>
          </cell>
          <cell r="E403">
            <v>3576.89</v>
          </cell>
          <cell r="G403">
            <v>1</v>
          </cell>
          <cell r="H403" t="str">
            <v>ERAF</v>
          </cell>
          <cell r="N403">
            <v>23</v>
          </cell>
          <cell r="P403" t="str">
            <v>32</v>
          </cell>
        </row>
        <row r="404">
          <cell r="B404">
            <v>26</v>
          </cell>
          <cell r="C404">
            <v>30000</v>
          </cell>
          <cell r="D404">
            <v>27</v>
          </cell>
          <cell r="E404">
            <v>30000</v>
          </cell>
          <cell r="G404">
            <v>1</v>
          </cell>
          <cell r="H404" t="str">
            <v>ESF</v>
          </cell>
          <cell r="N404">
            <v>27</v>
          </cell>
          <cell r="P404" t="str">
            <v>40</v>
          </cell>
        </row>
        <row r="405">
          <cell r="B405">
            <v>23</v>
          </cell>
          <cell r="C405">
            <v>7908</v>
          </cell>
          <cell r="D405">
            <v>22</v>
          </cell>
          <cell r="E405">
            <v>7908</v>
          </cell>
          <cell r="G405">
            <v>1</v>
          </cell>
          <cell r="H405" t="str">
            <v>ESF</v>
          </cell>
          <cell r="N405">
            <v>22</v>
          </cell>
          <cell r="P405" t="str">
            <v>40</v>
          </cell>
        </row>
        <row r="406">
          <cell r="B406">
            <v>25</v>
          </cell>
          <cell r="C406">
            <v>30000</v>
          </cell>
          <cell r="D406">
            <v>30</v>
          </cell>
          <cell r="E406">
            <v>15217.6</v>
          </cell>
          <cell r="G406">
            <v>1</v>
          </cell>
          <cell r="H406" t="str">
            <v>ESF</v>
          </cell>
          <cell r="L406" t="str">
            <v>-</v>
          </cell>
          <cell r="N406">
            <v>30</v>
          </cell>
          <cell r="P406" t="str">
            <v>40</v>
          </cell>
        </row>
        <row r="407">
          <cell r="B407">
            <v>25</v>
          </cell>
          <cell r="C407">
            <v>6352</v>
          </cell>
          <cell r="D407">
            <v>26</v>
          </cell>
          <cell r="E407">
            <v>6352</v>
          </cell>
          <cell r="G407">
            <v>1</v>
          </cell>
          <cell r="H407" t="str">
            <v>ESF</v>
          </cell>
          <cell r="N407">
            <v>26</v>
          </cell>
          <cell r="P407" t="str">
            <v>40</v>
          </cell>
        </row>
        <row r="408">
          <cell r="B408">
            <v>42</v>
          </cell>
          <cell r="C408">
            <v>5734.4</v>
          </cell>
          <cell r="D408">
            <v>29</v>
          </cell>
          <cell r="E408">
            <v>0</v>
          </cell>
          <cell r="G408">
            <v>1</v>
          </cell>
          <cell r="H408" t="str">
            <v>ESF</v>
          </cell>
          <cell r="N408">
            <v>29</v>
          </cell>
          <cell r="P408" t="str">
            <v>40</v>
          </cell>
        </row>
        <row r="409">
          <cell r="B409">
            <v>29</v>
          </cell>
          <cell r="C409">
            <v>30000</v>
          </cell>
          <cell r="D409">
            <v>32</v>
          </cell>
          <cell r="E409">
            <v>30000</v>
          </cell>
          <cell r="G409">
            <v>1</v>
          </cell>
          <cell r="H409" t="str">
            <v>ESF</v>
          </cell>
          <cell r="L409" t="str">
            <v>-</v>
          </cell>
          <cell r="N409">
            <v>32</v>
          </cell>
          <cell r="P409" t="str">
            <v>40</v>
          </cell>
        </row>
        <row r="410">
          <cell r="B410">
            <v>43</v>
          </cell>
          <cell r="C410">
            <v>1242.68</v>
          </cell>
          <cell r="D410">
            <v>45</v>
          </cell>
          <cell r="E410">
            <v>0</v>
          </cell>
          <cell r="G410">
            <v>1</v>
          </cell>
          <cell r="H410" t="str">
            <v>ESF</v>
          </cell>
          <cell r="L410" t="str">
            <v>-</v>
          </cell>
          <cell r="N410">
            <v>45</v>
          </cell>
          <cell r="P410" t="str">
            <v>40</v>
          </cell>
        </row>
        <row r="411">
          <cell r="B411">
            <v>23</v>
          </cell>
          <cell r="C411">
            <v>11760</v>
          </cell>
          <cell r="D411">
            <v>22</v>
          </cell>
          <cell r="E411">
            <v>11208</v>
          </cell>
          <cell r="G411">
            <v>1</v>
          </cell>
          <cell r="H411" t="str">
            <v>ESF</v>
          </cell>
          <cell r="N411">
            <v>22</v>
          </cell>
          <cell r="P411" t="str">
            <v>40</v>
          </cell>
        </row>
        <row r="412">
          <cell r="B412">
            <v>32</v>
          </cell>
          <cell r="C412">
            <v>9430.37</v>
          </cell>
          <cell r="D412">
            <v>34</v>
          </cell>
          <cell r="E412">
            <v>6232.96</v>
          </cell>
          <cell r="G412">
            <v>1</v>
          </cell>
          <cell r="H412" t="str">
            <v>ESF</v>
          </cell>
          <cell r="L412" t="str">
            <v>-</v>
          </cell>
          <cell r="N412">
            <v>34</v>
          </cell>
          <cell r="P412" t="str">
            <v>40</v>
          </cell>
        </row>
        <row r="413">
          <cell r="B413">
            <v>28</v>
          </cell>
          <cell r="C413">
            <v>30000</v>
          </cell>
          <cell r="D413">
            <v>31</v>
          </cell>
          <cell r="E413">
            <v>30000</v>
          </cell>
          <cell r="G413">
            <v>1</v>
          </cell>
          <cell r="H413" t="str">
            <v>ESF</v>
          </cell>
          <cell r="L413" t="str">
            <v>-</v>
          </cell>
          <cell r="N413">
            <v>31</v>
          </cell>
          <cell r="P413" t="str">
            <v>40</v>
          </cell>
        </row>
        <row r="414">
          <cell r="B414">
            <v>45</v>
          </cell>
          <cell r="C414">
            <v>3335.59</v>
          </cell>
          <cell r="D414">
            <v>44</v>
          </cell>
          <cell r="E414">
            <v>3335.59</v>
          </cell>
          <cell r="G414">
            <v>1</v>
          </cell>
          <cell r="H414" t="str">
            <v>ESF</v>
          </cell>
          <cell r="L414" t="str">
            <v>-</v>
          </cell>
          <cell r="N414">
            <v>44</v>
          </cell>
          <cell r="P414" t="str">
            <v>40</v>
          </cell>
        </row>
        <row r="415">
          <cell r="B415">
            <v>24</v>
          </cell>
          <cell r="C415">
            <v>23552.5</v>
          </cell>
          <cell r="D415">
            <v>30</v>
          </cell>
          <cell r="E415">
            <v>23146.44</v>
          </cell>
          <cell r="G415">
            <v>1</v>
          </cell>
          <cell r="H415" t="str">
            <v>ESF</v>
          </cell>
          <cell r="N415">
            <v>30</v>
          </cell>
          <cell r="P415" t="str">
            <v>40</v>
          </cell>
        </row>
        <row r="416">
          <cell r="B416">
            <v>26</v>
          </cell>
          <cell r="C416">
            <v>30000</v>
          </cell>
          <cell r="D416">
            <v>27</v>
          </cell>
          <cell r="E416">
            <v>30000</v>
          </cell>
          <cell r="G416">
            <v>1</v>
          </cell>
          <cell r="H416" t="str">
            <v>ESF</v>
          </cell>
          <cell r="L416" t="str">
            <v>-</v>
          </cell>
          <cell r="N416">
            <v>27</v>
          </cell>
          <cell r="P416" t="str">
            <v>40</v>
          </cell>
        </row>
        <row r="417">
          <cell r="B417">
            <v>25</v>
          </cell>
          <cell r="C417">
            <v>20267.28</v>
          </cell>
          <cell r="D417">
            <v>28</v>
          </cell>
          <cell r="E417">
            <v>18418.65</v>
          </cell>
          <cell r="G417">
            <v>1</v>
          </cell>
          <cell r="H417" t="str">
            <v>ESF</v>
          </cell>
          <cell r="N417">
            <v>28</v>
          </cell>
          <cell r="P417" t="str">
            <v>40</v>
          </cell>
        </row>
        <row r="418">
          <cell r="B418">
            <v>24</v>
          </cell>
          <cell r="C418">
            <v>10000</v>
          </cell>
          <cell r="D418">
            <v>25</v>
          </cell>
          <cell r="E418">
            <v>10000</v>
          </cell>
          <cell r="G418">
            <v>1</v>
          </cell>
          <cell r="H418" t="str">
            <v>ERAF</v>
          </cell>
          <cell r="N418">
            <v>25</v>
          </cell>
          <cell r="P418" t="str">
            <v>31</v>
          </cell>
        </row>
        <row r="419">
          <cell r="B419">
            <v>33</v>
          </cell>
          <cell r="C419">
            <v>364641.12</v>
          </cell>
          <cell r="D419">
            <v>31</v>
          </cell>
          <cell r="E419">
            <v>0</v>
          </cell>
          <cell r="G419">
            <v>1</v>
          </cell>
          <cell r="H419" t="str">
            <v>ERAF</v>
          </cell>
          <cell r="L419" t="str">
            <v>-</v>
          </cell>
          <cell r="N419">
            <v>31</v>
          </cell>
          <cell r="P419" t="str">
            <v>11</v>
          </cell>
        </row>
        <row r="420">
          <cell r="B420">
            <v>24</v>
          </cell>
          <cell r="C420">
            <v>7565</v>
          </cell>
          <cell r="D420">
            <v>25</v>
          </cell>
          <cell r="E420">
            <v>4714.22</v>
          </cell>
          <cell r="G420">
            <v>1</v>
          </cell>
          <cell r="H420" t="str">
            <v>ERAF</v>
          </cell>
          <cell r="N420">
            <v>25</v>
          </cell>
          <cell r="P420" t="str">
            <v>32</v>
          </cell>
        </row>
        <row r="421">
          <cell r="B421">
            <v>28</v>
          </cell>
          <cell r="C421">
            <v>22355.58</v>
          </cell>
          <cell r="D421">
            <v>27</v>
          </cell>
          <cell r="E421">
            <v>15487.85</v>
          </cell>
          <cell r="G421">
            <v>1</v>
          </cell>
          <cell r="H421" t="str">
            <v>ERAF</v>
          </cell>
          <cell r="N421">
            <v>27</v>
          </cell>
          <cell r="P421" t="str">
            <v>32</v>
          </cell>
        </row>
        <row r="422">
          <cell r="B422">
            <v>25</v>
          </cell>
          <cell r="C422">
            <v>15886.69</v>
          </cell>
          <cell r="D422">
            <v>28</v>
          </cell>
          <cell r="E422">
            <v>11793.78</v>
          </cell>
          <cell r="G422">
            <v>1</v>
          </cell>
          <cell r="H422" t="str">
            <v>ERAF</v>
          </cell>
          <cell r="N422">
            <v>28</v>
          </cell>
          <cell r="P422" t="str">
            <v>32</v>
          </cell>
        </row>
        <row r="423">
          <cell r="B423">
            <v>27</v>
          </cell>
          <cell r="C423">
            <v>376021.29</v>
          </cell>
          <cell r="D423">
            <v>27</v>
          </cell>
          <cell r="E423">
            <v>376021.29</v>
          </cell>
          <cell r="G423">
            <v>1</v>
          </cell>
          <cell r="H423" t="str">
            <v>ERAF</v>
          </cell>
          <cell r="N423">
            <v>27</v>
          </cell>
          <cell r="P423" t="str">
            <v>12</v>
          </cell>
        </row>
        <row r="424">
          <cell r="B424">
            <v>32</v>
          </cell>
          <cell r="C424">
            <v>431000</v>
          </cell>
          <cell r="D424">
            <v>33</v>
          </cell>
          <cell r="E424">
            <v>431000</v>
          </cell>
          <cell r="G424">
            <v>1</v>
          </cell>
          <cell r="H424" t="str">
            <v>ERAF</v>
          </cell>
          <cell r="L424" t="str">
            <v>-</v>
          </cell>
          <cell r="N424">
            <v>33</v>
          </cell>
          <cell r="P424" t="str">
            <v>12</v>
          </cell>
        </row>
        <row r="425">
          <cell r="B425">
            <v>32</v>
          </cell>
          <cell r="C425">
            <v>63081.29</v>
          </cell>
          <cell r="D425">
            <v>33</v>
          </cell>
          <cell r="E425">
            <v>63081.29</v>
          </cell>
          <cell r="G425">
            <v>1</v>
          </cell>
          <cell r="H425" t="str">
            <v>ERAF</v>
          </cell>
          <cell r="L425" t="str">
            <v>-</v>
          </cell>
          <cell r="N425">
            <v>33</v>
          </cell>
          <cell r="P425" t="str">
            <v>12</v>
          </cell>
        </row>
        <row r="426">
          <cell r="B426">
            <v>30</v>
          </cell>
          <cell r="C426">
            <v>398949.8</v>
          </cell>
          <cell r="D426">
            <v>31</v>
          </cell>
          <cell r="E426">
            <v>398949.79</v>
          </cell>
          <cell r="G426">
            <v>1</v>
          </cell>
          <cell r="H426" t="str">
            <v>ERAF</v>
          </cell>
          <cell r="L426" t="str">
            <v>-</v>
          </cell>
          <cell r="N426">
            <v>31</v>
          </cell>
          <cell r="P426" t="str">
            <v>12</v>
          </cell>
        </row>
        <row r="427">
          <cell r="B427">
            <v>27</v>
          </cell>
          <cell r="C427">
            <v>600000</v>
          </cell>
          <cell r="D427">
            <v>30</v>
          </cell>
          <cell r="E427">
            <v>600000</v>
          </cell>
          <cell r="G427">
            <v>1</v>
          </cell>
          <cell r="H427" t="str">
            <v>ERAF</v>
          </cell>
          <cell r="N427">
            <v>30</v>
          </cell>
          <cell r="P427" t="str">
            <v>12</v>
          </cell>
        </row>
        <row r="428">
          <cell r="B428">
            <v>30</v>
          </cell>
          <cell r="C428">
            <v>326042.53</v>
          </cell>
          <cell r="D428">
            <v>33</v>
          </cell>
          <cell r="E428">
            <v>303998.03</v>
          </cell>
          <cell r="G428">
            <v>1</v>
          </cell>
          <cell r="H428" t="str">
            <v>ERAF</v>
          </cell>
          <cell r="L428" t="str">
            <v>-</v>
          </cell>
          <cell r="N428">
            <v>33</v>
          </cell>
          <cell r="P428" t="str">
            <v>12</v>
          </cell>
        </row>
        <row r="429">
          <cell r="B429">
            <v>33</v>
          </cell>
          <cell r="C429">
            <v>265628</v>
          </cell>
          <cell r="D429">
            <v>35</v>
          </cell>
          <cell r="E429">
            <v>265628</v>
          </cell>
          <cell r="G429">
            <v>1</v>
          </cell>
          <cell r="H429" t="str">
            <v>ERAF</v>
          </cell>
          <cell r="L429" t="str">
            <v>-</v>
          </cell>
          <cell r="N429">
            <v>35</v>
          </cell>
          <cell r="P429" t="str">
            <v>12</v>
          </cell>
        </row>
        <row r="430">
          <cell r="B430">
            <v>38</v>
          </cell>
          <cell r="C430">
            <v>596477.04</v>
          </cell>
          <cell r="D430">
            <v>39</v>
          </cell>
          <cell r="E430">
            <v>596477.03</v>
          </cell>
          <cell r="G430">
            <v>1</v>
          </cell>
          <cell r="H430" t="str">
            <v>ERAF</v>
          </cell>
          <cell r="L430" t="str">
            <v>-</v>
          </cell>
          <cell r="N430">
            <v>39</v>
          </cell>
          <cell r="P430" t="str">
            <v>12</v>
          </cell>
        </row>
        <row r="431">
          <cell r="B431">
            <v>41</v>
          </cell>
          <cell r="C431">
            <v>600000</v>
          </cell>
          <cell r="D431">
            <v>42</v>
          </cell>
          <cell r="E431">
            <v>600000</v>
          </cell>
          <cell r="G431">
            <v>1</v>
          </cell>
          <cell r="H431" t="str">
            <v>ERAF</v>
          </cell>
          <cell r="N431">
            <v>42</v>
          </cell>
          <cell r="P431" t="str">
            <v>12</v>
          </cell>
        </row>
        <row r="432">
          <cell r="B432">
            <v>32</v>
          </cell>
          <cell r="C432">
            <v>86005.63</v>
          </cell>
          <cell r="D432">
            <v>32</v>
          </cell>
          <cell r="E432">
            <v>86005.62</v>
          </cell>
          <cell r="G432">
            <v>1</v>
          </cell>
          <cell r="H432" t="str">
            <v>ERAF</v>
          </cell>
          <cell r="L432" t="str">
            <v>-</v>
          </cell>
          <cell r="N432">
            <v>32</v>
          </cell>
          <cell r="P432" t="str">
            <v>12</v>
          </cell>
        </row>
        <row r="433">
          <cell r="B433">
            <v>28</v>
          </cell>
          <cell r="C433">
            <v>308336.52</v>
          </cell>
          <cell r="D433">
            <v>26</v>
          </cell>
          <cell r="E433">
            <v>308336.52</v>
          </cell>
          <cell r="G433">
            <v>1</v>
          </cell>
          <cell r="H433" t="str">
            <v>ERAF</v>
          </cell>
          <cell r="N433">
            <v>26</v>
          </cell>
          <cell r="P433" t="str">
            <v>12</v>
          </cell>
        </row>
        <row r="434">
          <cell r="B434">
            <v>43</v>
          </cell>
          <cell r="C434">
            <v>594000</v>
          </cell>
          <cell r="D434">
            <v>43</v>
          </cell>
          <cell r="E434">
            <v>594000</v>
          </cell>
          <cell r="G434">
            <v>1</v>
          </cell>
          <cell r="H434" t="str">
            <v>ERAF</v>
          </cell>
          <cell r="L434" t="str">
            <v>-</v>
          </cell>
          <cell r="N434">
            <v>43</v>
          </cell>
          <cell r="P434" t="str">
            <v>12</v>
          </cell>
        </row>
        <row r="435">
          <cell r="B435">
            <v>32</v>
          </cell>
          <cell r="C435">
            <v>136162.57</v>
          </cell>
          <cell r="D435">
            <v>33</v>
          </cell>
          <cell r="E435">
            <v>135011.83</v>
          </cell>
          <cell r="G435">
            <v>1</v>
          </cell>
          <cell r="H435" t="str">
            <v>ERAF</v>
          </cell>
          <cell r="L435" t="str">
            <v>-</v>
          </cell>
          <cell r="N435">
            <v>33</v>
          </cell>
          <cell r="P435" t="str">
            <v>12</v>
          </cell>
        </row>
        <row r="436">
          <cell r="B436">
            <v>32</v>
          </cell>
          <cell r="C436">
            <v>136162.57</v>
          </cell>
          <cell r="D436">
            <v>44</v>
          </cell>
          <cell r="E436">
            <v>638.92</v>
          </cell>
          <cell r="G436">
            <v>1</v>
          </cell>
          <cell r="H436" t="str">
            <v>ERAF</v>
          </cell>
          <cell r="L436" t="str">
            <v>-</v>
          </cell>
          <cell r="N436">
            <v>44</v>
          </cell>
          <cell r="P436" t="str">
            <v>12</v>
          </cell>
        </row>
        <row r="437">
          <cell r="B437">
            <v>38</v>
          </cell>
          <cell r="C437">
            <v>256276</v>
          </cell>
          <cell r="D437">
            <v>39</v>
          </cell>
          <cell r="E437">
            <v>256276</v>
          </cell>
          <cell r="G437">
            <v>1</v>
          </cell>
          <cell r="H437" t="str">
            <v>ERAF</v>
          </cell>
          <cell r="L437" t="str">
            <v>-</v>
          </cell>
          <cell r="N437">
            <v>39</v>
          </cell>
          <cell r="P437" t="str">
            <v>12</v>
          </cell>
        </row>
        <row r="438">
          <cell r="B438">
            <v>33</v>
          </cell>
          <cell r="C438">
            <v>193690.49</v>
          </cell>
          <cell r="D438">
            <v>34</v>
          </cell>
          <cell r="E438">
            <v>193690.49</v>
          </cell>
          <cell r="G438">
            <v>1</v>
          </cell>
          <cell r="H438" t="str">
            <v>ERAF</v>
          </cell>
          <cell r="L438" t="str">
            <v>-</v>
          </cell>
          <cell r="N438">
            <v>34</v>
          </cell>
          <cell r="P438" t="str">
            <v>12</v>
          </cell>
        </row>
        <row r="439">
          <cell r="B439">
            <v>29</v>
          </cell>
          <cell r="C439">
            <v>90748.58</v>
          </cell>
          <cell r="D439">
            <v>29</v>
          </cell>
          <cell r="E439">
            <v>90748.58</v>
          </cell>
          <cell r="G439">
            <v>1</v>
          </cell>
          <cell r="H439" t="str">
            <v>ERAF</v>
          </cell>
          <cell r="N439">
            <v>29</v>
          </cell>
          <cell r="P439" t="str">
            <v>12</v>
          </cell>
        </row>
        <row r="440">
          <cell r="B440">
            <v>30</v>
          </cell>
          <cell r="C440">
            <v>319651.45</v>
          </cell>
          <cell r="D440">
            <v>31</v>
          </cell>
          <cell r="E440">
            <v>319651.45</v>
          </cell>
          <cell r="G440">
            <v>1</v>
          </cell>
          <cell r="H440" t="str">
            <v>ERAF</v>
          </cell>
          <cell r="L440" t="str">
            <v>-</v>
          </cell>
          <cell r="N440">
            <v>31</v>
          </cell>
          <cell r="P440" t="str">
            <v>12</v>
          </cell>
        </row>
        <row r="441">
          <cell r="B441">
            <v>30</v>
          </cell>
          <cell r="C441">
            <v>143020.61</v>
          </cell>
          <cell r="D441">
            <v>30</v>
          </cell>
          <cell r="E441">
            <v>143020.61</v>
          </cell>
          <cell r="G441">
            <v>1</v>
          </cell>
          <cell r="H441" t="str">
            <v>ERAF</v>
          </cell>
          <cell r="N441">
            <v>30</v>
          </cell>
          <cell r="P441" t="str">
            <v>12</v>
          </cell>
        </row>
        <row r="442">
          <cell r="B442">
            <v>29</v>
          </cell>
          <cell r="C442">
            <v>64121.54</v>
          </cell>
          <cell r="D442">
            <v>30</v>
          </cell>
          <cell r="E442">
            <v>64121.54</v>
          </cell>
          <cell r="G442">
            <v>1</v>
          </cell>
          <cell r="H442" t="str">
            <v>ERAF</v>
          </cell>
          <cell r="L442" t="str">
            <v>-</v>
          </cell>
          <cell r="N442">
            <v>30</v>
          </cell>
          <cell r="P442" t="str">
            <v>12</v>
          </cell>
        </row>
        <row r="443">
          <cell r="B443">
            <v>23</v>
          </cell>
          <cell r="C443">
            <v>1196.1</v>
          </cell>
          <cell r="D443">
            <v>24</v>
          </cell>
          <cell r="E443">
            <v>1196.1</v>
          </cell>
          <cell r="G443">
            <v>1</v>
          </cell>
          <cell r="H443" t="str">
            <v>ESF</v>
          </cell>
          <cell r="N443">
            <v>24</v>
          </cell>
          <cell r="P443" t="str">
            <v>40</v>
          </cell>
        </row>
        <row r="444">
          <cell r="B444">
            <v>27</v>
          </cell>
          <cell r="C444">
            <v>404.78</v>
          </cell>
          <cell r="D444">
            <v>29</v>
          </cell>
          <cell r="E444">
            <v>288</v>
          </cell>
          <cell r="G444">
            <v>1</v>
          </cell>
          <cell r="H444" t="str">
            <v>ESF</v>
          </cell>
          <cell r="N444">
            <v>29</v>
          </cell>
          <cell r="P444" t="str">
            <v>40</v>
          </cell>
        </row>
        <row r="445">
          <cell r="B445">
            <v>30</v>
          </cell>
          <cell r="C445">
            <v>5354.49</v>
          </cell>
          <cell r="D445">
            <v>34</v>
          </cell>
          <cell r="E445">
            <v>5263.45</v>
          </cell>
          <cell r="G445">
            <v>1</v>
          </cell>
          <cell r="H445" t="str">
            <v>ESF</v>
          </cell>
          <cell r="L445" t="str">
            <v>-</v>
          </cell>
          <cell r="N445">
            <v>34</v>
          </cell>
          <cell r="P445" t="str">
            <v>40</v>
          </cell>
        </row>
        <row r="446">
          <cell r="B446">
            <v>27</v>
          </cell>
          <cell r="C446">
            <v>28976</v>
          </cell>
          <cell r="D446">
            <v>31</v>
          </cell>
          <cell r="E446">
            <v>28976</v>
          </cell>
          <cell r="G446">
            <v>1</v>
          </cell>
          <cell r="H446" t="str">
            <v>ESF</v>
          </cell>
          <cell r="L446" t="str">
            <v>-</v>
          </cell>
          <cell r="N446">
            <v>31</v>
          </cell>
          <cell r="P446" t="str">
            <v>40</v>
          </cell>
        </row>
        <row r="447">
          <cell r="B447">
            <v>29</v>
          </cell>
          <cell r="C447">
            <v>2255.68</v>
          </cell>
          <cell r="D447">
            <v>43</v>
          </cell>
          <cell r="E447">
            <v>2255.62</v>
          </cell>
          <cell r="G447">
            <v>1</v>
          </cell>
          <cell r="H447" t="str">
            <v>ESF</v>
          </cell>
          <cell r="L447" t="str">
            <v>-</v>
          </cell>
          <cell r="N447">
            <v>43</v>
          </cell>
          <cell r="P447" t="str">
            <v>40</v>
          </cell>
        </row>
        <row r="448">
          <cell r="B448">
            <v>29</v>
          </cell>
          <cell r="C448">
            <v>5377.27</v>
          </cell>
          <cell r="D448">
            <v>32</v>
          </cell>
          <cell r="E448">
            <v>3960</v>
          </cell>
          <cell r="G448">
            <v>1</v>
          </cell>
          <cell r="H448" t="str">
            <v>ESF</v>
          </cell>
          <cell r="L448" t="str">
            <v>-</v>
          </cell>
          <cell r="N448">
            <v>32</v>
          </cell>
          <cell r="P448" t="str">
            <v>40</v>
          </cell>
        </row>
        <row r="449">
          <cell r="B449">
            <v>32</v>
          </cell>
          <cell r="C449">
            <v>28488.23</v>
          </cell>
          <cell r="D449">
            <v>33</v>
          </cell>
          <cell r="E449">
            <v>28408.23</v>
          </cell>
          <cell r="G449">
            <v>1</v>
          </cell>
          <cell r="H449" t="str">
            <v>ESF</v>
          </cell>
          <cell r="L449" t="str">
            <v>-</v>
          </cell>
          <cell r="N449">
            <v>33</v>
          </cell>
          <cell r="P449" t="str">
            <v>40</v>
          </cell>
        </row>
        <row r="450">
          <cell r="B450">
            <v>25</v>
          </cell>
          <cell r="C450">
            <v>28577.6</v>
          </cell>
          <cell r="D450">
            <v>26</v>
          </cell>
          <cell r="E450">
            <v>23753.6</v>
          </cell>
          <cell r="G450">
            <v>1</v>
          </cell>
          <cell r="H450" t="str">
            <v>ESF</v>
          </cell>
          <cell r="N450">
            <v>26</v>
          </cell>
          <cell r="P450" t="str">
            <v>40</v>
          </cell>
        </row>
        <row r="451">
          <cell r="B451">
            <v>24</v>
          </cell>
          <cell r="C451">
            <v>7910.4</v>
          </cell>
          <cell r="D451">
            <v>24</v>
          </cell>
          <cell r="E451">
            <v>7910.4</v>
          </cell>
          <cell r="G451">
            <v>1</v>
          </cell>
          <cell r="H451" t="str">
            <v>ESF</v>
          </cell>
          <cell r="N451">
            <v>24</v>
          </cell>
          <cell r="P451" t="str">
            <v>40</v>
          </cell>
        </row>
        <row r="452">
          <cell r="B452">
            <v>26</v>
          </cell>
          <cell r="C452">
            <v>3936</v>
          </cell>
          <cell r="D452">
            <v>27</v>
          </cell>
          <cell r="E452">
            <v>3936</v>
          </cell>
          <cell r="G452">
            <v>1</v>
          </cell>
          <cell r="H452" t="str">
            <v>ESF</v>
          </cell>
          <cell r="N452">
            <v>27</v>
          </cell>
          <cell r="P452" t="str">
            <v>40</v>
          </cell>
        </row>
        <row r="453">
          <cell r="B453">
            <v>25</v>
          </cell>
          <cell r="C453">
            <v>4000</v>
          </cell>
          <cell r="D453">
            <v>25</v>
          </cell>
          <cell r="E453">
            <v>4000</v>
          </cell>
          <cell r="G453">
            <v>1</v>
          </cell>
          <cell r="H453" t="str">
            <v>ESF</v>
          </cell>
          <cell r="N453">
            <v>25</v>
          </cell>
          <cell r="P453" t="str">
            <v>40</v>
          </cell>
        </row>
        <row r="454">
          <cell r="B454">
            <v>26</v>
          </cell>
          <cell r="C454">
            <v>17791.8</v>
          </cell>
          <cell r="D454">
            <v>32</v>
          </cell>
          <cell r="E454">
            <v>17641.02</v>
          </cell>
          <cell r="G454">
            <v>1</v>
          </cell>
          <cell r="H454" t="str">
            <v>ESF</v>
          </cell>
          <cell r="L454" t="str">
            <v>-</v>
          </cell>
          <cell r="N454">
            <v>32</v>
          </cell>
          <cell r="P454" t="str">
            <v>40</v>
          </cell>
        </row>
        <row r="455">
          <cell r="B455">
            <v>28</v>
          </cell>
          <cell r="C455">
            <v>2224</v>
          </cell>
          <cell r="D455">
            <v>29</v>
          </cell>
          <cell r="E455">
            <v>2224</v>
          </cell>
          <cell r="G455">
            <v>1</v>
          </cell>
          <cell r="H455" t="str">
            <v>ESF</v>
          </cell>
          <cell r="N455">
            <v>29</v>
          </cell>
          <cell r="P455" t="str">
            <v>40</v>
          </cell>
        </row>
        <row r="456">
          <cell r="B456">
            <v>30</v>
          </cell>
          <cell r="C456">
            <v>2988</v>
          </cell>
          <cell r="D456">
            <v>33</v>
          </cell>
          <cell r="E456">
            <v>2988</v>
          </cell>
          <cell r="G456">
            <v>1</v>
          </cell>
          <cell r="H456" t="str">
            <v>ESF</v>
          </cell>
          <cell r="L456" t="str">
            <v>-</v>
          </cell>
          <cell r="N456">
            <v>33</v>
          </cell>
          <cell r="P456" t="str">
            <v>40</v>
          </cell>
        </row>
        <row r="457">
          <cell r="B457">
            <v>28</v>
          </cell>
          <cell r="C457">
            <v>2997</v>
          </cell>
          <cell r="D457">
            <v>29</v>
          </cell>
          <cell r="E457">
            <v>2997</v>
          </cell>
          <cell r="G457">
            <v>1</v>
          </cell>
          <cell r="H457" t="str">
            <v>ESF</v>
          </cell>
          <cell r="N457">
            <v>29</v>
          </cell>
          <cell r="P457" t="str">
            <v>40</v>
          </cell>
        </row>
        <row r="458">
          <cell r="B458">
            <v>29</v>
          </cell>
          <cell r="C458">
            <v>29232</v>
          </cell>
          <cell r="D458">
            <v>30</v>
          </cell>
          <cell r="E458">
            <v>29232</v>
          </cell>
          <cell r="G458">
            <v>1</v>
          </cell>
          <cell r="H458" t="str">
            <v>ESF</v>
          </cell>
          <cell r="N458">
            <v>30</v>
          </cell>
          <cell r="P458" t="str">
            <v>40</v>
          </cell>
        </row>
        <row r="459">
          <cell r="B459">
            <v>24</v>
          </cell>
          <cell r="C459">
            <v>3996</v>
          </cell>
          <cell r="D459">
            <v>24</v>
          </cell>
          <cell r="E459">
            <v>3996</v>
          </cell>
          <cell r="G459">
            <v>1</v>
          </cell>
          <cell r="H459" t="str">
            <v>ESF</v>
          </cell>
          <cell r="N459">
            <v>24</v>
          </cell>
          <cell r="P459" t="str">
            <v>40</v>
          </cell>
        </row>
        <row r="460">
          <cell r="B460">
            <v>25</v>
          </cell>
          <cell r="C460">
            <v>3840</v>
          </cell>
          <cell r="D460">
            <v>27</v>
          </cell>
          <cell r="E460">
            <v>3840</v>
          </cell>
          <cell r="G460">
            <v>1</v>
          </cell>
          <cell r="H460" t="str">
            <v>ESF</v>
          </cell>
          <cell r="N460">
            <v>27</v>
          </cell>
          <cell r="P460" t="str">
            <v>40</v>
          </cell>
        </row>
        <row r="461">
          <cell r="B461">
            <v>32</v>
          </cell>
          <cell r="C461">
            <v>187152.53</v>
          </cell>
          <cell r="D461">
            <v>32</v>
          </cell>
          <cell r="E461">
            <v>187152.53</v>
          </cell>
          <cell r="G461">
            <v>1</v>
          </cell>
          <cell r="H461" t="str">
            <v>ERAF</v>
          </cell>
          <cell r="L461" t="str">
            <v>-</v>
          </cell>
          <cell r="N461">
            <v>32</v>
          </cell>
          <cell r="P461" t="str">
            <v>11</v>
          </cell>
        </row>
        <row r="462">
          <cell r="B462">
            <v>39</v>
          </cell>
          <cell r="C462">
            <v>600000</v>
          </cell>
          <cell r="D462">
            <v>38</v>
          </cell>
          <cell r="E462">
            <v>600000</v>
          </cell>
          <cell r="G462">
            <v>1</v>
          </cell>
          <cell r="H462" t="str">
            <v>ERAF</v>
          </cell>
          <cell r="L462" t="str">
            <v>-</v>
          </cell>
          <cell r="N462">
            <v>38</v>
          </cell>
          <cell r="P462" t="str">
            <v>12</v>
          </cell>
        </row>
        <row r="463">
          <cell r="B463">
            <v>37</v>
          </cell>
          <cell r="C463">
            <v>600000</v>
          </cell>
          <cell r="D463">
            <v>39</v>
          </cell>
          <cell r="E463">
            <v>600000</v>
          </cell>
          <cell r="G463">
            <v>1</v>
          </cell>
          <cell r="H463" t="str">
            <v>ERAF</v>
          </cell>
          <cell r="L463" t="str">
            <v>-</v>
          </cell>
          <cell r="N463">
            <v>39</v>
          </cell>
          <cell r="P463" t="str">
            <v>12</v>
          </cell>
        </row>
        <row r="464">
          <cell r="B464">
            <v>28</v>
          </cell>
          <cell r="C464">
            <v>579813.3</v>
          </cell>
          <cell r="D464">
            <v>30</v>
          </cell>
          <cell r="E464">
            <v>579813.3</v>
          </cell>
          <cell r="G464">
            <v>1</v>
          </cell>
          <cell r="H464" t="str">
            <v>ERAF</v>
          </cell>
          <cell r="N464">
            <v>30</v>
          </cell>
          <cell r="P464" t="str">
            <v>12</v>
          </cell>
        </row>
        <row r="465">
          <cell r="B465">
            <v>32</v>
          </cell>
          <cell r="C465">
            <v>595724</v>
          </cell>
          <cell r="D465">
            <v>34</v>
          </cell>
          <cell r="E465">
            <v>595591.83</v>
          </cell>
          <cell r="G465">
            <v>1</v>
          </cell>
          <cell r="H465" t="str">
            <v>ERAF</v>
          </cell>
          <cell r="L465" t="str">
            <v>-</v>
          </cell>
          <cell r="N465">
            <v>34</v>
          </cell>
          <cell r="P465" t="str">
            <v>12</v>
          </cell>
        </row>
        <row r="466">
          <cell r="B466">
            <v>37</v>
          </cell>
          <cell r="C466">
            <v>600000</v>
          </cell>
          <cell r="D466">
            <v>42</v>
          </cell>
          <cell r="E466">
            <v>600000</v>
          </cell>
          <cell r="G466">
            <v>1</v>
          </cell>
          <cell r="H466" t="str">
            <v>ERAF</v>
          </cell>
          <cell r="L466" t="str">
            <v>-</v>
          </cell>
          <cell r="N466">
            <v>42</v>
          </cell>
          <cell r="P466" t="str">
            <v>12</v>
          </cell>
        </row>
        <row r="467">
          <cell r="B467">
            <v>42</v>
          </cell>
          <cell r="C467">
            <v>410960</v>
          </cell>
          <cell r="D467">
            <v>44</v>
          </cell>
          <cell r="E467">
            <v>410960</v>
          </cell>
          <cell r="G467">
            <v>1</v>
          </cell>
          <cell r="H467" t="str">
            <v>ERAF</v>
          </cell>
          <cell r="L467" t="str">
            <v>-</v>
          </cell>
          <cell r="N467">
            <v>44</v>
          </cell>
          <cell r="P467" t="str">
            <v>12</v>
          </cell>
        </row>
        <row r="468">
          <cell r="B468">
            <v>29</v>
          </cell>
          <cell r="C468">
            <v>409866</v>
          </cell>
          <cell r="D468">
            <v>31</v>
          </cell>
          <cell r="E468">
            <v>409866</v>
          </cell>
          <cell r="G468">
            <v>1</v>
          </cell>
          <cell r="H468" t="str">
            <v>ERAF</v>
          </cell>
          <cell r="L468" t="str">
            <v>-</v>
          </cell>
          <cell r="N468">
            <v>31</v>
          </cell>
          <cell r="P468" t="str">
            <v>12</v>
          </cell>
        </row>
        <row r="469">
          <cell r="B469">
            <v>27</v>
          </cell>
          <cell r="C469">
            <v>600000</v>
          </cell>
          <cell r="D469">
            <v>27</v>
          </cell>
          <cell r="E469">
            <v>600000</v>
          </cell>
          <cell r="G469">
            <v>1</v>
          </cell>
          <cell r="H469" t="str">
            <v>ERAF</v>
          </cell>
          <cell r="N469">
            <v>27</v>
          </cell>
          <cell r="P469" t="str">
            <v>12</v>
          </cell>
        </row>
        <row r="470">
          <cell r="B470">
            <v>42</v>
          </cell>
          <cell r="C470">
            <v>415039.87</v>
          </cell>
          <cell r="D470">
            <v>43</v>
          </cell>
          <cell r="E470">
            <v>414935.5</v>
          </cell>
          <cell r="G470">
            <v>1</v>
          </cell>
          <cell r="H470" t="str">
            <v>ERAF</v>
          </cell>
          <cell r="L470" t="str">
            <v>-</v>
          </cell>
          <cell r="N470">
            <v>43</v>
          </cell>
          <cell r="P470" t="str">
            <v>12</v>
          </cell>
        </row>
        <row r="471">
          <cell r="B471">
            <v>25</v>
          </cell>
          <cell r="C471">
            <v>600000</v>
          </cell>
          <cell r="D471">
            <v>26</v>
          </cell>
          <cell r="E471">
            <v>509419.95</v>
          </cell>
          <cell r="G471">
            <v>1</v>
          </cell>
          <cell r="H471" t="str">
            <v>ERAF</v>
          </cell>
          <cell r="N471">
            <v>26</v>
          </cell>
          <cell r="P471" t="str">
            <v>12</v>
          </cell>
        </row>
        <row r="472">
          <cell r="B472">
            <v>33</v>
          </cell>
          <cell r="C472">
            <v>412609.9</v>
          </cell>
          <cell r="D472">
            <v>35</v>
          </cell>
          <cell r="E472">
            <v>372821.29</v>
          </cell>
          <cell r="G472">
            <v>1</v>
          </cell>
          <cell r="H472" t="str">
            <v>ERAF</v>
          </cell>
          <cell r="L472" t="str">
            <v>-</v>
          </cell>
          <cell r="N472">
            <v>35</v>
          </cell>
          <cell r="P472" t="str">
            <v>12</v>
          </cell>
        </row>
        <row r="473">
          <cell r="B473">
            <v>26</v>
          </cell>
          <cell r="C473">
            <v>9510</v>
          </cell>
          <cell r="D473">
            <v>31</v>
          </cell>
          <cell r="E473">
            <v>0</v>
          </cell>
          <cell r="G473">
            <v>1</v>
          </cell>
          <cell r="H473" t="str">
            <v>ERAF</v>
          </cell>
          <cell r="L473" t="str">
            <v>-</v>
          </cell>
          <cell r="N473">
            <v>31</v>
          </cell>
          <cell r="P473" t="str">
            <v>31</v>
          </cell>
        </row>
        <row r="474">
          <cell r="B474">
            <v>29</v>
          </cell>
          <cell r="C474">
            <v>245155.44</v>
          </cell>
          <cell r="D474">
            <v>34</v>
          </cell>
          <cell r="E474">
            <v>240554.83</v>
          </cell>
          <cell r="G474">
            <v>1</v>
          </cell>
          <cell r="H474" t="str">
            <v>ERAF</v>
          </cell>
          <cell r="L474" t="str">
            <v>-</v>
          </cell>
          <cell r="N474">
            <v>34</v>
          </cell>
          <cell r="P474" t="str">
            <v>12</v>
          </cell>
        </row>
        <row r="475">
          <cell r="B475">
            <v>31</v>
          </cell>
          <cell r="C475">
            <v>534772.7</v>
          </cell>
          <cell r="D475">
            <v>33</v>
          </cell>
          <cell r="E475">
            <v>534772.7</v>
          </cell>
          <cell r="G475">
            <v>1</v>
          </cell>
          <cell r="H475" t="str">
            <v>ERAF</v>
          </cell>
          <cell r="L475" t="str">
            <v>-</v>
          </cell>
          <cell r="N475">
            <v>33</v>
          </cell>
          <cell r="P475" t="str">
            <v>12</v>
          </cell>
        </row>
        <row r="476">
          <cell r="B476">
            <v>33</v>
          </cell>
          <cell r="C476">
            <v>98284.95</v>
          </cell>
          <cell r="D476">
            <v>33</v>
          </cell>
          <cell r="E476">
            <v>98284.95</v>
          </cell>
          <cell r="G476">
            <v>1</v>
          </cell>
          <cell r="H476" t="str">
            <v>ERAF</v>
          </cell>
          <cell r="L476" t="str">
            <v>-</v>
          </cell>
          <cell r="N476">
            <v>33</v>
          </cell>
          <cell r="P476" t="str">
            <v>12</v>
          </cell>
        </row>
        <row r="477">
          <cell r="B477">
            <v>31</v>
          </cell>
          <cell r="C477">
            <v>186624.09</v>
          </cell>
          <cell r="D477">
            <v>33</v>
          </cell>
          <cell r="E477">
            <v>186624.09</v>
          </cell>
          <cell r="G477">
            <v>1</v>
          </cell>
          <cell r="H477" t="str">
            <v>ERAF</v>
          </cell>
          <cell r="L477" t="str">
            <v>-</v>
          </cell>
          <cell r="N477">
            <v>33</v>
          </cell>
          <cell r="P477" t="str">
            <v>12</v>
          </cell>
        </row>
        <row r="478">
          <cell r="B478">
            <v>35</v>
          </cell>
          <cell r="C478">
            <v>55604.72</v>
          </cell>
          <cell r="D478">
            <v>36</v>
          </cell>
          <cell r="E478">
            <v>55604.72</v>
          </cell>
          <cell r="G478">
            <v>1</v>
          </cell>
          <cell r="H478" t="str">
            <v>ERAF</v>
          </cell>
          <cell r="L478" t="str">
            <v>-</v>
          </cell>
          <cell r="N478">
            <v>36</v>
          </cell>
          <cell r="P478" t="str">
            <v>12</v>
          </cell>
        </row>
        <row r="479">
          <cell r="B479">
            <v>35</v>
          </cell>
          <cell r="C479">
            <v>72855.22</v>
          </cell>
          <cell r="D479">
            <v>37</v>
          </cell>
          <cell r="E479">
            <v>72855.22</v>
          </cell>
          <cell r="G479">
            <v>1</v>
          </cell>
          <cell r="H479" t="str">
            <v>ERAF</v>
          </cell>
          <cell r="L479" t="str">
            <v>-</v>
          </cell>
          <cell r="N479">
            <v>37</v>
          </cell>
          <cell r="P479" t="str">
            <v>12</v>
          </cell>
        </row>
        <row r="480">
          <cell r="B480">
            <v>26</v>
          </cell>
          <cell r="C480">
            <v>254982.55</v>
          </cell>
          <cell r="D480">
            <v>27</v>
          </cell>
          <cell r="E480">
            <v>254982.55</v>
          </cell>
          <cell r="G480">
            <v>1</v>
          </cell>
          <cell r="H480" t="str">
            <v>ERAF</v>
          </cell>
          <cell r="N480">
            <v>27</v>
          </cell>
          <cell r="P480" t="str">
            <v>12</v>
          </cell>
        </row>
        <row r="481">
          <cell r="B481">
            <v>32</v>
          </cell>
          <cell r="C481">
            <v>361223.68</v>
          </cell>
          <cell r="D481">
            <v>32</v>
          </cell>
          <cell r="E481">
            <v>361223.68</v>
          </cell>
          <cell r="G481">
            <v>1</v>
          </cell>
          <cell r="H481" t="str">
            <v>ERAF</v>
          </cell>
          <cell r="L481" t="str">
            <v>-</v>
          </cell>
          <cell r="N481">
            <v>32</v>
          </cell>
          <cell r="P481" t="str">
            <v>12</v>
          </cell>
        </row>
        <row r="482">
          <cell r="B482">
            <v>44</v>
          </cell>
          <cell r="C482">
            <v>496974.09</v>
          </cell>
          <cell r="D482">
            <v>44</v>
          </cell>
          <cell r="E482">
            <v>493493.64</v>
          </cell>
          <cell r="G482">
            <v>1</v>
          </cell>
          <cell r="H482" t="str">
            <v>ERAF</v>
          </cell>
          <cell r="L482" t="str">
            <v>-</v>
          </cell>
          <cell r="N482">
            <v>44</v>
          </cell>
          <cell r="P482" t="str">
            <v>12</v>
          </cell>
        </row>
        <row r="483">
          <cell r="B483">
            <v>30</v>
          </cell>
          <cell r="C483">
            <v>155425.69</v>
          </cell>
          <cell r="D483">
            <v>31</v>
          </cell>
          <cell r="E483">
            <v>155425.69</v>
          </cell>
          <cell r="G483">
            <v>1</v>
          </cell>
          <cell r="H483" t="str">
            <v>ERAF</v>
          </cell>
          <cell r="L483" t="str">
            <v>-</v>
          </cell>
          <cell r="N483">
            <v>31</v>
          </cell>
          <cell r="P483" t="str">
            <v>12</v>
          </cell>
        </row>
        <row r="484">
          <cell r="B484">
            <v>33</v>
          </cell>
          <cell r="C484">
            <v>121514.8</v>
          </cell>
          <cell r="D484">
            <v>37</v>
          </cell>
          <cell r="E484">
            <v>121436.07</v>
          </cell>
          <cell r="G484">
            <v>1</v>
          </cell>
          <cell r="H484" t="str">
            <v>ERAF</v>
          </cell>
          <cell r="L484" t="str">
            <v>-</v>
          </cell>
          <cell r="N484">
            <v>37</v>
          </cell>
          <cell r="P484" t="str">
            <v>12</v>
          </cell>
        </row>
        <row r="485">
          <cell r="B485">
            <v>30</v>
          </cell>
          <cell r="C485">
            <v>540886.09</v>
          </cell>
          <cell r="D485">
            <v>33</v>
          </cell>
          <cell r="E485">
            <v>540886.09</v>
          </cell>
          <cell r="G485">
            <v>1</v>
          </cell>
          <cell r="H485" t="str">
            <v>ERAF</v>
          </cell>
          <cell r="L485" t="str">
            <v>-</v>
          </cell>
          <cell r="N485">
            <v>33</v>
          </cell>
          <cell r="P485" t="str">
            <v>12</v>
          </cell>
        </row>
        <row r="486">
          <cell r="B486">
            <v>32</v>
          </cell>
          <cell r="C486">
            <v>560486.19</v>
          </cell>
          <cell r="D486">
            <v>33</v>
          </cell>
          <cell r="E486">
            <v>557573.4</v>
          </cell>
          <cell r="G486">
            <v>1</v>
          </cell>
          <cell r="H486" t="str">
            <v>ERAF</v>
          </cell>
          <cell r="L486" t="str">
            <v>-</v>
          </cell>
          <cell r="N486">
            <v>33</v>
          </cell>
          <cell r="P486" t="str">
            <v>12</v>
          </cell>
        </row>
        <row r="487">
          <cell r="B487">
            <v>42</v>
          </cell>
          <cell r="C487">
            <v>481623.88</v>
          </cell>
          <cell r="D487">
            <v>42</v>
          </cell>
          <cell r="E487">
            <v>481623.88</v>
          </cell>
          <cell r="G487">
            <v>1</v>
          </cell>
          <cell r="H487" t="str">
            <v>ERAF</v>
          </cell>
          <cell r="L487" t="str">
            <v>-</v>
          </cell>
          <cell r="N487">
            <v>42</v>
          </cell>
          <cell r="P487" t="str">
            <v>12</v>
          </cell>
        </row>
        <row r="488">
          <cell r="B488">
            <v>42</v>
          </cell>
          <cell r="C488">
            <v>579109.42</v>
          </cell>
          <cell r="D488">
            <v>43</v>
          </cell>
          <cell r="E488">
            <v>579109.42</v>
          </cell>
          <cell r="G488">
            <v>1</v>
          </cell>
          <cell r="H488" t="str">
            <v>ERAF</v>
          </cell>
          <cell r="L488" t="str">
            <v>-</v>
          </cell>
          <cell r="N488">
            <v>43</v>
          </cell>
          <cell r="P488" t="str">
            <v>12</v>
          </cell>
        </row>
        <row r="489">
          <cell r="B489">
            <v>33</v>
          </cell>
          <cell r="C489">
            <v>479431.76</v>
          </cell>
          <cell r="D489">
            <v>31</v>
          </cell>
          <cell r="E489">
            <v>0</v>
          </cell>
          <cell r="G489">
            <v>1</v>
          </cell>
          <cell r="H489" t="str">
            <v>ERAF</v>
          </cell>
          <cell r="N489">
            <v>31</v>
          </cell>
          <cell r="P489" t="str">
            <v>12</v>
          </cell>
        </row>
        <row r="490">
          <cell r="B490">
            <v>29</v>
          </cell>
          <cell r="C490">
            <v>600000</v>
          </cell>
          <cell r="D490">
            <v>29</v>
          </cell>
          <cell r="E490">
            <v>600000</v>
          </cell>
          <cell r="G490">
            <v>1</v>
          </cell>
          <cell r="H490" t="str">
            <v>ERAF</v>
          </cell>
          <cell r="N490">
            <v>29</v>
          </cell>
          <cell r="P490" t="str">
            <v>12</v>
          </cell>
        </row>
        <row r="491">
          <cell r="B491">
            <v>30</v>
          </cell>
          <cell r="C491">
            <v>392047.24</v>
          </cell>
          <cell r="D491">
            <v>31</v>
          </cell>
          <cell r="E491">
            <v>392047.24</v>
          </cell>
          <cell r="G491">
            <v>1</v>
          </cell>
          <cell r="H491" t="str">
            <v>ERAF</v>
          </cell>
          <cell r="L491" t="str">
            <v>-</v>
          </cell>
          <cell r="N491">
            <v>31</v>
          </cell>
          <cell r="P491" t="str">
            <v>12</v>
          </cell>
        </row>
        <row r="492">
          <cell r="B492">
            <v>27</v>
          </cell>
          <cell r="C492">
            <v>152726.63</v>
          </cell>
          <cell r="D492">
            <v>28</v>
          </cell>
          <cell r="E492">
            <v>152726.63</v>
          </cell>
          <cell r="G492">
            <v>1</v>
          </cell>
          <cell r="H492" t="str">
            <v>ERAF</v>
          </cell>
          <cell r="N492">
            <v>28</v>
          </cell>
          <cell r="P492" t="str">
            <v>12</v>
          </cell>
        </row>
        <row r="493">
          <cell r="B493">
            <v>36</v>
          </cell>
          <cell r="C493">
            <v>600000</v>
          </cell>
          <cell r="D493">
            <v>39</v>
          </cell>
          <cell r="E493">
            <v>600000</v>
          </cell>
          <cell r="G493">
            <v>1</v>
          </cell>
          <cell r="H493" t="str">
            <v>ERAF</v>
          </cell>
          <cell r="L493" t="str">
            <v>-</v>
          </cell>
          <cell r="N493">
            <v>39</v>
          </cell>
          <cell r="P493" t="str">
            <v>12</v>
          </cell>
        </row>
        <row r="494">
          <cell r="B494">
            <v>31</v>
          </cell>
          <cell r="C494">
            <v>166213.14</v>
          </cell>
          <cell r="D494">
            <v>33</v>
          </cell>
          <cell r="E494">
            <v>166213.14</v>
          </cell>
          <cell r="G494">
            <v>1</v>
          </cell>
          <cell r="H494" t="str">
            <v>ERAF</v>
          </cell>
          <cell r="L494" t="str">
            <v>-</v>
          </cell>
          <cell r="N494">
            <v>33</v>
          </cell>
          <cell r="P494" t="str">
            <v>12</v>
          </cell>
        </row>
        <row r="495">
          <cell r="B495">
            <v>33</v>
          </cell>
          <cell r="C495">
            <v>375360.96</v>
          </cell>
          <cell r="D495">
            <v>33</v>
          </cell>
          <cell r="E495">
            <v>375360.96</v>
          </cell>
          <cell r="G495">
            <v>1</v>
          </cell>
          <cell r="H495" t="str">
            <v>ERAF</v>
          </cell>
          <cell r="L495" t="str">
            <v>-</v>
          </cell>
          <cell r="N495">
            <v>33</v>
          </cell>
          <cell r="P495" t="str">
            <v>12</v>
          </cell>
        </row>
        <row r="496">
          <cell r="B496">
            <v>28</v>
          </cell>
          <cell r="C496">
            <v>455669.12</v>
          </cell>
          <cell r="D496">
            <v>26</v>
          </cell>
          <cell r="E496">
            <v>455669.12</v>
          </cell>
          <cell r="G496">
            <v>1</v>
          </cell>
          <cell r="H496" t="str">
            <v>ERAF</v>
          </cell>
          <cell r="N496">
            <v>26</v>
          </cell>
          <cell r="P496" t="str">
            <v>12</v>
          </cell>
        </row>
        <row r="497">
          <cell r="B497">
            <v>28</v>
          </cell>
          <cell r="C497">
            <v>103206.86</v>
          </cell>
          <cell r="D497">
            <v>28</v>
          </cell>
          <cell r="E497">
            <v>103206.86</v>
          </cell>
          <cell r="G497">
            <v>1</v>
          </cell>
          <cell r="H497" t="str">
            <v>ERAF</v>
          </cell>
          <cell r="N497">
            <v>28</v>
          </cell>
          <cell r="P497" t="str">
            <v>12</v>
          </cell>
        </row>
        <row r="498">
          <cell r="B498">
            <v>34</v>
          </cell>
          <cell r="C498">
            <v>217949.01</v>
          </cell>
          <cell r="D498">
            <v>33</v>
          </cell>
          <cell r="E498">
            <v>216756.73</v>
          </cell>
          <cell r="G498">
            <v>1</v>
          </cell>
          <cell r="H498" t="str">
            <v>ERAF</v>
          </cell>
          <cell r="L498" t="str">
            <v>-</v>
          </cell>
          <cell r="N498">
            <v>33</v>
          </cell>
          <cell r="P498" t="str">
            <v>12</v>
          </cell>
        </row>
        <row r="499">
          <cell r="B499">
            <v>31</v>
          </cell>
          <cell r="C499">
            <v>526500</v>
          </cell>
          <cell r="D499">
            <v>32</v>
          </cell>
          <cell r="E499">
            <v>526500</v>
          </cell>
          <cell r="G499">
            <v>1</v>
          </cell>
          <cell r="H499" t="str">
            <v>ERAF</v>
          </cell>
          <cell r="L499" t="str">
            <v>-</v>
          </cell>
          <cell r="N499">
            <v>32</v>
          </cell>
          <cell r="P499" t="str">
            <v>12</v>
          </cell>
        </row>
        <row r="500">
          <cell r="B500">
            <v>36</v>
          </cell>
          <cell r="C500">
            <v>268646.82</v>
          </cell>
          <cell r="D500">
            <v>39</v>
          </cell>
          <cell r="E500">
            <v>268646.82</v>
          </cell>
          <cell r="G500">
            <v>1</v>
          </cell>
          <cell r="H500" t="str">
            <v>ERAF</v>
          </cell>
          <cell r="L500" t="str">
            <v>-</v>
          </cell>
          <cell r="N500">
            <v>39</v>
          </cell>
          <cell r="P500" t="str">
            <v>12</v>
          </cell>
        </row>
        <row r="501">
          <cell r="B501">
            <v>29</v>
          </cell>
          <cell r="C501">
            <v>159993.95</v>
          </cell>
          <cell r="D501">
            <v>32</v>
          </cell>
          <cell r="E501">
            <v>149437.72</v>
          </cell>
          <cell r="G501">
            <v>1</v>
          </cell>
          <cell r="H501" t="str">
            <v>ERAF</v>
          </cell>
          <cell r="L501" t="str">
            <v>-</v>
          </cell>
          <cell r="N501">
            <v>32</v>
          </cell>
          <cell r="P501" t="str">
            <v>12</v>
          </cell>
        </row>
        <row r="502">
          <cell r="B502">
            <v>31</v>
          </cell>
          <cell r="C502">
            <v>320721.33</v>
          </cell>
          <cell r="D502">
            <v>31</v>
          </cell>
          <cell r="E502">
            <v>320721.33</v>
          </cell>
          <cell r="G502">
            <v>1</v>
          </cell>
          <cell r="H502" t="str">
            <v>ERAF</v>
          </cell>
          <cell r="L502" t="str">
            <v>-</v>
          </cell>
          <cell r="N502">
            <v>31</v>
          </cell>
          <cell r="P502" t="str">
            <v>12</v>
          </cell>
        </row>
        <row r="503">
          <cell r="B503">
            <v>34</v>
          </cell>
          <cell r="C503">
            <v>134156</v>
          </cell>
          <cell r="D503">
            <v>43</v>
          </cell>
          <cell r="E503">
            <v>0</v>
          </cell>
          <cell r="G503">
            <v>1</v>
          </cell>
          <cell r="H503" t="str">
            <v>ERAF</v>
          </cell>
          <cell r="L503" t="str">
            <v>-</v>
          </cell>
          <cell r="N503">
            <v>43</v>
          </cell>
          <cell r="P503" t="str">
            <v>12</v>
          </cell>
        </row>
        <row r="504">
          <cell r="B504">
            <v>32</v>
          </cell>
          <cell r="C504">
            <v>381615.65</v>
          </cell>
          <cell r="D504">
            <v>31</v>
          </cell>
          <cell r="E504">
            <v>381615.65</v>
          </cell>
          <cell r="G504">
            <v>1</v>
          </cell>
          <cell r="H504" t="str">
            <v>ERAF</v>
          </cell>
          <cell r="L504" t="str">
            <v>-</v>
          </cell>
          <cell r="N504">
            <v>31</v>
          </cell>
          <cell r="P504" t="str">
            <v>12</v>
          </cell>
        </row>
        <row r="505">
          <cell r="B505">
            <v>33</v>
          </cell>
          <cell r="C505">
            <v>600000</v>
          </cell>
          <cell r="D505">
            <v>33</v>
          </cell>
          <cell r="E505">
            <v>600000</v>
          </cell>
          <cell r="G505">
            <v>1</v>
          </cell>
          <cell r="H505" t="str">
            <v>ERAF</v>
          </cell>
          <cell r="L505" t="str">
            <v>-</v>
          </cell>
          <cell r="N505">
            <v>33</v>
          </cell>
          <cell r="P505" t="str">
            <v>12</v>
          </cell>
        </row>
        <row r="506">
          <cell r="B506">
            <v>30</v>
          </cell>
          <cell r="C506">
            <v>600000</v>
          </cell>
          <cell r="D506">
            <v>32</v>
          </cell>
          <cell r="E506">
            <v>600000</v>
          </cell>
          <cell r="G506">
            <v>1</v>
          </cell>
          <cell r="H506" t="str">
            <v>ERAF</v>
          </cell>
          <cell r="L506" t="str">
            <v>-</v>
          </cell>
          <cell r="N506">
            <v>32</v>
          </cell>
          <cell r="P506" t="str">
            <v>12</v>
          </cell>
        </row>
        <row r="507">
          <cell r="B507">
            <v>32</v>
          </cell>
          <cell r="C507">
            <v>190771.82</v>
          </cell>
          <cell r="D507">
            <v>31</v>
          </cell>
          <cell r="E507">
            <v>190771.82</v>
          </cell>
          <cell r="G507">
            <v>1</v>
          </cell>
          <cell r="H507" t="str">
            <v>ERAF</v>
          </cell>
          <cell r="L507" t="str">
            <v>-</v>
          </cell>
          <cell r="N507">
            <v>31</v>
          </cell>
          <cell r="P507" t="str">
            <v>12</v>
          </cell>
        </row>
        <row r="508">
          <cell r="B508">
            <v>32</v>
          </cell>
          <cell r="C508">
            <v>119434.59</v>
          </cell>
          <cell r="D508">
            <v>33</v>
          </cell>
          <cell r="E508">
            <v>119434.59</v>
          </cell>
          <cell r="G508">
            <v>1</v>
          </cell>
          <cell r="H508" t="str">
            <v>ERAF</v>
          </cell>
          <cell r="L508" t="str">
            <v>-</v>
          </cell>
          <cell r="N508">
            <v>33</v>
          </cell>
          <cell r="P508" t="str">
            <v>12</v>
          </cell>
        </row>
        <row r="509">
          <cell r="B509">
            <v>29</v>
          </cell>
          <cell r="C509">
            <v>77092.5</v>
          </cell>
          <cell r="D509">
            <v>32</v>
          </cell>
          <cell r="E509">
            <v>77092.5</v>
          </cell>
          <cell r="G509">
            <v>1</v>
          </cell>
          <cell r="H509" t="str">
            <v>ERAF</v>
          </cell>
          <cell r="L509" t="str">
            <v>-</v>
          </cell>
          <cell r="N509">
            <v>32</v>
          </cell>
          <cell r="P509" t="str">
            <v>12</v>
          </cell>
        </row>
        <row r="510">
          <cell r="B510">
            <v>31</v>
          </cell>
          <cell r="C510">
            <v>351050.59</v>
          </cell>
          <cell r="D510">
            <v>33</v>
          </cell>
          <cell r="E510">
            <v>351050.59</v>
          </cell>
          <cell r="G510">
            <v>1</v>
          </cell>
          <cell r="H510" t="str">
            <v>ERAF</v>
          </cell>
          <cell r="L510" t="str">
            <v>-</v>
          </cell>
          <cell r="N510">
            <v>33</v>
          </cell>
          <cell r="P510" t="str">
            <v>12</v>
          </cell>
        </row>
        <row r="511">
          <cell r="B511">
            <v>26</v>
          </cell>
          <cell r="C511">
            <v>9812.5</v>
          </cell>
          <cell r="D511">
            <v>27</v>
          </cell>
          <cell r="E511">
            <v>9812.5</v>
          </cell>
          <cell r="G511">
            <v>1</v>
          </cell>
          <cell r="H511" t="str">
            <v>ERAF</v>
          </cell>
          <cell r="N511">
            <v>27</v>
          </cell>
          <cell r="P511" t="str">
            <v>31</v>
          </cell>
        </row>
        <row r="512">
          <cell r="B512">
            <v>30</v>
          </cell>
          <cell r="C512">
            <v>9995</v>
          </cell>
          <cell r="D512">
            <v>32</v>
          </cell>
          <cell r="E512">
            <v>9995</v>
          </cell>
          <cell r="G512">
            <v>1</v>
          </cell>
          <cell r="H512" t="str">
            <v>ERAF</v>
          </cell>
          <cell r="L512" t="str">
            <v>-</v>
          </cell>
          <cell r="N512">
            <v>32</v>
          </cell>
          <cell r="P512" t="str">
            <v>31</v>
          </cell>
        </row>
        <row r="513">
          <cell r="B513">
            <v>29</v>
          </cell>
          <cell r="C513">
            <v>60811.86</v>
          </cell>
          <cell r="D513">
            <v>33</v>
          </cell>
          <cell r="E513">
            <v>28747.74</v>
          </cell>
          <cell r="G513">
            <v>1</v>
          </cell>
          <cell r="H513" t="str">
            <v>ERAF</v>
          </cell>
          <cell r="L513" t="str">
            <v>-</v>
          </cell>
          <cell r="N513">
            <v>33</v>
          </cell>
          <cell r="P513" t="str">
            <v>32</v>
          </cell>
        </row>
        <row r="514">
          <cell r="B514">
            <v>29</v>
          </cell>
          <cell r="C514">
            <v>3241.62</v>
          </cell>
          <cell r="D514">
            <v>30</v>
          </cell>
          <cell r="E514">
            <v>2302.11</v>
          </cell>
          <cell r="G514">
            <v>1</v>
          </cell>
          <cell r="H514" t="str">
            <v>ERAF</v>
          </cell>
          <cell r="L514" t="str">
            <v>-</v>
          </cell>
          <cell r="N514">
            <v>30</v>
          </cell>
          <cell r="P514" t="str">
            <v>32</v>
          </cell>
        </row>
        <row r="515">
          <cell r="B515">
            <v>24</v>
          </cell>
          <cell r="C515">
            <v>20174</v>
          </cell>
          <cell r="D515">
            <v>27</v>
          </cell>
          <cell r="E515">
            <v>10820.27</v>
          </cell>
          <cell r="G515">
            <v>1</v>
          </cell>
          <cell r="H515" t="str">
            <v>ERAF</v>
          </cell>
          <cell r="N515">
            <v>27</v>
          </cell>
          <cell r="P515" t="str">
            <v>32</v>
          </cell>
        </row>
        <row r="516">
          <cell r="B516">
            <v>24</v>
          </cell>
          <cell r="C516">
            <v>6441.79</v>
          </cell>
          <cell r="D516">
            <v>26</v>
          </cell>
          <cell r="E516">
            <v>6031.31</v>
          </cell>
          <cell r="G516">
            <v>1</v>
          </cell>
          <cell r="H516" t="str">
            <v>ERAF</v>
          </cell>
          <cell r="N516">
            <v>26</v>
          </cell>
          <cell r="P516" t="str">
            <v>32</v>
          </cell>
        </row>
        <row r="517">
          <cell r="B517">
            <v>23</v>
          </cell>
          <cell r="C517">
            <v>5074.97</v>
          </cell>
          <cell r="D517">
            <v>30</v>
          </cell>
          <cell r="E517">
            <v>3883.43</v>
          </cell>
          <cell r="G517">
            <v>1</v>
          </cell>
          <cell r="H517" t="str">
            <v>ERAF</v>
          </cell>
          <cell r="L517" t="str">
            <v>-</v>
          </cell>
          <cell r="N517">
            <v>30</v>
          </cell>
          <cell r="P517" t="str">
            <v>32</v>
          </cell>
        </row>
        <row r="518">
          <cell r="B518">
            <v>24</v>
          </cell>
          <cell r="C518">
            <v>4440</v>
          </cell>
          <cell r="D518">
            <v>34</v>
          </cell>
          <cell r="E518">
            <v>3082.84</v>
          </cell>
          <cell r="G518">
            <v>1</v>
          </cell>
          <cell r="H518" t="str">
            <v>ERAF</v>
          </cell>
          <cell r="L518" t="str">
            <v>-</v>
          </cell>
          <cell r="N518">
            <v>34</v>
          </cell>
          <cell r="P518" t="str">
            <v>32</v>
          </cell>
        </row>
        <row r="519">
          <cell r="B519">
            <v>39</v>
          </cell>
          <cell r="C519">
            <v>4941.35</v>
          </cell>
          <cell r="D519">
            <v>39</v>
          </cell>
          <cell r="E519">
            <v>4339.65</v>
          </cell>
          <cell r="G519">
            <v>1</v>
          </cell>
          <cell r="H519" t="str">
            <v>ERAF</v>
          </cell>
          <cell r="L519" t="str">
            <v>-</v>
          </cell>
          <cell r="N519">
            <v>39</v>
          </cell>
          <cell r="P519" t="str">
            <v>32</v>
          </cell>
        </row>
        <row r="520">
          <cell r="B520">
            <v>24</v>
          </cell>
          <cell r="C520">
            <v>5665.47</v>
          </cell>
          <cell r="D520">
            <v>24</v>
          </cell>
          <cell r="E520">
            <v>5525.99</v>
          </cell>
          <cell r="G520">
            <v>1</v>
          </cell>
          <cell r="H520" t="str">
            <v>ERAF</v>
          </cell>
          <cell r="N520">
            <v>24</v>
          </cell>
          <cell r="P520" t="str">
            <v>32</v>
          </cell>
        </row>
        <row r="521">
          <cell r="B521">
            <v>23</v>
          </cell>
          <cell r="C521">
            <v>6581.15</v>
          </cell>
          <cell r="D521">
            <v>23</v>
          </cell>
          <cell r="E521">
            <v>6549.95</v>
          </cell>
          <cell r="G521">
            <v>1</v>
          </cell>
          <cell r="H521" t="str">
            <v>ERAF</v>
          </cell>
          <cell r="N521">
            <v>23</v>
          </cell>
          <cell r="P521" t="str">
            <v>32</v>
          </cell>
        </row>
        <row r="522">
          <cell r="B522">
            <v>23</v>
          </cell>
          <cell r="C522">
            <v>8850</v>
          </cell>
          <cell r="D522">
            <v>26</v>
          </cell>
          <cell r="E522">
            <v>6696.02</v>
          </cell>
          <cell r="G522">
            <v>1</v>
          </cell>
          <cell r="H522" t="str">
            <v>ERAF</v>
          </cell>
          <cell r="N522">
            <v>26</v>
          </cell>
          <cell r="P522" t="str">
            <v>32</v>
          </cell>
        </row>
        <row r="523">
          <cell r="B523">
            <v>43</v>
          </cell>
          <cell r="C523">
            <v>27316.21</v>
          </cell>
          <cell r="D523">
            <v>44</v>
          </cell>
          <cell r="E523">
            <v>0</v>
          </cell>
          <cell r="G523">
            <v>1</v>
          </cell>
          <cell r="H523" t="str">
            <v>ERAF</v>
          </cell>
          <cell r="L523" t="str">
            <v>-</v>
          </cell>
          <cell r="N523">
            <v>44</v>
          </cell>
          <cell r="P523" t="str">
            <v>32</v>
          </cell>
        </row>
        <row r="524">
          <cell r="B524">
            <v>24</v>
          </cell>
          <cell r="C524">
            <v>2893.5</v>
          </cell>
          <cell r="D524">
            <v>25</v>
          </cell>
          <cell r="E524">
            <v>1682.71</v>
          </cell>
          <cell r="G524">
            <v>1</v>
          </cell>
          <cell r="H524" t="str">
            <v>ERAF</v>
          </cell>
          <cell r="N524">
            <v>25</v>
          </cell>
          <cell r="P524" t="str">
            <v>32</v>
          </cell>
        </row>
        <row r="525">
          <cell r="B525">
            <v>24</v>
          </cell>
          <cell r="C525">
            <v>2516</v>
          </cell>
          <cell r="D525">
            <v>44</v>
          </cell>
          <cell r="E525">
            <v>0</v>
          </cell>
          <cell r="G525">
            <v>1</v>
          </cell>
          <cell r="H525" t="str">
            <v>ERAF</v>
          </cell>
          <cell r="L525" t="str">
            <v>-</v>
          </cell>
          <cell r="N525">
            <v>44</v>
          </cell>
          <cell r="P525" t="str">
            <v>32</v>
          </cell>
        </row>
        <row r="526">
          <cell r="B526">
            <v>26</v>
          </cell>
          <cell r="C526">
            <v>4209.86</v>
          </cell>
          <cell r="D526">
            <v>29</v>
          </cell>
          <cell r="E526">
            <v>2074.79</v>
          </cell>
          <cell r="G526">
            <v>1</v>
          </cell>
          <cell r="H526" t="str">
            <v>ERAF</v>
          </cell>
          <cell r="N526">
            <v>29</v>
          </cell>
          <cell r="P526" t="str">
            <v>32</v>
          </cell>
        </row>
        <row r="527">
          <cell r="B527">
            <v>30</v>
          </cell>
          <cell r="C527">
            <v>30000</v>
          </cell>
          <cell r="D527">
            <v>31</v>
          </cell>
          <cell r="E527">
            <v>30000</v>
          </cell>
          <cell r="G527">
            <v>1</v>
          </cell>
          <cell r="H527" t="str">
            <v>ESF</v>
          </cell>
          <cell r="L527" t="str">
            <v>-</v>
          </cell>
          <cell r="N527">
            <v>31</v>
          </cell>
          <cell r="P527" t="str">
            <v>40</v>
          </cell>
        </row>
        <row r="528">
          <cell r="B528">
            <v>27</v>
          </cell>
          <cell r="C528">
            <v>5049.69</v>
          </cell>
          <cell r="D528">
            <v>31</v>
          </cell>
          <cell r="E528">
            <v>4424.64</v>
          </cell>
          <cell r="G528">
            <v>1</v>
          </cell>
          <cell r="H528" t="str">
            <v>ESF</v>
          </cell>
          <cell r="L528" t="str">
            <v>-</v>
          </cell>
          <cell r="N528">
            <v>31</v>
          </cell>
          <cell r="P528" t="str">
            <v>40</v>
          </cell>
        </row>
        <row r="529">
          <cell r="B529">
            <v>31</v>
          </cell>
          <cell r="C529">
            <v>30000</v>
          </cell>
          <cell r="D529">
            <v>35</v>
          </cell>
          <cell r="E529">
            <v>29763.84</v>
          </cell>
          <cell r="G529">
            <v>1</v>
          </cell>
          <cell r="H529" t="str">
            <v>ESF</v>
          </cell>
          <cell r="L529" t="str">
            <v>-</v>
          </cell>
          <cell r="N529">
            <v>35</v>
          </cell>
          <cell r="P529" t="str">
            <v>40</v>
          </cell>
        </row>
        <row r="530">
          <cell r="B530">
            <v>28</v>
          </cell>
          <cell r="C530">
            <v>19934.4</v>
          </cell>
          <cell r="D530">
            <v>29</v>
          </cell>
          <cell r="E530">
            <v>19934.4</v>
          </cell>
          <cell r="G530">
            <v>1</v>
          </cell>
          <cell r="H530" t="str">
            <v>ESF</v>
          </cell>
          <cell r="N530">
            <v>29</v>
          </cell>
          <cell r="P530" t="str">
            <v>40</v>
          </cell>
        </row>
        <row r="531">
          <cell r="B531">
            <v>28</v>
          </cell>
          <cell r="C531">
            <v>2998.2</v>
          </cell>
          <cell r="D531">
            <v>33</v>
          </cell>
          <cell r="E531">
            <v>2998.2</v>
          </cell>
          <cell r="G531">
            <v>1</v>
          </cell>
          <cell r="H531" t="str">
            <v>ESF</v>
          </cell>
          <cell r="L531" t="str">
            <v>-</v>
          </cell>
          <cell r="N531">
            <v>33</v>
          </cell>
          <cell r="P531" t="str">
            <v>40</v>
          </cell>
        </row>
        <row r="532">
          <cell r="B532">
            <v>26</v>
          </cell>
          <cell r="C532">
            <v>18048</v>
          </cell>
          <cell r="D532">
            <v>26</v>
          </cell>
          <cell r="E532">
            <v>17344</v>
          </cell>
          <cell r="G532">
            <v>1</v>
          </cell>
          <cell r="H532" t="str">
            <v>ESF</v>
          </cell>
          <cell r="N532">
            <v>26</v>
          </cell>
          <cell r="P532" t="str">
            <v>40</v>
          </cell>
        </row>
        <row r="533">
          <cell r="B533">
            <v>26</v>
          </cell>
          <cell r="C533">
            <v>3984</v>
          </cell>
          <cell r="D533">
            <v>27</v>
          </cell>
          <cell r="E533">
            <v>3984</v>
          </cell>
          <cell r="G533">
            <v>1</v>
          </cell>
          <cell r="H533" t="str">
            <v>ESF</v>
          </cell>
          <cell r="N533">
            <v>27</v>
          </cell>
          <cell r="P533" t="str">
            <v>40</v>
          </cell>
        </row>
        <row r="534">
          <cell r="B534">
            <v>30</v>
          </cell>
          <cell r="C534">
            <v>20173.26</v>
          </cell>
          <cell r="D534">
            <v>35</v>
          </cell>
          <cell r="E534">
            <v>14910.9</v>
          </cell>
          <cell r="G534">
            <v>1</v>
          </cell>
          <cell r="H534" t="str">
            <v>ESF</v>
          </cell>
          <cell r="L534" t="str">
            <v>-</v>
          </cell>
          <cell r="N534">
            <v>35</v>
          </cell>
          <cell r="P534" t="str">
            <v>40</v>
          </cell>
        </row>
        <row r="535">
          <cell r="B535">
            <v>26</v>
          </cell>
          <cell r="C535">
            <v>3936</v>
          </cell>
          <cell r="D535">
            <v>27</v>
          </cell>
          <cell r="E535">
            <v>3936</v>
          </cell>
          <cell r="G535">
            <v>1</v>
          </cell>
          <cell r="H535" t="str">
            <v>ESF</v>
          </cell>
          <cell r="N535">
            <v>27</v>
          </cell>
          <cell r="P535" t="str">
            <v>40</v>
          </cell>
        </row>
        <row r="536">
          <cell r="B536">
            <v>37</v>
          </cell>
          <cell r="C536">
            <v>2700</v>
          </cell>
          <cell r="D536">
            <v>38</v>
          </cell>
          <cell r="E536">
            <v>2700</v>
          </cell>
          <cell r="G536">
            <v>1</v>
          </cell>
          <cell r="H536" t="str">
            <v>ESF</v>
          </cell>
          <cell r="L536" t="str">
            <v>-</v>
          </cell>
          <cell r="N536">
            <v>38</v>
          </cell>
          <cell r="P536" t="str">
            <v>40</v>
          </cell>
        </row>
        <row r="537">
          <cell r="B537">
            <v>27</v>
          </cell>
          <cell r="C537">
            <v>11141.24</v>
          </cell>
          <cell r="D537">
            <v>28</v>
          </cell>
          <cell r="E537">
            <v>11141.24</v>
          </cell>
          <cell r="G537">
            <v>1</v>
          </cell>
          <cell r="H537" t="str">
            <v>ESF</v>
          </cell>
          <cell r="N537">
            <v>28</v>
          </cell>
          <cell r="P537" t="str">
            <v>40</v>
          </cell>
        </row>
        <row r="538">
          <cell r="B538">
            <v>27</v>
          </cell>
          <cell r="C538">
            <v>2868</v>
          </cell>
          <cell r="D538">
            <v>28</v>
          </cell>
          <cell r="E538">
            <v>2844.79</v>
          </cell>
          <cell r="G538">
            <v>1</v>
          </cell>
          <cell r="H538" t="str">
            <v>ESF</v>
          </cell>
          <cell r="N538">
            <v>28</v>
          </cell>
          <cell r="P538" t="str">
            <v>40</v>
          </cell>
        </row>
        <row r="539">
          <cell r="B539">
            <v>26</v>
          </cell>
          <cell r="C539">
            <v>2952</v>
          </cell>
          <cell r="D539">
            <v>27</v>
          </cell>
          <cell r="E539">
            <v>2952</v>
          </cell>
          <cell r="G539">
            <v>1</v>
          </cell>
          <cell r="H539" t="str">
            <v>ESF</v>
          </cell>
          <cell r="N539">
            <v>27</v>
          </cell>
          <cell r="P539" t="str">
            <v>40</v>
          </cell>
        </row>
        <row r="540">
          <cell r="B540">
            <v>27</v>
          </cell>
          <cell r="C540">
            <v>24690.24</v>
          </cell>
          <cell r="D540">
            <v>31</v>
          </cell>
          <cell r="E540">
            <v>24690.24</v>
          </cell>
          <cell r="G540">
            <v>1</v>
          </cell>
          <cell r="H540" t="str">
            <v>ESF</v>
          </cell>
          <cell r="L540" t="str">
            <v>-</v>
          </cell>
          <cell r="N540">
            <v>31</v>
          </cell>
          <cell r="P540" t="str">
            <v>40</v>
          </cell>
        </row>
        <row r="541">
          <cell r="B541">
            <v>36</v>
          </cell>
          <cell r="C541">
            <v>14030.08</v>
          </cell>
          <cell r="D541">
            <v>37</v>
          </cell>
          <cell r="E541">
            <v>14018.88</v>
          </cell>
          <cell r="G541">
            <v>1</v>
          </cell>
          <cell r="H541" t="str">
            <v>ESF</v>
          </cell>
          <cell r="L541" t="str">
            <v>-</v>
          </cell>
          <cell r="N541">
            <v>37</v>
          </cell>
          <cell r="P541" t="str">
            <v>40</v>
          </cell>
        </row>
        <row r="542">
          <cell r="B542">
            <v>32</v>
          </cell>
          <cell r="C542">
            <v>1866</v>
          </cell>
          <cell r="D542">
            <v>37</v>
          </cell>
          <cell r="E542">
            <v>0</v>
          </cell>
          <cell r="G542">
            <v>1</v>
          </cell>
          <cell r="H542" t="str">
            <v>ESF</v>
          </cell>
          <cell r="N542">
            <v>37</v>
          </cell>
          <cell r="P542" t="str">
            <v>40</v>
          </cell>
        </row>
        <row r="543">
          <cell r="B543">
            <v>25</v>
          </cell>
          <cell r="C543">
            <v>7922.4</v>
          </cell>
          <cell r="D543">
            <v>25</v>
          </cell>
          <cell r="E543">
            <v>7922.4</v>
          </cell>
          <cell r="G543">
            <v>1</v>
          </cell>
          <cell r="H543" t="str">
            <v>ESF</v>
          </cell>
          <cell r="N543">
            <v>25</v>
          </cell>
          <cell r="P543" t="str">
            <v>40</v>
          </cell>
        </row>
        <row r="544">
          <cell r="B544">
            <v>25</v>
          </cell>
          <cell r="C544">
            <v>7913.6</v>
          </cell>
          <cell r="D544">
            <v>24</v>
          </cell>
          <cell r="E544">
            <v>7913.6</v>
          </cell>
          <cell r="G544">
            <v>1</v>
          </cell>
          <cell r="H544" t="str">
            <v>ESF</v>
          </cell>
          <cell r="N544">
            <v>24</v>
          </cell>
          <cell r="P544" t="str">
            <v>40</v>
          </cell>
        </row>
        <row r="545">
          <cell r="B545">
            <v>25</v>
          </cell>
          <cell r="C545">
            <v>3272</v>
          </cell>
          <cell r="D545">
            <v>27</v>
          </cell>
          <cell r="E545">
            <v>3272</v>
          </cell>
          <cell r="G545">
            <v>1</v>
          </cell>
          <cell r="H545" t="str">
            <v>ESF</v>
          </cell>
          <cell r="N545">
            <v>27</v>
          </cell>
          <cell r="P545" t="str">
            <v>40</v>
          </cell>
        </row>
        <row r="546">
          <cell r="B546">
            <v>28</v>
          </cell>
          <cell r="C546">
            <v>6320</v>
          </cell>
          <cell r="D546">
            <v>29</v>
          </cell>
          <cell r="E546">
            <v>6096.18</v>
          </cell>
          <cell r="G546">
            <v>1</v>
          </cell>
          <cell r="H546" t="str">
            <v>ESF</v>
          </cell>
          <cell r="N546">
            <v>29</v>
          </cell>
          <cell r="P546" t="str">
            <v>40</v>
          </cell>
        </row>
        <row r="547">
          <cell r="B547">
            <v>25</v>
          </cell>
          <cell r="C547">
            <v>7932</v>
          </cell>
          <cell r="D547">
            <v>25</v>
          </cell>
          <cell r="E547">
            <v>7932</v>
          </cell>
          <cell r="G547">
            <v>1</v>
          </cell>
          <cell r="H547" t="str">
            <v>ESF</v>
          </cell>
          <cell r="L547" t="str">
            <v>-</v>
          </cell>
          <cell r="N547">
            <v>25</v>
          </cell>
          <cell r="P547" t="str">
            <v>40</v>
          </cell>
        </row>
        <row r="548">
          <cell r="B548">
            <v>26</v>
          </cell>
          <cell r="C548">
            <v>6336.14</v>
          </cell>
          <cell r="D548">
            <v>35</v>
          </cell>
          <cell r="E548">
            <v>5729.27</v>
          </cell>
          <cell r="G548">
            <v>1</v>
          </cell>
          <cell r="H548" t="str">
            <v>ESF</v>
          </cell>
          <cell r="L548" t="str">
            <v>-</v>
          </cell>
          <cell r="N548">
            <v>35</v>
          </cell>
          <cell r="P548" t="str">
            <v>40</v>
          </cell>
        </row>
        <row r="549">
          <cell r="B549">
            <v>27</v>
          </cell>
          <cell r="C549">
            <v>9474.36</v>
          </cell>
          <cell r="D549">
            <v>30</v>
          </cell>
          <cell r="E549">
            <v>9051.33</v>
          </cell>
          <cell r="G549">
            <v>1</v>
          </cell>
          <cell r="H549" t="str">
            <v>ESF</v>
          </cell>
          <cell r="L549" t="str">
            <v>-</v>
          </cell>
          <cell r="N549">
            <v>30</v>
          </cell>
          <cell r="P549" t="str">
            <v>40</v>
          </cell>
        </row>
        <row r="550">
          <cell r="B550">
            <v>27</v>
          </cell>
          <cell r="C550">
            <v>24032</v>
          </cell>
          <cell r="D550">
            <v>31</v>
          </cell>
          <cell r="E550">
            <v>24032</v>
          </cell>
          <cell r="G550">
            <v>1</v>
          </cell>
          <cell r="H550" t="str">
            <v>ESF</v>
          </cell>
          <cell r="L550" t="str">
            <v>-</v>
          </cell>
          <cell r="N550">
            <v>31</v>
          </cell>
          <cell r="P550" t="str">
            <v>40</v>
          </cell>
        </row>
        <row r="551">
          <cell r="B551">
            <v>30</v>
          </cell>
          <cell r="C551">
            <v>4000</v>
          </cell>
          <cell r="D551">
            <v>31</v>
          </cell>
          <cell r="E551">
            <v>4000</v>
          </cell>
          <cell r="G551">
            <v>1</v>
          </cell>
          <cell r="H551" t="str">
            <v>ESF</v>
          </cell>
          <cell r="L551" t="str">
            <v>-</v>
          </cell>
          <cell r="N551">
            <v>31</v>
          </cell>
          <cell r="P551" t="str">
            <v>40</v>
          </cell>
        </row>
        <row r="552">
          <cell r="B552">
            <v>26</v>
          </cell>
          <cell r="C552">
            <v>17404.35</v>
          </cell>
          <cell r="D552">
            <v>27</v>
          </cell>
          <cell r="E552">
            <v>16796.91</v>
          </cell>
          <cell r="G552">
            <v>1</v>
          </cell>
          <cell r="H552" t="str">
            <v>ESF</v>
          </cell>
          <cell r="N552">
            <v>27</v>
          </cell>
          <cell r="P552" t="str">
            <v>40</v>
          </cell>
        </row>
        <row r="553">
          <cell r="B553">
            <v>36</v>
          </cell>
          <cell r="C553">
            <v>55593.45</v>
          </cell>
          <cell r="D553">
            <v>40</v>
          </cell>
          <cell r="E553">
            <v>55591.25</v>
          </cell>
          <cell r="G553">
            <v>1</v>
          </cell>
          <cell r="H553" t="str">
            <v>ERAF</v>
          </cell>
          <cell r="L553" t="str">
            <v>-</v>
          </cell>
          <cell r="N553">
            <v>40</v>
          </cell>
          <cell r="P553" t="str">
            <v>12</v>
          </cell>
        </row>
        <row r="554">
          <cell r="B554">
            <v>31</v>
          </cell>
          <cell r="C554">
            <v>141263.25</v>
          </cell>
          <cell r="D554">
            <v>31</v>
          </cell>
          <cell r="E554">
            <v>141263.25</v>
          </cell>
          <cell r="G554">
            <v>1</v>
          </cell>
          <cell r="H554" t="str">
            <v>ERAF</v>
          </cell>
          <cell r="L554" t="str">
            <v>-</v>
          </cell>
          <cell r="N554">
            <v>31</v>
          </cell>
          <cell r="P554" t="str">
            <v>12</v>
          </cell>
        </row>
        <row r="555">
          <cell r="B555">
            <v>29</v>
          </cell>
          <cell r="C555">
            <v>319318.99</v>
          </cell>
          <cell r="D555">
            <v>30</v>
          </cell>
          <cell r="E555">
            <v>319318.99</v>
          </cell>
          <cell r="G555">
            <v>1</v>
          </cell>
          <cell r="H555" t="str">
            <v>ERAF</v>
          </cell>
          <cell r="L555" t="str">
            <v>-</v>
          </cell>
          <cell r="N555">
            <v>30</v>
          </cell>
          <cell r="P555" t="str">
            <v>12</v>
          </cell>
        </row>
        <row r="556">
          <cell r="B556">
            <v>42</v>
          </cell>
          <cell r="C556">
            <v>121619.19</v>
          </cell>
          <cell r="D556">
            <v>42</v>
          </cell>
          <cell r="E556">
            <v>121619.19</v>
          </cell>
          <cell r="G556">
            <v>1</v>
          </cell>
          <cell r="H556" t="str">
            <v>ERAF</v>
          </cell>
          <cell r="L556" t="str">
            <v>-</v>
          </cell>
          <cell r="N556">
            <v>42</v>
          </cell>
          <cell r="P556" t="str">
            <v>12</v>
          </cell>
        </row>
        <row r="557">
          <cell r="B557">
            <v>33</v>
          </cell>
          <cell r="C557">
            <v>600000</v>
          </cell>
          <cell r="D557">
            <v>32</v>
          </cell>
          <cell r="E557">
            <v>0</v>
          </cell>
          <cell r="G557">
            <v>1</v>
          </cell>
          <cell r="H557" t="str">
            <v>ERAF</v>
          </cell>
          <cell r="L557" t="str">
            <v>-</v>
          </cell>
          <cell r="N557">
            <v>32</v>
          </cell>
          <cell r="P557" t="str">
            <v>12</v>
          </cell>
        </row>
        <row r="558">
          <cell r="B558">
            <v>36</v>
          </cell>
          <cell r="C558">
            <v>313067.11</v>
          </cell>
          <cell r="D558">
            <v>38</v>
          </cell>
          <cell r="E558">
            <v>313024.3</v>
          </cell>
          <cell r="G558">
            <v>1</v>
          </cell>
          <cell r="H558" t="str">
            <v>ERAF</v>
          </cell>
          <cell r="L558" t="str">
            <v>-</v>
          </cell>
          <cell r="N558">
            <v>38</v>
          </cell>
          <cell r="P558" t="str">
            <v>12</v>
          </cell>
        </row>
        <row r="559">
          <cell r="B559">
            <v>35</v>
          </cell>
          <cell r="C559">
            <v>92565</v>
          </cell>
          <cell r="D559">
            <v>33</v>
          </cell>
          <cell r="E559">
            <v>0</v>
          </cell>
          <cell r="G559">
            <v>1</v>
          </cell>
          <cell r="H559" t="str">
            <v>ERAF</v>
          </cell>
          <cell r="N559">
            <v>33</v>
          </cell>
          <cell r="P559" t="str">
            <v>12</v>
          </cell>
        </row>
        <row r="560">
          <cell r="B560">
            <v>37</v>
          </cell>
          <cell r="C560">
            <v>574327.6</v>
          </cell>
          <cell r="D560">
            <v>43</v>
          </cell>
          <cell r="E560">
            <v>0</v>
          </cell>
          <cell r="G560">
            <v>1</v>
          </cell>
          <cell r="H560" t="str">
            <v>ERAF</v>
          </cell>
          <cell r="L560" t="str">
            <v>-</v>
          </cell>
          <cell r="N560">
            <v>43</v>
          </cell>
          <cell r="P560" t="str">
            <v>12</v>
          </cell>
        </row>
        <row r="561">
          <cell r="B561">
            <v>30</v>
          </cell>
          <cell r="C561">
            <v>102785.08</v>
          </cell>
          <cell r="D561">
            <v>31</v>
          </cell>
          <cell r="E561">
            <v>102762.24</v>
          </cell>
          <cell r="G561">
            <v>1</v>
          </cell>
          <cell r="H561" t="str">
            <v>ERAF</v>
          </cell>
          <cell r="L561" t="str">
            <v>-</v>
          </cell>
          <cell r="N561">
            <v>31</v>
          </cell>
          <cell r="P561" t="str">
            <v>12</v>
          </cell>
        </row>
        <row r="562">
          <cell r="B562">
            <v>34</v>
          </cell>
          <cell r="C562">
            <v>81329.85</v>
          </cell>
          <cell r="D562">
            <v>33</v>
          </cell>
          <cell r="E562">
            <v>81329.85</v>
          </cell>
          <cell r="G562">
            <v>1</v>
          </cell>
          <cell r="H562" t="str">
            <v>ERAF</v>
          </cell>
          <cell r="L562" t="str">
            <v>-</v>
          </cell>
          <cell r="N562">
            <v>33</v>
          </cell>
          <cell r="P562" t="str">
            <v>12</v>
          </cell>
        </row>
        <row r="563">
          <cell r="B563">
            <v>31</v>
          </cell>
          <cell r="C563">
            <v>600000</v>
          </cell>
          <cell r="D563">
            <v>33</v>
          </cell>
          <cell r="E563">
            <v>600000</v>
          </cell>
          <cell r="G563">
            <v>1</v>
          </cell>
          <cell r="H563" t="str">
            <v>ERAF</v>
          </cell>
          <cell r="L563" t="str">
            <v>-</v>
          </cell>
          <cell r="N563">
            <v>33</v>
          </cell>
          <cell r="P563" t="str">
            <v>12</v>
          </cell>
        </row>
        <row r="564">
          <cell r="B564">
            <v>31</v>
          </cell>
          <cell r="C564">
            <v>600000</v>
          </cell>
          <cell r="D564">
            <v>32</v>
          </cell>
          <cell r="E564">
            <v>600000</v>
          </cell>
          <cell r="G564">
            <v>1</v>
          </cell>
          <cell r="H564" t="str">
            <v>ERAF</v>
          </cell>
          <cell r="L564" t="str">
            <v>-</v>
          </cell>
          <cell r="N564">
            <v>32</v>
          </cell>
          <cell r="P564" t="str">
            <v>12</v>
          </cell>
        </row>
        <row r="565">
          <cell r="B565">
            <v>32</v>
          </cell>
          <cell r="C565">
            <v>121153.12</v>
          </cell>
          <cell r="D565">
            <v>33</v>
          </cell>
          <cell r="E565">
            <v>120970.26</v>
          </cell>
          <cell r="G565">
            <v>1</v>
          </cell>
          <cell r="H565" t="str">
            <v>ERAF</v>
          </cell>
          <cell r="L565" t="str">
            <v>-</v>
          </cell>
          <cell r="N565">
            <v>33</v>
          </cell>
          <cell r="P565" t="str">
            <v>12</v>
          </cell>
        </row>
        <row r="566">
          <cell r="B566">
            <v>35</v>
          </cell>
          <cell r="C566">
            <v>281929</v>
          </cell>
          <cell r="D566">
            <v>35</v>
          </cell>
          <cell r="E566">
            <v>281929</v>
          </cell>
          <cell r="G566">
            <v>1</v>
          </cell>
          <cell r="H566" t="str">
            <v>ERAF</v>
          </cell>
          <cell r="L566" t="str">
            <v>-</v>
          </cell>
          <cell r="N566">
            <v>35</v>
          </cell>
          <cell r="P566" t="str">
            <v>12</v>
          </cell>
        </row>
        <row r="567">
          <cell r="B567">
            <v>27</v>
          </cell>
          <cell r="C567">
            <v>62698.9</v>
          </cell>
          <cell r="D567">
            <v>28</v>
          </cell>
          <cell r="E567">
            <v>62698.9</v>
          </cell>
          <cell r="G567">
            <v>1</v>
          </cell>
          <cell r="H567" t="str">
            <v>ERAF</v>
          </cell>
          <cell r="N567">
            <v>28</v>
          </cell>
          <cell r="P567" t="str">
            <v>12</v>
          </cell>
        </row>
        <row r="568">
          <cell r="B568">
            <v>43</v>
          </cell>
          <cell r="C568">
            <v>277286.04</v>
          </cell>
          <cell r="D568">
            <v>43</v>
          </cell>
          <cell r="E568">
            <v>0</v>
          </cell>
          <cell r="G568">
            <v>1</v>
          </cell>
          <cell r="H568" t="str">
            <v>ERAF</v>
          </cell>
          <cell r="L568" t="str">
            <v>-</v>
          </cell>
          <cell r="N568">
            <v>43</v>
          </cell>
          <cell r="P568" t="str">
            <v>12</v>
          </cell>
        </row>
        <row r="569">
          <cell r="B569">
            <v>26</v>
          </cell>
          <cell r="C569">
            <v>164456.13</v>
          </cell>
          <cell r="D569">
            <v>26</v>
          </cell>
          <cell r="E569">
            <v>164456.13</v>
          </cell>
          <cell r="G569">
            <v>1</v>
          </cell>
          <cell r="H569" t="str">
            <v>ERAF</v>
          </cell>
          <cell r="N569">
            <v>26</v>
          </cell>
          <cell r="P569" t="str">
            <v>12</v>
          </cell>
        </row>
        <row r="570">
          <cell r="B570">
            <v>31</v>
          </cell>
          <cell r="C570">
            <v>290220.1</v>
          </cell>
          <cell r="D570">
            <v>32</v>
          </cell>
          <cell r="E570">
            <v>290220.1</v>
          </cell>
          <cell r="G570">
            <v>1</v>
          </cell>
          <cell r="H570" t="str">
            <v>ERAF</v>
          </cell>
          <cell r="L570" t="str">
            <v>-</v>
          </cell>
          <cell r="N570">
            <v>32</v>
          </cell>
          <cell r="P570" t="str">
            <v>12</v>
          </cell>
        </row>
        <row r="571">
          <cell r="B571">
            <v>42</v>
          </cell>
          <cell r="C571">
            <v>406637.06</v>
          </cell>
          <cell r="D571">
            <v>41</v>
          </cell>
          <cell r="E571">
            <v>406180.06</v>
          </cell>
          <cell r="G571">
            <v>1</v>
          </cell>
          <cell r="H571" t="str">
            <v>ERAF</v>
          </cell>
          <cell r="L571" t="str">
            <v>-</v>
          </cell>
          <cell r="N571">
            <v>41</v>
          </cell>
          <cell r="P571" t="str">
            <v>12</v>
          </cell>
        </row>
        <row r="572">
          <cell r="B572">
            <v>33</v>
          </cell>
          <cell r="C572">
            <v>420231.1</v>
          </cell>
          <cell r="D572">
            <v>33</v>
          </cell>
          <cell r="E572">
            <v>416932.8</v>
          </cell>
          <cell r="G572">
            <v>1</v>
          </cell>
          <cell r="H572" t="str">
            <v>ERAF</v>
          </cell>
          <cell r="L572" t="str">
            <v>-</v>
          </cell>
          <cell r="N572">
            <v>33</v>
          </cell>
          <cell r="P572" t="str">
            <v>12</v>
          </cell>
        </row>
        <row r="573">
          <cell r="B573">
            <v>36</v>
          </cell>
          <cell r="C573">
            <v>345753.42</v>
          </cell>
          <cell r="D573">
            <v>39</v>
          </cell>
          <cell r="E573">
            <v>345753.22</v>
          </cell>
          <cell r="G573">
            <v>1</v>
          </cell>
          <cell r="H573" t="str">
            <v>ERAF</v>
          </cell>
          <cell r="L573" t="str">
            <v>-</v>
          </cell>
          <cell r="N573">
            <v>39</v>
          </cell>
          <cell r="P573" t="str">
            <v>12</v>
          </cell>
        </row>
        <row r="574">
          <cell r="B574">
            <v>43</v>
          </cell>
          <cell r="C574">
            <v>242632.5</v>
          </cell>
          <cell r="D574">
            <v>44</v>
          </cell>
          <cell r="E574">
            <v>242632.5</v>
          </cell>
          <cell r="G574">
            <v>1</v>
          </cell>
          <cell r="H574" t="str">
            <v>ERAF</v>
          </cell>
          <cell r="L574" t="str">
            <v>-</v>
          </cell>
          <cell r="N574">
            <v>44</v>
          </cell>
          <cell r="P574" t="str">
            <v>12</v>
          </cell>
        </row>
        <row r="575">
          <cell r="B575">
            <v>31</v>
          </cell>
          <cell r="C575">
            <v>305150</v>
          </cell>
          <cell r="D575">
            <v>33</v>
          </cell>
          <cell r="E575">
            <v>305037.48</v>
          </cell>
          <cell r="G575">
            <v>1</v>
          </cell>
          <cell r="H575" t="str">
            <v>ERAF</v>
          </cell>
          <cell r="L575" t="str">
            <v>-</v>
          </cell>
          <cell r="N575">
            <v>33</v>
          </cell>
          <cell r="P575" t="str">
            <v>12</v>
          </cell>
        </row>
        <row r="576">
          <cell r="B576">
            <v>32</v>
          </cell>
          <cell r="C576">
            <v>599950</v>
          </cell>
          <cell r="D576">
            <v>32</v>
          </cell>
          <cell r="E576">
            <v>599950</v>
          </cell>
          <cell r="G576">
            <v>1</v>
          </cell>
          <cell r="H576" t="str">
            <v>ERAF</v>
          </cell>
          <cell r="L576" t="str">
            <v>-</v>
          </cell>
          <cell r="N576">
            <v>32</v>
          </cell>
          <cell r="P576" t="str">
            <v>12</v>
          </cell>
        </row>
        <row r="577">
          <cell r="B577">
            <v>39</v>
          </cell>
          <cell r="C577">
            <v>288983.82</v>
          </cell>
          <cell r="D577">
            <v>41</v>
          </cell>
          <cell r="E577">
            <v>288801.2</v>
          </cell>
          <cell r="G577">
            <v>1</v>
          </cell>
          <cell r="H577" t="str">
            <v>ERAF</v>
          </cell>
          <cell r="L577" t="str">
            <v>-</v>
          </cell>
          <cell r="N577">
            <v>41</v>
          </cell>
          <cell r="P577" t="str">
            <v>12</v>
          </cell>
        </row>
        <row r="578">
          <cell r="B578">
            <v>29</v>
          </cell>
          <cell r="C578">
            <v>112986.28</v>
          </cell>
          <cell r="D578">
            <v>33</v>
          </cell>
          <cell r="E578">
            <v>112986.28</v>
          </cell>
          <cell r="G578">
            <v>1</v>
          </cell>
          <cell r="H578" t="str">
            <v>ERAF</v>
          </cell>
          <cell r="L578" t="str">
            <v>-</v>
          </cell>
          <cell r="N578">
            <v>33</v>
          </cell>
          <cell r="P578" t="str">
            <v>12</v>
          </cell>
        </row>
        <row r="579">
          <cell r="B579">
            <v>37</v>
          </cell>
          <cell r="C579">
            <v>245495.09</v>
          </cell>
          <cell r="D579">
            <v>37</v>
          </cell>
          <cell r="E579">
            <v>245495.09</v>
          </cell>
          <cell r="G579">
            <v>1</v>
          </cell>
          <cell r="H579" t="str">
            <v>ERAF</v>
          </cell>
          <cell r="L579" t="str">
            <v>-</v>
          </cell>
          <cell r="N579">
            <v>37</v>
          </cell>
          <cell r="P579" t="str">
            <v>12</v>
          </cell>
        </row>
        <row r="580">
          <cell r="B580">
            <v>34</v>
          </cell>
          <cell r="C580">
            <v>397336.68</v>
          </cell>
          <cell r="D580">
            <v>34</v>
          </cell>
          <cell r="E580">
            <v>397194.39</v>
          </cell>
          <cell r="G580">
            <v>1</v>
          </cell>
          <cell r="H580" t="str">
            <v>ERAF</v>
          </cell>
          <cell r="L580" t="str">
            <v>-</v>
          </cell>
          <cell r="N580">
            <v>34</v>
          </cell>
          <cell r="P580" t="str">
            <v>12</v>
          </cell>
        </row>
        <row r="581">
          <cell r="B581">
            <v>43</v>
          </cell>
          <cell r="C581">
            <v>546957.21</v>
          </cell>
          <cell r="D581">
            <v>44</v>
          </cell>
          <cell r="E581">
            <v>546957.21</v>
          </cell>
          <cell r="G581">
            <v>1</v>
          </cell>
          <cell r="H581" t="str">
            <v>ERAF</v>
          </cell>
          <cell r="L581" t="str">
            <v>-</v>
          </cell>
          <cell r="N581">
            <v>44</v>
          </cell>
          <cell r="P581" t="str">
            <v>12</v>
          </cell>
        </row>
        <row r="582">
          <cell r="B582">
            <v>43</v>
          </cell>
          <cell r="C582">
            <v>599913.49</v>
          </cell>
          <cell r="D582">
            <v>44</v>
          </cell>
          <cell r="E582">
            <v>599913.49</v>
          </cell>
          <cell r="G582">
            <v>1</v>
          </cell>
          <cell r="H582" t="str">
            <v>ERAF</v>
          </cell>
          <cell r="L582" t="str">
            <v>-</v>
          </cell>
          <cell r="N582">
            <v>44</v>
          </cell>
          <cell r="P582" t="str">
            <v>12</v>
          </cell>
        </row>
        <row r="583">
          <cell r="B583">
            <v>42</v>
          </cell>
          <cell r="C583">
            <v>506022.39</v>
          </cell>
          <cell r="D583">
            <v>44</v>
          </cell>
          <cell r="E583">
            <v>0</v>
          </cell>
          <cell r="G583">
            <v>1</v>
          </cell>
          <cell r="H583" t="str">
            <v>ERAF</v>
          </cell>
          <cell r="L583" t="str">
            <v>-</v>
          </cell>
          <cell r="N583">
            <v>44</v>
          </cell>
          <cell r="P583" t="str">
            <v>12</v>
          </cell>
        </row>
        <row r="584">
          <cell r="B584">
            <v>44</v>
          </cell>
          <cell r="C584">
            <v>600000</v>
          </cell>
          <cell r="D584">
            <v>43</v>
          </cell>
          <cell r="E584">
            <v>0</v>
          </cell>
          <cell r="G584">
            <v>1</v>
          </cell>
          <cell r="H584" t="str">
            <v>ERAF</v>
          </cell>
          <cell r="L584" t="str">
            <v>-</v>
          </cell>
          <cell r="N584">
            <v>43</v>
          </cell>
          <cell r="P584" t="str">
            <v>12</v>
          </cell>
        </row>
        <row r="585">
          <cell r="B585">
            <v>36</v>
          </cell>
          <cell r="C585">
            <v>489489.6</v>
          </cell>
          <cell r="D585">
            <v>37</v>
          </cell>
          <cell r="E585">
            <v>489489.6</v>
          </cell>
          <cell r="G585">
            <v>1</v>
          </cell>
          <cell r="H585" t="str">
            <v>ERAF</v>
          </cell>
          <cell r="L585" t="str">
            <v>-</v>
          </cell>
          <cell r="N585">
            <v>37</v>
          </cell>
          <cell r="P585" t="str">
            <v>12</v>
          </cell>
        </row>
        <row r="586">
          <cell r="B586">
            <v>32</v>
          </cell>
          <cell r="C586">
            <v>393198.8</v>
          </cell>
          <cell r="D586">
            <v>33</v>
          </cell>
          <cell r="E586">
            <v>393198.8</v>
          </cell>
          <cell r="G586">
            <v>1</v>
          </cell>
          <cell r="H586" t="str">
            <v>ERAF</v>
          </cell>
          <cell r="L586" t="str">
            <v>-</v>
          </cell>
          <cell r="N586">
            <v>33</v>
          </cell>
          <cell r="P586" t="str">
            <v>12</v>
          </cell>
        </row>
        <row r="587">
          <cell r="B587">
            <v>34</v>
          </cell>
          <cell r="C587">
            <v>151095.43</v>
          </cell>
          <cell r="D587">
            <v>35</v>
          </cell>
          <cell r="E587">
            <v>151095.43</v>
          </cell>
          <cell r="G587">
            <v>1</v>
          </cell>
          <cell r="H587" t="str">
            <v>ERAF</v>
          </cell>
          <cell r="L587" t="str">
            <v>-</v>
          </cell>
          <cell r="N587">
            <v>35</v>
          </cell>
          <cell r="P587" t="str">
            <v>12</v>
          </cell>
        </row>
        <row r="588">
          <cell r="B588">
            <v>31</v>
          </cell>
          <cell r="C588">
            <v>9954</v>
          </cell>
          <cell r="D588">
            <v>32</v>
          </cell>
          <cell r="E588">
            <v>9954</v>
          </cell>
          <cell r="G588">
            <v>1</v>
          </cell>
          <cell r="H588" t="str">
            <v>ERAF</v>
          </cell>
          <cell r="L588" t="str">
            <v>-</v>
          </cell>
          <cell r="N588">
            <v>32</v>
          </cell>
          <cell r="P588" t="str">
            <v>31</v>
          </cell>
        </row>
        <row r="589">
          <cell r="B589">
            <v>30</v>
          </cell>
          <cell r="C589">
            <v>9750</v>
          </cell>
          <cell r="D589">
            <v>37</v>
          </cell>
          <cell r="E589">
            <v>8410</v>
          </cell>
          <cell r="G589">
            <v>1</v>
          </cell>
          <cell r="H589" t="str">
            <v>ERAF</v>
          </cell>
          <cell r="L589" t="str">
            <v>-</v>
          </cell>
          <cell r="N589">
            <v>37</v>
          </cell>
          <cell r="P589" t="str">
            <v>31</v>
          </cell>
        </row>
        <row r="590">
          <cell r="B590">
            <v>37</v>
          </cell>
          <cell r="C590">
            <v>26409.6</v>
          </cell>
          <cell r="D590">
            <v>33</v>
          </cell>
          <cell r="E590">
            <v>0</v>
          </cell>
          <cell r="G590">
            <v>1</v>
          </cell>
          <cell r="H590" t="str">
            <v>ERAF</v>
          </cell>
          <cell r="N590">
            <v>33</v>
          </cell>
          <cell r="P590" t="str">
            <v>32</v>
          </cell>
        </row>
        <row r="591">
          <cell r="B591">
            <v>27</v>
          </cell>
          <cell r="C591">
            <v>12469</v>
          </cell>
          <cell r="D591">
            <v>29</v>
          </cell>
          <cell r="E591">
            <v>8220.59</v>
          </cell>
          <cell r="G591">
            <v>1</v>
          </cell>
          <cell r="H591" t="str">
            <v>ERAF</v>
          </cell>
          <cell r="N591">
            <v>29</v>
          </cell>
          <cell r="P591" t="str">
            <v>32</v>
          </cell>
        </row>
        <row r="592">
          <cell r="B592">
            <v>27</v>
          </cell>
          <cell r="C592">
            <v>14787.66</v>
          </cell>
          <cell r="D592">
            <v>34</v>
          </cell>
          <cell r="E592">
            <v>14601</v>
          </cell>
          <cell r="G592">
            <v>1</v>
          </cell>
          <cell r="H592" t="str">
            <v>ERAF</v>
          </cell>
          <cell r="L592" t="str">
            <v>-</v>
          </cell>
          <cell r="N592">
            <v>34</v>
          </cell>
          <cell r="P592" t="str">
            <v>32</v>
          </cell>
        </row>
        <row r="593">
          <cell r="B593">
            <v>36</v>
          </cell>
          <cell r="C593">
            <v>7301</v>
          </cell>
          <cell r="D593">
            <v>45</v>
          </cell>
          <cell r="E593">
            <v>0</v>
          </cell>
          <cell r="G593">
            <v>1</v>
          </cell>
          <cell r="H593" t="str">
            <v>ERAF</v>
          </cell>
          <cell r="L593" t="str">
            <v>-</v>
          </cell>
          <cell r="N593">
            <v>45</v>
          </cell>
          <cell r="P593" t="str">
            <v>32</v>
          </cell>
        </row>
        <row r="594">
          <cell r="B594">
            <v>33</v>
          </cell>
          <cell r="C594">
            <v>21749</v>
          </cell>
          <cell r="D594">
            <v>42</v>
          </cell>
          <cell r="E594">
            <v>9023.37</v>
          </cell>
          <cell r="G594">
            <v>1</v>
          </cell>
          <cell r="H594" t="str">
            <v>ERAF</v>
          </cell>
          <cell r="L594" t="str">
            <v>-</v>
          </cell>
          <cell r="N594">
            <v>42</v>
          </cell>
          <cell r="P594" t="str">
            <v>32</v>
          </cell>
        </row>
        <row r="595">
          <cell r="B595">
            <v>31</v>
          </cell>
          <cell r="C595">
            <v>9297</v>
          </cell>
          <cell r="D595">
            <v>32</v>
          </cell>
          <cell r="E595">
            <v>8051.99</v>
          </cell>
          <cell r="G595">
            <v>1</v>
          </cell>
          <cell r="H595" t="str">
            <v>ESF</v>
          </cell>
          <cell r="L595" t="str">
            <v>-</v>
          </cell>
          <cell r="N595">
            <v>32</v>
          </cell>
          <cell r="P595" t="str">
            <v>40</v>
          </cell>
        </row>
        <row r="596">
          <cell r="B596">
            <v>39</v>
          </cell>
          <cell r="C596">
            <v>29568.73</v>
          </cell>
          <cell r="D596">
            <v>44</v>
          </cell>
          <cell r="E596">
            <v>16478.07</v>
          </cell>
          <cell r="G596">
            <v>1</v>
          </cell>
          <cell r="H596" t="str">
            <v>ESF</v>
          </cell>
          <cell r="L596" t="str">
            <v>-</v>
          </cell>
          <cell r="N596">
            <v>44</v>
          </cell>
          <cell r="P596" t="str">
            <v>40</v>
          </cell>
        </row>
        <row r="597">
          <cell r="B597">
            <v>39</v>
          </cell>
          <cell r="C597">
            <v>15699.09</v>
          </cell>
          <cell r="D597">
            <v>44</v>
          </cell>
          <cell r="E597">
            <v>9175.05</v>
          </cell>
          <cell r="G597">
            <v>1</v>
          </cell>
          <cell r="H597" t="str">
            <v>ESF</v>
          </cell>
          <cell r="L597" t="str">
            <v>-</v>
          </cell>
          <cell r="N597">
            <v>44</v>
          </cell>
          <cell r="P597" t="str">
            <v>40</v>
          </cell>
        </row>
        <row r="598">
          <cell r="B598">
            <v>30</v>
          </cell>
          <cell r="C598">
            <v>15765.8</v>
          </cell>
          <cell r="D598">
            <v>32</v>
          </cell>
          <cell r="E598">
            <v>15253</v>
          </cell>
          <cell r="G598">
            <v>1</v>
          </cell>
          <cell r="H598" t="str">
            <v>ESF</v>
          </cell>
          <cell r="L598" t="str">
            <v>-</v>
          </cell>
          <cell r="N598">
            <v>32</v>
          </cell>
          <cell r="P598" t="str">
            <v>40</v>
          </cell>
        </row>
        <row r="599">
          <cell r="B599">
            <v>31</v>
          </cell>
          <cell r="C599">
            <v>3551.2</v>
          </cell>
          <cell r="D599">
            <v>33</v>
          </cell>
          <cell r="E599">
            <v>3387.37</v>
          </cell>
          <cell r="G599">
            <v>1</v>
          </cell>
          <cell r="H599" t="str">
            <v>ESF</v>
          </cell>
          <cell r="L599" t="str">
            <v>-</v>
          </cell>
          <cell r="N599">
            <v>33</v>
          </cell>
          <cell r="P599" t="str">
            <v>40</v>
          </cell>
        </row>
        <row r="600">
          <cell r="B600">
            <v>29</v>
          </cell>
          <cell r="C600">
            <v>14400</v>
          </cell>
          <cell r="D600">
            <v>30</v>
          </cell>
          <cell r="E600">
            <v>14400</v>
          </cell>
          <cell r="G600">
            <v>1</v>
          </cell>
          <cell r="H600" t="str">
            <v>ESF</v>
          </cell>
          <cell r="N600">
            <v>30</v>
          </cell>
          <cell r="P600" t="str">
            <v>40</v>
          </cell>
        </row>
        <row r="601">
          <cell r="B601">
            <v>34</v>
          </cell>
          <cell r="C601">
            <v>24500</v>
          </cell>
          <cell r="D601">
            <v>40</v>
          </cell>
          <cell r="E601">
            <v>20275.37</v>
          </cell>
          <cell r="G601">
            <v>1</v>
          </cell>
          <cell r="H601" t="str">
            <v>ESF</v>
          </cell>
          <cell r="L601" t="str">
            <v>-</v>
          </cell>
          <cell r="N601">
            <v>40</v>
          </cell>
          <cell r="P601" t="str">
            <v>40</v>
          </cell>
        </row>
        <row r="602">
          <cell r="B602">
            <v>27</v>
          </cell>
          <cell r="C602">
            <v>29760</v>
          </cell>
          <cell r="D602">
            <v>28</v>
          </cell>
          <cell r="E602">
            <v>29760</v>
          </cell>
          <cell r="G602">
            <v>1</v>
          </cell>
          <cell r="H602" t="str">
            <v>ESF</v>
          </cell>
          <cell r="N602">
            <v>28</v>
          </cell>
          <cell r="P602" t="str">
            <v>40</v>
          </cell>
        </row>
        <row r="603">
          <cell r="B603">
            <v>29</v>
          </cell>
          <cell r="C603">
            <v>29520</v>
          </cell>
          <cell r="D603">
            <v>36</v>
          </cell>
          <cell r="E603">
            <v>28634.95</v>
          </cell>
          <cell r="G603">
            <v>1</v>
          </cell>
          <cell r="H603" t="str">
            <v>ESF</v>
          </cell>
          <cell r="L603" t="str">
            <v>-</v>
          </cell>
          <cell r="N603">
            <v>36</v>
          </cell>
          <cell r="P603" t="str">
            <v>40</v>
          </cell>
        </row>
        <row r="604">
          <cell r="B604">
            <v>27</v>
          </cell>
          <cell r="C604">
            <v>28000</v>
          </cell>
          <cell r="D604">
            <v>31</v>
          </cell>
          <cell r="E604">
            <v>25952</v>
          </cell>
          <cell r="G604">
            <v>1</v>
          </cell>
          <cell r="H604" t="str">
            <v>ESF</v>
          </cell>
          <cell r="L604" t="str">
            <v>-</v>
          </cell>
          <cell r="N604">
            <v>31</v>
          </cell>
          <cell r="P604" t="str">
            <v>40</v>
          </cell>
        </row>
        <row r="605">
          <cell r="B605">
            <v>27</v>
          </cell>
          <cell r="C605">
            <v>4288.02</v>
          </cell>
          <cell r="D605">
            <v>28</v>
          </cell>
          <cell r="E605">
            <v>3587.64</v>
          </cell>
          <cell r="G605">
            <v>1</v>
          </cell>
          <cell r="H605" t="str">
            <v>ESF</v>
          </cell>
          <cell r="N605">
            <v>28</v>
          </cell>
          <cell r="P605" t="str">
            <v>40</v>
          </cell>
        </row>
        <row r="606">
          <cell r="B606">
            <v>32</v>
          </cell>
          <cell r="C606">
            <v>17591.68</v>
          </cell>
          <cell r="D606">
            <v>32</v>
          </cell>
          <cell r="E606">
            <v>17591.68</v>
          </cell>
          <cell r="G606">
            <v>1</v>
          </cell>
          <cell r="H606" t="str">
            <v>ESF</v>
          </cell>
          <cell r="L606" t="str">
            <v>-</v>
          </cell>
          <cell r="N606">
            <v>32</v>
          </cell>
          <cell r="P606" t="str">
            <v>40</v>
          </cell>
        </row>
        <row r="607">
          <cell r="B607">
            <v>42</v>
          </cell>
          <cell r="C607">
            <v>177034.11</v>
          </cell>
          <cell r="D607">
            <v>44</v>
          </cell>
          <cell r="E607">
            <v>0</v>
          </cell>
          <cell r="G607">
            <v>1</v>
          </cell>
          <cell r="H607" t="str">
            <v>ERAF</v>
          </cell>
          <cell r="L607" t="str">
            <v>-</v>
          </cell>
          <cell r="N607">
            <v>44</v>
          </cell>
          <cell r="P607" t="str">
            <v>11</v>
          </cell>
        </row>
        <row r="608">
          <cell r="B608">
            <v>35</v>
          </cell>
          <cell r="C608">
            <v>200203.35</v>
          </cell>
          <cell r="D608">
            <v>34</v>
          </cell>
          <cell r="E608">
            <v>200203.35</v>
          </cell>
          <cell r="G608">
            <v>1</v>
          </cell>
          <cell r="H608" t="str">
            <v>ERAF</v>
          </cell>
          <cell r="L608" t="str">
            <v>-</v>
          </cell>
          <cell r="N608">
            <v>34</v>
          </cell>
          <cell r="P608" t="str">
            <v>11</v>
          </cell>
        </row>
        <row r="609">
          <cell r="B609">
            <v>40</v>
          </cell>
          <cell r="C609">
            <v>500000</v>
          </cell>
          <cell r="D609">
            <v>38</v>
          </cell>
          <cell r="E609">
            <v>500000</v>
          </cell>
          <cell r="G609">
            <v>1</v>
          </cell>
          <cell r="H609" t="str">
            <v>ERAF</v>
          </cell>
          <cell r="L609" t="str">
            <v>-</v>
          </cell>
          <cell r="N609">
            <v>38</v>
          </cell>
          <cell r="P609" t="str">
            <v>11</v>
          </cell>
        </row>
        <row r="610">
          <cell r="B610">
            <v>43</v>
          </cell>
          <cell r="C610">
            <v>213074.25</v>
          </cell>
          <cell r="D610">
            <v>42</v>
          </cell>
          <cell r="E610">
            <v>213074.25</v>
          </cell>
          <cell r="G610">
            <v>1</v>
          </cell>
          <cell r="H610" t="str">
            <v>ERAF</v>
          </cell>
          <cell r="L610" t="str">
            <v>-</v>
          </cell>
          <cell r="N610">
            <v>42</v>
          </cell>
          <cell r="P610" t="str">
            <v>11</v>
          </cell>
        </row>
        <row r="611">
          <cell r="B611">
            <v>36</v>
          </cell>
          <cell r="C611">
            <v>231542.25</v>
          </cell>
          <cell r="D611">
            <v>38</v>
          </cell>
          <cell r="E611">
            <v>231542.25</v>
          </cell>
          <cell r="G611">
            <v>1</v>
          </cell>
          <cell r="H611" t="str">
            <v>ERAF</v>
          </cell>
          <cell r="L611" t="str">
            <v>-</v>
          </cell>
          <cell r="N611">
            <v>38</v>
          </cell>
          <cell r="P611" t="str">
            <v>11</v>
          </cell>
        </row>
        <row r="612">
          <cell r="B612">
            <v>29</v>
          </cell>
          <cell r="C612">
            <v>168675</v>
          </cell>
          <cell r="D612">
            <v>30</v>
          </cell>
          <cell r="E612">
            <v>168675</v>
          </cell>
          <cell r="G612">
            <v>1</v>
          </cell>
          <cell r="H612" t="str">
            <v>ERAF</v>
          </cell>
          <cell r="N612">
            <v>30</v>
          </cell>
          <cell r="P612" t="str">
            <v>12</v>
          </cell>
        </row>
        <row r="613">
          <cell r="B613">
            <v>38</v>
          </cell>
          <cell r="C613">
            <v>595151.26</v>
          </cell>
          <cell r="D613">
            <v>40</v>
          </cell>
          <cell r="E613">
            <v>595151.26</v>
          </cell>
          <cell r="G613">
            <v>1</v>
          </cell>
          <cell r="H613" t="str">
            <v>ERAF</v>
          </cell>
          <cell r="L613" t="str">
            <v>-</v>
          </cell>
          <cell r="N613">
            <v>40</v>
          </cell>
          <cell r="P613" t="str">
            <v>12</v>
          </cell>
        </row>
        <row r="614">
          <cell r="B614">
            <v>34</v>
          </cell>
          <cell r="C614">
            <v>113280.2</v>
          </cell>
          <cell r="D614">
            <v>34</v>
          </cell>
          <cell r="E614">
            <v>100229.68</v>
          </cell>
          <cell r="G614">
            <v>1</v>
          </cell>
          <cell r="H614" t="str">
            <v>ERAF</v>
          </cell>
          <cell r="L614" t="str">
            <v>-</v>
          </cell>
          <cell r="N614">
            <v>34</v>
          </cell>
          <cell r="P614" t="str">
            <v>12</v>
          </cell>
        </row>
        <row r="615">
          <cell r="B615">
            <v>33</v>
          </cell>
          <cell r="C615">
            <v>37057.41</v>
          </cell>
          <cell r="D615">
            <v>34</v>
          </cell>
          <cell r="E615">
            <v>35138.03</v>
          </cell>
          <cell r="G615">
            <v>1</v>
          </cell>
          <cell r="H615" t="str">
            <v>ERAF</v>
          </cell>
          <cell r="L615" t="str">
            <v>-</v>
          </cell>
          <cell r="N615">
            <v>34</v>
          </cell>
          <cell r="P615" t="str">
            <v>12</v>
          </cell>
        </row>
        <row r="616">
          <cell r="B616">
            <v>37</v>
          </cell>
          <cell r="C616">
            <v>109235.24</v>
          </cell>
          <cell r="D616">
            <v>38</v>
          </cell>
          <cell r="E616">
            <v>109235.24</v>
          </cell>
          <cell r="G616">
            <v>1</v>
          </cell>
          <cell r="H616" t="str">
            <v>ERAF</v>
          </cell>
          <cell r="L616" t="str">
            <v>-</v>
          </cell>
          <cell r="N616">
            <v>38</v>
          </cell>
          <cell r="P616" t="str">
            <v>12</v>
          </cell>
        </row>
        <row r="617">
          <cell r="B617">
            <v>37</v>
          </cell>
          <cell r="C617">
            <v>187350.25</v>
          </cell>
          <cell r="D617">
            <v>41</v>
          </cell>
          <cell r="E617">
            <v>187350.11</v>
          </cell>
          <cell r="G617">
            <v>1</v>
          </cell>
          <cell r="H617" t="str">
            <v>ERAF</v>
          </cell>
          <cell r="L617" t="str">
            <v>-</v>
          </cell>
          <cell r="N617">
            <v>41</v>
          </cell>
          <cell r="P617" t="str">
            <v>12</v>
          </cell>
        </row>
        <row r="618">
          <cell r="B618">
            <v>41</v>
          </cell>
          <cell r="C618">
            <v>594750</v>
          </cell>
          <cell r="D618">
            <v>43</v>
          </cell>
          <cell r="E618">
            <v>594749.77</v>
          </cell>
          <cell r="G618">
            <v>1</v>
          </cell>
          <cell r="H618" t="str">
            <v>ERAF</v>
          </cell>
          <cell r="L618" t="str">
            <v>-</v>
          </cell>
          <cell r="N618">
            <v>43</v>
          </cell>
          <cell r="P618" t="str">
            <v>12</v>
          </cell>
        </row>
        <row r="619">
          <cell r="B619">
            <v>42</v>
          </cell>
          <cell r="C619">
            <v>567023.71</v>
          </cell>
          <cell r="D619">
            <v>43</v>
          </cell>
          <cell r="E619">
            <v>567023.71</v>
          </cell>
          <cell r="G619">
            <v>1</v>
          </cell>
          <cell r="H619" t="str">
            <v>ERAF</v>
          </cell>
          <cell r="L619" t="str">
            <v>-</v>
          </cell>
          <cell r="N619">
            <v>43</v>
          </cell>
          <cell r="P619" t="str">
            <v>12</v>
          </cell>
        </row>
        <row r="620">
          <cell r="B620">
            <v>30</v>
          </cell>
          <cell r="C620">
            <v>218192</v>
          </cell>
          <cell r="D620">
            <v>32</v>
          </cell>
          <cell r="E620">
            <v>218192</v>
          </cell>
          <cell r="G620">
            <v>1</v>
          </cell>
          <cell r="H620" t="str">
            <v>ERAF</v>
          </cell>
          <cell r="L620" t="str">
            <v>-</v>
          </cell>
          <cell r="N620">
            <v>32</v>
          </cell>
          <cell r="P620" t="str">
            <v>12</v>
          </cell>
        </row>
        <row r="621">
          <cell r="B621">
            <v>35</v>
          </cell>
          <cell r="C621">
            <v>92190.31</v>
          </cell>
          <cell r="D621">
            <v>35</v>
          </cell>
          <cell r="E621">
            <v>92190.31</v>
          </cell>
          <cell r="G621">
            <v>1</v>
          </cell>
          <cell r="H621" t="str">
            <v>ERAF</v>
          </cell>
          <cell r="L621" t="str">
            <v>-</v>
          </cell>
          <cell r="N621">
            <v>35</v>
          </cell>
          <cell r="P621" t="str">
            <v>12</v>
          </cell>
        </row>
        <row r="622">
          <cell r="B622">
            <v>32</v>
          </cell>
          <cell r="C622">
            <v>532335.37</v>
          </cell>
          <cell r="D622">
            <v>34</v>
          </cell>
          <cell r="E622">
            <v>532335.37</v>
          </cell>
          <cell r="G622">
            <v>1</v>
          </cell>
          <cell r="H622" t="str">
            <v>ERAF</v>
          </cell>
          <cell r="L622" t="str">
            <v>-</v>
          </cell>
          <cell r="N622">
            <v>34</v>
          </cell>
          <cell r="P622" t="str">
            <v>12</v>
          </cell>
        </row>
        <row r="623">
          <cell r="B623">
            <v>41</v>
          </cell>
          <cell r="C623">
            <v>44309.79</v>
          </cell>
          <cell r="D623">
            <v>35</v>
          </cell>
          <cell r="E623">
            <v>0</v>
          </cell>
          <cell r="G623">
            <v>1</v>
          </cell>
          <cell r="H623" t="str">
            <v>ERAF</v>
          </cell>
          <cell r="N623">
            <v>35</v>
          </cell>
          <cell r="P623" t="str">
            <v>20</v>
          </cell>
        </row>
        <row r="624">
          <cell r="B624">
            <v>37</v>
          </cell>
          <cell r="C624">
            <v>309526.74</v>
          </cell>
          <cell r="D624">
            <v>37</v>
          </cell>
          <cell r="E624">
            <v>309374.07</v>
          </cell>
          <cell r="G624">
            <v>1</v>
          </cell>
          <cell r="H624" t="str">
            <v>ERAF</v>
          </cell>
          <cell r="L624" t="str">
            <v>-</v>
          </cell>
          <cell r="N624">
            <v>37</v>
          </cell>
          <cell r="P624" t="str">
            <v>12</v>
          </cell>
        </row>
        <row r="625">
          <cell r="B625">
            <v>36</v>
          </cell>
          <cell r="C625">
            <v>319895.77</v>
          </cell>
          <cell r="D625">
            <v>38</v>
          </cell>
          <cell r="E625">
            <v>319895.77</v>
          </cell>
          <cell r="G625">
            <v>1</v>
          </cell>
          <cell r="H625" t="str">
            <v>ERAF</v>
          </cell>
          <cell r="L625" t="str">
            <v>-</v>
          </cell>
          <cell r="N625">
            <v>38</v>
          </cell>
          <cell r="P625" t="str">
            <v>12</v>
          </cell>
        </row>
        <row r="626">
          <cell r="B626">
            <v>37</v>
          </cell>
          <cell r="C626">
            <v>600000</v>
          </cell>
          <cell r="D626">
            <v>39</v>
          </cell>
          <cell r="E626">
            <v>600000</v>
          </cell>
          <cell r="G626">
            <v>1</v>
          </cell>
          <cell r="H626" t="str">
            <v>ERAF</v>
          </cell>
          <cell r="L626" t="str">
            <v>-</v>
          </cell>
          <cell r="N626">
            <v>39</v>
          </cell>
          <cell r="P626" t="str">
            <v>12</v>
          </cell>
        </row>
        <row r="627">
          <cell r="B627">
            <v>47</v>
          </cell>
          <cell r="C627">
            <v>192305.3</v>
          </cell>
          <cell r="D627">
            <v>47</v>
          </cell>
          <cell r="E627">
            <v>192305.3</v>
          </cell>
          <cell r="G627">
            <v>1</v>
          </cell>
          <cell r="H627" t="str">
            <v>ERAF</v>
          </cell>
          <cell r="L627" t="str">
            <v>-</v>
          </cell>
          <cell r="N627">
            <v>47</v>
          </cell>
          <cell r="P627" t="str">
            <v>12</v>
          </cell>
        </row>
        <row r="628">
          <cell r="B628">
            <v>31</v>
          </cell>
          <cell r="C628">
            <v>584732.92</v>
          </cell>
          <cell r="D628">
            <v>32</v>
          </cell>
          <cell r="E628">
            <v>584732.92</v>
          </cell>
          <cell r="G628">
            <v>1</v>
          </cell>
          <cell r="H628" t="str">
            <v>ERAF</v>
          </cell>
          <cell r="L628" t="str">
            <v>-</v>
          </cell>
          <cell r="N628">
            <v>32</v>
          </cell>
          <cell r="P628" t="str">
            <v>12</v>
          </cell>
        </row>
        <row r="629">
          <cell r="B629">
            <v>36</v>
          </cell>
          <cell r="C629">
            <v>557107.8</v>
          </cell>
          <cell r="D629">
            <v>37</v>
          </cell>
          <cell r="E629">
            <v>557107.8</v>
          </cell>
          <cell r="G629">
            <v>1</v>
          </cell>
          <cell r="H629" t="str">
            <v>ERAF</v>
          </cell>
          <cell r="L629" t="str">
            <v>-</v>
          </cell>
          <cell r="N629">
            <v>37</v>
          </cell>
          <cell r="P629" t="str">
            <v>12</v>
          </cell>
        </row>
        <row r="630">
          <cell r="B630">
            <v>32</v>
          </cell>
          <cell r="C630">
            <v>151278.69</v>
          </cell>
          <cell r="D630">
            <v>32</v>
          </cell>
          <cell r="E630">
            <v>151278.69</v>
          </cell>
          <cell r="G630">
            <v>1</v>
          </cell>
          <cell r="H630" t="str">
            <v>ERAF</v>
          </cell>
          <cell r="L630" t="str">
            <v>-</v>
          </cell>
          <cell r="N630">
            <v>32</v>
          </cell>
          <cell r="P630" t="str">
            <v>12</v>
          </cell>
        </row>
        <row r="631">
          <cell r="B631">
            <v>38</v>
          </cell>
          <cell r="C631">
            <v>399104.81</v>
          </cell>
          <cell r="D631">
            <v>39</v>
          </cell>
          <cell r="E631">
            <v>398697.04</v>
          </cell>
          <cell r="G631">
            <v>1</v>
          </cell>
          <cell r="H631" t="str">
            <v>ERAF</v>
          </cell>
          <cell r="L631" t="str">
            <v>-</v>
          </cell>
          <cell r="N631">
            <v>39</v>
          </cell>
          <cell r="P631" t="str">
            <v>12</v>
          </cell>
        </row>
        <row r="632">
          <cell r="B632">
            <v>43</v>
          </cell>
          <cell r="C632">
            <v>600000</v>
          </cell>
          <cell r="D632">
            <v>44</v>
          </cell>
          <cell r="E632">
            <v>0</v>
          </cell>
          <cell r="G632">
            <v>1</v>
          </cell>
          <cell r="H632" t="str">
            <v>ERAF</v>
          </cell>
          <cell r="L632" t="str">
            <v>-</v>
          </cell>
          <cell r="N632">
            <v>44</v>
          </cell>
          <cell r="P632" t="str">
            <v>12</v>
          </cell>
        </row>
        <row r="633">
          <cell r="B633">
            <v>43</v>
          </cell>
          <cell r="C633">
            <v>168810.7</v>
          </cell>
          <cell r="D633">
            <v>43</v>
          </cell>
          <cell r="E633">
            <v>0</v>
          </cell>
          <cell r="G633">
            <v>1</v>
          </cell>
          <cell r="H633" t="str">
            <v>ERAF</v>
          </cell>
          <cell r="N633">
            <v>43</v>
          </cell>
          <cell r="P633" t="str">
            <v>12</v>
          </cell>
        </row>
        <row r="634">
          <cell r="B634">
            <v>43</v>
          </cell>
          <cell r="C634">
            <v>600000</v>
          </cell>
          <cell r="D634">
            <v>43</v>
          </cell>
          <cell r="E634">
            <v>600000</v>
          </cell>
          <cell r="G634">
            <v>1</v>
          </cell>
          <cell r="H634" t="str">
            <v>ERAF</v>
          </cell>
          <cell r="L634" t="str">
            <v>-</v>
          </cell>
          <cell r="N634">
            <v>43</v>
          </cell>
          <cell r="P634" t="str">
            <v>12</v>
          </cell>
        </row>
        <row r="635">
          <cell r="B635">
            <v>30</v>
          </cell>
          <cell r="C635">
            <v>84969</v>
          </cell>
          <cell r="D635">
            <v>30</v>
          </cell>
          <cell r="E635">
            <v>84969</v>
          </cell>
          <cell r="G635">
            <v>1</v>
          </cell>
          <cell r="H635" t="str">
            <v>ERAF</v>
          </cell>
          <cell r="L635" t="str">
            <v>-</v>
          </cell>
          <cell r="N635">
            <v>30</v>
          </cell>
          <cell r="P635" t="str">
            <v>12</v>
          </cell>
        </row>
        <row r="636">
          <cell r="B636">
            <v>37</v>
          </cell>
          <cell r="C636">
            <v>600000</v>
          </cell>
          <cell r="D636">
            <v>38</v>
          </cell>
          <cell r="E636">
            <v>600000</v>
          </cell>
          <cell r="G636">
            <v>1</v>
          </cell>
          <cell r="H636" t="str">
            <v>ERAF</v>
          </cell>
          <cell r="L636" t="str">
            <v>-</v>
          </cell>
          <cell r="N636">
            <v>38</v>
          </cell>
          <cell r="P636" t="str">
            <v>12</v>
          </cell>
        </row>
        <row r="637">
          <cell r="B637">
            <v>37</v>
          </cell>
          <cell r="C637">
            <v>277650.64</v>
          </cell>
          <cell r="D637">
            <v>39</v>
          </cell>
          <cell r="E637">
            <v>277536.51</v>
          </cell>
          <cell r="G637">
            <v>1</v>
          </cell>
          <cell r="H637" t="str">
            <v>ERAF</v>
          </cell>
          <cell r="L637" t="str">
            <v>-</v>
          </cell>
          <cell r="N637">
            <v>39</v>
          </cell>
          <cell r="P637" t="str">
            <v>12</v>
          </cell>
        </row>
        <row r="638">
          <cell r="B638">
            <v>31</v>
          </cell>
          <cell r="C638">
            <v>600000</v>
          </cell>
          <cell r="D638">
            <v>32</v>
          </cell>
          <cell r="E638">
            <v>600000</v>
          </cell>
          <cell r="G638">
            <v>1</v>
          </cell>
          <cell r="H638" t="str">
            <v>ERAF</v>
          </cell>
          <cell r="L638" t="str">
            <v>-</v>
          </cell>
          <cell r="N638">
            <v>32</v>
          </cell>
          <cell r="P638" t="str">
            <v>12</v>
          </cell>
        </row>
        <row r="639">
          <cell r="B639">
            <v>33</v>
          </cell>
          <cell r="C639">
            <v>232100</v>
          </cell>
          <cell r="D639">
            <v>34</v>
          </cell>
          <cell r="E639">
            <v>232100</v>
          </cell>
          <cell r="G639">
            <v>1</v>
          </cell>
          <cell r="H639" t="str">
            <v>ERAF</v>
          </cell>
          <cell r="L639" t="str">
            <v>-</v>
          </cell>
          <cell r="N639">
            <v>34</v>
          </cell>
          <cell r="P639" t="str">
            <v>12</v>
          </cell>
        </row>
        <row r="640">
          <cell r="B640">
            <v>41</v>
          </cell>
          <cell r="C640">
            <v>577500</v>
          </cell>
          <cell r="D640">
            <v>42</v>
          </cell>
          <cell r="E640">
            <v>577500</v>
          </cell>
          <cell r="G640">
            <v>1</v>
          </cell>
          <cell r="H640" t="str">
            <v>ERAF</v>
          </cell>
          <cell r="L640" t="str">
            <v>-</v>
          </cell>
          <cell r="N640">
            <v>42</v>
          </cell>
          <cell r="P640" t="str">
            <v>12</v>
          </cell>
        </row>
        <row r="641">
          <cell r="B641">
            <v>36</v>
          </cell>
          <cell r="C641">
            <v>440460.67</v>
          </cell>
          <cell r="D641">
            <v>38</v>
          </cell>
          <cell r="E641">
            <v>440460.67</v>
          </cell>
          <cell r="G641">
            <v>1</v>
          </cell>
          <cell r="H641" t="str">
            <v>ERAF</v>
          </cell>
          <cell r="L641" t="str">
            <v>-</v>
          </cell>
          <cell r="N641">
            <v>38</v>
          </cell>
          <cell r="P641" t="str">
            <v>12</v>
          </cell>
        </row>
        <row r="642">
          <cell r="B642">
            <v>34</v>
          </cell>
          <cell r="C642">
            <v>600000</v>
          </cell>
          <cell r="D642">
            <v>35</v>
          </cell>
          <cell r="E642">
            <v>600000</v>
          </cell>
          <cell r="G642">
            <v>1</v>
          </cell>
          <cell r="H642" t="str">
            <v>ERAF</v>
          </cell>
          <cell r="L642" t="str">
            <v>-</v>
          </cell>
          <cell r="N642">
            <v>35</v>
          </cell>
          <cell r="P642" t="str">
            <v>12</v>
          </cell>
        </row>
        <row r="643">
          <cell r="B643">
            <v>24</v>
          </cell>
          <cell r="C643">
            <v>11469.25</v>
          </cell>
          <cell r="D643">
            <v>35</v>
          </cell>
          <cell r="E643">
            <v>0</v>
          </cell>
          <cell r="G643">
            <v>1</v>
          </cell>
          <cell r="H643" t="str">
            <v>ERAF</v>
          </cell>
          <cell r="L643" t="str">
            <v>-</v>
          </cell>
          <cell r="N643">
            <v>35</v>
          </cell>
          <cell r="P643" t="str">
            <v>11</v>
          </cell>
        </row>
        <row r="644">
          <cell r="B644">
            <v>42</v>
          </cell>
          <cell r="C644">
            <v>588615.88</v>
          </cell>
          <cell r="D644">
            <v>42</v>
          </cell>
          <cell r="E644">
            <v>588615.88</v>
          </cell>
          <cell r="G644">
            <v>1</v>
          </cell>
          <cell r="H644" t="str">
            <v>ERAF</v>
          </cell>
          <cell r="L644" t="str">
            <v>-</v>
          </cell>
          <cell r="N644">
            <v>42</v>
          </cell>
          <cell r="P644" t="str">
            <v>12</v>
          </cell>
        </row>
        <row r="645">
          <cell r="B645">
            <v>34</v>
          </cell>
          <cell r="C645">
            <v>113280.22</v>
          </cell>
          <cell r="D645">
            <v>34</v>
          </cell>
          <cell r="E645">
            <v>113035.95</v>
          </cell>
          <cell r="G645">
            <v>1</v>
          </cell>
          <cell r="H645" t="str">
            <v>ERAF</v>
          </cell>
          <cell r="L645" t="str">
            <v>-</v>
          </cell>
          <cell r="N645">
            <v>34</v>
          </cell>
          <cell r="P645" t="str">
            <v>12</v>
          </cell>
        </row>
        <row r="646">
          <cell r="B646">
            <v>43</v>
          </cell>
          <cell r="C646">
            <v>387743.27</v>
          </cell>
          <cell r="D646">
            <v>44</v>
          </cell>
          <cell r="E646">
            <v>387743.27</v>
          </cell>
          <cell r="G646">
            <v>1</v>
          </cell>
          <cell r="H646" t="str">
            <v>ERAF</v>
          </cell>
          <cell r="L646" t="str">
            <v>-</v>
          </cell>
          <cell r="N646">
            <v>44</v>
          </cell>
          <cell r="P646" t="str">
            <v>12</v>
          </cell>
        </row>
        <row r="647">
          <cell r="B647">
            <v>47</v>
          </cell>
          <cell r="C647">
            <v>600000</v>
          </cell>
          <cell r="D647">
            <v>47</v>
          </cell>
          <cell r="E647">
            <v>600000</v>
          </cell>
          <cell r="G647">
            <v>1</v>
          </cell>
          <cell r="H647" t="str">
            <v>ERAF</v>
          </cell>
          <cell r="L647" t="str">
            <v>-</v>
          </cell>
          <cell r="N647">
            <v>47</v>
          </cell>
          <cell r="P647" t="str">
            <v>12</v>
          </cell>
        </row>
        <row r="648">
          <cell r="B648">
            <v>31</v>
          </cell>
          <cell r="C648">
            <v>123693.5</v>
          </cell>
          <cell r="D648">
            <v>32</v>
          </cell>
          <cell r="E648">
            <v>123693.5</v>
          </cell>
          <cell r="G648">
            <v>1</v>
          </cell>
          <cell r="H648" t="str">
            <v>ERAF</v>
          </cell>
          <cell r="L648" t="str">
            <v>-</v>
          </cell>
          <cell r="N648">
            <v>32</v>
          </cell>
          <cell r="P648" t="str">
            <v>12</v>
          </cell>
        </row>
        <row r="649">
          <cell r="B649">
            <v>43</v>
          </cell>
          <cell r="C649">
            <v>506644.76</v>
          </cell>
          <cell r="D649">
            <v>42</v>
          </cell>
          <cell r="E649">
            <v>506644.76</v>
          </cell>
          <cell r="G649">
            <v>1</v>
          </cell>
          <cell r="H649" t="str">
            <v>ERAF</v>
          </cell>
          <cell r="L649" t="str">
            <v>-</v>
          </cell>
          <cell r="N649">
            <v>42</v>
          </cell>
          <cell r="P649" t="str">
            <v>12</v>
          </cell>
        </row>
        <row r="650">
          <cell r="B650">
            <v>37</v>
          </cell>
          <cell r="C650">
            <v>515281.27</v>
          </cell>
          <cell r="D650">
            <v>38</v>
          </cell>
          <cell r="E650">
            <v>515090.97</v>
          </cell>
          <cell r="G650">
            <v>1</v>
          </cell>
          <cell r="H650" t="str">
            <v>ERAF</v>
          </cell>
          <cell r="L650" t="str">
            <v>-</v>
          </cell>
          <cell r="N650">
            <v>38</v>
          </cell>
          <cell r="P650" t="str">
            <v>12</v>
          </cell>
        </row>
        <row r="651">
          <cell r="B651">
            <v>38</v>
          </cell>
          <cell r="C651">
            <v>10000</v>
          </cell>
          <cell r="D651">
            <v>35</v>
          </cell>
          <cell r="E651">
            <v>0</v>
          </cell>
          <cell r="G651">
            <v>1</v>
          </cell>
          <cell r="H651" t="str">
            <v>ERAF</v>
          </cell>
          <cell r="N651">
            <v>35</v>
          </cell>
          <cell r="P651" t="str">
            <v>31</v>
          </cell>
        </row>
        <row r="652">
          <cell r="B652">
            <v>37</v>
          </cell>
          <cell r="C652">
            <v>217055.64</v>
          </cell>
          <cell r="D652">
            <v>37</v>
          </cell>
          <cell r="E652">
            <v>217055.64</v>
          </cell>
          <cell r="G652">
            <v>1</v>
          </cell>
          <cell r="H652" t="str">
            <v>ERAF</v>
          </cell>
          <cell r="L652" t="str">
            <v>-</v>
          </cell>
          <cell r="N652">
            <v>37</v>
          </cell>
          <cell r="P652" t="str">
            <v>12</v>
          </cell>
        </row>
        <row r="653">
          <cell r="B653">
            <v>34</v>
          </cell>
          <cell r="C653">
            <v>430500</v>
          </cell>
          <cell r="D653">
            <v>37</v>
          </cell>
          <cell r="E653">
            <v>423000</v>
          </cell>
          <cell r="G653">
            <v>1</v>
          </cell>
          <cell r="H653" t="str">
            <v>ERAF</v>
          </cell>
          <cell r="L653" t="str">
            <v>-</v>
          </cell>
          <cell r="N653">
            <v>37</v>
          </cell>
          <cell r="P653" t="str">
            <v>12</v>
          </cell>
        </row>
        <row r="654">
          <cell r="B654">
            <v>33</v>
          </cell>
          <cell r="C654">
            <v>116481.32</v>
          </cell>
          <cell r="D654">
            <v>32</v>
          </cell>
          <cell r="E654">
            <v>116481.32</v>
          </cell>
          <cell r="G654">
            <v>1</v>
          </cell>
          <cell r="H654" t="str">
            <v>ERAF</v>
          </cell>
          <cell r="L654" t="str">
            <v>-</v>
          </cell>
          <cell r="N654">
            <v>32</v>
          </cell>
          <cell r="P654" t="str">
            <v>12</v>
          </cell>
        </row>
        <row r="655">
          <cell r="B655">
            <v>38</v>
          </cell>
          <cell r="C655">
            <v>421703.71</v>
          </cell>
          <cell r="D655">
            <v>43</v>
          </cell>
          <cell r="E655">
            <v>0</v>
          </cell>
          <cell r="G655">
            <v>1</v>
          </cell>
          <cell r="H655" t="str">
            <v>ERAF</v>
          </cell>
          <cell r="L655" t="str">
            <v>-</v>
          </cell>
          <cell r="N655">
            <v>43</v>
          </cell>
          <cell r="P655" t="str">
            <v>12</v>
          </cell>
        </row>
        <row r="656">
          <cell r="B656">
            <v>34</v>
          </cell>
          <cell r="C656">
            <v>190600.86</v>
          </cell>
          <cell r="D656">
            <v>34</v>
          </cell>
          <cell r="E656">
            <v>190600.86</v>
          </cell>
          <cell r="G656">
            <v>1</v>
          </cell>
          <cell r="H656" t="str">
            <v>ERAF</v>
          </cell>
          <cell r="L656" t="str">
            <v>-</v>
          </cell>
          <cell r="N656">
            <v>34</v>
          </cell>
          <cell r="P656" t="str">
            <v>12</v>
          </cell>
        </row>
        <row r="657">
          <cell r="B657">
            <v>42</v>
          </cell>
          <cell r="C657">
            <v>290663.84</v>
          </cell>
          <cell r="D657">
            <v>44</v>
          </cell>
          <cell r="E657">
            <v>290663.84</v>
          </cell>
          <cell r="G657">
            <v>1</v>
          </cell>
          <cell r="H657" t="str">
            <v>ERAF</v>
          </cell>
          <cell r="L657" t="str">
            <v>-</v>
          </cell>
          <cell r="N657">
            <v>44</v>
          </cell>
          <cell r="P657" t="str">
            <v>12</v>
          </cell>
        </row>
        <row r="658">
          <cell r="B658">
            <v>33</v>
          </cell>
          <cell r="C658">
            <v>600000</v>
          </cell>
          <cell r="D658">
            <v>35</v>
          </cell>
          <cell r="E658">
            <v>591915.44</v>
          </cell>
          <cell r="G658">
            <v>1</v>
          </cell>
          <cell r="H658" t="str">
            <v>ERAF</v>
          </cell>
          <cell r="L658" t="str">
            <v>-</v>
          </cell>
          <cell r="N658">
            <v>35</v>
          </cell>
          <cell r="P658" t="str">
            <v>12</v>
          </cell>
        </row>
        <row r="659">
          <cell r="B659">
            <v>43</v>
          </cell>
          <cell r="C659">
            <v>597223</v>
          </cell>
          <cell r="D659">
            <v>44</v>
          </cell>
          <cell r="E659">
            <v>597223</v>
          </cell>
          <cell r="G659">
            <v>1</v>
          </cell>
          <cell r="H659" t="str">
            <v>ERAF</v>
          </cell>
          <cell r="L659" t="str">
            <v>-</v>
          </cell>
          <cell r="N659">
            <v>44</v>
          </cell>
          <cell r="P659" t="str">
            <v>12</v>
          </cell>
        </row>
        <row r="660">
          <cell r="B660">
            <v>35</v>
          </cell>
          <cell r="C660">
            <v>264429.64</v>
          </cell>
          <cell r="D660">
            <v>34</v>
          </cell>
          <cell r="E660">
            <v>264429.46</v>
          </cell>
          <cell r="G660">
            <v>1</v>
          </cell>
          <cell r="H660" t="str">
            <v>ERAF</v>
          </cell>
          <cell r="L660" t="str">
            <v>-</v>
          </cell>
          <cell r="N660">
            <v>34</v>
          </cell>
          <cell r="P660" t="str">
            <v>12</v>
          </cell>
        </row>
        <row r="661">
          <cell r="B661">
            <v>43</v>
          </cell>
          <cell r="C661">
            <v>600000</v>
          </cell>
          <cell r="D661">
            <v>43</v>
          </cell>
          <cell r="E661">
            <v>600000</v>
          </cell>
          <cell r="G661">
            <v>1</v>
          </cell>
          <cell r="H661" t="str">
            <v>ERAF</v>
          </cell>
          <cell r="L661" t="str">
            <v>-</v>
          </cell>
          <cell r="N661">
            <v>43</v>
          </cell>
          <cell r="P661" t="str">
            <v>12</v>
          </cell>
        </row>
        <row r="662">
          <cell r="B662">
            <v>33</v>
          </cell>
          <cell r="C662">
            <v>474500</v>
          </cell>
          <cell r="D662">
            <v>34</v>
          </cell>
          <cell r="E662">
            <v>467758.66</v>
          </cell>
          <cell r="G662">
            <v>1</v>
          </cell>
          <cell r="H662" t="str">
            <v>ERAF</v>
          </cell>
          <cell r="L662" t="str">
            <v>-</v>
          </cell>
          <cell r="N662">
            <v>34</v>
          </cell>
          <cell r="P662" t="str">
            <v>12</v>
          </cell>
        </row>
        <row r="663">
          <cell r="B663">
            <v>39</v>
          </cell>
          <cell r="C663">
            <v>205899.43</v>
          </cell>
          <cell r="D663">
            <v>39</v>
          </cell>
          <cell r="E663">
            <v>205899.43</v>
          </cell>
          <cell r="G663">
            <v>1</v>
          </cell>
          <cell r="H663" t="str">
            <v>ERAF</v>
          </cell>
          <cell r="L663" t="str">
            <v>-</v>
          </cell>
          <cell r="N663">
            <v>39</v>
          </cell>
          <cell r="P663" t="str">
            <v>12</v>
          </cell>
        </row>
        <row r="664">
          <cell r="B664">
            <v>43</v>
          </cell>
          <cell r="C664">
            <v>600000</v>
          </cell>
          <cell r="D664">
            <v>43</v>
          </cell>
          <cell r="E664">
            <v>600000</v>
          </cell>
          <cell r="G664">
            <v>1</v>
          </cell>
          <cell r="H664" t="str">
            <v>ERAF</v>
          </cell>
          <cell r="L664" t="str">
            <v>-</v>
          </cell>
          <cell r="N664">
            <v>43</v>
          </cell>
          <cell r="P664" t="str">
            <v>12</v>
          </cell>
        </row>
        <row r="665">
          <cell r="B665">
            <v>35</v>
          </cell>
          <cell r="C665">
            <v>145726</v>
          </cell>
          <cell r="D665">
            <v>35</v>
          </cell>
          <cell r="E665">
            <v>145364.96</v>
          </cell>
          <cell r="G665">
            <v>1</v>
          </cell>
          <cell r="H665" t="str">
            <v>ERAF</v>
          </cell>
          <cell r="L665" t="str">
            <v>-</v>
          </cell>
          <cell r="N665">
            <v>35</v>
          </cell>
          <cell r="P665" t="str">
            <v>12</v>
          </cell>
        </row>
        <row r="666">
          <cell r="B666">
            <v>38</v>
          </cell>
          <cell r="C666">
            <v>553697.66</v>
          </cell>
          <cell r="D666">
            <v>44</v>
          </cell>
          <cell r="E666">
            <v>553697.66</v>
          </cell>
          <cell r="G666">
            <v>1</v>
          </cell>
          <cell r="H666" t="str">
            <v>ERAF</v>
          </cell>
          <cell r="L666" t="str">
            <v>-</v>
          </cell>
          <cell r="N666">
            <v>44</v>
          </cell>
          <cell r="P666" t="str">
            <v>12</v>
          </cell>
        </row>
        <row r="667">
          <cell r="B667">
            <v>39</v>
          </cell>
          <cell r="C667">
            <v>600000</v>
          </cell>
          <cell r="D667">
            <v>35</v>
          </cell>
          <cell r="E667">
            <v>0</v>
          </cell>
          <cell r="G667">
            <v>1</v>
          </cell>
          <cell r="H667" t="str">
            <v>ERAF</v>
          </cell>
          <cell r="N667">
            <v>35</v>
          </cell>
          <cell r="P667" t="str">
            <v>12</v>
          </cell>
        </row>
        <row r="668">
          <cell r="B668">
            <v>37</v>
          </cell>
          <cell r="C668">
            <v>137995</v>
          </cell>
          <cell r="D668">
            <v>37</v>
          </cell>
          <cell r="E668">
            <v>137995</v>
          </cell>
          <cell r="G668">
            <v>1</v>
          </cell>
          <cell r="H668" t="str">
            <v>ERAF</v>
          </cell>
          <cell r="L668" t="str">
            <v>-</v>
          </cell>
          <cell r="N668">
            <v>37</v>
          </cell>
          <cell r="P668" t="str">
            <v>12</v>
          </cell>
        </row>
        <row r="669">
          <cell r="B669">
            <v>43</v>
          </cell>
          <cell r="C669">
            <v>600000</v>
          </cell>
          <cell r="D669">
            <v>44</v>
          </cell>
          <cell r="E669">
            <v>600000</v>
          </cell>
          <cell r="G669">
            <v>1</v>
          </cell>
          <cell r="H669" t="str">
            <v>ERAF</v>
          </cell>
          <cell r="L669" t="str">
            <v>-</v>
          </cell>
          <cell r="N669">
            <v>44</v>
          </cell>
          <cell r="P669" t="str">
            <v>12</v>
          </cell>
        </row>
        <row r="670">
          <cell r="B670">
            <v>35</v>
          </cell>
          <cell r="C670">
            <v>521831.97</v>
          </cell>
          <cell r="D670">
            <v>32</v>
          </cell>
          <cell r="E670">
            <v>521831.97</v>
          </cell>
          <cell r="G670">
            <v>1</v>
          </cell>
          <cell r="H670" t="str">
            <v>ERAF</v>
          </cell>
          <cell r="L670" t="str">
            <v>-</v>
          </cell>
          <cell r="N670">
            <v>32</v>
          </cell>
          <cell r="P670" t="str">
            <v>12</v>
          </cell>
        </row>
        <row r="671">
          <cell r="B671">
            <v>36</v>
          </cell>
          <cell r="C671">
            <v>240516</v>
          </cell>
          <cell r="D671">
            <v>40</v>
          </cell>
          <cell r="E671">
            <v>240516</v>
          </cell>
          <cell r="G671">
            <v>1</v>
          </cell>
          <cell r="H671" t="str">
            <v>ERAF</v>
          </cell>
          <cell r="L671" t="str">
            <v>-</v>
          </cell>
          <cell r="N671">
            <v>40</v>
          </cell>
          <cell r="P671" t="str">
            <v>12</v>
          </cell>
        </row>
        <row r="672">
          <cell r="B672">
            <v>35</v>
          </cell>
          <cell r="C672">
            <v>384609.48</v>
          </cell>
          <cell r="D672">
            <v>35</v>
          </cell>
          <cell r="E672">
            <v>384609.48</v>
          </cell>
          <cell r="G672">
            <v>1</v>
          </cell>
          <cell r="H672" t="str">
            <v>ERAF</v>
          </cell>
          <cell r="L672" t="str">
            <v>-</v>
          </cell>
          <cell r="N672">
            <v>35</v>
          </cell>
          <cell r="P672" t="str">
            <v>12</v>
          </cell>
        </row>
        <row r="673">
          <cell r="B673">
            <v>41</v>
          </cell>
          <cell r="C673">
            <v>600000</v>
          </cell>
          <cell r="D673">
            <v>42</v>
          </cell>
          <cell r="E673">
            <v>600000</v>
          </cell>
          <cell r="G673">
            <v>1</v>
          </cell>
          <cell r="H673" t="str">
            <v>ERAF</v>
          </cell>
          <cell r="L673" t="str">
            <v>-</v>
          </cell>
          <cell r="N673">
            <v>42</v>
          </cell>
          <cell r="P673" t="str">
            <v>12</v>
          </cell>
        </row>
        <row r="674">
          <cell r="B674">
            <v>31</v>
          </cell>
          <cell r="C674">
            <v>600000</v>
          </cell>
          <cell r="D674">
            <v>44</v>
          </cell>
          <cell r="E674">
            <v>600000</v>
          </cell>
          <cell r="G674">
            <v>1</v>
          </cell>
          <cell r="H674" t="str">
            <v>ERAF</v>
          </cell>
          <cell r="L674" t="str">
            <v>-</v>
          </cell>
          <cell r="N674">
            <v>44</v>
          </cell>
          <cell r="P674" t="str">
            <v>12</v>
          </cell>
        </row>
        <row r="675">
          <cell r="B675">
            <v>25</v>
          </cell>
          <cell r="C675">
            <v>10000</v>
          </cell>
          <cell r="D675">
            <v>36</v>
          </cell>
          <cell r="E675">
            <v>0</v>
          </cell>
          <cell r="G675">
            <v>1</v>
          </cell>
          <cell r="H675" t="str">
            <v>ERAF</v>
          </cell>
          <cell r="N675">
            <v>36</v>
          </cell>
          <cell r="P675" t="str">
            <v>31</v>
          </cell>
        </row>
        <row r="676">
          <cell r="B676">
            <v>39</v>
          </cell>
          <cell r="C676">
            <v>322110.53</v>
          </cell>
          <cell r="D676">
            <v>40</v>
          </cell>
          <cell r="E676">
            <v>322110.53</v>
          </cell>
          <cell r="G676">
            <v>1</v>
          </cell>
          <cell r="H676" t="str">
            <v>ERAF</v>
          </cell>
          <cell r="L676" t="str">
            <v>-</v>
          </cell>
          <cell r="N676">
            <v>40</v>
          </cell>
          <cell r="P676" t="str">
            <v>12</v>
          </cell>
        </row>
        <row r="677">
          <cell r="B677">
            <v>31</v>
          </cell>
          <cell r="C677">
            <v>52145.6</v>
          </cell>
          <cell r="D677">
            <v>32</v>
          </cell>
          <cell r="E677">
            <v>52145.6</v>
          </cell>
          <cell r="G677">
            <v>1</v>
          </cell>
          <cell r="H677" t="str">
            <v>ERAF</v>
          </cell>
          <cell r="L677" t="str">
            <v>-</v>
          </cell>
          <cell r="N677">
            <v>32</v>
          </cell>
          <cell r="P677" t="str">
            <v>12</v>
          </cell>
        </row>
        <row r="678">
          <cell r="B678">
            <v>42</v>
          </cell>
          <cell r="C678">
            <v>389233</v>
          </cell>
          <cell r="D678">
            <v>40</v>
          </cell>
          <cell r="E678">
            <v>389233</v>
          </cell>
          <cell r="G678">
            <v>1</v>
          </cell>
          <cell r="H678" t="str">
            <v>ERAF</v>
          </cell>
          <cell r="L678" t="str">
            <v>-</v>
          </cell>
          <cell r="N678">
            <v>40</v>
          </cell>
          <cell r="P678" t="str">
            <v>12</v>
          </cell>
        </row>
        <row r="679">
          <cell r="B679">
            <v>38</v>
          </cell>
          <cell r="C679">
            <v>97418.25</v>
          </cell>
          <cell r="D679">
            <v>44</v>
          </cell>
          <cell r="E679">
            <v>97418.25</v>
          </cell>
          <cell r="G679">
            <v>1</v>
          </cell>
          <cell r="H679" t="str">
            <v>ERAF</v>
          </cell>
          <cell r="L679" t="str">
            <v>-</v>
          </cell>
          <cell r="N679">
            <v>44</v>
          </cell>
          <cell r="P679" t="str">
            <v>12</v>
          </cell>
        </row>
        <row r="680">
          <cell r="B680">
            <v>42</v>
          </cell>
          <cell r="C680">
            <v>531330.36</v>
          </cell>
          <cell r="D680">
            <v>43</v>
          </cell>
          <cell r="E680">
            <v>0</v>
          </cell>
          <cell r="G680">
            <v>1</v>
          </cell>
          <cell r="H680" t="str">
            <v>ERAF</v>
          </cell>
          <cell r="L680" t="str">
            <v>-</v>
          </cell>
          <cell r="N680">
            <v>43</v>
          </cell>
          <cell r="P680" t="str">
            <v>12</v>
          </cell>
        </row>
        <row r="681">
          <cell r="B681">
            <v>29</v>
          </cell>
          <cell r="C681">
            <v>57268</v>
          </cell>
          <cell r="D681">
            <v>33</v>
          </cell>
          <cell r="E681">
            <v>57268</v>
          </cell>
          <cell r="G681">
            <v>1</v>
          </cell>
          <cell r="H681" t="str">
            <v>ERAF</v>
          </cell>
          <cell r="L681" t="str">
            <v>-</v>
          </cell>
          <cell r="N681">
            <v>33</v>
          </cell>
          <cell r="P681" t="str">
            <v>12</v>
          </cell>
        </row>
        <row r="682">
          <cell r="B682">
            <v>37</v>
          </cell>
          <cell r="C682">
            <v>545050</v>
          </cell>
          <cell r="D682">
            <v>44</v>
          </cell>
          <cell r="E682">
            <v>545050</v>
          </cell>
          <cell r="G682">
            <v>1</v>
          </cell>
          <cell r="H682" t="str">
            <v>ERAF</v>
          </cell>
          <cell r="L682" t="str">
            <v>-</v>
          </cell>
          <cell r="N682">
            <v>44</v>
          </cell>
          <cell r="P682" t="str">
            <v>12</v>
          </cell>
        </row>
        <row r="683">
          <cell r="B683">
            <v>43</v>
          </cell>
          <cell r="C683">
            <v>500532.09</v>
          </cell>
          <cell r="D683">
            <v>44</v>
          </cell>
          <cell r="E683">
            <v>500532.09</v>
          </cell>
          <cell r="G683">
            <v>1</v>
          </cell>
          <cell r="H683" t="str">
            <v>ERAF</v>
          </cell>
          <cell r="L683" t="str">
            <v>-</v>
          </cell>
          <cell r="N683">
            <v>44</v>
          </cell>
          <cell r="P683" t="str">
            <v>12</v>
          </cell>
        </row>
        <row r="684">
          <cell r="B684">
            <v>42</v>
          </cell>
          <cell r="C684">
            <v>600000</v>
          </cell>
          <cell r="D684">
            <v>45</v>
          </cell>
          <cell r="E684">
            <v>0</v>
          </cell>
          <cell r="G684">
            <v>1</v>
          </cell>
          <cell r="H684" t="str">
            <v>ERAF</v>
          </cell>
          <cell r="L684" t="str">
            <v>-</v>
          </cell>
          <cell r="N684">
            <v>45</v>
          </cell>
          <cell r="P684" t="str">
            <v>12</v>
          </cell>
        </row>
        <row r="685">
          <cell r="B685">
            <v>43</v>
          </cell>
          <cell r="C685">
            <v>586397.5</v>
          </cell>
          <cell r="D685">
            <v>43</v>
          </cell>
          <cell r="E685">
            <v>586397.5</v>
          </cell>
          <cell r="G685">
            <v>1</v>
          </cell>
          <cell r="H685" t="str">
            <v>ERAF</v>
          </cell>
          <cell r="L685" t="str">
            <v>-</v>
          </cell>
          <cell r="N685">
            <v>43</v>
          </cell>
          <cell r="P685" t="str">
            <v>12</v>
          </cell>
        </row>
        <row r="686">
          <cell r="B686">
            <v>32</v>
          </cell>
          <cell r="C686">
            <v>24806.37</v>
          </cell>
          <cell r="D686">
            <v>32</v>
          </cell>
          <cell r="E686">
            <v>24806.37</v>
          </cell>
          <cell r="G686">
            <v>1</v>
          </cell>
          <cell r="H686" t="str">
            <v>ERAF</v>
          </cell>
          <cell r="L686" t="str">
            <v>-</v>
          </cell>
          <cell r="N686">
            <v>32</v>
          </cell>
          <cell r="P686" t="str">
            <v>12</v>
          </cell>
        </row>
        <row r="687">
          <cell r="B687">
            <v>28</v>
          </cell>
          <cell r="C687">
            <v>456822.6</v>
          </cell>
          <cell r="D687">
            <v>29</v>
          </cell>
          <cell r="E687">
            <v>456822.6</v>
          </cell>
          <cell r="G687">
            <v>1</v>
          </cell>
          <cell r="H687" t="str">
            <v>ERAF</v>
          </cell>
          <cell r="N687">
            <v>29</v>
          </cell>
          <cell r="P687" t="str">
            <v>12</v>
          </cell>
        </row>
        <row r="688">
          <cell r="B688">
            <v>43</v>
          </cell>
          <cell r="C688">
            <v>528963.67</v>
          </cell>
          <cell r="D688">
            <v>43</v>
          </cell>
          <cell r="E688">
            <v>0</v>
          </cell>
          <cell r="G688">
            <v>1</v>
          </cell>
          <cell r="H688" t="str">
            <v>ERAF</v>
          </cell>
          <cell r="N688">
            <v>43</v>
          </cell>
          <cell r="P688" t="str">
            <v>12</v>
          </cell>
        </row>
        <row r="689">
          <cell r="B689">
            <v>32</v>
          </cell>
          <cell r="C689">
            <v>314680.49</v>
          </cell>
          <cell r="D689">
            <v>32</v>
          </cell>
          <cell r="E689">
            <v>314680.49</v>
          </cell>
          <cell r="G689">
            <v>1</v>
          </cell>
          <cell r="H689" t="str">
            <v>ERAF</v>
          </cell>
          <cell r="L689" t="str">
            <v>-</v>
          </cell>
          <cell r="N689">
            <v>32</v>
          </cell>
          <cell r="P689" t="str">
            <v>12</v>
          </cell>
        </row>
        <row r="690">
          <cell r="B690">
            <v>42</v>
          </cell>
          <cell r="C690">
            <v>594869.82</v>
          </cell>
          <cell r="D690">
            <v>42</v>
          </cell>
          <cell r="E690">
            <v>594869.81</v>
          </cell>
          <cell r="G690">
            <v>1</v>
          </cell>
          <cell r="H690" t="str">
            <v>ERAF</v>
          </cell>
          <cell r="L690" t="str">
            <v>-</v>
          </cell>
          <cell r="N690">
            <v>42</v>
          </cell>
          <cell r="P690" t="str">
            <v>12</v>
          </cell>
        </row>
        <row r="691">
          <cell r="B691">
            <v>31</v>
          </cell>
          <cell r="C691">
            <v>14808.06</v>
          </cell>
          <cell r="D691">
            <v>36</v>
          </cell>
          <cell r="E691">
            <v>0</v>
          </cell>
          <cell r="G691">
            <v>1</v>
          </cell>
          <cell r="H691" t="str">
            <v>ERAF</v>
          </cell>
          <cell r="N691">
            <v>36</v>
          </cell>
          <cell r="P691" t="str">
            <v>32</v>
          </cell>
        </row>
        <row r="692">
          <cell r="B692">
            <v>37</v>
          </cell>
          <cell r="C692">
            <v>14481.73</v>
          </cell>
          <cell r="D692">
            <v>36</v>
          </cell>
          <cell r="E692">
            <v>0</v>
          </cell>
          <cell r="G692">
            <v>1</v>
          </cell>
          <cell r="H692" t="str">
            <v>ERAF</v>
          </cell>
          <cell r="N692">
            <v>36</v>
          </cell>
          <cell r="P692" t="str">
            <v>32</v>
          </cell>
        </row>
        <row r="693">
          <cell r="B693">
            <v>34</v>
          </cell>
          <cell r="C693">
            <v>10000</v>
          </cell>
          <cell r="D693">
            <v>37</v>
          </cell>
          <cell r="E693">
            <v>0</v>
          </cell>
          <cell r="G693">
            <v>1</v>
          </cell>
          <cell r="H693" t="str">
            <v>ERAF</v>
          </cell>
          <cell r="N693">
            <v>37</v>
          </cell>
          <cell r="P693" t="str">
            <v>31</v>
          </cell>
        </row>
        <row r="694">
          <cell r="B694">
            <v>43</v>
          </cell>
          <cell r="C694">
            <v>600000</v>
          </cell>
          <cell r="D694">
            <v>43</v>
          </cell>
          <cell r="E694">
            <v>600000</v>
          </cell>
          <cell r="G694">
            <v>1</v>
          </cell>
          <cell r="H694" t="str">
            <v>ERAF</v>
          </cell>
          <cell r="L694" t="str">
            <v>-</v>
          </cell>
          <cell r="N694">
            <v>43</v>
          </cell>
          <cell r="P694" t="str">
            <v>12</v>
          </cell>
        </row>
        <row r="695">
          <cell r="B695">
            <v>35</v>
          </cell>
          <cell r="C695">
            <v>135289.77</v>
          </cell>
          <cell r="D695">
            <v>36</v>
          </cell>
          <cell r="E695">
            <v>135289.77</v>
          </cell>
          <cell r="G695">
            <v>1</v>
          </cell>
          <cell r="H695" t="str">
            <v>ERAF</v>
          </cell>
          <cell r="L695" t="str">
            <v>-</v>
          </cell>
          <cell r="N695">
            <v>36</v>
          </cell>
          <cell r="P695" t="str">
            <v>12</v>
          </cell>
        </row>
        <row r="696">
          <cell r="B696">
            <v>38</v>
          </cell>
          <cell r="C696">
            <v>87358.53</v>
          </cell>
          <cell r="D696">
            <v>38</v>
          </cell>
          <cell r="E696">
            <v>87358.53</v>
          </cell>
          <cell r="G696">
            <v>1</v>
          </cell>
          <cell r="H696" t="str">
            <v>ERAF</v>
          </cell>
          <cell r="L696" t="str">
            <v>-</v>
          </cell>
          <cell r="N696">
            <v>38</v>
          </cell>
          <cell r="P696" t="str">
            <v>12</v>
          </cell>
        </row>
        <row r="697">
          <cell r="B697">
            <v>36</v>
          </cell>
          <cell r="C697">
            <v>127567.05</v>
          </cell>
          <cell r="D697">
            <v>37</v>
          </cell>
          <cell r="E697">
            <v>126254.05</v>
          </cell>
          <cell r="G697">
            <v>1</v>
          </cell>
          <cell r="H697" t="str">
            <v>ERAF</v>
          </cell>
          <cell r="L697" t="str">
            <v>-</v>
          </cell>
          <cell r="N697">
            <v>37</v>
          </cell>
          <cell r="P697" t="str">
            <v>12</v>
          </cell>
        </row>
        <row r="698">
          <cell r="B698">
            <v>42</v>
          </cell>
          <cell r="C698">
            <v>88999.3</v>
          </cell>
          <cell r="D698">
            <v>42</v>
          </cell>
          <cell r="E698">
            <v>88999.3</v>
          </cell>
          <cell r="G698">
            <v>1</v>
          </cell>
          <cell r="H698" t="str">
            <v>ERAF</v>
          </cell>
          <cell r="L698" t="str">
            <v>-</v>
          </cell>
          <cell r="N698">
            <v>42</v>
          </cell>
          <cell r="P698" t="str">
            <v>13</v>
          </cell>
        </row>
        <row r="699">
          <cell r="B699">
            <v>33</v>
          </cell>
          <cell r="C699">
            <v>225733.87</v>
          </cell>
          <cell r="D699">
            <v>32</v>
          </cell>
          <cell r="E699">
            <v>225733.87</v>
          </cell>
          <cell r="G699">
            <v>1</v>
          </cell>
          <cell r="H699" t="str">
            <v>ERAF</v>
          </cell>
          <cell r="L699" t="str">
            <v>-</v>
          </cell>
          <cell r="N699">
            <v>32</v>
          </cell>
          <cell r="P699" t="str">
            <v>13</v>
          </cell>
        </row>
        <row r="700">
          <cell r="B700">
            <v>38</v>
          </cell>
          <cell r="C700">
            <v>101061.25</v>
          </cell>
          <cell r="D700">
            <v>37</v>
          </cell>
          <cell r="E700">
            <v>101061.25</v>
          </cell>
          <cell r="G700">
            <v>1</v>
          </cell>
          <cell r="H700" t="str">
            <v>ERAF</v>
          </cell>
          <cell r="L700" t="str">
            <v>-</v>
          </cell>
          <cell r="N700">
            <v>37</v>
          </cell>
          <cell r="P700" t="str">
            <v>13</v>
          </cell>
        </row>
        <row r="701">
          <cell r="B701">
            <v>35</v>
          </cell>
          <cell r="C701">
            <v>312182</v>
          </cell>
          <cell r="D701">
            <v>36</v>
          </cell>
          <cell r="E701">
            <v>312182</v>
          </cell>
          <cell r="G701">
            <v>1</v>
          </cell>
          <cell r="H701" t="str">
            <v>ERAF</v>
          </cell>
          <cell r="L701" t="str">
            <v>-</v>
          </cell>
          <cell r="N701">
            <v>36</v>
          </cell>
          <cell r="P701" t="str">
            <v>13</v>
          </cell>
        </row>
        <row r="702">
          <cell r="B702">
            <v>43</v>
          </cell>
          <cell r="C702">
            <v>51898.6</v>
          </cell>
          <cell r="D702">
            <v>43</v>
          </cell>
          <cell r="E702">
            <v>51898.6</v>
          </cell>
          <cell r="G702">
            <v>1</v>
          </cell>
          <cell r="H702" t="str">
            <v>ERAF</v>
          </cell>
          <cell r="L702" t="str">
            <v>-</v>
          </cell>
          <cell r="N702">
            <v>43</v>
          </cell>
          <cell r="P702" t="str">
            <v>13</v>
          </cell>
        </row>
        <row r="703">
          <cell r="B703">
            <v>43</v>
          </cell>
          <cell r="C703">
            <v>494000</v>
          </cell>
          <cell r="D703">
            <v>44</v>
          </cell>
          <cell r="E703">
            <v>494000</v>
          </cell>
          <cell r="G703">
            <v>1</v>
          </cell>
          <cell r="H703" t="str">
            <v>ERAF</v>
          </cell>
          <cell r="L703" t="str">
            <v>-</v>
          </cell>
          <cell r="N703">
            <v>44</v>
          </cell>
          <cell r="P703" t="str">
            <v>13</v>
          </cell>
        </row>
        <row r="704">
          <cell r="B704">
            <v>43</v>
          </cell>
          <cell r="C704">
            <v>1500000</v>
          </cell>
          <cell r="D704">
            <v>44</v>
          </cell>
          <cell r="E704">
            <v>1346386</v>
          </cell>
          <cell r="G704">
            <v>1</v>
          </cell>
          <cell r="H704" t="str">
            <v>ERAF</v>
          </cell>
          <cell r="L704" t="str">
            <v>-</v>
          </cell>
          <cell r="N704">
            <v>44</v>
          </cell>
          <cell r="P704" t="str">
            <v>13</v>
          </cell>
        </row>
        <row r="705">
          <cell r="B705">
            <v>35</v>
          </cell>
          <cell r="C705">
            <v>389993</v>
          </cell>
          <cell r="D705">
            <v>36</v>
          </cell>
          <cell r="E705">
            <v>389993</v>
          </cell>
          <cell r="G705">
            <v>1</v>
          </cell>
          <cell r="H705" t="str">
            <v>ERAF</v>
          </cell>
          <cell r="L705" t="str">
            <v>-</v>
          </cell>
          <cell r="N705">
            <v>36</v>
          </cell>
          <cell r="P705" t="str">
            <v>13</v>
          </cell>
        </row>
        <row r="706">
          <cell r="B706">
            <v>43</v>
          </cell>
          <cell r="C706">
            <v>1447875</v>
          </cell>
          <cell r="D706">
            <v>44</v>
          </cell>
          <cell r="E706">
            <v>1447875</v>
          </cell>
          <cell r="G706">
            <v>1</v>
          </cell>
          <cell r="H706" t="str">
            <v>ERAF</v>
          </cell>
          <cell r="L706" t="str">
            <v>-</v>
          </cell>
          <cell r="N706">
            <v>44</v>
          </cell>
          <cell r="P706" t="str">
            <v>13</v>
          </cell>
        </row>
        <row r="707">
          <cell r="B707">
            <v>37</v>
          </cell>
          <cell r="C707">
            <v>129559.8</v>
          </cell>
          <cell r="D707">
            <v>43</v>
          </cell>
          <cell r="E707">
            <v>119464.1</v>
          </cell>
          <cell r="G707">
            <v>1</v>
          </cell>
          <cell r="H707" t="str">
            <v>ERAF</v>
          </cell>
          <cell r="L707" t="str">
            <v>-</v>
          </cell>
          <cell r="N707">
            <v>43</v>
          </cell>
          <cell r="P707" t="str">
            <v>20</v>
          </cell>
        </row>
        <row r="708">
          <cell r="B708">
            <v>34</v>
          </cell>
          <cell r="C708">
            <v>128587.92</v>
          </cell>
          <cell r="D708">
            <v>44</v>
          </cell>
          <cell r="E708">
            <v>66652.59</v>
          </cell>
          <cell r="G708">
            <v>1</v>
          </cell>
          <cell r="H708" t="str">
            <v>ERAF</v>
          </cell>
          <cell r="L708" t="str">
            <v>-</v>
          </cell>
          <cell r="N708">
            <v>44</v>
          </cell>
          <cell r="P708" t="str">
            <v>20</v>
          </cell>
        </row>
        <row r="709">
          <cell r="B709">
            <v>32</v>
          </cell>
          <cell r="C709">
            <v>87198.77</v>
          </cell>
          <cell r="D709">
            <v>37</v>
          </cell>
          <cell r="E709">
            <v>26601.13</v>
          </cell>
          <cell r="G709">
            <v>1</v>
          </cell>
          <cell r="H709" t="str">
            <v>ERAF</v>
          </cell>
          <cell r="L709" t="str">
            <v>-</v>
          </cell>
          <cell r="N709">
            <v>37</v>
          </cell>
          <cell r="P709" t="str">
            <v>20</v>
          </cell>
        </row>
        <row r="710">
          <cell r="B710">
            <v>36</v>
          </cell>
          <cell r="C710">
            <v>150000</v>
          </cell>
          <cell r="D710">
            <v>37</v>
          </cell>
          <cell r="E710">
            <v>149842.06</v>
          </cell>
          <cell r="G710">
            <v>1</v>
          </cell>
          <cell r="H710" t="str">
            <v>ERAF</v>
          </cell>
          <cell r="L710" t="str">
            <v>-</v>
          </cell>
          <cell r="N710">
            <v>37</v>
          </cell>
          <cell r="P710" t="str">
            <v>20</v>
          </cell>
        </row>
        <row r="711">
          <cell r="B711">
            <v>42</v>
          </cell>
          <cell r="C711">
            <v>24836.57</v>
          </cell>
          <cell r="D711">
            <v>44</v>
          </cell>
          <cell r="E711">
            <v>23796.99</v>
          </cell>
          <cell r="G711">
            <v>1</v>
          </cell>
          <cell r="H711" t="str">
            <v>ERAF</v>
          </cell>
          <cell r="L711" t="str">
            <v>-</v>
          </cell>
          <cell r="N711">
            <v>44</v>
          </cell>
          <cell r="P711" t="str">
            <v>20</v>
          </cell>
        </row>
        <row r="712">
          <cell r="B712">
            <v>31</v>
          </cell>
          <cell r="C712">
            <v>150000</v>
          </cell>
          <cell r="D712">
            <v>32</v>
          </cell>
          <cell r="E712">
            <v>150000</v>
          </cell>
          <cell r="G712">
            <v>1</v>
          </cell>
          <cell r="H712" t="str">
            <v>ERAF</v>
          </cell>
          <cell r="L712" t="str">
            <v>-</v>
          </cell>
          <cell r="N712">
            <v>32</v>
          </cell>
          <cell r="P712" t="str">
            <v>20</v>
          </cell>
        </row>
        <row r="713">
          <cell r="B713">
            <v>31</v>
          </cell>
          <cell r="C713">
            <v>150000</v>
          </cell>
          <cell r="D713">
            <v>32</v>
          </cell>
          <cell r="E713">
            <v>143312.98</v>
          </cell>
          <cell r="G713">
            <v>1</v>
          </cell>
          <cell r="H713" t="str">
            <v>ERAF</v>
          </cell>
          <cell r="L713" t="str">
            <v>-</v>
          </cell>
          <cell r="N713">
            <v>32</v>
          </cell>
          <cell r="P713" t="str">
            <v>20</v>
          </cell>
        </row>
        <row r="714">
          <cell r="B714">
            <v>42</v>
          </cell>
          <cell r="C714">
            <v>112695.43</v>
          </cell>
          <cell r="D714">
            <v>43</v>
          </cell>
          <cell r="E714">
            <v>112695.43</v>
          </cell>
          <cell r="G714">
            <v>1</v>
          </cell>
          <cell r="H714" t="str">
            <v>ERAF</v>
          </cell>
          <cell r="L714" t="str">
            <v>-</v>
          </cell>
          <cell r="N714">
            <v>43</v>
          </cell>
          <cell r="P714" t="str">
            <v>20</v>
          </cell>
        </row>
        <row r="715">
          <cell r="B715">
            <v>40</v>
          </cell>
          <cell r="C715">
            <v>123703.79</v>
          </cell>
          <cell r="D715">
            <v>42</v>
          </cell>
          <cell r="E715">
            <v>121769.98</v>
          </cell>
          <cell r="G715">
            <v>1</v>
          </cell>
          <cell r="H715" t="str">
            <v>ERAF</v>
          </cell>
          <cell r="L715" t="str">
            <v>-</v>
          </cell>
          <cell r="N715">
            <v>42</v>
          </cell>
          <cell r="P715" t="str">
            <v>20</v>
          </cell>
        </row>
        <row r="716">
          <cell r="B716">
            <v>29</v>
          </cell>
          <cell r="C716">
            <v>107235</v>
          </cell>
          <cell r="D716">
            <v>30</v>
          </cell>
          <cell r="E716">
            <v>107235</v>
          </cell>
          <cell r="G716">
            <v>1</v>
          </cell>
          <cell r="H716" t="str">
            <v>ERAF</v>
          </cell>
          <cell r="L716" t="str">
            <v>-</v>
          </cell>
          <cell r="N716">
            <v>30</v>
          </cell>
          <cell r="P716" t="str">
            <v>20</v>
          </cell>
        </row>
        <row r="717">
          <cell r="B717">
            <v>29</v>
          </cell>
          <cell r="C717">
            <v>83236.77</v>
          </cell>
          <cell r="D717">
            <v>33</v>
          </cell>
          <cell r="E717">
            <v>83236.77</v>
          </cell>
          <cell r="G717">
            <v>1</v>
          </cell>
          <cell r="H717" t="str">
            <v>ERAF</v>
          </cell>
          <cell r="L717" t="str">
            <v>-</v>
          </cell>
          <cell r="N717">
            <v>33</v>
          </cell>
          <cell r="P717" t="str">
            <v>20</v>
          </cell>
        </row>
        <row r="718">
          <cell r="B718">
            <v>36</v>
          </cell>
          <cell r="C718">
            <v>77739.55</v>
          </cell>
          <cell r="D718">
            <v>39</v>
          </cell>
          <cell r="E718">
            <v>72680.35</v>
          </cell>
          <cell r="G718">
            <v>1</v>
          </cell>
          <cell r="H718" t="str">
            <v>ERAF</v>
          </cell>
          <cell r="L718" t="str">
            <v>-</v>
          </cell>
          <cell r="N718">
            <v>39</v>
          </cell>
          <cell r="P718" t="str">
            <v>20</v>
          </cell>
        </row>
        <row r="719">
          <cell r="B719">
            <v>37</v>
          </cell>
          <cell r="C719">
            <v>150000</v>
          </cell>
          <cell r="D719">
            <v>39</v>
          </cell>
          <cell r="E719">
            <v>149356.98</v>
          </cell>
          <cell r="G719">
            <v>1</v>
          </cell>
          <cell r="H719" t="str">
            <v>ERAF</v>
          </cell>
          <cell r="L719" t="str">
            <v>-</v>
          </cell>
          <cell r="N719">
            <v>39</v>
          </cell>
          <cell r="P719" t="str">
            <v>20</v>
          </cell>
        </row>
        <row r="720">
          <cell r="B720">
            <v>32</v>
          </cell>
          <cell r="C720">
            <v>18187.56</v>
          </cell>
          <cell r="D720">
            <v>34</v>
          </cell>
          <cell r="E720">
            <v>17020.94</v>
          </cell>
          <cell r="G720">
            <v>1</v>
          </cell>
          <cell r="H720" t="str">
            <v>ERAF</v>
          </cell>
          <cell r="L720" t="str">
            <v>-</v>
          </cell>
          <cell r="N720">
            <v>34</v>
          </cell>
          <cell r="P720" t="str">
            <v>20</v>
          </cell>
        </row>
        <row r="721">
          <cell r="B721">
            <v>37</v>
          </cell>
          <cell r="C721">
            <v>66200.4</v>
          </cell>
          <cell r="D721">
            <v>40</v>
          </cell>
          <cell r="E721">
            <v>62368.92</v>
          </cell>
          <cell r="G721">
            <v>1</v>
          </cell>
          <cell r="H721" t="str">
            <v>ERAF</v>
          </cell>
          <cell r="L721" t="str">
            <v>-</v>
          </cell>
          <cell r="N721">
            <v>40</v>
          </cell>
          <cell r="P721" t="str">
            <v>20</v>
          </cell>
        </row>
        <row r="722">
          <cell r="B722">
            <v>37</v>
          </cell>
          <cell r="C722">
            <v>88969.5</v>
          </cell>
          <cell r="D722">
            <v>39</v>
          </cell>
          <cell r="E722">
            <v>87845.16</v>
          </cell>
          <cell r="G722">
            <v>1</v>
          </cell>
          <cell r="H722" t="str">
            <v>ERAF</v>
          </cell>
          <cell r="L722" t="str">
            <v>-</v>
          </cell>
          <cell r="N722">
            <v>39</v>
          </cell>
          <cell r="P722" t="str">
            <v>20</v>
          </cell>
        </row>
        <row r="723">
          <cell r="B723">
            <v>37</v>
          </cell>
          <cell r="C723">
            <v>49379.34</v>
          </cell>
          <cell r="D723">
            <v>42</v>
          </cell>
          <cell r="E723">
            <v>43180.29</v>
          </cell>
          <cell r="G723">
            <v>1</v>
          </cell>
          <cell r="H723" t="str">
            <v>ERAF</v>
          </cell>
          <cell r="L723" t="str">
            <v>-</v>
          </cell>
          <cell r="N723">
            <v>42</v>
          </cell>
          <cell r="P723" t="str">
            <v>20</v>
          </cell>
        </row>
        <row r="724">
          <cell r="B724">
            <v>43</v>
          </cell>
          <cell r="C724">
            <v>104740.35</v>
          </cell>
          <cell r="D724">
            <v>44</v>
          </cell>
          <cell r="E724">
            <v>89783.68</v>
          </cell>
          <cell r="G724">
            <v>1</v>
          </cell>
          <cell r="H724" t="str">
            <v>ERAF</v>
          </cell>
          <cell r="L724" t="str">
            <v>-</v>
          </cell>
          <cell r="N724">
            <v>44</v>
          </cell>
          <cell r="P724" t="str">
            <v>20</v>
          </cell>
        </row>
        <row r="725">
          <cell r="B725">
            <v>37</v>
          </cell>
          <cell r="C725">
            <v>47421.48</v>
          </cell>
          <cell r="D725">
            <v>41</v>
          </cell>
          <cell r="E725">
            <v>45300.2</v>
          </cell>
          <cell r="G725">
            <v>1</v>
          </cell>
          <cell r="H725" t="str">
            <v>ERAF</v>
          </cell>
          <cell r="L725" t="str">
            <v>-</v>
          </cell>
          <cell r="N725">
            <v>41</v>
          </cell>
          <cell r="P725" t="str">
            <v>20</v>
          </cell>
        </row>
        <row r="726">
          <cell r="B726">
            <v>30</v>
          </cell>
          <cell r="C726">
            <v>7751.07</v>
          </cell>
          <cell r="D726">
            <v>37</v>
          </cell>
          <cell r="E726">
            <v>0</v>
          </cell>
          <cell r="G726">
            <v>1</v>
          </cell>
          <cell r="H726" t="str">
            <v>ERAF</v>
          </cell>
          <cell r="N726">
            <v>37</v>
          </cell>
          <cell r="P726" t="str">
            <v>32</v>
          </cell>
        </row>
        <row r="727">
          <cell r="B727">
            <v>31</v>
          </cell>
          <cell r="C727">
            <v>9800</v>
          </cell>
          <cell r="D727">
            <v>32</v>
          </cell>
          <cell r="E727">
            <v>9800</v>
          </cell>
          <cell r="G727">
            <v>1</v>
          </cell>
          <cell r="H727" t="str">
            <v>ERAF</v>
          </cell>
          <cell r="L727" t="str">
            <v>-</v>
          </cell>
          <cell r="N727">
            <v>32</v>
          </cell>
          <cell r="P727" t="str">
            <v>31</v>
          </cell>
        </row>
        <row r="728">
          <cell r="B728">
            <v>29</v>
          </cell>
          <cell r="C728">
            <v>9990</v>
          </cell>
          <cell r="D728">
            <v>31</v>
          </cell>
          <cell r="E728">
            <v>9990</v>
          </cell>
          <cell r="G728">
            <v>1</v>
          </cell>
          <cell r="H728" t="str">
            <v>ERAF</v>
          </cell>
          <cell r="L728" t="str">
            <v>-</v>
          </cell>
          <cell r="N728">
            <v>31</v>
          </cell>
          <cell r="P728" t="str">
            <v>31</v>
          </cell>
        </row>
        <row r="729">
          <cell r="B729">
            <v>28</v>
          </cell>
          <cell r="C729">
            <v>10000</v>
          </cell>
          <cell r="D729">
            <v>30</v>
          </cell>
          <cell r="E729">
            <v>10000</v>
          </cell>
          <cell r="G729">
            <v>1</v>
          </cell>
          <cell r="H729" t="str">
            <v>ERAF</v>
          </cell>
          <cell r="N729">
            <v>30</v>
          </cell>
          <cell r="P729" t="str">
            <v>31</v>
          </cell>
        </row>
        <row r="730">
          <cell r="B730">
            <v>27</v>
          </cell>
          <cell r="C730">
            <v>9960</v>
          </cell>
          <cell r="D730">
            <v>28</v>
          </cell>
          <cell r="E730">
            <v>9960</v>
          </cell>
          <cell r="G730">
            <v>1</v>
          </cell>
          <cell r="H730" t="str">
            <v>ERAF</v>
          </cell>
          <cell r="N730">
            <v>28</v>
          </cell>
          <cell r="P730" t="str">
            <v>31</v>
          </cell>
        </row>
        <row r="731">
          <cell r="B731">
            <v>27</v>
          </cell>
          <cell r="C731">
            <v>9500</v>
          </cell>
          <cell r="D731">
            <v>28</v>
          </cell>
          <cell r="E731">
            <v>9500</v>
          </cell>
          <cell r="G731">
            <v>1</v>
          </cell>
          <cell r="H731" t="str">
            <v>ERAF</v>
          </cell>
          <cell r="N731">
            <v>28</v>
          </cell>
          <cell r="P731" t="str">
            <v>31</v>
          </cell>
        </row>
        <row r="732">
          <cell r="B732">
            <v>29</v>
          </cell>
          <cell r="C732">
            <v>9990</v>
          </cell>
          <cell r="D732">
            <v>31</v>
          </cell>
          <cell r="E732">
            <v>9990</v>
          </cell>
          <cell r="G732">
            <v>1</v>
          </cell>
          <cell r="H732" t="str">
            <v>ERAF</v>
          </cell>
          <cell r="L732" t="str">
            <v>-</v>
          </cell>
          <cell r="N732">
            <v>31</v>
          </cell>
          <cell r="P732" t="str">
            <v>31</v>
          </cell>
        </row>
        <row r="733">
          <cell r="B733">
            <v>27</v>
          </cell>
          <cell r="C733">
            <v>10000</v>
          </cell>
          <cell r="D733">
            <v>28</v>
          </cell>
          <cell r="E733">
            <v>10000</v>
          </cell>
          <cell r="G733">
            <v>1</v>
          </cell>
          <cell r="H733" t="str">
            <v>ERAF</v>
          </cell>
          <cell r="N733">
            <v>28</v>
          </cell>
          <cell r="P733" t="str">
            <v>31</v>
          </cell>
        </row>
        <row r="734">
          <cell r="B734">
            <v>26</v>
          </cell>
          <cell r="C734">
            <v>10000</v>
          </cell>
          <cell r="D734">
            <v>27</v>
          </cell>
          <cell r="E734">
            <v>10000</v>
          </cell>
          <cell r="G734">
            <v>1</v>
          </cell>
          <cell r="H734" t="str">
            <v>ERAF</v>
          </cell>
          <cell r="N734">
            <v>27</v>
          </cell>
          <cell r="P734" t="str">
            <v>31</v>
          </cell>
        </row>
        <row r="735">
          <cell r="B735">
            <v>30</v>
          </cell>
          <cell r="C735">
            <v>10000</v>
          </cell>
          <cell r="D735">
            <v>31</v>
          </cell>
          <cell r="E735">
            <v>10000</v>
          </cell>
          <cell r="G735">
            <v>1</v>
          </cell>
          <cell r="H735" t="str">
            <v>ERAF</v>
          </cell>
          <cell r="L735" t="str">
            <v>-</v>
          </cell>
          <cell r="N735">
            <v>31</v>
          </cell>
          <cell r="P735" t="str">
            <v>31</v>
          </cell>
        </row>
        <row r="736">
          <cell r="B736">
            <v>31</v>
          </cell>
          <cell r="C736">
            <v>10000</v>
          </cell>
          <cell r="D736">
            <v>32</v>
          </cell>
          <cell r="E736">
            <v>10000</v>
          </cell>
          <cell r="G736">
            <v>1</v>
          </cell>
          <cell r="H736" t="str">
            <v>ERAF</v>
          </cell>
          <cell r="L736" t="str">
            <v>-</v>
          </cell>
          <cell r="N736">
            <v>32</v>
          </cell>
          <cell r="P736" t="str">
            <v>31</v>
          </cell>
        </row>
        <row r="737">
          <cell r="B737">
            <v>27</v>
          </cell>
          <cell r="C737">
            <v>10000</v>
          </cell>
          <cell r="D737">
            <v>28</v>
          </cell>
          <cell r="E737">
            <v>10000</v>
          </cell>
          <cell r="G737">
            <v>1</v>
          </cell>
          <cell r="H737" t="str">
            <v>ERAF</v>
          </cell>
          <cell r="N737">
            <v>28</v>
          </cell>
          <cell r="P737" t="str">
            <v>31</v>
          </cell>
        </row>
        <row r="738">
          <cell r="B738">
            <v>27</v>
          </cell>
          <cell r="C738">
            <v>10000</v>
          </cell>
          <cell r="D738">
            <v>29</v>
          </cell>
          <cell r="E738">
            <v>10000</v>
          </cell>
          <cell r="G738">
            <v>1</v>
          </cell>
          <cell r="H738" t="str">
            <v>ERAF</v>
          </cell>
          <cell r="N738">
            <v>29</v>
          </cell>
          <cell r="P738" t="str">
            <v>31</v>
          </cell>
        </row>
        <row r="739">
          <cell r="B739">
            <v>27</v>
          </cell>
          <cell r="C739">
            <v>9855</v>
          </cell>
          <cell r="D739">
            <v>28</v>
          </cell>
          <cell r="E739">
            <v>9855</v>
          </cell>
          <cell r="G739">
            <v>1</v>
          </cell>
          <cell r="H739" t="str">
            <v>ERAF</v>
          </cell>
          <cell r="N739">
            <v>28</v>
          </cell>
          <cell r="P739" t="str">
            <v>31</v>
          </cell>
        </row>
        <row r="740">
          <cell r="B740">
            <v>28</v>
          </cell>
          <cell r="C740">
            <v>9920</v>
          </cell>
          <cell r="D740">
            <v>31</v>
          </cell>
          <cell r="E740">
            <v>9920</v>
          </cell>
          <cell r="G740">
            <v>1</v>
          </cell>
          <cell r="H740" t="str">
            <v>ERAF</v>
          </cell>
          <cell r="N740">
            <v>31</v>
          </cell>
          <cell r="P740" t="str">
            <v>31</v>
          </cell>
        </row>
        <row r="741">
          <cell r="B741">
            <v>28</v>
          </cell>
          <cell r="C741">
            <v>10000</v>
          </cell>
          <cell r="D741">
            <v>29</v>
          </cell>
          <cell r="E741">
            <v>10000</v>
          </cell>
          <cell r="G741">
            <v>1</v>
          </cell>
          <cell r="H741" t="str">
            <v>ERAF</v>
          </cell>
          <cell r="N741">
            <v>29</v>
          </cell>
          <cell r="P741" t="str">
            <v>31</v>
          </cell>
        </row>
        <row r="742">
          <cell r="B742">
            <v>27</v>
          </cell>
          <cell r="C742">
            <v>9450</v>
          </cell>
          <cell r="D742">
            <v>28</v>
          </cell>
          <cell r="E742">
            <v>9450</v>
          </cell>
          <cell r="G742">
            <v>1</v>
          </cell>
          <cell r="H742" t="str">
            <v>ERAF</v>
          </cell>
          <cell r="N742">
            <v>28</v>
          </cell>
          <cell r="P742" t="str">
            <v>31</v>
          </cell>
        </row>
        <row r="743">
          <cell r="B743">
            <v>27</v>
          </cell>
          <cell r="C743">
            <v>9900</v>
          </cell>
          <cell r="D743">
            <v>27</v>
          </cell>
          <cell r="E743">
            <v>9900</v>
          </cell>
          <cell r="G743">
            <v>1</v>
          </cell>
          <cell r="H743" t="str">
            <v>ERAF</v>
          </cell>
          <cell r="N743">
            <v>27</v>
          </cell>
          <cell r="P743" t="str">
            <v>31</v>
          </cell>
        </row>
        <row r="744">
          <cell r="B744">
            <v>27</v>
          </cell>
          <cell r="C744">
            <v>10000</v>
          </cell>
          <cell r="D744">
            <v>30</v>
          </cell>
          <cell r="E744">
            <v>10000</v>
          </cell>
          <cell r="G744">
            <v>1</v>
          </cell>
          <cell r="H744" t="str">
            <v>ERAF</v>
          </cell>
          <cell r="N744">
            <v>30</v>
          </cell>
          <cell r="P744" t="str">
            <v>31</v>
          </cell>
        </row>
        <row r="745">
          <cell r="B745">
            <v>28</v>
          </cell>
          <cell r="C745">
            <v>9700</v>
          </cell>
          <cell r="D745">
            <v>29</v>
          </cell>
          <cell r="E745">
            <v>9700</v>
          </cell>
          <cell r="G745">
            <v>1</v>
          </cell>
          <cell r="H745" t="str">
            <v>ERAF</v>
          </cell>
          <cell r="N745">
            <v>29</v>
          </cell>
          <cell r="P745" t="str">
            <v>31</v>
          </cell>
        </row>
        <row r="746">
          <cell r="B746">
            <v>27</v>
          </cell>
          <cell r="C746">
            <v>9957</v>
          </cell>
          <cell r="D746">
            <v>32</v>
          </cell>
          <cell r="E746">
            <v>9957</v>
          </cell>
          <cell r="G746">
            <v>1</v>
          </cell>
          <cell r="H746" t="str">
            <v>ERAF</v>
          </cell>
          <cell r="L746" t="str">
            <v>-</v>
          </cell>
          <cell r="N746">
            <v>32</v>
          </cell>
          <cell r="P746" t="str">
            <v>31</v>
          </cell>
        </row>
        <row r="747">
          <cell r="B747">
            <v>32</v>
          </cell>
          <cell r="C747">
            <v>10000</v>
          </cell>
          <cell r="D747">
            <v>32</v>
          </cell>
          <cell r="E747">
            <v>10000</v>
          </cell>
          <cell r="G747">
            <v>1</v>
          </cell>
          <cell r="H747" t="str">
            <v>ERAF</v>
          </cell>
          <cell r="L747" t="str">
            <v>-</v>
          </cell>
          <cell r="N747">
            <v>32</v>
          </cell>
          <cell r="P747" t="str">
            <v>31</v>
          </cell>
        </row>
        <row r="748">
          <cell r="B748">
            <v>27</v>
          </cell>
          <cell r="C748">
            <v>10000</v>
          </cell>
          <cell r="D748">
            <v>28</v>
          </cell>
          <cell r="E748">
            <v>10000</v>
          </cell>
          <cell r="G748">
            <v>1</v>
          </cell>
          <cell r="H748" t="str">
            <v>ERAF</v>
          </cell>
          <cell r="N748">
            <v>28</v>
          </cell>
          <cell r="P748" t="str">
            <v>31</v>
          </cell>
        </row>
        <row r="749">
          <cell r="B749">
            <v>27</v>
          </cell>
          <cell r="C749">
            <v>9897.5</v>
          </cell>
          <cell r="D749">
            <v>27</v>
          </cell>
          <cell r="E749">
            <v>9897.5</v>
          </cell>
          <cell r="G749">
            <v>1</v>
          </cell>
          <cell r="H749" t="str">
            <v>ERAF</v>
          </cell>
          <cell r="N749">
            <v>27</v>
          </cell>
          <cell r="P749" t="str">
            <v>31</v>
          </cell>
        </row>
        <row r="750">
          <cell r="B750">
            <v>32</v>
          </cell>
          <cell r="C750">
            <v>10000</v>
          </cell>
          <cell r="D750">
            <v>33</v>
          </cell>
          <cell r="E750">
            <v>10000</v>
          </cell>
          <cell r="G750">
            <v>1</v>
          </cell>
          <cell r="H750" t="str">
            <v>ERAF</v>
          </cell>
          <cell r="L750" t="str">
            <v>-</v>
          </cell>
          <cell r="N750">
            <v>33</v>
          </cell>
          <cell r="P750" t="str">
            <v>31</v>
          </cell>
        </row>
        <row r="751">
          <cell r="B751">
            <v>28</v>
          </cell>
          <cell r="C751">
            <v>9900</v>
          </cell>
          <cell r="D751">
            <v>28</v>
          </cell>
          <cell r="E751">
            <v>9900</v>
          </cell>
          <cell r="G751">
            <v>1</v>
          </cell>
          <cell r="H751" t="str">
            <v>ERAF</v>
          </cell>
          <cell r="N751">
            <v>28</v>
          </cell>
          <cell r="P751" t="str">
            <v>31</v>
          </cell>
        </row>
        <row r="752">
          <cell r="B752">
            <v>27</v>
          </cell>
          <cell r="C752">
            <v>9785</v>
          </cell>
          <cell r="D752">
            <v>27</v>
          </cell>
          <cell r="E752">
            <v>9785</v>
          </cell>
          <cell r="G752">
            <v>1</v>
          </cell>
          <cell r="H752" t="str">
            <v>ERAF</v>
          </cell>
          <cell r="N752">
            <v>27</v>
          </cell>
          <cell r="P752" t="str">
            <v>31</v>
          </cell>
        </row>
        <row r="753">
          <cell r="B753">
            <v>33</v>
          </cell>
          <cell r="C753">
            <v>10000</v>
          </cell>
          <cell r="D753">
            <v>34</v>
          </cell>
          <cell r="E753">
            <v>10000</v>
          </cell>
          <cell r="G753">
            <v>1</v>
          </cell>
          <cell r="H753" t="str">
            <v>ERAF</v>
          </cell>
          <cell r="L753" t="str">
            <v>-</v>
          </cell>
          <cell r="N753">
            <v>34</v>
          </cell>
          <cell r="P753" t="str">
            <v>31</v>
          </cell>
        </row>
        <row r="754">
          <cell r="B754">
            <v>30</v>
          </cell>
          <cell r="C754">
            <v>9900</v>
          </cell>
          <cell r="D754">
            <v>30</v>
          </cell>
          <cell r="E754">
            <v>9900</v>
          </cell>
          <cell r="G754">
            <v>1</v>
          </cell>
          <cell r="H754" t="str">
            <v>ERAF</v>
          </cell>
          <cell r="L754" t="str">
            <v>-</v>
          </cell>
          <cell r="N754">
            <v>30</v>
          </cell>
          <cell r="P754" t="str">
            <v>31</v>
          </cell>
        </row>
        <row r="755">
          <cell r="B755">
            <v>28</v>
          </cell>
          <cell r="C755">
            <v>9750</v>
          </cell>
          <cell r="D755">
            <v>28</v>
          </cell>
          <cell r="E755">
            <v>9750</v>
          </cell>
          <cell r="G755">
            <v>1</v>
          </cell>
          <cell r="H755" t="str">
            <v>ERAF</v>
          </cell>
          <cell r="N755">
            <v>28</v>
          </cell>
          <cell r="P755" t="str">
            <v>31</v>
          </cell>
        </row>
        <row r="756">
          <cell r="B756">
            <v>27</v>
          </cell>
          <cell r="C756">
            <v>10000</v>
          </cell>
          <cell r="D756">
            <v>27</v>
          </cell>
          <cell r="E756">
            <v>10000</v>
          </cell>
          <cell r="G756">
            <v>1</v>
          </cell>
          <cell r="H756" t="str">
            <v>ERAF</v>
          </cell>
          <cell r="N756">
            <v>27</v>
          </cell>
          <cell r="P756" t="str">
            <v>31</v>
          </cell>
        </row>
        <row r="757">
          <cell r="B757">
            <v>30</v>
          </cell>
          <cell r="C757">
            <v>10000</v>
          </cell>
          <cell r="D757">
            <v>31</v>
          </cell>
          <cell r="E757">
            <v>9980</v>
          </cell>
          <cell r="G757">
            <v>1</v>
          </cell>
          <cell r="H757" t="str">
            <v>ERAF</v>
          </cell>
          <cell r="L757" t="str">
            <v>-</v>
          </cell>
          <cell r="N757">
            <v>31</v>
          </cell>
          <cell r="P757" t="str">
            <v>31</v>
          </cell>
        </row>
        <row r="758">
          <cell r="B758">
            <v>31</v>
          </cell>
          <cell r="C758">
            <v>10000</v>
          </cell>
          <cell r="D758">
            <v>42</v>
          </cell>
          <cell r="E758">
            <v>10000</v>
          </cell>
          <cell r="G758">
            <v>1</v>
          </cell>
          <cell r="H758" t="str">
            <v>ERAF</v>
          </cell>
          <cell r="L758" t="str">
            <v>-</v>
          </cell>
          <cell r="N758">
            <v>42</v>
          </cell>
          <cell r="P758" t="str">
            <v>31</v>
          </cell>
        </row>
        <row r="759">
          <cell r="B759">
            <v>28</v>
          </cell>
          <cell r="C759">
            <v>10000</v>
          </cell>
          <cell r="D759">
            <v>29</v>
          </cell>
          <cell r="E759">
            <v>10000</v>
          </cell>
          <cell r="G759">
            <v>1</v>
          </cell>
          <cell r="H759" t="str">
            <v>ERAF</v>
          </cell>
          <cell r="N759">
            <v>29</v>
          </cell>
          <cell r="P759" t="str">
            <v>31</v>
          </cell>
        </row>
        <row r="760">
          <cell r="B760">
            <v>27</v>
          </cell>
          <cell r="C760">
            <v>2475</v>
          </cell>
          <cell r="D760">
            <v>27</v>
          </cell>
          <cell r="E760">
            <v>2475</v>
          </cell>
          <cell r="G760">
            <v>1</v>
          </cell>
          <cell r="H760" t="str">
            <v>ERAF</v>
          </cell>
          <cell r="N760">
            <v>27</v>
          </cell>
          <cell r="P760" t="str">
            <v>31</v>
          </cell>
        </row>
        <row r="761">
          <cell r="B761">
            <v>30</v>
          </cell>
          <cell r="C761">
            <v>10000</v>
          </cell>
          <cell r="D761">
            <v>30</v>
          </cell>
          <cell r="E761">
            <v>10000</v>
          </cell>
          <cell r="G761">
            <v>1</v>
          </cell>
          <cell r="H761" t="str">
            <v>ERAF</v>
          </cell>
          <cell r="L761" t="str">
            <v>-</v>
          </cell>
          <cell r="N761">
            <v>30</v>
          </cell>
          <cell r="P761" t="str">
            <v>31</v>
          </cell>
        </row>
        <row r="762">
          <cell r="B762">
            <v>29</v>
          </cell>
          <cell r="C762">
            <v>10000</v>
          </cell>
          <cell r="D762">
            <v>29</v>
          </cell>
          <cell r="E762">
            <v>10000</v>
          </cell>
          <cell r="G762">
            <v>1</v>
          </cell>
          <cell r="H762" t="str">
            <v>ERAF</v>
          </cell>
          <cell r="N762">
            <v>29</v>
          </cell>
          <cell r="P762" t="str">
            <v>31</v>
          </cell>
        </row>
        <row r="763">
          <cell r="B763">
            <v>28</v>
          </cell>
          <cell r="C763">
            <v>9800</v>
          </cell>
          <cell r="D763">
            <v>30</v>
          </cell>
          <cell r="E763">
            <v>9800</v>
          </cell>
          <cell r="G763">
            <v>1</v>
          </cell>
          <cell r="H763" t="str">
            <v>ERAF</v>
          </cell>
          <cell r="N763">
            <v>30</v>
          </cell>
          <cell r="P763" t="str">
            <v>31</v>
          </cell>
        </row>
        <row r="764">
          <cell r="B764">
            <v>29</v>
          </cell>
          <cell r="C764">
            <v>10000</v>
          </cell>
          <cell r="D764">
            <v>31</v>
          </cell>
          <cell r="E764">
            <v>10000</v>
          </cell>
          <cell r="G764">
            <v>1</v>
          </cell>
          <cell r="H764" t="str">
            <v>ERAF</v>
          </cell>
          <cell r="L764" t="str">
            <v>-</v>
          </cell>
          <cell r="N764">
            <v>31</v>
          </cell>
          <cell r="P764" t="str">
            <v>31</v>
          </cell>
        </row>
        <row r="765">
          <cell r="B765">
            <v>33</v>
          </cell>
          <cell r="C765">
            <v>10000</v>
          </cell>
          <cell r="D765">
            <v>35</v>
          </cell>
          <cell r="E765">
            <v>10000</v>
          </cell>
          <cell r="G765">
            <v>1</v>
          </cell>
          <cell r="H765" t="str">
            <v>ERAF</v>
          </cell>
          <cell r="L765" t="str">
            <v>-</v>
          </cell>
          <cell r="N765">
            <v>35</v>
          </cell>
          <cell r="P765" t="str">
            <v>31</v>
          </cell>
        </row>
        <row r="766">
          <cell r="B766">
            <v>27</v>
          </cell>
          <cell r="C766">
            <v>10000</v>
          </cell>
          <cell r="D766">
            <v>29</v>
          </cell>
          <cell r="E766">
            <v>10000</v>
          </cell>
          <cell r="G766">
            <v>1</v>
          </cell>
          <cell r="H766" t="str">
            <v>ERAF</v>
          </cell>
          <cell r="N766">
            <v>29</v>
          </cell>
          <cell r="P766" t="str">
            <v>31</v>
          </cell>
        </row>
        <row r="767">
          <cell r="B767">
            <v>27</v>
          </cell>
          <cell r="C767">
            <v>9750</v>
          </cell>
          <cell r="D767">
            <v>28</v>
          </cell>
          <cell r="E767">
            <v>9750</v>
          </cell>
          <cell r="G767">
            <v>1</v>
          </cell>
          <cell r="H767" t="str">
            <v>ERAF</v>
          </cell>
          <cell r="N767">
            <v>28</v>
          </cell>
          <cell r="P767" t="str">
            <v>31</v>
          </cell>
        </row>
        <row r="768">
          <cell r="B768">
            <v>27</v>
          </cell>
          <cell r="C768">
            <v>9990</v>
          </cell>
          <cell r="D768">
            <v>29</v>
          </cell>
          <cell r="E768">
            <v>9990</v>
          </cell>
          <cell r="G768">
            <v>1</v>
          </cell>
          <cell r="H768" t="str">
            <v>ERAF</v>
          </cell>
          <cell r="N768">
            <v>29</v>
          </cell>
          <cell r="P768" t="str">
            <v>31</v>
          </cell>
        </row>
        <row r="769">
          <cell r="B769">
            <v>29</v>
          </cell>
          <cell r="C769">
            <v>9600</v>
          </cell>
          <cell r="D769">
            <v>29</v>
          </cell>
          <cell r="E769">
            <v>9600</v>
          </cell>
          <cell r="G769">
            <v>1</v>
          </cell>
          <cell r="H769" t="str">
            <v>ERAF</v>
          </cell>
          <cell r="N769">
            <v>29</v>
          </cell>
          <cell r="P769" t="str">
            <v>31</v>
          </cell>
        </row>
        <row r="770">
          <cell r="B770">
            <v>28</v>
          </cell>
          <cell r="C770">
            <v>9850</v>
          </cell>
          <cell r="D770">
            <v>29</v>
          </cell>
          <cell r="E770">
            <v>9850</v>
          </cell>
          <cell r="G770">
            <v>1</v>
          </cell>
          <cell r="H770" t="str">
            <v>ERAF</v>
          </cell>
          <cell r="N770">
            <v>29</v>
          </cell>
          <cell r="P770" t="str">
            <v>31</v>
          </cell>
        </row>
        <row r="771">
          <cell r="B771">
            <v>28</v>
          </cell>
          <cell r="C771">
            <v>9750</v>
          </cell>
          <cell r="D771">
            <v>29</v>
          </cell>
          <cell r="E771">
            <v>9750</v>
          </cell>
          <cell r="G771">
            <v>1</v>
          </cell>
          <cell r="H771" t="str">
            <v>ERAF</v>
          </cell>
          <cell r="N771">
            <v>29</v>
          </cell>
          <cell r="P771" t="str">
            <v>31</v>
          </cell>
        </row>
        <row r="772">
          <cell r="B772">
            <v>27</v>
          </cell>
          <cell r="C772">
            <v>10000</v>
          </cell>
          <cell r="D772">
            <v>28</v>
          </cell>
          <cell r="E772">
            <v>10000</v>
          </cell>
          <cell r="G772">
            <v>1</v>
          </cell>
          <cell r="H772" t="str">
            <v>ERAF</v>
          </cell>
          <cell r="N772">
            <v>28</v>
          </cell>
          <cell r="P772" t="str">
            <v>31</v>
          </cell>
        </row>
        <row r="773">
          <cell r="B773">
            <v>27</v>
          </cell>
          <cell r="C773">
            <v>9990</v>
          </cell>
          <cell r="D773">
            <v>29</v>
          </cell>
          <cell r="E773">
            <v>9990</v>
          </cell>
          <cell r="G773">
            <v>1</v>
          </cell>
          <cell r="H773" t="str">
            <v>ERAF</v>
          </cell>
          <cell r="N773">
            <v>29</v>
          </cell>
          <cell r="P773" t="str">
            <v>31</v>
          </cell>
        </row>
        <row r="774">
          <cell r="B774">
            <v>27</v>
          </cell>
          <cell r="C774">
            <v>10000</v>
          </cell>
          <cell r="D774">
            <v>28</v>
          </cell>
          <cell r="E774">
            <v>10000</v>
          </cell>
          <cell r="G774">
            <v>1</v>
          </cell>
          <cell r="H774" t="str">
            <v>ERAF</v>
          </cell>
          <cell r="N774">
            <v>28</v>
          </cell>
          <cell r="P774" t="str">
            <v>31</v>
          </cell>
        </row>
        <row r="775">
          <cell r="B775">
            <v>27</v>
          </cell>
          <cell r="C775">
            <v>10000</v>
          </cell>
          <cell r="D775">
            <v>28</v>
          </cell>
          <cell r="E775">
            <v>10000</v>
          </cell>
          <cell r="G775">
            <v>1</v>
          </cell>
          <cell r="H775" t="str">
            <v>ERAF</v>
          </cell>
          <cell r="N775">
            <v>28</v>
          </cell>
          <cell r="P775" t="str">
            <v>31</v>
          </cell>
        </row>
        <row r="776">
          <cell r="B776">
            <v>28</v>
          </cell>
          <cell r="C776">
            <v>10000</v>
          </cell>
          <cell r="D776">
            <v>28</v>
          </cell>
          <cell r="E776">
            <v>10000</v>
          </cell>
          <cell r="G776">
            <v>1</v>
          </cell>
          <cell r="H776" t="str">
            <v>ERAF</v>
          </cell>
          <cell r="N776">
            <v>28</v>
          </cell>
          <cell r="P776" t="str">
            <v>31</v>
          </cell>
        </row>
        <row r="777">
          <cell r="B777">
            <v>38</v>
          </cell>
          <cell r="C777">
            <v>9660</v>
          </cell>
          <cell r="D777">
            <v>44</v>
          </cell>
          <cell r="E777">
            <v>4850</v>
          </cell>
          <cell r="G777">
            <v>1</v>
          </cell>
          <cell r="H777" t="str">
            <v>ERAF</v>
          </cell>
          <cell r="L777" t="str">
            <v>-</v>
          </cell>
          <cell r="N777">
            <v>44</v>
          </cell>
          <cell r="P777" t="str">
            <v>31</v>
          </cell>
        </row>
        <row r="778">
          <cell r="B778">
            <v>28</v>
          </cell>
          <cell r="C778">
            <v>9750</v>
          </cell>
          <cell r="D778">
            <v>29</v>
          </cell>
          <cell r="E778">
            <v>9750</v>
          </cell>
          <cell r="G778">
            <v>1</v>
          </cell>
          <cell r="H778" t="str">
            <v>ERAF</v>
          </cell>
          <cell r="N778">
            <v>29</v>
          </cell>
          <cell r="P778" t="str">
            <v>31</v>
          </cell>
        </row>
        <row r="779">
          <cell r="B779">
            <v>27</v>
          </cell>
          <cell r="C779">
            <v>9990</v>
          </cell>
          <cell r="D779">
            <v>32</v>
          </cell>
          <cell r="E779">
            <v>9990</v>
          </cell>
          <cell r="G779">
            <v>1</v>
          </cell>
          <cell r="H779" t="str">
            <v>ERAF</v>
          </cell>
          <cell r="L779" t="str">
            <v>-</v>
          </cell>
          <cell r="N779">
            <v>32</v>
          </cell>
          <cell r="P779" t="str">
            <v>31</v>
          </cell>
        </row>
        <row r="780">
          <cell r="B780">
            <v>27</v>
          </cell>
          <cell r="C780">
            <v>10000</v>
          </cell>
          <cell r="D780">
            <v>28</v>
          </cell>
          <cell r="E780">
            <v>10000</v>
          </cell>
          <cell r="G780">
            <v>1</v>
          </cell>
          <cell r="H780" t="str">
            <v>ERAF</v>
          </cell>
          <cell r="N780">
            <v>28</v>
          </cell>
          <cell r="P780" t="str">
            <v>31</v>
          </cell>
        </row>
        <row r="781">
          <cell r="B781">
            <v>31</v>
          </cell>
          <cell r="C781">
            <v>10000</v>
          </cell>
          <cell r="D781">
            <v>32</v>
          </cell>
          <cell r="E781">
            <v>10000</v>
          </cell>
          <cell r="G781">
            <v>1</v>
          </cell>
          <cell r="H781" t="str">
            <v>ERAF</v>
          </cell>
          <cell r="L781" t="str">
            <v>-</v>
          </cell>
          <cell r="N781">
            <v>32</v>
          </cell>
          <cell r="P781" t="str">
            <v>31</v>
          </cell>
        </row>
        <row r="782">
          <cell r="B782">
            <v>30</v>
          </cell>
          <cell r="C782">
            <v>10000</v>
          </cell>
          <cell r="D782">
            <v>30</v>
          </cell>
          <cell r="E782">
            <v>10000</v>
          </cell>
          <cell r="G782">
            <v>1</v>
          </cell>
          <cell r="H782" t="str">
            <v>ERAF</v>
          </cell>
          <cell r="N782">
            <v>30</v>
          </cell>
          <cell r="P782" t="str">
            <v>31</v>
          </cell>
        </row>
        <row r="783">
          <cell r="B783">
            <v>27</v>
          </cell>
          <cell r="C783">
            <v>10000</v>
          </cell>
          <cell r="D783">
            <v>28</v>
          </cell>
          <cell r="E783">
            <v>10000</v>
          </cell>
          <cell r="G783">
            <v>1</v>
          </cell>
          <cell r="H783" t="str">
            <v>ERAF</v>
          </cell>
          <cell r="N783">
            <v>28</v>
          </cell>
          <cell r="P783" t="str">
            <v>31</v>
          </cell>
        </row>
        <row r="784">
          <cell r="B784">
            <v>27</v>
          </cell>
          <cell r="C784">
            <v>9750</v>
          </cell>
          <cell r="D784">
            <v>28</v>
          </cell>
          <cell r="E784">
            <v>9750</v>
          </cell>
          <cell r="G784">
            <v>1</v>
          </cell>
          <cell r="H784" t="str">
            <v>ERAF</v>
          </cell>
          <cell r="N784">
            <v>28</v>
          </cell>
          <cell r="P784" t="str">
            <v>31</v>
          </cell>
        </row>
        <row r="785">
          <cell r="B785">
            <v>27</v>
          </cell>
          <cell r="C785">
            <v>10000</v>
          </cell>
          <cell r="D785">
            <v>27</v>
          </cell>
          <cell r="E785">
            <v>10000</v>
          </cell>
          <cell r="G785">
            <v>1</v>
          </cell>
          <cell r="H785" t="str">
            <v>ERAF</v>
          </cell>
          <cell r="N785">
            <v>27</v>
          </cell>
          <cell r="P785" t="str">
            <v>31</v>
          </cell>
        </row>
        <row r="786">
          <cell r="B786">
            <v>28</v>
          </cell>
          <cell r="C786">
            <v>9800</v>
          </cell>
          <cell r="D786">
            <v>30</v>
          </cell>
          <cell r="E786">
            <v>9800</v>
          </cell>
          <cell r="G786">
            <v>1</v>
          </cell>
          <cell r="H786" t="str">
            <v>ERAF</v>
          </cell>
          <cell r="N786">
            <v>30</v>
          </cell>
          <cell r="P786" t="str">
            <v>31</v>
          </cell>
        </row>
        <row r="787">
          <cell r="B787">
            <v>27</v>
          </cell>
          <cell r="C787">
            <v>9990</v>
          </cell>
          <cell r="D787">
            <v>29</v>
          </cell>
          <cell r="E787">
            <v>9990</v>
          </cell>
          <cell r="G787">
            <v>1</v>
          </cell>
          <cell r="H787" t="str">
            <v>ERAF</v>
          </cell>
          <cell r="N787">
            <v>29</v>
          </cell>
          <cell r="P787" t="str">
            <v>31</v>
          </cell>
        </row>
        <row r="788">
          <cell r="B788">
            <v>29</v>
          </cell>
          <cell r="C788">
            <v>7000</v>
          </cell>
          <cell r="D788">
            <v>30</v>
          </cell>
          <cell r="E788">
            <v>7000</v>
          </cell>
          <cell r="G788">
            <v>1</v>
          </cell>
          <cell r="H788" t="str">
            <v>ERAF</v>
          </cell>
          <cell r="N788">
            <v>30</v>
          </cell>
          <cell r="P788" t="str">
            <v>31</v>
          </cell>
        </row>
        <row r="789">
          <cell r="B789">
            <v>28</v>
          </cell>
          <cell r="C789">
            <v>9660</v>
          </cell>
          <cell r="D789">
            <v>29</v>
          </cell>
          <cell r="E789">
            <v>9660</v>
          </cell>
          <cell r="G789">
            <v>1</v>
          </cell>
          <cell r="H789" t="str">
            <v>ERAF</v>
          </cell>
          <cell r="N789">
            <v>29</v>
          </cell>
          <cell r="P789" t="str">
            <v>31</v>
          </cell>
        </row>
        <row r="790">
          <cell r="B790">
            <v>28</v>
          </cell>
          <cell r="C790">
            <v>9999.8</v>
          </cell>
          <cell r="D790">
            <v>29</v>
          </cell>
          <cell r="E790">
            <v>9999.8</v>
          </cell>
          <cell r="G790">
            <v>1</v>
          </cell>
          <cell r="H790" t="str">
            <v>ERAF</v>
          </cell>
          <cell r="N790">
            <v>29</v>
          </cell>
          <cell r="P790" t="str">
            <v>31</v>
          </cell>
        </row>
        <row r="791">
          <cell r="B791">
            <v>29</v>
          </cell>
          <cell r="C791">
            <v>9600</v>
          </cell>
          <cell r="D791">
            <v>28</v>
          </cell>
          <cell r="E791">
            <v>9600</v>
          </cell>
          <cell r="G791">
            <v>1</v>
          </cell>
          <cell r="H791" t="str">
            <v>ERAF</v>
          </cell>
          <cell r="N791">
            <v>28</v>
          </cell>
          <cell r="P791" t="str">
            <v>31</v>
          </cell>
        </row>
        <row r="792">
          <cell r="B792">
            <v>26</v>
          </cell>
          <cell r="C792">
            <v>10000</v>
          </cell>
          <cell r="D792">
            <v>27</v>
          </cell>
          <cell r="E792">
            <v>10000</v>
          </cell>
          <cell r="G792">
            <v>1</v>
          </cell>
          <cell r="H792" t="str">
            <v>ERAF</v>
          </cell>
          <cell r="N792">
            <v>27</v>
          </cell>
          <cell r="P792" t="str">
            <v>31</v>
          </cell>
        </row>
        <row r="793">
          <cell r="B793">
            <v>27</v>
          </cell>
          <cell r="C793">
            <v>9000</v>
          </cell>
          <cell r="D793">
            <v>35</v>
          </cell>
          <cell r="E793">
            <v>9000</v>
          </cell>
          <cell r="G793">
            <v>1</v>
          </cell>
          <cell r="H793" t="str">
            <v>ERAF</v>
          </cell>
          <cell r="L793" t="str">
            <v>-</v>
          </cell>
          <cell r="N793">
            <v>35</v>
          </cell>
          <cell r="P793" t="str">
            <v>31</v>
          </cell>
        </row>
        <row r="794">
          <cell r="B794">
            <v>27</v>
          </cell>
          <cell r="C794">
            <v>10000</v>
          </cell>
          <cell r="D794">
            <v>29</v>
          </cell>
          <cell r="E794">
            <v>10000</v>
          </cell>
          <cell r="G794">
            <v>1</v>
          </cell>
          <cell r="H794" t="str">
            <v>ERAF</v>
          </cell>
          <cell r="N794">
            <v>29</v>
          </cell>
          <cell r="P794" t="str">
            <v>31</v>
          </cell>
        </row>
        <row r="795">
          <cell r="B795">
            <v>27</v>
          </cell>
          <cell r="C795">
            <v>9990</v>
          </cell>
          <cell r="D795">
            <v>29</v>
          </cell>
          <cell r="E795">
            <v>9990</v>
          </cell>
          <cell r="G795">
            <v>1</v>
          </cell>
          <cell r="H795" t="str">
            <v>ERAF</v>
          </cell>
          <cell r="N795">
            <v>29</v>
          </cell>
          <cell r="P795" t="str">
            <v>31</v>
          </cell>
        </row>
        <row r="796">
          <cell r="B796">
            <v>28</v>
          </cell>
          <cell r="C796">
            <v>8375</v>
          </cell>
          <cell r="D796">
            <v>29</v>
          </cell>
          <cell r="E796">
            <v>8375</v>
          </cell>
          <cell r="G796">
            <v>1</v>
          </cell>
          <cell r="H796" t="str">
            <v>ERAF</v>
          </cell>
          <cell r="N796">
            <v>29</v>
          </cell>
          <cell r="P796" t="str">
            <v>31</v>
          </cell>
        </row>
        <row r="797">
          <cell r="B797">
            <v>32</v>
          </cell>
          <cell r="C797">
            <v>10000</v>
          </cell>
          <cell r="D797">
            <v>32</v>
          </cell>
          <cell r="E797">
            <v>10000</v>
          </cell>
          <cell r="G797">
            <v>1</v>
          </cell>
          <cell r="H797" t="str">
            <v>ERAF</v>
          </cell>
          <cell r="L797" t="str">
            <v>-</v>
          </cell>
          <cell r="N797">
            <v>32</v>
          </cell>
          <cell r="P797" t="str">
            <v>31</v>
          </cell>
        </row>
        <row r="798">
          <cell r="B798">
            <v>27</v>
          </cell>
          <cell r="C798">
            <v>9750</v>
          </cell>
          <cell r="D798">
            <v>28</v>
          </cell>
          <cell r="E798">
            <v>9750</v>
          </cell>
          <cell r="G798">
            <v>1</v>
          </cell>
          <cell r="H798" t="str">
            <v>ERAF</v>
          </cell>
          <cell r="N798">
            <v>28</v>
          </cell>
          <cell r="P798" t="str">
            <v>31</v>
          </cell>
        </row>
        <row r="799">
          <cell r="B799">
            <v>27</v>
          </cell>
          <cell r="C799">
            <v>10000</v>
          </cell>
          <cell r="D799">
            <v>28</v>
          </cell>
          <cell r="E799">
            <v>10000</v>
          </cell>
          <cell r="G799">
            <v>1</v>
          </cell>
          <cell r="H799" t="str">
            <v>ERAF</v>
          </cell>
          <cell r="N799">
            <v>28</v>
          </cell>
          <cell r="P799" t="str">
            <v>31</v>
          </cell>
        </row>
        <row r="800">
          <cell r="B800">
            <v>28</v>
          </cell>
          <cell r="C800">
            <v>9600</v>
          </cell>
          <cell r="D800">
            <v>29</v>
          </cell>
          <cell r="E800">
            <v>9600</v>
          </cell>
          <cell r="G800">
            <v>1</v>
          </cell>
          <cell r="H800" t="str">
            <v>ERAF</v>
          </cell>
          <cell r="N800">
            <v>29</v>
          </cell>
          <cell r="P800" t="str">
            <v>31</v>
          </cell>
        </row>
        <row r="801">
          <cell r="B801">
            <v>27</v>
          </cell>
          <cell r="C801">
            <v>10000</v>
          </cell>
          <cell r="D801">
            <v>28</v>
          </cell>
          <cell r="E801">
            <v>10000</v>
          </cell>
          <cell r="G801">
            <v>1</v>
          </cell>
          <cell r="H801" t="str">
            <v>ERAF</v>
          </cell>
          <cell r="N801">
            <v>28</v>
          </cell>
          <cell r="P801" t="str">
            <v>31</v>
          </cell>
        </row>
        <row r="802">
          <cell r="B802">
            <v>28</v>
          </cell>
          <cell r="C802">
            <v>9800</v>
          </cell>
          <cell r="D802">
            <v>29</v>
          </cell>
          <cell r="E802">
            <v>9800</v>
          </cell>
          <cell r="G802">
            <v>1</v>
          </cell>
          <cell r="H802" t="str">
            <v>ERAF</v>
          </cell>
          <cell r="N802">
            <v>29</v>
          </cell>
          <cell r="P802" t="str">
            <v>31</v>
          </cell>
        </row>
        <row r="803">
          <cell r="B803">
            <v>29</v>
          </cell>
          <cell r="C803">
            <v>10000</v>
          </cell>
          <cell r="D803">
            <v>29</v>
          </cell>
          <cell r="E803">
            <v>10000</v>
          </cell>
          <cell r="G803">
            <v>1</v>
          </cell>
          <cell r="H803" t="str">
            <v>ERAF</v>
          </cell>
          <cell r="N803">
            <v>29</v>
          </cell>
          <cell r="P803" t="str">
            <v>31</v>
          </cell>
        </row>
        <row r="804">
          <cell r="B804">
            <v>29</v>
          </cell>
          <cell r="C804">
            <v>10000</v>
          </cell>
          <cell r="D804">
            <v>30</v>
          </cell>
          <cell r="E804">
            <v>10000</v>
          </cell>
          <cell r="G804">
            <v>1</v>
          </cell>
          <cell r="H804" t="str">
            <v>ERAF</v>
          </cell>
          <cell r="L804" t="str">
            <v>-</v>
          </cell>
          <cell r="N804">
            <v>30</v>
          </cell>
          <cell r="P804" t="str">
            <v>31</v>
          </cell>
        </row>
        <row r="805">
          <cell r="B805">
            <v>29</v>
          </cell>
          <cell r="C805">
            <v>10000</v>
          </cell>
          <cell r="D805">
            <v>29</v>
          </cell>
          <cell r="E805">
            <v>10000</v>
          </cell>
          <cell r="G805">
            <v>1</v>
          </cell>
          <cell r="H805" t="str">
            <v>ERAF</v>
          </cell>
          <cell r="N805">
            <v>29</v>
          </cell>
          <cell r="P805" t="str">
            <v>31</v>
          </cell>
        </row>
        <row r="806">
          <cell r="B806">
            <v>27</v>
          </cell>
          <cell r="C806">
            <v>9800</v>
          </cell>
          <cell r="D806">
            <v>35</v>
          </cell>
          <cell r="E806">
            <v>9800</v>
          </cell>
          <cell r="G806">
            <v>1</v>
          </cell>
          <cell r="H806" t="str">
            <v>ERAF</v>
          </cell>
          <cell r="L806" t="str">
            <v>-</v>
          </cell>
          <cell r="N806">
            <v>35</v>
          </cell>
          <cell r="P806" t="str">
            <v>31</v>
          </cell>
        </row>
        <row r="807">
          <cell r="B807">
            <v>28</v>
          </cell>
          <cell r="C807">
            <v>9680</v>
          </cell>
          <cell r="D807">
            <v>29</v>
          </cell>
          <cell r="E807">
            <v>9680</v>
          </cell>
          <cell r="G807">
            <v>1</v>
          </cell>
          <cell r="H807" t="str">
            <v>ERAF</v>
          </cell>
          <cell r="N807">
            <v>29</v>
          </cell>
          <cell r="P807" t="str">
            <v>31</v>
          </cell>
        </row>
        <row r="808">
          <cell r="B808">
            <v>28</v>
          </cell>
          <cell r="C808">
            <v>9600</v>
          </cell>
          <cell r="D808">
            <v>29</v>
          </cell>
          <cell r="E808">
            <v>9600</v>
          </cell>
          <cell r="G808">
            <v>1</v>
          </cell>
          <cell r="H808" t="str">
            <v>ERAF</v>
          </cell>
          <cell r="N808">
            <v>29</v>
          </cell>
          <cell r="P808" t="str">
            <v>31</v>
          </cell>
        </row>
        <row r="809">
          <cell r="B809">
            <v>40</v>
          </cell>
          <cell r="C809">
            <v>5050</v>
          </cell>
          <cell r="D809">
            <v>37</v>
          </cell>
          <cell r="E809">
            <v>0</v>
          </cell>
          <cell r="G809">
            <v>1</v>
          </cell>
          <cell r="H809" t="str">
            <v>ERAF</v>
          </cell>
          <cell r="N809">
            <v>37</v>
          </cell>
          <cell r="P809" t="str">
            <v>32</v>
          </cell>
        </row>
        <row r="810">
          <cell r="B810">
            <v>27</v>
          </cell>
          <cell r="C810">
            <v>9600</v>
          </cell>
          <cell r="D810">
            <v>28</v>
          </cell>
          <cell r="E810">
            <v>9600</v>
          </cell>
          <cell r="G810">
            <v>1</v>
          </cell>
          <cell r="H810" t="str">
            <v>ERAF</v>
          </cell>
          <cell r="N810">
            <v>28</v>
          </cell>
          <cell r="P810" t="str">
            <v>31</v>
          </cell>
        </row>
        <row r="811">
          <cell r="B811">
            <v>27</v>
          </cell>
          <cell r="C811">
            <v>9990</v>
          </cell>
          <cell r="D811">
            <v>29</v>
          </cell>
          <cell r="E811">
            <v>9990</v>
          </cell>
          <cell r="G811">
            <v>1</v>
          </cell>
          <cell r="H811" t="str">
            <v>ERAF</v>
          </cell>
          <cell r="N811">
            <v>29</v>
          </cell>
          <cell r="P811" t="str">
            <v>31</v>
          </cell>
        </row>
        <row r="812">
          <cell r="B812">
            <v>28</v>
          </cell>
          <cell r="C812">
            <v>9625</v>
          </cell>
          <cell r="D812">
            <v>29</v>
          </cell>
          <cell r="E812">
            <v>9625</v>
          </cell>
          <cell r="G812">
            <v>1</v>
          </cell>
          <cell r="H812" t="str">
            <v>ERAF</v>
          </cell>
          <cell r="N812">
            <v>29</v>
          </cell>
          <cell r="P812" t="str">
            <v>31</v>
          </cell>
        </row>
        <row r="813">
          <cell r="B813">
            <v>27</v>
          </cell>
          <cell r="C813">
            <v>9900</v>
          </cell>
          <cell r="D813">
            <v>28</v>
          </cell>
          <cell r="E813">
            <v>9900</v>
          </cell>
          <cell r="G813">
            <v>1</v>
          </cell>
          <cell r="H813" t="str">
            <v>ERAF</v>
          </cell>
          <cell r="N813">
            <v>28</v>
          </cell>
          <cell r="P813" t="str">
            <v>31</v>
          </cell>
        </row>
        <row r="814">
          <cell r="B814">
            <v>27</v>
          </cell>
          <cell r="C814">
            <v>10000</v>
          </cell>
          <cell r="D814">
            <v>29</v>
          </cell>
          <cell r="E814">
            <v>10000</v>
          </cell>
          <cell r="G814">
            <v>1</v>
          </cell>
          <cell r="H814" t="str">
            <v>ERAF</v>
          </cell>
          <cell r="N814">
            <v>29</v>
          </cell>
          <cell r="P814" t="str">
            <v>31</v>
          </cell>
        </row>
        <row r="815">
          <cell r="B815">
            <v>28</v>
          </cell>
          <cell r="C815">
            <v>10000</v>
          </cell>
          <cell r="D815">
            <v>30</v>
          </cell>
          <cell r="E815">
            <v>10000</v>
          </cell>
          <cell r="G815">
            <v>1</v>
          </cell>
          <cell r="H815" t="str">
            <v>ERAF</v>
          </cell>
          <cell r="L815" t="str">
            <v>-</v>
          </cell>
          <cell r="N815">
            <v>30</v>
          </cell>
          <cell r="P815" t="str">
            <v>31</v>
          </cell>
        </row>
        <row r="816">
          <cell r="B816">
            <v>27</v>
          </cell>
          <cell r="C816">
            <v>9925</v>
          </cell>
          <cell r="D816">
            <v>29</v>
          </cell>
          <cell r="E816">
            <v>9925</v>
          </cell>
          <cell r="G816">
            <v>1</v>
          </cell>
          <cell r="H816" t="str">
            <v>ERAF</v>
          </cell>
          <cell r="N816">
            <v>29</v>
          </cell>
          <cell r="P816" t="str">
            <v>31</v>
          </cell>
        </row>
        <row r="817">
          <cell r="B817">
            <v>27</v>
          </cell>
          <cell r="C817">
            <v>9990</v>
          </cell>
          <cell r="D817">
            <v>33</v>
          </cell>
          <cell r="E817">
            <v>9990</v>
          </cell>
          <cell r="G817">
            <v>1</v>
          </cell>
          <cell r="H817" t="str">
            <v>ERAF</v>
          </cell>
          <cell r="L817" t="str">
            <v>-</v>
          </cell>
          <cell r="N817">
            <v>33</v>
          </cell>
          <cell r="P817" t="str">
            <v>31</v>
          </cell>
        </row>
        <row r="818">
          <cell r="B818">
            <v>28</v>
          </cell>
          <cell r="C818">
            <v>9750</v>
          </cell>
          <cell r="D818">
            <v>29</v>
          </cell>
          <cell r="E818">
            <v>9750</v>
          </cell>
          <cell r="G818">
            <v>1</v>
          </cell>
          <cell r="H818" t="str">
            <v>ERAF</v>
          </cell>
          <cell r="N818">
            <v>29</v>
          </cell>
          <cell r="P818" t="str">
            <v>31</v>
          </cell>
        </row>
        <row r="819">
          <cell r="B819">
            <v>28</v>
          </cell>
          <cell r="C819">
            <v>9000</v>
          </cell>
          <cell r="D819">
            <v>29</v>
          </cell>
          <cell r="E819">
            <v>9000</v>
          </cell>
          <cell r="G819">
            <v>1</v>
          </cell>
          <cell r="H819" t="str">
            <v>ERAF</v>
          </cell>
          <cell r="N819">
            <v>29</v>
          </cell>
          <cell r="P819" t="str">
            <v>31</v>
          </cell>
        </row>
        <row r="820">
          <cell r="B820">
            <v>30</v>
          </cell>
          <cell r="C820">
            <v>9800</v>
          </cell>
          <cell r="D820">
            <v>30</v>
          </cell>
          <cell r="E820">
            <v>9800</v>
          </cell>
          <cell r="G820">
            <v>1</v>
          </cell>
          <cell r="H820" t="str">
            <v>ERAF</v>
          </cell>
          <cell r="L820" t="str">
            <v>-</v>
          </cell>
          <cell r="N820">
            <v>30</v>
          </cell>
          <cell r="P820" t="str">
            <v>31</v>
          </cell>
        </row>
        <row r="821">
          <cell r="B821">
            <v>26</v>
          </cell>
          <cell r="C821">
            <v>10000</v>
          </cell>
          <cell r="D821">
            <v>27</v>
          </cell>
          <cell r="E821">
            <v>10000</v>
          </cell>
          <cell r="G821">
            <v>1</v>
          </cell>
          <cell r="H821" t="str">
            <v>ERAF</v>
          </cell>
          <cell r="N821">
            <v>27</v>
          </cell>
          <cell r="P821" t="str">
            <v>31</v>
          </cell>
        </row>
        <row r="822">
          <cell r="B822">
            <v>28</v>
          </cell>
          <cell r="C822">
            <v>10000</v>
          </cell>
          <cell r="D822">
            <v>29</v>
          </cell>
          <cell r="E822">
            <v>10000</v>
          </cell>
          <cell r="G822">
            <v>1</v>
          </cell>
          <cell r="H822" t="str">
            <v>ERAF</v>
          </cell>
          <cell r="N822">
            <v>29</v>
          </cell>
          <cell r="P822" t="str">
            <v>31</v>
          </cell>
        </row>
        <row r="823">
          <cell r="B823">
            <v>28</v>
          </cell>
          <cell r="C823">
            <v>10000</v>
          </cell>
          <cell r="D823">
            <v>29</v>
          </cell>
          <cell r="E823">
            <v>10000</v>
          </cell>
          <cell r="G823">
            <v>1</v>
          </cell>
          <cell r="H823" t="str">
            <v>ERAF</v>
          </cell>
          <cell r="N823">
            <v>29</v>
          </cell>
          <cell r="P823" t="str">
            <v>31</v>
          </cell>
        </row>
        <row r="824">
          <cell r="B824">
            <v>27</v>
          </cell>
          <cell r="C824">
            <v>9800</v>
          </cell>
          <cell r="D824">
            <v>29</v>
          </cell>
          <cell r="E824">
            <v>9800</v>
          </cell>
          <cell r="G824">
            <v>1</v>
          </cell>
          <cell r="H824" t="str">
            <v>ERAF</v>
          </cell>
          <cell r="N824">
            <v>29</v>
          </cell>
          <cell r="P824" t="str">
            <v>31</v>
          </cell>
        </row>
        <row r="825">
          <cell r="B825">
            <v>29</v>
          </cell>
          <cell r="C825">
            <v>10000</v>
          </cell>
          <cell r="D825">
            <v>30</v>
          </cell>
          <cell r="E825">
            <v>10000</v>
          </cell>
          <cell r="G825">
            <v>1</v>
          </cell>
          <cell r="H825" t="str">
            <v>ERAF</v>
          </cell>
          <cell r="L825" t="str">
            <v>-</v>
          </cell>
          <cell r="N825">
            <v>30</v>
          </cell>
          <cell r="P825" t="str">
            <v>31</v>
          </cell>
        </row>
        <row r="826">
          <cell r="B826">
            <v>27</v>
          </cell>
          <cell r="C826">
            <v>10000</v>
          </cell>
          <cell r="D826">
            <v>30</v>
          </cell>
          <cell r="E826">
            <v>10000</v>
          </cell>
          <cell r="G826">
            <v>1</v>
          </cell>
          <cell r="H826" t="str">
            <v>ERAF</v>
          </cell>
          <cell r="L826" t="str">
            <v>-</v>
          </cell>
          <cell r="N826">
            <v>30</v>
          </cell>
          <cell r="P826" t="str">
            <v>31</v>
          </cell>
        </row>
        <row r="827">
          <cell r="B827">
            <v>37</v>
          </cell>
          <cell r="C827">
            <v>25358.76</v>
          </cell>
          <cell r="D827">
            <v>39</v>
          </cell>
          <cell r="E827">
            <v>21270.51</v>
          </cell>
          <cell r="G827">
            <v>1</v>
          </cell>
          <cell r="H827" t="str">
            <v>ERAF</v>
          </cell>
          <cell r="L827" t="str">
            <v>-</v>
          </cell>
          <cell r="N827">
            <v>39</v>
          </cell>
          <cell r="P827" t="str">
            <v>32</v>
          </cell>
        </row>
        <row r="828">
          <cell r="B828">
            <v>29</v>
          </cell>
          <cell r="C828">
            <v>12183.97</v>
          </cell>
          <cell r="D828">
            <v>29</v>
          </cell>
          <cell r="E828">
            <v>11289.4</v>
          </cell>
          <cell r="G828">
            <v>1</v>
          </cell>
          <cell r="H828" t="str">
            <v>ERAF</v>
          </cell>
          <cell r="N828">
            <v>29</v>
          </cell>
          <cell r="P828" t="str">
            <v>32</v>
          </cell>
        </row>
        <row r="829">
          <cell r="B829">
            <v>32</v>
          </cell>
          <cell r="C829">
            <v>8441.94</v>
          </cell>
          <cell r="D829">
            <v>32</v>
          </cell>
          <cell r="E829">
            <v>6196.74</v>
          </cell>
          <cell r="G829">
            <v>1</v>
          </cell>
          <cell r="H829" t="str">
            <v>ERAF</v>
          </cell>
          <cell r="L829" t="str">
            <v>-</v>
          </cell>
          <cell r="N829">
            <v>32</v>
          </cell>
          <cell r="P829" t="str">
            <v>32</v>
          </cell>
        </row>
        <row r="830">
          <cell r="B830">
            <v>25</v>
          </cell>
          <cell r="C830">
            <v>127240.75</v>
          </cell>
          <cell r="D830">
            <v>38</v>
          </cell>
          <cell r="E830">
            <v>0</v>
          </cell>
          <cell r="G830">
            <v>1</v>
          </cell>
          <cell r="H830" t="str">
            <v>ERAF</v>
          </cell>
          <cell r="N830">
            <v>38</v>
          </cell>
          <cell r="P830" t="str">
            <v>20</v>
          </cell>
        </row>
        <row r="831">
          <cell r="B831">
            <v>26</v>
          </cell>
          <cell r="C831">
            <v>4661.99</v>
          </cell>
          <cell r="D831">
            <v>30</v>
          </cell>
          <cell r="E831">
            <v>2510.47</v>
          </cell>
          <cell r="G831">
            <v>1</v>
          </cell>
          <cell r="H831" t="str">
            <v>ERAF</v>
          </cell>
          <cell r="N831">
            <v>30</v>
          </cell>
          <cell r="P831" t="str">
            <v>32</v>
          </cell>
        </row>
        <row r="832">
          <cell r="B832">
            <v>37</v>
          </cell>
          <cell r="C832">
            <v>5460.86</v>
          </cell>
          <cell r="D832">
            <v>40</v>
          </cell>
          <cell r="E832">
            <v>4784.71</v>
          </cell>
          <cell r="G832">
            <v>1</v>
          </cell>
          <cell r="H832" t="str">
            <v>ERAF</v>
          </cell>
          <cell r="L832" t="str">
            <v>-</v>
          </cell>
          <cell r="N832">
            <v>40</v>
          </cell>
          <cell r="P832" t="str">
            <v>32</v>
          </cell>
        </row>
        <row r="833">
          <cell r="B833">
            <v>39</v>
          </cell>
          <cell r="C833">
            <v>2490</v>
          </cell>
          <cell r="D833">
            <v>38</v>
          </cell>
          <cell r="E833">
            <v>0</v>
          </cell>
          <cell r="G833">
            <v>1</v>
          </cell>
          <cell r="H833" t="str">
            <v>ERAF</v>
          </cell>
          <cell r="N833">
            <v>38</v>
          </cell>
          <cell r="P833" t="str">
            <v>31</v>
          </cell>
        </row>
        <row r="834">
          <cell r="B834">
            <v>36</v>
          </cell>
          <cell r="C834">
            <v>7350</v>
          </cell>
          <cell r="D834">
            <v>40</v>
          </cell>
          <cell r="E834">
            <v>5167.24</v>
          </cell>
          <cell r="G834">
            <v>1</v>
          </cell>
          <cell r="H834" t="str">
            <v>ERAF</v>
          </cell>
          <cell r="L834" t="str">
            <v>-</v>
          </cell>
          <cell r="N834">
            <v>40</v>
          </cell>
          <cell r="P834" t="str">
            <v>32</v>
          </cell>
        </row>
        <row r="835">
          <cell r="B835">
            <v>28</v>
          </cell>
          <cell r="C835">
            <v>6382.57</v>
          </cell>
          <cell r="D835">
            <v>35</v>
          </cell>
          <cell r="E835">
            <v>4850.7</v>
          </cell>
          <cell r="G835">
            <v>1</v>
          </cell>
          <cell r="H835" t="str">
            <v>ERAF</v>
          </cell>
          <cell r="L835" t="str">
            <v>-</v>
          </cell>
          <cell r="N835">
            <v>35</v>
          </cell>
          <cell r="P835" t="str">
            <v>32</v>
          </cell>
        </row>
        <row r="836">
          <cell r="B836">
            <v>29</v>
          </cell>
          <cell r="C836">
            <v>3144.09</v>
          </cell>
          <cell r="D836">
            <v>30</v>
          </cell>
          <cell r="E836">
            <v>2840.18</v>
          </cell>
          <cell r="G836">
            <v>1</v>
          </cell>
          <cell r="H836" t="str">
            <v>ERAF</v>
          </cell>
          <cell r="L836" t="str">
            <v>-</v>
          </cell>
          <cell r="N836">
            <v>30</v>
          </cell>
          <cell r="P836" t="str">
            <v>32</v>
          </cell>
        </row>
        <row r="837">
          <cell r="B837">
            <v>28</v>
          </cell>
          <cell r="C837">
            <v>14935.43</v>
          </cell>
          <cell r="D837">
            <v>31</v>
          </cell>
          <cell r="E837">
            <v>8315.69</v>
          </cell>
          <cell r="G837">
            <v>1</v>
          </cell>
          <cell r="H837" t="str">
            <v>ERAF</v>
          </cell>
          <cell r="L837" t="str">
            <v>-</v>
          </cell>
          <cell r="N837">
            <v>31</v>
          </cell>
          <cell r="P837" t="str">
            <v>32</v>
          </cell>
        </row>
        <row r="838">
          <cell r="B838">
            <v>28</v>
          </cell>
          <cell r="C838">
            <v>1167.3</v>
          </cell>
          <cell r="D838">
            <v>29</v>
          </cell>
          <cell r="E838">
            <v>1128.26</v>
          </cell>
          <cell r="G838">
            <v>1</v>
          </cell>
          <cell r="H838" t="str">
            <v>ERAF</v>
          </cell>
          <cell r="N838">
            <v>29</v>
          </cell>
          <cell r="P838" t="str">
            <v>32</v>
          </cell>
        </row>
        <row r="839">
          <cell r="B839">
            <v>28</v>
          </cell>
          <cell r="C839">
            <v>11007.25</v>
          </cell>
          <cell r="D839">
            <v>29</v>
          </cell>
          <cell r="E839">
            <v>8370.69</v>
          </cell>
          <cell r="G839">
            <v>1</v>
          </cell>
          <cell r="H839" t="str">
            <v>ERAF</v>
          </cell>
          <cell r="N839">
            <v>29</v>
          </cell>
          <cell r="P839" t="str">
            <v>32</v>
          </cell>
        </row>
        <row r="840">
          <cell r="B840">
            <v>41</v>
          </cell>
          <cell r="C840">
            <v>7600.65</v>
          </cell>
          <cell r="D840">
            <v>42</v>
          </cell>
          <cell r="E840">
            <v>2679.75</v>
          </cell>
          <cell r="G840">
            <v>1</v>
          </cell>
          <cell r="H840" t="str">
            <v>ERAF</v>
          </cell>
          <cell r="L840" t="str">
            <v>-</v>
          </cell>
          <cell r="N840">
            <v>42</v>
          </cell>
          <cell r="P840" t="str">
            <v>32</v>
          </cell>
        </row>
        <row r="841">
          <cell r="B841">
            <v>35</v>
          </cell>
          <cell r="C841">
            <v>6448.05</v>
          </cell>
          <cell r="D841">
            <v>37</v>
          </cell>
          <cell r="E841">
            <v>4070.55</v>
          </cell>
          <cell r="G841">
            <v>1</v>
          </cell>
          <cell r="H841" t="str">
            <v>ERAF</v>
          </cell>
          <cell r="L841" t="str">
            <v>-</v>
          </cell>
          <cell r="N841">
            <v>37</v>
          </cell>
          <cell r="P841" t="str">
            <v>32</v>
          </cell>
        </row>
        <row r="842">
          <cell r="B842">
            <v>36</v>
          </cell>
          <cell r="C842">
            <v>13933.19</v>
          </cell>
          <cell r="D842">
            <v>42</v>
          </cell>
          <cell r="E842">
            <v>8672.31</v>
          </cell>
          <cell r="G842">
            <v>1</v>
          </cell>
          <cell r="H842" t="str">
            <v>ERAF</v>
          </cell>
          <cell r="L842" t="str">
            <v>-</v>
          </cell>
          <cell r="N842">
            <v>42</v>
          </cell>
          <cell r="P842" t="str">
            <v>32</v>
          </cell>
        </row>
        <row r="843">
          <cell r="B843">
            <v>36</v>
          </cell>
          <cell r="C843">
            <v>15550.5</v>
          </cell>
          <cell r="D843">
            <v>41</v>
          </cell>
          <cell r="E843">
            <v>13130.71</v>
          </cell>
          <cell r="G843">
            <v>1</v>
          </cell>
          <cell r="H843" t="str">
            <v>ERAF</v>
          </cell>
          <cell r="L843" t="str">
            <v>-</v>
          </cell>
          <cell r="N843">
            <v>41</v>
          </cell>
          <cell r="P843" t="str">
            <v>32</v>
          </cell>
        </row>
        <row r="844">
          <cell r="B844">
            <v>29</v>
          </cell>
          <cell r="C844">
            <v>22003.73</v>
          </cell>
          <cell r="D844">
            <v>30</v>
          </cell>
          <cell r="E844">
            <v>20593.97</v>
          </cell>
          <cell r="G844">
            <v>1</v>
          </cell>
          <cell r="H844" t="str">
            <v>ERAF</v>
          </cell>
          <cell r="L844" t="str">
            <v>-</v>
          </cell>
          <cell r="N844">
            <v>30</v>
          </cell>
          <cell r="P844" t="str">
            <v>32</v>
          </cell>
        </row>
        <row r="845">
          <cell r="B845">
            <v>32</v>
          </cell>
          <cell r="C845">
            <v>18350</v>
          </cell>
          <cell r="D845">
            <v>39</v>
          </cell>
          <cell r="E845">
            <v>4548.69</v>
          </cell>
          <cell r="G845">
            <v>1</v>
          </cell>
          <cell r="H845" t="str">
            <v>ERAF</v>
          </cell>
          <cell r="L845" t="str">
            <v>-</v>
          </cell>
          <cell r="N845">
            <v>39</v>
          </cell>
          <cell r="P845" t="str">
            <v>32</v>
          </cell>
        </row>
        <row r="846">
          <cell r="B846">
            <v>33</v>
          </cell>
          <cell r="C846">
            <v>6823.94</v>
          </cell>
          <cell r="D846">
            <v>35</v>
          </cell>
          <cell r="E846">
            <v>1000.82</v>
          </cell>
          <cell r="G846">
            <v>1</v>
          </cell>
          <cell r="H846" t="str">
            <v>ERAF</v>
          </cell>
          <cell r="L846" t="str">
            <v>-</v>
          </cell>
          <cell r="N846">
            <v>35</v>
          </cell>
          <cell r="P846" t="str">
            <v>32</v>
          </cell>
        </row>
        <row r="847">
          <cell r="B847">
            <v>34</v>
          </cell>
          <cell r="C847">
            <v>19606.59</v>
          </cell>
          <cell r="D847">
            <v>36</v>
          </cell>
          <cell r="E847">
            <v>16098.45</v>
          </cell>
          <cell r="G847">
            <v>1</v>
          </cell>
          <cell r="H847" t="str">
            <v>ESF</v>
          </cell>
          <cell r="L847" t="str">
            <v>-</v>
          </cell>
          <cell r="N847">
            <v>36</v>
          </cell>
          <cell r="P847" t="str">
            <v>40</v>
          </cell>
        </row>
        <row r="848">
          <cell r="B848">
            <v>27</v>
          </cell>
          <cell r="C848">
            <v>30000</v>
          </cell>
          <cell r="D848">
            <v>27</v>
          </cell>
          <cell r="E848">
            <v>30000</v>
          </cell>
          <cell r="G848">
            <v>1</v>
          </cell>
          <cell r="H848" t="str">
            <v>ESF</v>
          </cell>
          <cell r="N848">
            <v>27</v>
          </cell>
          <cell r="P848" t="str">
            <v>40</v>
          </cell>
        </row>
        <row r="849">
          <cell r="B849">
            <v>28</v>
          </cell>
          <cell r="C849">
            <v>29559.2</v>
          </cell>
          <cell r="D849">
            <v>28</v>
          </cell>
          <cell r="E849">
            <v>29559.2</v>
          </cell>
          <cell r="G849">
            <v>1</v>
          </cell>
          <cell r="H849" t="str">
            <v>ESF</v>
          </cell>
          <cell r="N849">
            <v>28</v>
          </cell>
          <cell r="P849" t="str">
            <v>40</v>
          </cell>
        </row>
        <row r="850">
          <cell r="B850">
            <v>30</v>
          </cell>
          <cell r="C850">
            <v>3952</v>
          </cell>
          <cell r="D850">
            <v>31</v>
          </cell>
          <cell r="E850">
            <v>3952</v>
          </cell>
          <cell r="G850">
            <v>1</v>
          </cell>
          <cell r="H850" t="str">
            <v>ESF</v>
          </cell>
          <cell r="L850" t="str">
            <v>-</v>
          </cell>
          <cell r="N850">
            <v>31</v>
          </cell>
          <cell r="P850" t="str">
            <v>40</v>
          </cell>
        </row>
        <row r="851">
          <cell r="B851">
            <v>31</v>
          </cell>
          <cell r="C851">
            <v>20310.33</v>
          </cell>
          <cell r="D851">
            <v>36</v>
          </cell>
          <cell r="E851">
            <v>20217.2</v>
          </cell>
          <cell r="G851">
            <v>1</v>
          </cell>
          <cell r="H851" t="str">
            <v>ESF</v>
          </cell>
          <cell r="L851" t="str">
            <v>-</v>
          </cell>
          <cell r="N851">
            <v>36</v>
          </cell>
          <cell r="P851" t="str">
            <v>40</v>
          </cell>
        </row>
        <row r="852">
          <cell r="B852">
            <v>28</v>
          </cell>
          <cell r="C852">
            <v>3986.4</v>
          </cell>
          <cell r="D852">
            <v>28</v>
          </cell>
          <cell r="E852">
            <v>3986.4</v>
          </cell>
          <cell r="G852">
            <v>1</v>
          </cell>
          <cell r="H852" t="str">
            <v>ESF</v>
          </cell>
          <cell r="N852">
            <v>28</v>
          </cell>
          <cell r="P852" t="str">
            <v>40</v>
          </cell>
        </row>
        <row r="853">
          <cell r="B853">
            <v>28</v>
          </cell>
          <cell r="C853">
            <v>7913.6</v>
          </cell>
          <cell r="D853">
            <v>28</v>
          </cell>
          <cell r="E853">
            <v>7913.6</v>
          </cell>
          <cell r="G853">
            <v>1</v>
          </cell>
          <cell r="H853" t="str">
            <v>ESF</v>
          </cell>
          <cell r="N853">
            <v>28</v>
          </cell>
          <cell r="P853" t="str">
            <v>40</v>
          </cell>
        </row>
        <row r="854">
          <cell r="B854">
            <v>28</v>
          </cell>
          <cell r="C854">
            <v>7955.2</v>
          </cell>
          <cell r="D854">
            <v>27</v>
          </cell>
          <cell r="E854">
            <v>7955.2</v>
          </cell>
          <cell r="G854">
            <v>1</v>
          </cell>
          <cell r="H854" t="str">
            <v>ESF</v>
          </cell>
          <cell r="N854">
            <v>27</v>
          </cell>
          <cell r="P854" t="str">
            <v>40</v>
          </cell>
        </row>
        <row r="855">
          <cell r="B855">
            <v>28</v>
          </cell>
          <cell r="C855">
            <v>3986.4</v>
          </cell>
          <cell r="D855">
            <v>28</v>
          </cell>
          <cell r="E855">
            <v>3986.4</v>
          </cell>
          <cell r="G855">
            <v>1</v>
          </cell>
          <cell r="H855" t="str">
            <v>ESF</v>
          </cell>
          <cell r="N855">
            <v>28</v>
          </cell>
          <cell r="P855" t="str">
            <v>40</v>
          </cell>
        </row>
        <row r="856">
          <cell r="B856">
            <v>35</v>
          </cell>
          <cell r="C856">
            <v>30000</v>
          </cell>
          <cell r="D856">
            <v>43</v>
          </cell>
          <cell r="E856">
            <v>27693.79</v>
          </cell>
          <cell r="G856">
            <v>1</v>
          </cell>
          <cell r="H856" t="str">
            <v>ESF</v>
          </cell>
          <cell r="L856" t="str">
            <v>-</v>
          </cell>
          <cell r="N856">
            <v>43</v>
          </cell>
          <cell r="P856" t="str">
            <v>40</v>
          </cell>
        </row>
        <row r="857">
          <cell r="B857">
            <v>30</v>
          </cell>
          <cell r="C857">
            <v>23723.2</v>
          </cell>
          <cell r="D857">
            <v>30</v>
          </cell>
          <cell r="E857">
            <v>23657</v>
          </cell>
          <cell r="G857">
            <v>1</v>
          </cell>
          <cell r="H857" t="str">
            <v>ESF</v>
          </cell>
          <cell r="N857">
            <v>30</v>
          </cell>
          <cell r="P857" t="str">
            <v>40</v>
          </cell>
        </row>
        <row r="858">
          <cell r="B858">
            <v>25</v>
          </cell>
          <cell r="C858">
            <v>30000</v>
          </cell>
          <cell r="D858">
            <v>27</v>
          </cell>
          <cell r="E858">
            <v>30000</v>
          </cell>
          <cell r="G858">
            <v>1</v>
          </cell>
          <cell r="H858" t="str">
            <v>ESF</v>
          </cell>
          <cell r="N858">
            <v>27</v>
          </cell>
          <cell r="P858" t="str">
            <v>40</v>
          </cell>
        </row>
        <row r="859">
          <cell r="B859">
            <v>28</v>
          </cell>
          <cell r="C859">
            <v>30000</v>
          </cell>
          <cell r="D859">
            <v>29</v>
          </cell>
          <cell r="E859">
            <v>30000</v>
          </cell>
          <cell r="G859">
            <v>1</v>
          </cell>
          <cell r="H859" t="str">
            <v>ESF</v>
          </cell>
          <cell r="N859">
            <v>29</v>
          </cell>
          <cell r="P859" t="str">
            <v>40</v>
          </cell>
        </row>
        <row r="860">
          <cell r="B860">
            <v>30</v>
          </cell>
          <cell r="C860">
            <v>23700</v>
          </cell>
          <cell r="D860">
            <v>31</v>
          </cell>
          <cell r="E860">
            <v>23468</v>
          </cell>
          <cell r="G860">
            <v>1</v>
          </cell>
          <cell r="H860" t="str">
            <v>ESF</v>
          </cell>
          <cell r="L860" t="str">
            <v>-</v>
          </cell>
          <cell r="N860">
            <v>31</v>
          </cell>
          <cell r="P860" t="str">
            <v>40</v>
          </cell>
        </row>
        <row r="861">
          <cell r="B861">
            <v>33</v>
          </cell>
          <cell r="C861">
            <v>23763.2</v>
          </cell>
          <cell r="D861">
            <v>37</v>
          </cell>
          <cell r="E861">
            <v>23317.32</v>
          </cell>
          <cell r="G861">
            <v>1</v>
          </cell>
          <cell r="H861" t="str">
            <v>ESF</v>
          </cell>
          <cell r="L861" t="str">
            <v>-</v>
          </cell>
          <cell r="N861">
            <v>37</v>
          </cell>
          <cell r="P861" t="str">
            <v>40</v>
          </cell>
        </row>
        <row r="862">
          <cell r="B862">
            <v>29</v>
          </cell>
          <cell r="C862">
            <v>30000</v>
          </cell>
          <cell r="D862">
            <v>31</v>
          </cell>
          <cell r="E862">
            <v>25894.8</v>
          </cell>
          <cell r="G862">
            <v>1</v>
          </cell>
          <cell r="H862" t="str">
            <v>ESF</v>
          </cell>
          <cell r="L862" t="str">
            <v>-</v>
          </cell>
          <cell r="N862">
            <v>31</v>
          </cell>
          <cell r="P862" t="str">
            <v>40</v>
          </cell>
        </row>
        <row r="863">
          <cell r="B863">
            <v>31</v>
          </cell>
          <cell r="C863">
            <v>21648</v>
          </cell>
          <cell r="D863">
            <v>32</v>
          </cell>
          <cell r="E863">
            <v>20964</v>
          </cell>
          <cell r="G863">
            <v>1</v>
          </cell>
          <cell r="H863" t="str">
            <v>ESF</v>
          </cell>
          <cell r="L863" t="str">
            <v>-</v>
          </cell>
          <cell r="N863">
            <v>32</v>
          </cell>
          <cell r="P863" t="str">
            <v>40</v>
          </cell>
        </row>
        <row r="864">
          <cell r="B864">
            <v>26</v>
          </cell>
          <cell r="C864">
            <v>3960</v>
          </cell>
          <cell r="D864">
            <v>26</v>
          </cell>
          <cell r="E864">
            <v>3960</v>
          </cell>
          <cell r="G864">
            <v>1</v>
          </cell>
          <cell r="H864" t="str">
            <v>ESF</v>
          </cell>
          <cell r="N864">
            <v>26</v>
          </cell>
          <cell r="P864" t="str">
            <v>40</v>
          </cell>
        </row>
        <row r="865">
          <cell r="B865">
            <v>29</v>
          </cell>
          <cell r="C865">
            <v>20316.19</v>
          </cell>
          <cell r="D865">
            <v>34</v>
          </cell>
          <cell r="E865">
            <v>19934.71</v>
          </cell>
          <cell r="G865">
            <v>1</v>
          </cell>
          <cell r="H865" t="str">
            <v>ESF</v>
          </cell>
          <cell r="L865" t="str">
            <v>-</v>
          </cell>
          <cell r="N865">
            <v>34</v>
          </cell>
          <cell r="P865" t="str">
            <v>40</v>
          </cell>
        </row>
        <row r="866">
          <cell r="B866">
            <v>30</v>
          </cell>
          <cell r="C866">
            <v>11952</v>
          </cell>
          <cell r="D866">
            <v>30</v>
          </cell>
          <cell r="E866">
            <v>11488</v>
          </cell>
          <cell r="G866">
            <v>1</v>
          </cell>
          <cell r="H866" t="str">
            <v>ESF</v>
          </cell>
          <cell r="L866" t="str">
            <v>-</v>
          </cell>
          <cell r="N866">
            <v>30</v>
          </cell>
          <cell r="P866" t="str">
            <v>40</v>
          </cell>
        </row>
        <row r="867">
          <cell r="B867">
            <v>29</v>
          </cell>
          <cell r="C867">
            <v>3720</v>
          </cell>
          <cell r="D867">
            <v>32</v>
          </cell>
          <cell r="E867">
            <v>3720</v>
          </cell>
          <cell r="G867">
            <v>1</v>
          </cell>
          <cell r="H867" t="str">
            <v>ESF</v>
          </cell>
          <cell r="L867" t="str">
            <v>-</v>
          </cell>
          <cell r="N867">
            <v>32</v>
          </cell>
          <cell r="P867" t="str">
            <v>40</v>
          </cell>
        </row>
        <row r="868">
          <cell r="B868">
            <v>28</v>
          </cell>
          <cell r="C868">
            <v>3986.4</v>
          </cell>
          <cell r="D868">
            <v>29</v>
          </cell>
          <cell r="E868">
            <v>3986.4</v>
          </cell>
          <cell r="G868">
            <v>1</v>
          </cell>
          <cell r="H868" t="str">
            <v>ESF</v>
          </cell>
          <cell r="N868">
            <v>29</v>
          </cell>
          <cell r="P868" t="str">
            <v>40</v>
          </cell>
        </row>
        <row r="869">
          <cell r="B869">
            <v>29</v>
          </cell>
          <cell r="C869">
            <v>17263.58</v>
          </cell>
          <cell r="D869">
            <v>36</v>
          </cell>
          <cell r="E869">
            <v>17262.22</v>
          </cell>
          <cell r="G869">
            <v>1</v>
          </cell>
          <cell r="H869" t="str">
            <v>ESF</v>
          </cell>
          <cell r="L869" t="str">
            <v>-</v>
          </cell>
          <cell r="N869">
            <v>36</v>
          </cell>
          <cell r="P869" t="str">
            <v>40</v>
          </cell>
        </row>
        <row r="870">
          <cell r="B870">
            <v>31</v>
          </cell>
          <cell r="C870">
            <v>30000</v>
          </cell>
          <cell r="D870">
            <v>36</v>
          </cell>
          <cell r="E870">
            <v>29787.7</v>
          </cell>
          <cell r="G870">
            <v>1</v>
          </cell>
          <cell r="H870" t="str">
            <v>ESF</v>
          </cell>
          <cell r="L870" t="str">
            <v>-</v>
          </cell>
          <cell r="N870">
            <v>36</v>
          </cell>
          <cell r="P870" t="str">
            <v>40</v>
          </cell>
        </row>
        <row r="871">
          <cell r="B871">
            <v>35</v>
          </cell>
          <cell r="C871">
            <v>29316.6</v>
          </cell>
          <cell r="D871">
            <v>42</v>
          </cell>
          <cell r="E871">
            <v>29316.6</v>
          </cell>
          <cell r="G871">
            <v>1</v>
          </cell>
          <cell r="H871" t="str">
            <v>ESF</v>
          </cell>
          <cell r="L871" t="str">
            <v>-</v>
          </cell>
          <cell r="N871">
            <v>42</v>
          </cell>
          <cell r="P871" t="str">
            <v>40</v>
          </cell>
        </row>
        <row r="872">
          <cell r="B872">
            <v>36</v>
          </cell>
          <cell r="C872">
            <v>29999.4</v>
          </cell>
          <cell r="D872">
            <v>42</v>
          </cell>
          <cell r="E872">
            <v>29399.4</v>
          </cell>
          <cell r="G872">
            <v>1</v>
          </cell>
          <cell r="H872" t="str">
            <v>ESF</v>
          </cell>
          <cell r="L872" t="str">
            <v>-</v>
          </cell>
          <cell r="N872">
            <v>42</v>
          </cell>
          <cell r="P872" t="str">
            <v>40</v>
          </cell>
        </row>
        <row r="873">
          <cell r="B873">
            <v>30</v>
          </cell>
          <cell r="C873">
            <v>22465.3</v>
          </cell>
          <cell r="D873">
            <v>32</v>
          </cell>
          <cell r="E873">
            <v>21417.95</v>
          </cell>
          <cell r="G873">
            <v>1</v>
          </cell>
          <cell r="H873" t="str">
            <v>ESF</v>
          </cell>
          <cell r="L873" t="str">
            <v>-</v>
          </cell>
          <cell r="N873">
            <v>32</v>
          </cell>
          <cell r="P873" t="str">
            <v>40</v>
          </cell>
        </row>
        <row r="874">
          <cell r="B874">
            <v>30</v>
          </cell>
          <cell r="C874">
            <v>30000</v>
          </cell>
          <cell r="D874">
            <v>33</v>
          </cell>
          <cell r="E874">
            <v>30000</v>
          </cell>
          <cell r="G874">
            <v>1</v>
          </cell>
          <cell r="H874" t="str">
            <v>ESF</v>
          </cell>
          <cell r="L874" t="str">
            <v>-</v>
          </cell>
          <cell r="N874">
            <v>33</v>
          </cell>
          <cell r="P874" t="str">
            <v>40</v>
          </cell>
        </row>
        <row r="875">
          <cell r="B875">
            <v>35</v>
          </cell>
          <cell r="C875">
            <v>30000</v>
          </cell>
          <cell r="D875">
            <v>37</v>
          </cell>
          <cell r="E875">
            <v>30000</v>
          </cell>
          <cell r="G875">
            <v>1</v>
          </cell>
          <cell r="H875" t="str">
            <v>ESF</v>
          </cell>
          <cell r="L875" t="str">
            <v>-</v>
          </cell>
          <cell r="N875">
            <v>37</v>
          </cell>
          <cell r="P875" t="str">
            <v>40</v>
          </cell>
        </row>
        <row r="876">
          <cell r="B876">
            <v>31</v>
          </cell>
          <cell r="C876">
            <v>13248</v>
          </cell>
          <cell r="D876">
            <v>34</v>
          </cell>
          <cell r="E876">
            <v>13171</v>
          </cell>
          <cell r="G876">
            <v>0</v>
          </cell>
          <cell r="H876" t="str">
            <v>ESF</v>
          </cell>
          <cell r="L876" t="str">
            <v>-</v>
          </cell>
          <cell r="N876">
            <v>34</v>
          </cell>
          <cell r="P876" t="str">
            <v>40</v>
          </cell>
        </row>
        <row r="877">
          <cell r="B877">
            <v>40</v>
          </cell>
          <cell r="C877">
            <v>16360.59</v>
          </cell>
          <cell r="D877">
            <v>42</v>
          </cell>
          <cell r="E877">
            <v>15447.65</v>
          </cell>
          <cell r="G877">
            <v>0</v>
          </cell>
          <cell r="H877" t="str">
            <v>ESF</v>
          </cell>
          <cell r="L877" t="str">
            <v>-</v>
          </cell>
          <cell r="N877">
            <v>42</v>
          </cell>
          <cell r="P877" t="str">
            <v>40</v>
          </cell>
        </row>
        <row r="878">
          <cell r="B878">
            <v>31</v>
          </cell>
          <cell r="C878">
            <v>18513.12</v>
          </cell>
          <cell r="D878">
            <v>31</v>
          </cell>
          <cell r="E878">
            <v>18513.12</v>
          </cell>
          <cell r="G878">
            <v>0</v>
          </cell>
          <cell r="H878" t="str">
            <v>ESF</v>
          </cell>
          <cell r="L878" t="str">
            <v>-</v>
          </cell>
          <cell r="N878">
            <v>31</v>
          </cell>
          <cell r="P878" t="str">
            <v>40</v>
          </cell>
        </row>
        <row r="879">
          <cell r="B879">
            <v>29</v>
          </cell>
          <cell r="C879">
            <v>26624</v>
          </cell>
          <cell r="D879">
            <v>30</v>
          </cell>
          <cell r="E879">
            <v>0</v>
          </cell>
          <cell r="G879">
            <v>0</v>
          </cell>
          <cell r="H879" t="str">
            <v>ESF</v>
          </cell>
          <cell r="N879">
            <v>30</v>
          </cell>
          <cell r="P879" t="str">
            <v>40</v>
          </cell>
        </row>
        <row r="880">
          <cell r="B880">
            <v>32</v>
          </cell>
          <cell r="C880">
            <v>805.42</v>
          </cell>
          <cell r="D880">
            <v>34</v>
          </cell>
          <cell r="E880">
            <v>773.48</v>
          </cell>
          <cell r="G880">
            <v>0</v>
          </cell>
          <cell r="H880" t="str">
            <v>ESF</v>
          </cell>
          <cell r="L880" t="str">
            <v>-</v>
          </cell>
          <cell r="N880">
            <v>34</v>
          </cell>
          <cell r="P880" t="str">
            <v>40</v>
          </cell>
        </row>
        <row r="881">
          <cell r="B881">
            <v>29</v>
          </cell>
          <cell r="C881">
            <v>3960</v>
          </cell>
          <cell r="D881">
            <v>30</v>
          </cell>
          <cell r="E881">
            <v>3960</v>
          </cell>
          <cell r="G881">
            <v>0</v>
          </cell>
          <cell r="H881" t="str">
            <v>ESF</v>
          </cell>
          <cell r="L881" t="str">
            <v>-</v>
          </cell>
          <cell r="N881">
            <v>30</v>
          </cell>
          <cell r="P881" t="str">
            <v>40</v>
          </cell>
        </row>
        <row r="882">
          <cell r="B882">
            <v>34</v>
          </cell>
          <cell r="C882">
            <v>8221.88</v>
          </cell>
          <cell r="D882">
            <v>45</v>
          </cell>
          <cell r="E882">
            <v>0</v>
          </cell>
          <cell r="G882">
            <v>0</v>
          </cell>
          <cell r="H882" t="str">
            <v>ESF</v>
          </cell>
          <cell r="L882" t="str">
            <v>-</v>
          </cell>
          <cell r="N882">
            <v>45</v>
          </cell>
          <cell r="P882" t="str">
            <v>40</v>
          </cell>
        </row>
        <row r="883">
          <cell r="B883">
            <v>30</v>
          </cell>
          <cell r="C883">
            <v>22277.6</v>
          </cell>
          <cell r="D883">
            <v>36</v>
          </cell>
          <cell r="E883">
            <v>22277.6</v>
          </cell>
          <cell r="G883">
            <v>0</v>
          </cell>
          <cell r="H883" t="str">
            <v>ESF</v>
          </cell>
          <cell r="L883" t="str">
            <v>-</v>
          </cell>
          <cell r="N883">
            <v>36</v>
          </cell>
          <cell r="P883" t="str">
            <v>40</v>
          </cell>
        </row>
        <row r="884">
          <cell r="B884">
            <v>30</v>
          </cell>
          <cell r="C884">
            <v>30000</v>
          </cell>
          <cell r="D884">
            <v>33</v>
          </cell>
          <cell r="E884">
            <v>29115.13</v>
          </cell>
          <cell r="G884">
            <v>0</v>
          </cell>
          <cell r="H884" t="str">
            <v>ESF</v>
          </cell>
          <cell r="L884" t="str">
            <v>-</v>
          </cell>
          <cell r="N884">
            <v>33</v>
          </cell>
          <cell r="P884" t="str">
            <v>40</v>
          </cell>
        </row>
        <row r="885">
          <cell r="B885">
            <v>33</v>
          </cell>
          <cell r="C885">
            <v>25696</v>
          </cell>
          <cell r="D885">
            <v>35</v>
          </cell>
          <cell r="E885">
            <v>25456</v>
          </cell>
          <cell r="G885">
            <v>0</v>
          </cell>
          <cell r="H885" t="str">
            <v>ESF</v>
          </cell>
          <cell r="L885" t="str">
            <v>-</v>
          </cell>
          <cell r="N885">
            <v>35</v>
          </cell>
          <cell r="P885" t="str">
            <v>40</v>
          </cell>
        </row>
        <row r="886">
          <cell r="B886">
            <v>31</v>
          </cell>
          <cell r="C886">
            <v>14180.15</v>
          </cell>
          <cell r="D886">
            <v>40</v>
          </cell>
          <cell r="E886">
            <v>12997.6</v>
          </cell>
          <cell r="G886">
            <v>0</v>
          </cell>
          <cell r="H886" t="str">
            <v>ESF</v>
          </cell>
          <cell r="L886" t="str">
            <v>-</v>
          </cell>
          <cell r="N886">
            <v>40</v>
          </cell>
          <cell r="P886" t="str">
            <v>40</v>
          </cell>
        </row>
        <row r="887">
          <cell r="B887">
            <v>36</v>
          </cell>
          <cell r="C887">
            <v>20576.8</v>
          </cell>
          <cell r="D887">
            <v>38</v>
          </cell>
          <cell r="E887">
            <v>19516.87</v>
          </cell>
          <cell r="G887">
            <v>0</v>
          </cell>
          <cell r="H887" t="str">
            <v>ESF</v>
          </cell>
          <cell r="L887" t="str">
            <v>-</v>
          </cell>
          <cell r="N887">
            <v>38</v>
          </cell>
          <cell r="P887" t="str">
            <v>40</v>
          </cell>
        </row>
        <row r="888">
          <cell r="B888">
            <v>30</v>
          </cell>
          <cell r="C888">
            <v>29957.12</v>
          </cell>
          <cell r="D888">
            <v>31</v>
          </cell>
          <cell r="E888">
            <v>29957.12</v>
          </cell>
          <cell r="G888">
            <v>0</v>
          </cell>
          <cell r="H888" t="str">
            <v>ESF</v>
          </cell>
          <cell r="L888" t="str">
            <v>-</v>
          </cell>
          <cell r="N888">
            <v>31</v>
          </cell>
          <cell r="P888" t="str">
            <v>40</v>
          </cell>
        </row>
        <row r="889">
          <cell r="B889">
            <v>31</v>
          </cell>
          <cell r="C889">
            <v>7108.01</v>
          </cell>
          <cell r="D889">
            <v>33</v>
          </cell>
          <cell r="E889">
            <v>7108.01</v>
          </cell>
          <cell r="G889">
            <v>0</v>
          </cell>
          <cell r="H889" t="str">
            <v>ESF</v>
          </cell>
          <cell r="L889" t="str">
            <v>-</v>
          </cell>
          <cell r="N889">
            <v>33</v>
          </cell>
          <cell r="P889" t="str">
            <v>40</v>
          </cell>
        </row>
        <row r="890">
          <cell r="B890">
            <v>27</v>
          </cell>
          <cell r="C890">
            <v>27600</v>
          </cell>
          <cell r="D890">
            <v>27</v>
          </cell>
          <cell r="E890">
            <v>27600</v>
          </cell>
          <cell r="G890">
            <v>0</v>
          </cell>
          <cell r="H890" t="str">
            <v>ESF</v>
          </cell>
          <cell r="N890">
            <v>27</v>
          </cell>
          <cell r="P890" t="str">
            <v>40</v>
          </cell>
        </row>
        <row r="891">
          <cell r="B891">
            <v>27</v>
          </cell>
          <cell r="C891">
            <v>3960</v>
          </cell>
          <cell r="D891">
            <v>29</v>
          </cell>
          <cell r="E891">
            <v>3608</v>
          </cell>
          <cell r="G891">
            <v>0</v>
          </cell>
          <cell r="H891" t="str">
            <v>ESF</v>
          </cell>
          <cell r="N891">
            <v>29</v>
          </cell>
          <cell r="P891" t="str">
            <v>40</v>
          </cell>
        </row>
        <row r="892">
          <cell r="B892">
            <v>32</v>
          </cell>
          <cell r="C892">
            <v>13920</v>
          </cell>
          <cell r="D892">
            <v>34</v>
          </cell>
          <cell r="E892">
            <v>13920</v>
          </cell>
          <cell r="G892">
            <v>0</v>
          </cell>
          <cell r="H892" t="str">
            <v>ESF</v>
          </cell>
          <cell r="L892" t="str">
            <v>-</v>
          </cell>
          <cell r="N892">
            <v>34</v>
          </cell>
          <cell r="P892" t="str">
            <v>40</v>
          </cell>
        </row>
        <row r="893">
          <cell r="B893">
            <v>34</v>
          </cell>
          <cell r="C893">
            <v>21704</v>
          </cell>
          <cell r="D893">
            <v>36</v>
          </cell>
          <cell r="E893">
            <v>21704</v>
          </cell>
          <cell r="G893">
            <v>0</v>
          </cell>
          <cell r="H893" t="str">
            <v>ESF</v>
          </cell>
          <cell r="L893" t="str">
            <v>-</v>
          </cell>
          <cell r="N893">
            <v>36</v>
          </cell>
          <cell r="P893" t="str">
            <v>40</v>
          </cell>
        </row>
        <row r="894">
          <cell r="B894">
            <v>33</v>
          </cell>
          <cell r="C894">
            <v>30000</v>
          </cell>
          <cell r="D894">
            <v>35</v>
          </cell>
          <cell r="E894">
            <v>30000</v>
          </cell>
          <cell r="G894">
            <v>0</v>
          </cell>
          <cell r="H894" t="str">
            <v>ESF</v>
          </cell>
          <cell r="L894" t="str">
            <v>-</v>
          </cell>
          <cell r="N894">
            <v>35</v>
          </cell>
          <cell r="P894" t="str">
            <v>40</v>
          </cell>
        </row>
        <row r="895">
          <cell r="B895">
            <v>36</v>
          </cell>
          <cell r="C895">
            <v>28760</v>
          </cell>
          <cell r="D895">
            <v>38</v>
          </cell>
          <cell r="E895">
            <v>28760</v>
          </cell>
          <cell r="G895">
            <v>0</v>
          </cell>
          <cell r="H895" t="str">
            <v>ESF</v>
          </cell>
          <cell r="L895" t="str">
            <v>-</v>
          </cell>
          <cell r="N895">
            <v>38</v>
          </cell>
          <cell r="P895" t="str">
            <v>40</v>
          </cell>
        </row>
        <row r="896">
          <cell r="B896">
            <v>32</v>
          </cell>
          <cell r="C896">
            <v>18208</v>
          </cell>
          <cell r="D896">
            <v>33</v>
          </cell>
          <cell r="E896">
            <v>18208</v>
          </cell>
          <cell r="G896">
            <v>0</v>
          </cell>
          <cell r="H896" t="str">
            <v>ESF</v>
          </cell>
          <cell r="L896" t="str">
            <v>-</v>
          </cell>
          <cell r="N896">
            <v>33</v>
          </cell>
          <cell r="P896" t="str">
            <v>40</v>
          </cell>
        </row>
        <row r="897">
          <cell r="B897">
            <v>37</v>
          </cell>
          <cell r="C897">
            <v>12217.35</v>
          </cell>
          <cell r="D897">
            <v>38</v>
          </cell>
          <cell r="E897">
            <v>10183.95</v>
          </cell>
          <cell r="G897">
            <v>1</v>
          </cell>
          <cell r="H897" t="str">
            <v>ERAF</v>
          </cell>
          <cell r="L897" t="str">
            <v>-</v>
          </cell>
          <cell r="N897">
            <v>38</v>
          </cell>
          <cell r="P897" t="str">
            <v>32</v>
          </cell>
        </row>
        <row r="898">
          <cell r="B898">
            <v>29</v>
          </cell>
          <cell r="C898">
            <v>25958.13</v>
          </cell>
          <cell r="D898">
            <v>35</v>
          </cell>
          <cell r="E898">
            <v>14619.68</v>
          </cell>
          <cell r="G898">
            <v>1</v>
          </cell>
          <cell r="H898" t="str">
            <v>ERAF</v>
          </cell>
          <cell r="L898" t="str">
            <v>-</v>
          </cell>
          <cell r="N898">
            <v>35</v>
          </cell>
          <cell r="P898" t="str">
            <v>32</v>
          </cell>
        </row>
        <row r="899">
          <cell r="B899">
            <v>42</v>
          </cell>
          <cell r="C899">
            <v>4643.96</v>
          </cell>
          <cell r="D899">
            <v>44</v>
          </cell>
          <cell r="E899">
            <v>4008.07</v>
          </cell>
          <cell r="G899">
            <v>1</v>
          </cell>
          <cell r="H899" t="str">
            <v>ERAF</v>
          </cell>
          <cell r="L899" t="str">
            <v>-</v>
          </cell>
          <cell r="N899">
            <v>44</v>
          </cell>
          <cell r="P899" t="str">
            <v>32</v>
          </cell>
        </row>
        <row r="900">
          <cell r="B900">
            <v>33</v>
          </cell>
          <cell r="C900">
            <v>35876.5</v>
          </cell>
          <cell r="D900">
            <v>32</v>
          </cell>
          <cell r="E900">
            <v>27443.76</v>
          </cell>
          <cell r="G900">
            <v>1</v>
          </cell>
          <cell r="H900" t="str">
            <v>ERAF</v>
          </cell>
          <cell r="L900" t="str">
            <v>-</v>
          </cell>
          <cell r="N900">
            <v>32</v>
          </cell>
          <cell r="P900" t="str">
            <v>32</v>
          </cell>
        </row>
        <row r="901">
          <cell r="B901">
            <v>30</v>
          </cell>
          <cell r="C901">
            <v>43285.5</v>
          </cell>
          <cell r="D901">
            <v>29</v>
          </cell>
          <cell r="E901">
            <v>42898.81</v>
          </cell>
          <cell r="G901">
            <v>1</v>
          </cell>
          <cell r="H901" t="str">
            <v>ERAF</v>
          </cell>
          <cell r="N901">
            <v>29</v>
          </cell>
          <cell r="P901" t="str">
            <v>32</v>
          </cell>
        </row>
        <row r="902">
          <cell r="B902">
            <v>39</v>
          </cell>
          <cell r="C902">
            <v>312780.49</v>
          </cell>
          <cell r="D902">
            <v>38</v>
          </cell>
          <cell r="E902">
            <v>0</v>
          </cell>
          <cell r="G902">
            <v>1</v>
          </cell>
          <cell r="H902" t="str">
            <v>ERAF</v>
          </cell>
          <cell r="N902">
            <v>38</v>
          </cell>
          <cell r="P902" t="str">
            <v>12</v>
          </cell>
        </row>
        <row r="903">
          <cell r="B903">
            <v>36</v>
          </cell>
          <cell r="C903">
            <v>66890.3</v>
          </cell>
          <cell r="D903">
            <v>38</v>
          </cell>
          <cell r="E903">
            <v>0</v>
          </cell>
          <cell r="G903">
            <v>1</v>
          </cell>
          <cell r="H903" t="str">
            <v>ERAF</v>
          </cell>
          <cell r="N903">
            <v>38</v>
          </cell>
          <cell r="P903" t="str">
            <v>32</v>
          </cell>
        </row>
        <row r="904">
          <cell r="B904">
            <v>29</v>
          </cell>
          <cell r="C904">
            <v>35900</v>
          </cell>
          <cell r="D904">
            <v>31</v>
          </cell>
          <cell r="E904">
            <v>31986.36</v>
          </cell>
          <cell r="G904">
            <v>1</v>
          </cell>
          <cell r="H904" t="str">
            <v>ERAF</v>
          </cell>
          <cell r="L904" t="str">
            <v>-</v>
          </cell>
          <cell r="N904">
            <v>31</v>
          </cell>
          <cell r="P904" t="str">
            <v>32</v>
          </cell>
        </row>
        <row r="905">
          <cell r="B905">
            <v>31</v>
          </cell>
          <cell r="C905">
            <v>20900</v>
          </cell>
          <cell r="D905">
            <v>35</v>
          </cell>
          <cell r="E905">
            <v>17737.59</v>
          </cell>
          <cell r="G905">
            <v>1</v>
          </cell>
          <cell r="H905" t="str">
            <v>ERAF</v>
          </cell>
          <cell r="L905" t="str">
            <v>-</v>
          </cell>
          <cell r="N905">
            <v>35</v>
          </cell>
          <cell r="P905" t="str">
            <v>32</v>
          </cell>
        </row>
        <row r="906">
          <cell r="B906">
            <v>40</v>
          </cell>
          <cell r="C906">
            <v>9268</v>
          </cell>
          <cell r="D906">
            <v>38</v>
          </cell>
          <cell r="E906">
            <v>0</v>
          </cell>
          <cell r="G906">
            <v>1</v>
          </cell>
          <cell r="H906" t="str">
            <v>ERAF</v>
          </cell>
          <cell r="N906">
            <v>38</v>
          </cell>
          <cell r="P906" t="str">
            <v>32</v>
          </cell>
        </row>
        <row r="907">
          <cell r="B907">
            <v>36</v>
          </cell>
          <cell r="C907">
            <v>26940.07</v>
          </cell>
          <cell r="D907">
            <v>44</v>
          </cell>
          <cell r="E907">
            <v>23439.95</v>
          </cell>
          <cell r="G907">
            <v>1</v>
          </cell>
          <cell r="H907" t="str">
            <v>ERAF</v>
          </cell>
          <cell r="L907" t="str">
            <v>-</v>
          </cell>
          <cell r="N907">
            <v>44</v>
          </cell>
          <cell r="P907" t="str">
            <v>32</v>
          </cell>
        </row>
        <row r="908">
          <cell r="B908">
            <v>28</v>
          </cell>
          <cell r="C908">
            <v>3348.63</v>
          </cell>
          <cell r="D908">
            <v>31</v>
          </cell>
          <cell r="E908">
            <v>3032.93</v>
          </cell>
          <cell r="G908">
            <v>1</v>
          </cell>
          <cell r="H908" t="str">
            <v>ERAF</v>
          </cell>
          <cell r="L908" t="str">
            <v>-</v>
          </cell>
          <cell r="N908">
            <v>31</v>
          </cell>
          <cell r="P908" t="str">
            <v>32</v>
          </cell>
        </row>
        <row r="909">
          <cell r="B909">
            <v>36</v>
          </cell>
          <cell r="C909">
            <v>70280.4</v>
          </cell>
          <cell r="D909">
            <v>38</v>
          </cell>
          <cell r="E909">
            <v>69219.69</v>
          </cell>
          <cell r="G909">
            <v>1</v>
          </cell>
          <cell r="H909" t="str">
            <v>ERAF</v>
          </cell>
          <cell r="L909" t="str">
            <v>-</v>
          </cell>
          <cell r="N909">
            <v>38</v>
          </cell>
          <cell r="P909" t="str">
            <v>32</v>
          </cell>
        </row>
        <row r="910">
          <cell r="B910">
            <v>29</v>
          </cell>
          <cell r="C910">
            <v>11529.24</v>
          </cell>
          <cell r="D910">
            <v>33</v>
          </cell>
          <cell r="E910">
            <v>6794.44</v>
          </cell>
          <cell r="G910">
            <v>1</v>
          </cell>
          <cell r="H910" t="str">
            <v>ERAF</v>
          </cell>
          <cell r="L910" t="str">
            <v>-</v>
          </cell>
          <cell r="N910">
            <v>33</v>
          </cell>
          <cell r="P910" t="str">
            <v>32</v>
          </cell>
        </row>
        <row r="911">
          <cell r="B911">
            <v>31</v>
          </cell>
          <cell r="C911">
            <v>8284.36</v>
          </cell>
          <cell r="D911">
            <v>37</v>
          </cell>
          <cell r="E911">
            <v>5030.18</v>
          </cell>
          <cell r="G911">
            <v>1</v>
          </cell>
          <cell r="H911" t="str">
            <v>ERAF</v>
          </cell>
          <cell r="L911" t="str">
            <v>-</v>
          </cell>
          <cell r="N911">
            <v>37</v>
          </cell>
          <cell r="P911" t="str">
            <v>32</v>
          </cell>
        </row>
        <row r="912">
          <cell r="B912">
            <v>35</v>
          </cell>
          <cell r="C912">
            <v>8750.38</v>
          </cell>
          <cell r="D912">
            <v>37</v>
          </cell>
          <cell r="E912">
            <v>4280.11</v>
          </cell>
          <cell r="G912">
            <v>1</v>
          </cell>
          <cell r="H912" t="str">
            <v>ERAF</v>
          </cell>
          <cell r="L912" t="str">
            <v>-</v>
          </cell>
          <cell r="N912">
            <v>37</v>
          </cell>
          <cell r="P912" t="str">
            <v>32</v>
          </cell>
        </row>
        <row r="913">
          <cell r="B913">
            <v>32</v>
          </cell>
          <cell r="C913">
            <v>15893.08</v>
          </cell>
          <cell r="D913">
            <v>34</v>
          </cell>
          <cell r="E913">
            <v>15063.98</v>
          </cell>
          <cell r="G913">
            <v>1</v>
          </cell>
          <cell r="H913" t="str">
            <v>ERAF</v>
          </cell>
          <cell r="L913" t="str">
            <v>-</v>
          </cell>
          <cell r="N913">
            <v>34</v>
          </cell>
          <cell r="P913" t="str">
            <v>32</v>
          </cell>
        </row>
        <row r="914">
          <cell r="B914">
            <v>40</v>
          </cell>
          <cell r="C914">
            <v>9350</v>
          </cell>
          <cell r="D914">
            <v>38</v>
          </cell>
          <cell r="E914">
            <v>0</v>
          </cell>
          <cell r="G914">
            <v>1</v>
          </cell>
          <cell r="H914" t="str">
            <v>ERAF</v>
          </cell>
          <cell r="N914">
            <v>38</v>
          </cell>
          <cell r="P914" t="str">
            <v>32</v>
          </cell>
        </row>
        <row r="915">
          <cell r="B915">
            <v>29</v>
          </cell>
          <cell r="C915">
            <v>17325</v>
          </cell>
          <cell r="D915">
            <v>28</v>
          </cell>
          <cell r="E915">
            <v>17325</v>
          </cell>
          <cell r="G915">
            <v>1</v>
          </cell>
          <cell r="H915" t="str">
            <v>ERAF</v>
          </cell>
          <cell r="N915">
            <v>28</v>
          </cell>
          <cell r="P915" t="str">
            <v>32</v>
          </cell>
        </row>
        <row r="916">
          <cell r="B916">
            <v>29</v>
          </cell>
          <cell r="C916">
            <v>1146.38</v>
          </cell>
          <cell r="D916">
            <v>34</v>
          </cell>
          <cell r="E916">
            <v>799.84</v>
          </cell>
          <cell r="G916">
            <v>1</v>
          </cell>
          <cell r="H916" t="str">
            <v>ERAF</v>
          </cell>
          <cell r="L916" t="str">
            <v>-</v>
          </cell>
          <cell r="N916">
            <v>34</v>
          </cell>
          <cell r="P916" t="str">
            <v>32</v>
          </cell>
        </row>
        <row r="917">
          <cell r="B917">
            <v>29</v>
          </cell>
          <cell r="C917">
            <v>11433.5</v>
          </cell>
          <cell r="D917">
            <v>34</v>
          </cell>
          <cell r="E917">
            <v>7569.55</v>
          </cell>
          <cell r="G917">
            <v>1</v>
          </cell>
          <cell r="H917" t="str">
            <v>ERAF</v>
          </cell>
          <cell r="L917" t="str">
            <v>-</v>
          </cell>
          <cell r="N917">
            <v>34</v>
          </cell>
          <cell r="P917" t="str">
            <v>32</v>
          </cell>
        </row>
        <row r="918">
          <cell r="B918">
            <v>28</v>
          </cell>
          <cell r="C918">
            <v>8853</v>
          </cell>
          <cell r="D918">
            <v>34</v>
          </cell>
          <cell r="E918">
            <v>5222.82</v>
          </cell>
          <cell r="G918">
            <v>1</v>
          </cell>
          <cell r="H918" t="str">
            <v>ERAF</v>
          </cell>
          <cell r="L918" t="str">
            <v>-</v>
          </cell>
          <cell r="N918">
            <v>34</v>
          </cell>
          <cell r="P918" t="str">
            <v>32</v>
          </cell>
        </row>
        <row r="919">
          <cell r="B919">
            <v>29</v>
          </cell>
          <cell r="C919">
            <v>17535</v>
          </cell>
          <cell r="D919">
            <v>31</v>
          </cell>
          <cell r="E919">
            <v>14392.59</v>
          </cell>
          <cell r="G919">
            <v>1</v>
          </cell>
          <cell r="H919" t="str">
            <v>ERAF</v>
          </cell>
          <cell r="L919" t="str">
            <v>-</v>
          </cell>
          <cell r="N919">
            <v>31</v>
          </cell>
          <cell r="P919" t="str">
            <v>32</v>
          </cell>
        </row>
        <row r="920">
          <cell r="B920">
            <v>29</v>
          </cell>
          <cell r="C920">
            <v>3328.63</v>
          </cell>
          <cell r="D920">
            <v>30</v>
          </cell>
          <cell r="E920">
            <v>3092.32</v>
          </cell>
          <cell r="G920">
            <v>1</v>
          </cell>
          <cell r="H920" t="str">
            <v>ERAF</v>
          </cell>
          <cell r="L920" t="str">
            <v>-</v>
          </cell>
          <cell r="N920">
            <v>30</v>
          </cell>
          <cell r="P920" t="str">
            <v>32</v>
          </cell>
        </row>
        <row r="921">
          <cell r="B921">
            <v>29</v>
          </cell>
          <cell r="C921">
            <v>7040.5</v>
          </cell>
          <cell r="D921">
            <v>36</v>
          </cell>
          <cell r="E921">
            <v>5458.1</v>
          </cell>
          <cell r="G921">
            <v>1</v>
          </cell>
          <cell r="H921" t="str">
            <v>ERAF</v>
          </cell>
          <cell r="L921" t="str">
            <v>-</v>
          </cell>
          <cell r="N921">
            <v>36</v>
          </cell>
          <cell r="P921" t="str">
            <v>32</v>
          </cell>
        </row>
        <row r="922">
          <cell r="B922">
            <v>29</v>
          </cell>
          <cell r="C922">
            <v>7588.59</v>
          </cell>
          <cell r="D922">
            <v>31</v>
          </cell>
          <cell r="E922">
            <v>6825.73</v>
          </cell>
          <cell r="G922">
            <v>1</v>
          </cell>
          <cell r="H922" t="str">
            <v>ERAF</v>
          </cell>
          <cell r="L922" t="str">
            <v>-</v>
          </cell>
          <cell r="N922">
            <v>31</v>
          </cell>
          <cell r="P922" t="str">
            <v>32</v>
          </cell>
        </row>
        <row r="923">
          <cell r="B923">
            <v>28</v>
          </cell>
          <cell r="C923">
            <v>7877.25</v>
          </cell>
          <cell r="D923">
            <v>29</v>
          </cell>
          <cell r="E923">
            <v>4775.23</v>
          </cell>
          <cell r="G923">
            <v>1</v>
          </cell>
          <cell r="H923" t="str">
            <v>ERAF</v>
          </cell>
          <cell r="N923">
            <v>29</v>
          </cell>
          <cell r="P923" t="str">
            <v>32</v>
          </cell>
        </row>
        <row r="924">
          <cell r="B924">
            <v>42</v>
          </cell>
          <cell r="C924">
            <v>3944.93</v>
          </cell>
          <cell r="D924">
            <v>44</v>
          </cell>
          <cell r="E924">
            <v>0</v>
          </cell>
          <cell r="G924">
            <v>1</v>
          </cell>
          <cell r="H924" t="str">
            <v>ERAF</v>
          </cell>
          <cell r="L924" t="str">
            <v>-</v>
          </cell>
          <cell r="N924">
            <v>44</v>
          </cell>
          <cell r="P924" t="str">
            <v>32</v>
          </cell>
        </row>
        <row r="925">
          <cell r="B925">
            <v>31</v>
          </cell>
          <cell r="C925">
            <v>11325.08</v>
          </cell>
          <cell r="D925">
            <v>31</v>
          </cell>
          <cell r="E925">
            <v>6591.34</v>
          </cell>
          <cell r="G925">
            <v>1</v>
          </cell>
          <cell r="H925" t="str">
            <v>ERAF</v>
          </cell>
          <cell r="L925" t="str">
            <v>-</v>
          </cell>
          <cell r="N925">
            <v>31</v>
          </cell>
          <cell r="P925" t="str">
            <v>32</v>
          </cell>
        </row>
        <row r="926">
          <cell r="B926">
            <v>36</v>
          </cell>
          <cell r="C926">
            <v>7568.44</v>
          </cell>
          <cell r="D926">
            <v>38</v>
          </cell>
          <cell r="E926">
            <v>6915.36</v>
          </cell>
          <cell r="G926">
            <v>1</v>
          </cell>
          <cell r="H926" t="str">
            <v>ERAF</v>
          </cell>
          <cell r="L926" t="str">
            <v>-</v>
          </cell>
          <cell r="N926">
            <v>38</v>
          </cell>
          <cell r="P926" t="str">
            <v>32</v>
          </cell>
        </row>
        <row r="927">
          <cell r="B927">
            <v>30</v>
          </cell>
          <cell r="C927">
            <v>12590</v>
          </cell>
          <cell r="D927">
            <v>33</v>
          </cell>
          <cell r="E927">
            <v>10175.31</v>
          </cell>
          <cell r="G927">
            <v>1</v>
          </cell>
          <cell r="H927" t="str">
            <v>ERAF</v>
          </cell>
          <cell r="L927" t="str">
            <v>-</v>
          </cell>
          <cell r="N927">
            <v>33</v>
          </cell>
          <cell r="P927" t="str">
            <v>32</v>
          </cell>
        </row>
        <row r="928">
          <cell r="B928">
            <v>42</v>
          </cell>
          <cell r="C928">
            <v>20110</v>
          </cell>
          <cell r="D928">
            <v>43</v>
          </cell>
          <cell r="E928">
            <v>15073.16</v>
          </cell>
          <cell r="G928">
            <v>1</v>
          </cell>
          <cell r="H928" t="str">
            <v>ERAF</v>
          </cell>
          <cell r="L928" t="str">
            <v>-</v>
          </cell>
          <cell r="N928">
            <v>43</v>
          </cell>
          <cell r="P928" t="str">
            <v>32</v>
          </cell>
        </row>
        <row r="929">
          <cell r="B929">
            <v>30</v>
          </cell>
          <cell r="C929">
            <v>15172.78</v>
          </cell>
          <cell r="D929">
            <v>32</v>
          </cell>
          <cell r="E929">
            <v>15172.78</v>
          </cell>
          <cell r="G929">
            <v>1</v>
          </cell>
          <cell r="H929" t="str">
            <v>ERAF</v>
          </cell>
          <cell r="L929" t="str">
            <v>-</v>
          </cell>
          <cell r="N929">
            <v>32</v>
          </cell>
          <cell r="P929" t="str">
            <v>32</v>
          </cell>
        </row>
        <row r="930">
          <cell r="B930">
            <v>29</v>
          </cell>
          <cell r="C930">
            <v>11542.81</v>
          </cell>
          <cell r="D930">
            <v>32</v>
          </cell>
          <cell r="E930">
            <v>8117.75</v>
          </cell>
          <cell r="G930">
            <v>1</v>
          </cell>
          <cell r="H930" t="str">
            <v>ERAF</v>
          </cell>
          <cell r="L930" t="str">
            <v>-</v>
          </cell>
          <cell r="N930">
            <v>32</v>
          </cell>
          <cell r="P930" t="str">
            <v>32</v>
          </cell>
        </row>
        <row r="931">
          <cell r="B931">
            <v>32</v>
          </cell>
          <cell r="C931">
            <v>49191.83</v>
          </cell>
          <cell r="D931">
            <v>35</v>
          </cell>
          <cell r="E931">
            <v>42362.06</v>
          </cell>
          <cell r="G931">
            <v>1</v>
          </cell>
          <cell r="H931" t="str">
            <v>ERAF</v>
          </cell>
          <cell r="L931" t="str">
            <v>-</v>
          </cell>
          <cell r="N931">
            <v>35</v>
          </cell>
          <cell r="P931" t="str">
            <v>32</v>
          </cell>
        </row>
        <row r="932">
          <cell r="B932">
            <v>31</v>
          </cell>
          <cell r="C932">
            <v>6927.5</v>
          </cell>
          <cell r="D932">
            <v>43</v>
          </cell>
          <cell r="E932">
            <v>4556.22</v>
          </cell>
          <cell r="G932">
            <v>1</v>
          </cell>
          <cell r="H932" t="str">
            <v>ERAF</v>
          </cell>
          <cell r="L932" t="str">
            <v>-</v>
          </cell>
          <cell r="N932">
            <v>43</v>
          </cell>
          <cell r="P932" t="str">
            <v>32</v>
          </cell>
        </row>
        <row r="933">
          <cell r="B933">
            <v>31</v>
          </cell>
          <cell r="C933">
            <v>10832</v>
          </cell>
          <cell r="D933">
            <v>34</v>
          </cell>
          <cell r="E933">
            <v>8935.82</v>
          </cell>
          <cell r="G933">
            <v>1</v>
          </cell>
          <cell r="H933" t="str">
            <v>ERAF</v>
          </cell>
          <cell r="L933" t="str">
            <v>-</v>
          </cell>
          <cell r="N933">
            <v>34</v>
          </cell>
          <cell r="P933" t="str">
            <v>32</v>
          </cell>
        </row>
        <row r="934">
          <cell r="B934">
            <v>42</v>
          </cell>
          <cell r="C934">
            <v>34328</v>
          </cell>
          <cell r="D934">
            <v>39</v>
          </cell>
          <cell r="E934">
            <v>0</v>
          </cell>
          <cell r="G934">
            <v>1</v>
          </cell>
          <cell r="H934" t="str">
            <v>ERAF</v>
          </cell>
          <cell r="N934">
            <v>39</v>
          </cell>
          <cell r="P934" t="str">
            <v>32</v>
          </cell>
        </row>
        <row r="935">
          <cell r="B935">
            <v>38</v>
          </cell>
          <cell r="C935">
            <v>36703.64</v>
          </cell>
          <cell r="D935">
            <v>44</v>
          </cell>
          <cell r="E935">
            <v>21221.03</v>
          </cell>
          <cell r="G935">
            <v>1</v>
          </cell>
          <cell r="H935" t="str">
            <v>ERAF</v>
          </cell>
          <cell r="L935" t="str">
            <v>-</v>
          </cell>
          <cell r="N935">
            <v>44</v>
          </cell>
          <cell r="P935" t="str">
            <v>32</v>
          </cell>
        </row>
        <row r="936">
          <cell r="B936">
            <v>32</v>
          </cell>
          <cell r="C936">
            <v>20300</v>
          </cell>
          <cell r="D936">
            <v>34</v>
          </cell>
          <cell r="E936">
            <v>15627.05</v>
          </cell>
          <cell r="G936">
            <v>1</v>
          </cell>
          <cell r="H936" t="str">
            <v>ERAF</v>
          </cell>
          <cell r="L936" t="str">
            <v>-</v>
          </cell>
          <cell r="N936">
            <v>34</v>
          </cell>
          <cell r="P936" t="str">
            <v>32</v>
          </cell>
        </row>
        <row r="937">
          <cell r="B937">
            <v>31</v>
          </cell>
          <cell r="C937">
            <v>7295.5</v>
          </cell>
          <cell r="D937">
            <v>34</v>
          </cell>
          <cell r="E937">
            <v>6893.86</v>
          </cell>
          <cell r="G937">
            <v>1</v>
          </cell>
          <cell r="H937" t="str">
            <v>ERAF</v>
          </cell>
          <cell r="L937" t="str">
            <v>-</v>
          </cell>
          <cell r="N937">
            <v>34</v>
          </cell>
          <cell r="P937" t="str">
            <v>32</v>
          </cell>
        </row>
        <row r="938">
          <cell r="B938">
            <v>37</v>
          </cell>
          <cell r="C938">
            <v>8173</v>
          </cell>
          <cell r="D938">
            <v>39</v>
          </cell>
          <cell r="E938">
            <v>7317.26</v>
          </cell>
          <cell r="G938">
            <v>1</v>
          </cell>
          <cell r="H938" t="str">
            <v>ERAF</v>
          </cell>
          <cell r="L938" t="str">
            <v>-</v>
          </cell>
          <cell r="N938">
            <v>39</v>
          </cell>
          <cell r="P938" t="str">
            <v>32</v>
          </cell>
        </row>
        <row r="939">
          <cell r="B939">
            <v>30</v>
          </cell>
          <cell r="C939">
            <v>41775</v>
          </cell>
          <cell r="D939">
            <v>36</v>
          </cell>
          <cell r="E939">
            <v>41316.96</v>
          </cell>
          <cell r="G939">
            <v>1</v>
          </cell>
          <cell r="H939" t="str">
            <v>ERAF</v>
          </cell>
          <cell r="L939" t="str">
            <v>-</v>
          </cell>
          <cell r="N939">
            <v>36</v>
          </cell>
          <cell r="P939" t="str">
            <v>32</v>
          </cell>
        </row>
        <row r="940">
          <cell r="B940">
            <v>37</v>
          </cell>
          <cell r="C940">
            <v>15549.64</v>
          </cell>
          <cell r="D940">
            <v>42</v>
          </cell>
          <cell r="E940">
            <v>12570.34</v>
          </cell>
          <cell r="G940">
            <v>1</v>
          </cell>
          <cell r="H940" t="str">
            <v>ERAF</v>
          </cell>
          <cell r="L940" t="str">
            <v>-</v>
          </cell>
          <cell r="N940">
            <v>42</v>
          </cell>
          <cell r="P940" t="str">
            <v>32</v>
          </cell>
        </row>
        <row r="941">
          <cell r="B941">
            <v>29</v>
          </cell>
          <cell r="C941">
            <v>17507.29</v>
          </cell>
          <cell r="D941">
            <v>29</v>
          </cell>
          <cell r="E941">
            <v>17507.29</v>
          </cell>
          <cell r="G941">
            <v>0</v>
          </cell>
          <cell r="H941" t="str">
            <v>ESF</v>
          </cell>
          <cell r="N941">
            <v>29</v>
          </cell>
          <cell r="P941" t="str">
            <v>40</v>
          </cell>
        </row>
        <row r="942">
          <cell r="B942">
            <v>41</v>
          </cell>
          <cell r="C942">
            <v>14396</v>
          </cell>
          <cell r="D942">
            <v>41</v>
          </cell>
          <cell r="E942">
            <v>13767.8</v>
          </cell>
          <cell r="G942">
            <v>1</v>
          </cell>
          <cell r="H942" t="str">
            <v>ERAF</v>
          </cell>
          <cell r="L942" t="str">
            <v>-</v>
          </cell>
          <cell r="N942">
            <v>41</v>
          </cell>
          <cell r="P942" t="str">
            <v>32</v>
          </cell>
        </row>
        <row r="943">
          <cell r="B943">
            <v>35</v>
          </cell>
          <cell r="C943">
            <v>8730.5</v>
          </cell>
          <cell r="D943">
            <v>37</v>
          </cell>
          <cell r="E943">
            <v>7839.5</v>
          </cell>
          <cell r="G943">
            <v>1</v>
          </cell>
          <cell r="H943" t="str">
            <v>ERAF</v>
          </cell>
          <cell r="L943" t="str">
            <v>-</v>
          </cell>
          <cell r="N943">
            <v>37</v>
          </cell>
          <cell r="P943" t="str">
            <v>32</v>
          </cell>
        </row>
        <row r="944">
          <cell r="B944">
            <v>41</v>
          </cell>
          <cell r="C944">
            <v>7472.42</v>
          </cell>
          <cell r="D944">
            <v>42</v>
          </cell>
          <cell r="E944">
            <v>6123.47</v>
          </cell>
          <cell r="G944">
            <v>1</v>
          </cell>
          <cell r="H944" t="str">
            <v>ERAF</v>
          </cell>
          <cell r="L944" t="str">
            <v>-</v>
          </cell>
          <cell r="N944">
            <v>42</v>
          </cell>
          <cell r="P944" t="str">
            <v>32</v>
          </cell>
        </row>
        <row r="945">
          <cell r="B945">
            <v>35</v>
          </cell>
          <cell r="C945">
            <v>6265</v>
          </cell>
          <cell r="D945">
            <v>37</v>
          </cell>
          <cell r="E945">
            <v>4382.3</v>
          </cell>
          <cell r="G945">
            <v>1</v>
          </cell>
          <cell r="H945" t="str">
            <v>ERAF</v>
          </cell>
          <cell r="L945" t="str">
            <v>-</v>
          </cell>
          <cell r="N945">
            <v>37</v>
          </cell>
          <cell r="P945" t="str">
            <v>32</v>
          </cell>
        </row>
        <row r="946">
          <cell r="B946">
            <v>36</v>
          </cell>
          <cell r="C946">
            <v>4116</v>
          </cell>
          <cell r="D946">
            <v>37</v>
          </cell>
          <cell r="E946">
            <v>4116</v>
          </cell>
          <cell r="G946">
            <v>1</v>
          </cell>
          <cell r="H946" t="str">
            <v>ERAF</v>
          </cell>
          <cell r="L946" t="str">
            <v>-</v>
          </cell>
          <cell r="N946">
            <v>37</v>
          </cell>
          <cell r="P946" t="str">
            <v>32</v>
          </cell>
        </row>
        <row r="947">
          <cell r="B947">
            <v>36</v>
          </cell>
          <cell r="C947">
            <v>9350.35</v>
          </cell>
          <cell r="D947">
            <v>37</v>
          </cell>
          <cell r="E947">
            <v>7341.6</v>
          </cell>
          <cell r="G947">
            <v>1</v>
          </cell>
          <cell r="H947" t="str">
            <v>ERAF</v>
          </cell>
          <cell r="L947" t="str">
            <v>-</v>
          </cell>
          <cell r="N947">
            <v>37</v>
          </cell>
          <cell r="P947" t="str">
            <v>32</v>
          </cell>
        </row>
        <row r="948">
          <cell r="B948">
            <v>36</v>
          </cell>
          <cell r="C948">
            <v>1757.56</v>
          </cell>
          <cell r="D948">
            <v>38</v>
          </cell>
          <cell r="E948">
            <v>1039.86</v>
          </cell>
          <cell r="G948">
            <v>1</v>
          </cell>
          <cell r="H948" t="str">
            <v>ERAF</v>
          </cell>
          <cell r="L948" t="str">
            <v>-</v>
          </cell>
          <cell r="N948">
            <v>38</v>
          </cell>
          <cell r="P948" t="str">
            <v>32</v>
          </cell>
        </row>
        <row r="949">
          <cell r="B949">
            <v>36</v>
          </cell>
          <cell r="C949">
            <v>8763.5</v>
          </cell>
          <cell r="D949">
            <v>40</v>
          </cell>
          <cell r="E949">
            <v>6790.54</v>
          </cell>
          <cell r="G949">
            <v>1</v>
          </cell>
          <cell r="H949" t="str">
            <v>ERAF</v>
          </cell>
          <cell r="L949" t="str">
            <v>-</v>
          </cell>
          <cell r="N949">
            <v>40</v>
          </cell>
          <cell r="P949" t="str">
            <v>32</v>
          </cell>
        </row>
        <row r="950">
          <cell r="B950">
            <v>35</v>
          </cell>
          <cell r="C950">
            <v>8415.53</v>
          </cell>
          <cell r="D950">
            <v>36</v>
          </cell>
          <cell r="E950">
            <v>5529.57</v>
          </cell>
          <cell r="G950">
            <v>1</v>
          </cell>
          <cell r="H950" t="str">
            <v>ERAF</v>
          </cell>
          <cell r="L950" t="str">
            <v>-</v>
          </cell>
          <cell r="N950">
            <v>36</v>
          </cell>
          <cell r="P950" t="str">
            <v>32</v>
          </cell>
        </row>
        <row r="951">
          <cell r="B951">
            <v>36</v>
          </cell>
          <cell r="C951">
            <v>5389.77</v>
          </cell>
          <cell r="D951">
            <v>39</v>
          </cell>
          <cell r="E951">
            <v>4996.2</v>
          </cell>
          <cell r="G951">
            <v>1</v>
          </cell>
          <cell r="H951" t="str">
            <v>ERAF</v>
          </cell>
          <cell r="L951" t="str">
            <v>-</v>
          </cell>
          <cell r="N951">
            <v>39</v>
          </cell>
          <cell r="P951" t="str">
            <v>32</v>
          </cell>
        </row>
        <row r="952">
          <cell r="B952">
            <v>37</v>
          </cell>
          <cell r="C952">
            <v>2398.11</v>
          </cell>
          <cell r="D952">
            <v>38</v>
          </cell>
          <cell r="E952">
            <v>1392.33</v>
          </cell>
          <cell r="G952">
            <v>1</v>
          </cell>
          <cell r="H952" t="str">
            <v>ERAF</v>
          </cell>
          <cell r="L952" t="str">
            <v>-</v>
          </cell>
          <cell r="N952">
            <v>38</v>
          </cell>
          <cell r="P952" t="str">
            <v>32</v>
          </cell>
        </row>
        <row r="953">
          <cell r="B953">
            <v>38</v>
          </cell>
          <cell r="C953">
            <v>10598.25</v>
          </cell>
          <cell r="D953">
            <v>44</v>
          </cell>
          <cell r="E953">
            <v>6824.73</v>
          </cell>
          <cell r="G953">
            <v>1</v>
          </cell>
          <cell r="H953" t="str">
            <v>ERAF</v>
          </cell>
          <cell r="L953" t="str">
            <v>-</v>
          </cell>
          <cell r="N953">
            <v>44</v>
          </cell>
          <cell r="P953" t="str">
            <v>32</v>
          </cell>
        </row>
        <row r="954">
          <cell r="B954">
            <v>38</v>
          </cell>
          <cell r="C954">
            <v>9000</v>
          </cell>
          <cell r="D954">
            <v>38</v>
          </cell>
          <cell r="E954">
            <v>5432.03</v>
          </cell>
          <cell r="G954">
            <v>1</v>
          </cell>
          <cell r="H954" t="str">
            <v>ERAF</v>
          </cell>
          <cell r="L954" t="str">
            <v>-</v>
          </cell>
          <cell r="N954">
            <v>38</v>
          </cell>
          <cell r="P954" t="str">
            <v>32</v>
          </cell>
        </row>
        <row r="955">
          <cell r="B955">
            <v>36</v>
          </cell>
          <cell r="C955">
            <v>7950</v>
          </cell>
          <cell r="D955">
            <v>38</v>
          </cell>
          <cell r="E955">
            <v>7700</v>
          </cell>
          <cell r="G955">
            <v>1</v>
          </cell>
          <cell r="H955" t="str">
            <v>ERAF</v>
          </cell>
          <cell r="L955" t="str">
            <v>-</v>
          </cell>
          <cell r="N955">
            <v>38</v>
          </cell>
          <cell r="P955" t="str">
            <v>32</v>
          </cell>
        </row>
        <row r="956">
          <cell r="B956">
            <v>36</v>
          </cell>
          <cell r="C956">
            <v>10525</v>
          </cell>
          <cell r="D956">
            <v>36</v>
          </cell>
          <cell r="E956">
            <v>5121.04</v>
          </cell>
          <cell r="G956">
            <v>1</v>
          </cell>
          <cell r="H956" t="str">
            <v>ERAF</v>
          </cell>
          <cell r="L956" t="str">
            <v>-</v>
          </cell>
          <cell r="N956">
            <v>36</v>
          </cell>
          <cell r="P956" t="str">
            <v>32</v>
          </cell>
        </row>
        <row r="957">
          <cell r="B957">
            <v>36</v>
          </cell>
          <cell r="C957">
            <v>8184.5</v>
          </cell>
          <cell r="D957">
            <v>36</v>
          </cell>
          <cell r="E957">
            <v>8044.5</v>
          </cell>
          <cell r="G957">
            <v>1</v>
          </cell>
          <cell r="H957" t="str">
            <v>ERAF</v>
          </cell>
          <cell r="L957" t="str">
            <v>-</v>
          </cell>
          <cell r="N957">
            <v>36</v>
          </cell>
          <cell r="P957" t="str">
            <v>32</v>
          </cell>
        </row>
        <row r="958">
          <cell r="B958">
            <v>37</v>
          </cell>
          <cell r="C958">
            <v>2793.08</v>
          </cell>
          <cell r="D958">
            <v>39</v>
          </cell>
          <cell r="E958">
            <v>1626.84</v>
          </cell>
          <cell r="G958">
            <v>1</v>
          </cell>
          <cell r="H958" t="str">
            <v>ERAF</v>
          </cell>
          <cell r="L958" t="str">
            <v>-</v>
          </cell>
          <cell r="N958">
            <v>39</v>
          </cell>
          <cell r="P958" t="str">
            <v>32</v>
          </cell>
        </row>
        <row r="959">
          <cell r="B959">
            <v>43</v>
          </cell>
          <cell r="C959">
            <v>27331.52</v>
          </cell>
          <cell r="D959">
            <v>43</v>
          </cell>
          <cell r="E959">
            <v>16672.06</v>
          </cell>
          <cell r="G959">
            <v>1</v>
          </cell>
          <cell r="H959" t="str">
            <v>ERAF</v>
          </cell>
          <cell r="L959" t="str">
            <v>-</v>
          </cell>
          <cell r="N959">
            <v>43</v>
          </cell>
          <cell r="P959" t="str">
            <v>32</v>
          </cell>
        </row>
        <row r="960">
          <cell r="B960">
            <v>35</v>
          </cell>
          <cell r="C960">
            <v>4955</v>
          </cell>
          <cell r="D960">
            <v>39</v>
          </cell>
          <cell r="E960">
            <v>2327.95</v>
          </cell>
          <cell r="G960">
            <v>1</v>
          </cell>
          <cell r="H960" t="str">
            <v>ERAF</v>
          </cell>
          <cell r="L960" t="str">
            <v>-</v>
          </cell>
          <cell r="N960">
            <v>39</v>
          </cell>
          <cell r="P960" t="str">
            <v>32</v>
          </cell>
        </row>
        <row r="961">
          <cell r="B961">
            <v>37</v>
          </cell>
          <cell r="C961">
            <v>12033.64</v>
          </cell>
          <cell r="D961">
            <v>36</v>
          </cell>
          <cell r="E961">
            <v>11720.15</v>
          </cell>
          <cell r="G961">
            <v>1</v>
          </cell>
          <cell r="H961" t="str">
            <v>ERAF</v>
          </cell>
          <cell r="L961" t="str">
            <v>-</v>
          </cell>
          <cell r="N961">
            <v>36</v>
          </cell>
          <cell r="P961" t="str">
            <v>32</v>
          </cell>
        </row>
        <row r="962">
          <cell r="B962">
            <v>37</v>
          </cell>
          <cell r="C962">
            <v>5272.5</v>
          </cell>
          <cell r="D962">
            <v>38</v>
          </cell>
          <cell r="E962">
            <v>5093</v>
          </cell>
          <cell r="G962">
            <v>1</v>
          </cell>
          <cell r="H962" t="str">
            <v>ERAF</v>
          </cell>
          <cell r="L962" t="str">
            <v>-</v>
          </cell>
          <cell r="N962">
            <v>38</v>
          </cell>
          <cell r="P962" t="str">
            <v>32</v>
          </cell>
        </row>
        <row r="963">
          <cell r="B963">
            <v>36</v>
          </cell>
          <cell r="C963">
            <v>10007.8</v>
          </cell>
          <cell r="D963">
            <v>35</v>
          </cell>
          <cell r="E963">
            <v>10007.7</v>
          </cell>
          <cell r="G963">
            <v>1</v>
          </cell>
          <cell r="H963" t="str">
            <v>ERAF</v>
          </cell>
          <cell r="L963" t="str">
            <v>-</v>
          </cell>
          <cell r="N963">
            <v>35</v>
          </cell>
          <cell r="P963" t="str">
            <v>32</v>
          </cell>
        </row>
        <row r="964">
          <cell r="B964">
            <v>36</v>
          </cell>
          <cell r="C964">
            <v>2892.92</v>
          </cell>
          <cell r="D964">
            <v>35</v>
          </cell>
          <cell r="E964">
            <v>2811.68</v>
          </cell>
          <cell r="G964">
            <v>1</v>
          </cell>
          <cell r="H964" t="str">
            <v>ERAF</v>
          </cell>
          <cell r="L964" t="str">
            <v>-</v>
          </cell>
          <cell r="N964">
            <v>35</v>
          </cell>
          <cell r="P964" t="str">
            <v>32</v>
          </cell>
        </row>
        <row r="965">
          <cell r="B965">
            <v>36</v>
          </cell>
          <cell r="C965">
            <v>12118</v>
          </cell>
          <cell r="D965">
            <v>39</v>
          </cell>
          <cell r="E965">
            <v>8686.1</v>
          </cell>
          <cell r="G965">
            <v>1</v>
          </cell>
          <cell r="H965" t="str">
            <v>ERAF</v>
          </cell>
          <cell r="L965" t="str">
            <v>-</v>
          </cell>
          <cell r="N965">
            <v>39</v>
          </cell>
          <cell r="P965" t="str">
            <v>32</v>
          </cell>
        </row>
        <row r="966">
          <cell r="B966">
            <v>36</v>
          </cell>
          <cell r="C966">
            <v>15194.44</v>
          </cell>
          <cell r="D966">
            <v>44</v>
          </cell>
          <cell r="E966">
            <v>13005.87</v>
          </cell>
          <cell r="G966">
            <v>1</v>
          </cell>
          <cell r="H966" t="str">
            <v>ERAF</v>
          </cell>
          <cell r="L966" t="str">
            <v>-</v>
          </cell>
          <cell r="N966">
            <v>44</v>
          </cell>
          <cell r="P966" t="str">
            <v>32</v>
          </cell>
        </row>
        <row r="967">
          <cell r="B967">
            <v>41</v>
          </cell>
          <cell r="C967">
            <v>17430.38</v>
          </cell>
          <cell r="D967">
            <v>41</v>
          </cell>
          <cell r="E967">
            <v>15484.74</v>
          </cell>
          <cell r="G967">
            <v>1</v>
          </cell>
          <cell r="H967" t="str">
            <v>ERAF</v>
          </cell>
          <cell r="L967" t="str">
            <v>-</v>
          </cell>
          <cell r="N967">
            <v>41</v>
          </cell>
          <cell r="P967" t="str">
            <v>32</v>
          </cell>
        </row>
        <row r="968">
          <cell r="B968">
            <v>35</v>
          </cell>
          <cell r="C968">
            <v>1596</v>
          </cell>
          <cell r="D968">
            <v>43</v>
          </cell>
          <cell r="E968">
            <v>1077.26</v>
          </cell>
          <cell r="G968">
            <v>1</v>
          </cell>
          <cell r="H968" t="str">
            <v>ERAF</v>
          </cell>
          <cell r="L968" t="str">
            <v>-</v>
          </cell>
          <cell r="N968">
            <v>43</v>
          </cell>
          <cell r="P968" t="str">
            <v>32</v>
          </cell>
        </row>
        <row r="969">
          <cell r="B969">
            <v>42</v>
          </cell>
          <cell r="C969">
            <v>12509</v>
          </cell>
          <cell r="D969">
            <v>44</v>
          </cell>
          <cell r="E969">
            <v>8881.89</v>
          </cell>
          <cell r="G969">
            <v>1</v>
          </cell>
          <cell r="H969" t="str">
            <v>ERAF</v>
          </cell>
          <cell r="L969" t="str">
            <v>-</v>
          </cell>
          <cell r="N969">
            <v>44</v>
          </cell>
          <cell r="P969" t="str">
            <v>32</v>
          </cell>
        </row>
        <row r="970">
          <cell r="B970">
            <v>40</v>
          </cell>
          <cell r="C970">
            <v>14664</v>
          </cell>
          <cell r="D970">
            <v>41</v>
          </cell>
          <cell r="E970">
            <v>11271.11</v>
          </cell>
          <cell r="G970">
            <v>1</v>
          </cell>
          <cell r="H970" t="str">
            <v>ERAF</v>
          </cell>
          <cell r="L970" t="str">
            <v>-</v>
          </cell>
          <cell r="N970">
            <v>41</v>
          </cell>
          <cell r="P970" t="str">
            <v>32</v>
          </cell>
        </row>
        <row r="971">
          <cell r="B971">
            <v>37</v>
          </cell>
          <cell r="C971">
            <v>928.5</v>
          </cell>
          <cell r="D971">
            <v>38</v>
          </cell>
          <cell r="E971">
            <v>521.94</v>
          </cell>
          <cell r="G971">
            <v>1</v>
          </cell>
          <cell r="H971" t="str">
            <v>ERAF</v>
          </cell>
          <cell r="L971" t="str">
            <v>-</v>
          </cell>
          <cell r="N971">
            <v>38</v>
          </cell>
          <cell r="P971" t="str">
            <v>32</v>
          </cell>
        </row>
        <row r="972">
          <cell r="B972">
            <v>42</v>
          </cell>
          <cell r="C972">
            <v>9898.6</v>
          </cell>
          <cell r="D972">
            <v>43</v>
          </cell>
          <cell r="E972">
            <v>4918.26</v>
          </cell>
          <cell r="G972">
            <v>1</v>
          </cell>
          <cell r="H972" t="str">
            <v>ERAF</v>
          </cell>
          <cell r="L972" t="str">
            <v>-</v>
          </cell>
          <cell r="N972">
            <v>43</v>
          </cell>
          <cell r="P972" t="str">
            <v>32</v>
          </cell>
        </row>
        <row r="973">
          <cell r="B973">
            <v>39</v>
          </cell>
          <cell r="C973">
            <v>8681.05</v>
          </cell>
          <cell r="D973">
            <v>43</v>
          </cell>
          <cell r="E973">
            <v>5308.3</v>
          </cell>
          <cell r="G973">
            <v>1</v>
          </cell>
          <cell r="H973" t="str">
            <v>ERAF</v>
          </cell>
          <cell r="L973" t="str">
            <v>-</v>
          </cell>
          <cell r="N973">
            <v>43</v>
          </cell>
          <cell r="P973" t="str">
            <v>32</v>
          </cell>
        </row>
        <row r="974">
          <cell r="B974">
            <v>37</v>
          </cell>
          <cell r="C974">
            <v>3936</v>
          </cell>
          <cell r="D974">
            <v>44</v>
          </cell>
          <cell r="E974">
            <v>2600.67</v>
          </cell>
          <cell r="G974">
            <v>1</v>
          </cell>
          <cell r="H974" t="str">
            <v>ERAF</v>
          </cell>
          <cell r="L974" t="str">
            <v>-</v>
          </cell>
          <cell r="N974">
            <v>44</v>
          </cell>
          <cell r="P974" t="str">
            <v>32</v>
          </cell>
        </row>
        <row r="975">
          <cell r="B975">
            <v>37</v>
          </cell>
          <cell r="C975">
            <v>15714.32</v>
          </cell>
          <cell r="D975">
            <v>38</v>
          </cell>
          <cell r="E975">
            <v>10336.45</v>
          </cell>
          <cell r="G975">
            <v>1</v>
          </cell>
          <cell r="H975" t="str">
            <v>ERAF</v>
          </cell>
          <cell r="L975" t="str">
            <v>-</v>
          </cell>
          <cell r="N975">
            <v>38</v>
          </cell>
          <cell r="P975" t="str">
            <v>32</v>
          </cell>
        </row>
        <row r="976">
          <cell r="B976">
            <v>37</v>
          </cell>
          <cell r="C976">
            <v>2925.5</v>
          </cell>
          <cell r="D976">
            <v>40</v>
          </cell>
          <cell r="E976">
            <v>1730.91</v>
          </cell>
          <cell r="G976">
            <v>1</v>
          </cell>
          <cell r="H976" t="str">
            <v>ERAF</v>
          </cell>
          <cell r="L976" t="str">
            <v>-</v>
          </cell>
          <cell r="N976">
            <v>40</v>
          </cell>
          <cell r="P976" t="str">
            <v>32</v>
          </cell>
        </row>
        <row r="977">
          <cell r="B977">
            <v>36</v>
          </cell>
          <cell r="C977">
            <v>6662.5</v>
          </cell>
          <cell r="D977">
            <v>36</v>
          </cell>
          <cell r="E977">
            <v>3244.55</v>
          </cell>
          <cell r="G977">
            <v>1</v>
          </cell>
          <cell r="H977" t="str">
            <v>ERAF</v>
          </cell>
          <cell r="L977" t="str">
            <v>-</v>
          </cell>
          <cell r="N977">
            <v>36</v>
          </cell>
          <cell r="P977" t="str">
            <v>32</v>
          </cell>
        </row>
        <row r="978">
          <cell r="B978">
            <v>38</v>
          </cell>
          <cell r="C978">
            <v>9101.69</v>
          </cell>
          <cell r="D978">
            <v>36</v>
          </cell>
          <cell r="E978">
            <v>9026.97</v>
          </cell>
          <cell r="G978">
            <v>1</v>
          </cell>
          <cell r="H978" t="str">
            <v>ERAF</v>
          </cell>
          <cell r="L978" t="str">
            <v>-</v>
          </cell>
          <cell r="N978">
            <v>36</v>
          </cell>
          <cell r="P978" t="str">
            <v>32</v>
          </cell>
        </row>
        <row r="979">
          <cell r="B979">
            <v>35</v>
          </cell>
          <cell r="C979">
            <v>4187.5</v>
          </cell>
          <cell r="D979">
            <v>37</v>
          </cell>
          <cell r="E979">
            <v>4038.5</v>
          </cell>
          <cell r="G979">
            <v>1</v>
          </cell>
          <cell r="H979" t="str">
            <v>ERAF</v>
          </cell>
          <cell r="L979" t="str">
            <v>-</v>
          </cell>
          <cell r="N979">
            <v>37</v>
          </cell>
          <cell r="P979" t="str">
            <v>32</v>
          </cell>
        </row>
        <row r="980">
          <cell r="B980">
            <v>37</v>
          </cell>
          <cell r="C980">
            <v>9542.5</v>
          </cell>
          <cell r="D980">
            <v>42</v>
          </cell>
          <cell r="E980">
            <v>8081.68</v>
          </cell>
          <cell r="G980">
            <v>1</v>
          </cell>
          <cell r="H980" t="str">
            <v>ERAF</v>
          </cell>
          <cell r="L980" t="str">
            <v>-</v>
          </cell>
          <cell r="N980">
            <v>42</v>
          </cell>
          <cell r="P980" t="str">
            <v>32</v>
          </cell>
        </row>
        <row r="981">
          <cell r="B981">
            <v>37</v>
          </cell>
          <cell r="C981">
            <v>12375</v>
          </cell>
          <cell r="D981">
            <v>38</v>
          </cell>
          <cell r="E981">
            <v>11751.48</v>
          </cell>
          <cell r="G981">
            <v>1</v>
          </cell>
          <cell r="H981" t="str">
            <v>ERAF</v>
          </cell>
          <cell r="L981" t="str">
            <v>-</v>
          </cell>
          <cell r="N981">
            <v>38</v>
          </cell>
          <cell r="P981" t="str">
            <v>32</v>
          </cell>
        </row>
        <row r="982">
          <cell r="B982">
            <v>36</v>
          </cell>
          <cell r="C982">
            <v>12543.21</v>
          </cell>
          <cell r="D982">
            <v>44</v>
          </cell>
          <cell r="E982">
            <v>10131.2</v>
          </cell>
          <cell r="G982">
            <v>1</v>
          </cell>
          <cell r="H982" t="str">
            <v>ERAF</v>
          </cell>
          <cell r="L982" t="str">
            <v>-</v>
          </cell>
          <cell r="N982">
            <v>44</v>
          </cell>
          <cell r="P982" t="str">
            <v>32</v>
          </cell>
        </row>
        <row r="983">
          <cell r="B983">
            <v>37</v>
          </cell>
          <cell r="C983">
            <v>10334.3</v>
          </cell>
          <cell r="D983">
            <v>38</v>
          </cell>
          <cell r="E983">
            <v>10334.28</v>
          </cell>
          <cell r="G983">
            <v>1</v>
          </cell>
          <cell r="H983" t="str">
            <v>ERAF</v>
          </cell>
          <cell r="L983" t="str">
            <v>-</v>
          </cell>
          <cell r="N983">
            <v>38</v>
          </cell>
          <cell r="P983" t="str">
            <v>32</v>
          </cell>
        </row>
        <row r="984">
          <cell r="B984">
            <v>37</v>
          </cell>
          <cell r="C984">
            <v>24500</v>
          </cell>
          <cell r="D984">
            <v>39</v>
          </cell>
          <cell r="E984">
            <v>16808.08</v>
          </cell>
          <cell r="G984">
            <v>1</v>
          </cell>
          <cell r="H984" t="str">
            <v>ERAF</v>
          </cell>
          <cell r="L984" t="str">
            <v>-</v>
          </cell>
          <cell r="N984">
            <v>39</v>
          </cell>
          <cell r="P984" t="str">
            <v>32</v>
          </cell>
        </row>
        <row r="985">
          <cell r="B985">
            <v>38</v>
          </cell>
          <cell r="C985">
            <v>1789.45</v>
          </cell>
          <cell r="D985">
            <v>38</v>
          </cell>
          <cell r="E985">
            <v>1777.97</v>
          </cell>
          <cell r="G985">
            <v>1</v>
          </cell>
          <cell r="H985" t="str">
            <v>ERAF</v>
          </cell>
          <cell r="L985" t="str">
            <v>-</v>
          </cell>
          <cell r="N985">
            <v>38</v>
          </cell>
          <cell r="P985" t="str">
            <v>32</v>
          </cell>
        </row>
        <row r="986">
          <cell r="B986">
            <v>36</v>
          </cell>
          <cell r="C986">
            <v>1375.79</v>
          </cell>
          <cell r="D986">
            <v>41</v>
          </cell>
          <cell r="E986">
            <v>170.87</v>
          </cell>
          <cell r="G986">
            <v>1</v>
          </cell>
          <cell r="H986" t="str">
            <v>ERAF</v>
          </cell>
          <cell r="L986" t="str">
            <v>-</v>
          </cell>
          <cell r="N986">
            <v>41</v>
          </cell>
          <cell r="P986" t="str">
            <v>32</v>
          </cell>
        </row>
        <row r="987">
          <cell r="B987">
            <v>41</v>
          </cell>
          <cell r="C987">
            <v>542328.71</v>
          </cell>
          <cell r="D987">
            <v>40</v>
          </cell>
          <cell r="E987">
            <v>0</v>
          </cell>
          <cell r="G987">
            <v>1</v>
          </cell>
          <cell r="H987" t="str">
            <v>ERAF</v>
          </cell>
          <cell r="N987">
            <v>40</v>
          </cell>
          <cell r="P987" t="str">
            <v>12</v>
          </cell>
        </row>
        <row r="988">
          <cell r="B988">
            <v>38</v>
          </cell>
          <cell r="C988">
            <v>16459.24</v>
          </cell>
          <cell r="D988">
            <v>40</v>
          </cell>
          <cell r="E988">
            <v>11058.73</v>
          </cell>
          <cell r="G988">
            <v>1</v>
          </cell>
          <cell r="H988" t="str">
            <v>ERAF</v>
          </cell>
          <cell r="L988" t="str">
            <v>-</v>
          </cell>
          <cell r="N988">
            <v>40</v>
          </cell>
          <cell r="P988" t="str">
            <v>32</v>
          </cell>
        </row>
        <row r="989">
          <cell r="B989">
            <v>42</v>
          </cell>
          <cell r="C989">
            <v>9719.5</v>
          </cell>
          <cell r="D989">
            <v>42</v>
          </cell>
          <cell r="E989">
            <v>3664.62</v>
          </cell>
          <cell r="G989">
            <v>1</v>
          </cell>
          <cell r="H989" t="str">
            <v>ERAF</v>
          </cell>
          <cell r="L989" t="str">
            <v>-</v>
          </cell>
          <cell r="N989">
            <v>42</v>
          </cell>
          <cell r="P989" t="str">
            <v>32</v>
          </cell>
        </row>
        <row r="990">
          <cell r="B990">
            <v>43</v>
          </cell>
          <cell r="C990">
            <v>15629</v>
          </cell>
          <cell r="D990">
            <v>42</v>
          </cell>
          <cell r="E990">
            <v>10297.14</v>
          </cell>
          <cell r="G990">
            <v>1</v>
          </cell>
          <cell r="H990" t="str">
            <v>ERAF</v>
          </cell>
          <cell r="L990" t="str">
            <v>-</v>
          </cell>
          <cell r="N990">
            <v>42</v>
          </cell>
          <cell r="P990" t="str">
            <v>32</v>
          </cell>
        </row>
        <row r="991">
          <cell r="B991">
            <v>39</v>
          </cell>
          <cell r="C991">
            <v>12250</v>
          </cell>
          <cell r="D991">
            <v>40</v>
          </cell>
          <cell r="E991">
            <v>10775</v>
          </cell>
          <cell r="G991">
            <v>1</v>
          </cell>
          <cell r="H991" t="str">
            <v>ERAF</v>
          </cell>
          <cell r="L991" t="str">
            <v>-</v>
          </cell>
          <cell r="N991">
            <v>40</v>
          </cell>
          <cell r="P991" t="str">
            <v>32</v>
          </cell>
        </row>
        <row r="992">
          <cell r="B992">
            <v>41</v>
          </cell>
          <cell r="C992">
            <v>5120.5</v>
          </cell>
          <cell r="D992">
            <v>42</v>
          </cell>
          <cell r="E992">
            <v>3587.43</v>
          </cell>
          <cell r="G992">
            <v>1</v>
          </cell>
          <cell r="H992" t="str">
            <v>ERAF</v>
          </cell>
          <cell r="L992" t="str">
            <v>-</v>
          </cell>
          <cell r="N992">
            <v>42</v>
          </cell>
          <cell r="P992" t="str">
            <v>32</v>
          </cell>
        </row>
        <row r="993">
          <cell r="B993">
            <v>43</v>
          </cell>
          <cell r="C993">
            <v>981</v>
          </cell>
          <cell r="D993">
            <v>43</v>
          </cell>
          <cell r="E993">
            <v>964.1</v>
          </cell>
          <cell r="G993">
            <v>1</v>
          </cell>
          <cell r="H993" t="str">
            <v>ERAF</v>
          </cell>
          <cell r="L993" t="str">
            <v>-</v>
          </cell>
          <cell r="N993">
            <v>43</v>
          </cell>
          <cell r="P993" t="str">
            <v>32</v>
          </cell>
        </row>
        <row r="994">
          <cell r="B994">
            <v>41</v>
          </cell>
          <cell r="C994">
            <v>7437.25</v>
          </cell>
          <cell r="D994">
            <v>44</v>
          </cell>
          <cell r="E994">
            <v>1889.71</v>
          </cell>
          <cell r="G994">
            <v>1</v>
          </cell>
          <cell r="H994" t="str">
            <v>ERAF</v>
          </cell>
          <cell r="L994" t="str">
            <v>-</v>
          </cell>
          <cell r="N994">
            <v>44</v>
          </cell>
          <cell r="P994" t="str">
            <v>32</v>
          </cell>
        </row>
        <row r="995">
          <cell r="B995">
            <v>42</v>
          </cell>
          <cell r="C995">
            <v>22135.5</v>
          </cell>
          <cell r="D995">
            <v>42</v>
          </cell>
          <cell r="E995">
            <v>16688.07</v>
          </cell>
          <cell r="G995">
            <v>1</v>
          </cell>
          <cell r="H995" t="str">
            <v>ERAF</v>
          </cell>
          <cell r="L995" t="str">
            <v>-</v>
          </cell>
          <cell r="N995">
            <v>42</v>
          </cell>
          <cell r="P995" t="str">
            <v>32</v>
          </cell>
        </row>
        <row r="996">
          <cell r="B996">
            <v>38</v>
          </cell>
          <cell r="C996">
            <v>4615</v>
          </cell>
          <cell r="D996">
            <v>41</v>
          </cell>
          <cell r="E996">
            <v>4033.69</v>
          </cell>
          <cell r="G996">
            <v>1</v>
          </cell>
          <cell r="H996" t="str">
            <v>ERAF</v>
          </cell>
          <cell r="L996" t="str">
            <v>-</v>
          </cell>
          <cell r="N996">
            <v>41</v>
          </cell>
          <cell r="P996" t="str">
            <v>32</v>
          </cell>
        </row>
        <row r="997">
          <cell r="B997">
            <v>37</v>
          </cell>
          <cell r="C997">
            <v>6816.6</v>
          </cell>
          <cell r="D997">
            <v>39</v>
          </cell>
          <cell r="E997">
            <v>6106.89</v>
          </cell>
          <cell r="G997">
            <v>1</v>
          </cell>
          <cell r="H997" t="str">
            <v>ERAF</v>
          </cell>
          <cell r="L997" t="str">
            <v>-</v>
          </cell>
          <cell r="N997">
            <v>39</v>
          </cell>
          <cell r="P997" t="str">
            <v>32</v>
          </cell>
        </row>
        <row r="998">
          <cell r="B998">
            <v>42</v>
          </cell>
          <cell r="C998">
            <v>6791.8</v>
          </cell>
          <cell r="D998">
            <v>43</v>
          </cell>
          <cell r="E998">
            <v>6621.49</v>
          </cell>
          <cell r="G998">
            <v>1</v>
          </cell>
          <cell r="H998" t="str">
            <v>ERAF</v>
          </cell>
          <cell r="L998" t="str">
            <v>-</v>
          </cell>
          <cell r="N998">
            <v>43</v>
          </cell>
          <cell r="P998" t="str">
            <v>32</v>
          </cell>
        </row>
        <row r="999">
          <cell r="B999">
            <v>42</v>
          </cell>
          <cell r="C999">
            <v>15434.27</v>
          </cell>
          <cell r="D999">
            <v>43</v>
          </cell>
          <cell r="E999">
            <v>14164.72</v>
          </cell>
          <cell r="G999">
            <v>1</v>
          </cell>
          <cell r="H999" t="str">
            <v>ERAF</v>
          </cell>
          <cell r="L999" t="str">
            <v>-</v>
          </cell>
          <cell r="N999">
            <v>43</v>
          </cell>
          <cell r="P999" t="str">
            <v>32</v>
          </cell>
        </row>
        <row r="1000">
          <cell r="B1000">
            <v>37</v>
          </cell>
          <cell r="C1000">
            <v>10385</v>
          </cell>
          <cell r="D1000">
            <v>44</v>
          </cell>
          <cell r="E1000">
            <v>10318.48</v>
          </cell>
          <cell r="G1000">
            <v>1</v>
          </cell>
          <cell r="H1000" t="str">
            <v>ERAF</v>
          </cell>
          <cell r="L1000" t="str">
            <v>-</v>
          </cell>
          <cell r="N1000">
            <v>44</v>
          </cell>
          <cell r="P1000" t="str">
            <v>32</v>
          </cell>
        </row>
        <row r="1001">
          <cell r="B1001">
            <v>39</v>
          </cell>
          <cell r="C1001">
            <v>5282.49</v>
          </cell>
          <cell r="D1001">
            <v>44</v>
          </cell>
          <cell r="E1001">
            <v>4426.5</v>
          </cell>
          <cell r="G1001">
            <v>1</v>
          </cell>
          <cell r="H1001" t="str">
            <v>ERAF</v>
          </cell>
          <cell r="L1001" t="str">
            <v>-</v>
          </cell>
          <cell r="N1001">
            <v>44</v>
          </cell>
          <cell r="P1001" t="str">
            <v>32</v>
          </cell>
        </row>
        <row r="1002">
          <cell r="B1002">
            <v>38</v>
          </cell>
          <cell r="C1002">
            <v>4134</v>
          </cell>
          <cell r="D1002">
            <v>40</v>
          </cell>
          <cell r="E1002">
            <v>2466.66</v>
          </cell>
          <cell r="G1002">
            <v>1</v>
          </cell>
          <cell r="H1002" t="str">
            <v>ERAF</v>
          </cell>
          <cell r="L1002" t="str">
            <v>-</v>
          </cell>
          <cell r="N1002">
            <v>40</v>
          </cell>
          <cell r="P1002" t="str">
            <v>32</v>
          </cell>
        </row>
        <row r="1003">
          <cell r="B1003">
            <v>38</v>
          </cell>
          <cell r="C1003">
            <v>7280.4</v>
          </cell>
          <cell r="D1003">
            <v>40</v>
          </cell>
          <cell r="E1003">
            <v>4332.4</v>
          </cell>
          <cell r="G1003">
            <v>1</v>
          </cell>
          <cell r="H1003" t="str">
            <v>ERAF</v>
          </cell>
          <cell r="L1003" t="str">
            <v>-</v>
          </cell>
          <cell r="N1003">
            <v>40</v>
          </cell>
          <cell r="P1003" t="str">
            <v>32</v>
          </cell>
        </row>
        <row r="1004">
          <cell r="B1004">
            <v>39</v>
          </cell>
          <cell r="C1004">
            <v>5193.15</v>
          </cell>
          <cell r="D1004">
            <v>40</v>
          </cell>
          <cell r="E1004">
            <v>4734.47</v>
          </cell>
          <cell r="G1004">
            <v>1</v>
          </cell>
          <cell r="H1004" t="str">
            <v>ERAF</v>
          </cell>
          <cell r="L1004" t="str">
            <v>-</v>
          </cell>
          <cell r="N1004">
            <v>40</v>
          </cell>
          <cell r="P1004" t="str">
            <v>32</v>
          </cell>
        </row>
        <row r="1005">
          <cell r="B1005">
            <v>42</v>
          </cell>
          <cell r="C1005">
            <v>12291.5</v>
          </cell>
          <cell r="D1005">
            <v>43</v>
          </cell>
          <cell r="E1005">
            <v>9268.44</v>
          </cell>
          <cell r="G1005">
            <v>1</v>
          </cell>
          <cell r="H1005" t="str">
            <v>ERAF</v>
          </cell>
          <cell r="L1005" t="str">
            <v>-</v>
          </cell>
          <cell r="N1005">
            <v>43</v>
          </cell>
          <cell r="P1005" t="str">
            <v>32</v>
          </cell>
        </row>
        <row r="1006">
          <cell r="B1006">
            <v>38</v>
          </cell>
          <cell r="C1006">
            <v>9447.87</v>
          </cell>
          <cell r="D1006">
            <v>39</v>
          </cell>
          <cell r="E1006">
            <v>8627.81</v>
          </cell>
          <cell r="G1006">
            <v>1</v>
          </cell>
          <cell r="H1006" t="str">
            <v>ERAF</v>
          </cell>
          <cell r="L1006" t="str">
            <v>-</v>
          </cell>
          <cell r="N1006">
            <v>39</v>
          </cell>
          <cell r="P1006" t="str">
            <v>32</v>
          </cell>
        </row>
        <row r="1007">
          <cell r="B1007">
            <v>38</v>
          </cell>
          <cell r="C1007">
            <v>13197.32</v>
          </cell>
          <cell r="D1007">
            <v>40</v>
          </cell>
          <cell r="E1007">
            <v>10493.93</v>
          </cell>
          <cell r="G1007">
            <v>1</v>
          </cell>
          <cell r="H1007" t="str">
            <v>ERAF</v>
          </cell>
          <cell r="L1007" t="str">
            <v>-</v>
          </cell>
          <cell r="N1007">
            <v>40</v>
          </cell>
          <cell r="P1007" t="str">
            <v>32</v>
          </cell>
        </row>
        <row r="1008">
          <cell r="B1008">
            <v>38</v>
          </cell>
          <cell r="C1008">
            <v>8911.97</v>
          </cell>
          <cell r="D1008">
            <v>41</v>
          </cell>
          <cell r="E1008">
            <v>8216.99</v>
          </cell>
          <cell r="G1008">
            <v>1</v>
          </cell>
          <cell r="H1008" t="str">
            <v>ERAF</v>
          </cell>
          <cell r="L1008" t="str">
            <v>-</v>
          </cell>
          <cell r="N1008">
            <v>41</v>
          </cell>
          <cell r="P1008" t="str">
            <v>32</v>
          </cell>
        </row>
        <row r="1009">
          <cell r="B1009">
            <v>37</v>
          </cell>
          <cell r="C1009">
            <v>10520</v>
          </cell>
          <cell r="D1009">
            <v>40</v>
          </cell>
          <cell r="E1009">
            <v>10312.62</v>
          </cell>
          <cell r="G1009">
            <v>1</v>
          </cell>
          <cell r="H1009" t="str">
            <v>ERAF</v>
          </cell>
          <cell r="L1009" t="str">
            <v>-</v>
          </cell>
          <cell r="N1009">
            <v>40</v>
          </cell>
          <cell r="P1009" t="str">
            <v>32</v>
          </cell>
        </row>
        <row r="1010">
          <cell r="B1010">
            <v>37</v>
          </cell>
          <cell r="C1010">
            <v>3602.28</v>
          </cell>
          <cell r="D1010">
            <v>40</v>
          </cell>
          <cell r="E1010">
            <v>3519.05</v>
          </cell>
          <cell r="G1010">
            <v>1</v>
          </cell>
          <cell r="H1010" t="str">
            <v>ERAF</v>
          </cell>
          <cell r="L1010" t="str">
            <v>-</v>
          </cell>
          <cell r="N1010">
            <v>40</v>
          </cell>
          <cell r="P1010" t="str">
            <v>32</v>
          </cell>
        </row>
        <row r="1011">
          <cell r="B1011">
            <v>37</v>
          </cell>
          <cell r="C1011">
            <v>2144.28</v>
          </cell>
          <cell r="D1011">
            <v>42</v>
          </cell>
          <cell r="E1011">
            <v>1583.96</v>
          </cell>
          <cell r="G1011">
            <v>1</v>
          </cell>
          <cell r="H1011" t="str">
            <v>ERAF</v>
          </cell>
          <cell r="L1011" t="str">
            <v>-</v>
          </cell>
          <cell r="N1011">
            <v>42</v>
          </cell>
          <cell r="P1011" t="str">
            <v>32</v>
          </cell>
        </row>
        <row r="1012">
          <cell r="B1012">
            <v>42</v>
          </cell>
          <cell r="C1012">
            <v>16598.43</v>
          </cell>
          <cell r="D1012">
            <v>41</v>
          </cell>
          <cell r="E1012">
            <v>15620.06</v>
          </cell>
          <cell r="G1012">
            <v>1</v>
          </cell>
          <cell r="H1012" t="str">
            <v>ERAF</v>
          </cell>
          <cell r="L1012" t="str">
            <v>-</v>
          </cell>
          <cell r="N1012">
            <v>41</v>
          </cell>
          <cell r="P1012" t="str">
            <v>32</v>
          </cell>
        </row>
        <row r="1013">
          <cell r="B1013">
            <v>42</v>
          </cell>
          <cell r="C1013">
            <v>4769</v>
          </cell>
          <cell r="D1013">
            <v>41</v>
          </cell>
          <cell r="E1013">
            <v>4713.53</v>
          </cell>
          <cell r="G1013">
            <v>1</v>
          </cell>
          <cell r="H1013" t="str">
            <v>ERAF</v>
          </cell>
          <cell r="L1013" t="str">
            <v>-</v>
          </cell>
          <cell r="N1013">
            <v>41</v>
          </cell>
          <cell r="P1013" t="str">
            <v>32</v>
          </cell>
        </row>
        <row r="1014">
          <cell r="B1014">
            <v>37</v>
          </cell>
          <cell r="C1014">
            <v>5780</v>
          </cell>
          <cell r="D1014">
            <v>39</v>
          </cell>
          <cell r="E1014">
            <v>5608.17</v>
          </cell>
          <cell r="G1014">
            <v>1</v>
          </cell>
          <cell r="H1014" t="str">
            <v>ERAF</v>
          </cell>
          <cell r="L1014" t="str">
            <v>-</v>
          </cell>
          <cell r="N1014">
            <v>39</v>
          </cell>
          <cell r="P1014" t="str">
            <v>32</v>
          </cell>
        </row>
        <row r="1015">
          <cell r="B1015">
            <v>37</v>
          </cell>
          <cell r="C1015">
            <v>7447</v>
          </cell>
          <cell r="D1015">
            <v>39</v>
          </cell>
          <cell r="E1015">
            <v>7269.11</v>
          </cell>
          <cell r="G1015">
            <v>1</v>
          </cell>
          <cell r="H1015" t="str">
            <v>ERAF</v>
          </cell>
          <cell r="L1015" t="str">
            <v>-</v>
          </cell>
          <cell r="N1015">
            <v>39</v>
          </cell>
          <cell r="P1015" t="str">
            <v>32</v>
          </cell>
        </row>
        <row r="1016">
          <cell r="B1016">
            <v>42</v>
          </cell>
          <cell r="C1016">
            <v>287510</v>
          </cell>
          <cell r="D1016">
            <v>40</v>
          </cell>
          <cell r="E1016">
            <v>0</v>
          </cell>
          <cell r="G1016">
            <v>1</v>
          </cell>
          <cell r="H1016" t="str">
            <v>ERAF</v>
          </cell>
          <cell r="N1016">
            <v>40</v>
          </cell>
          <cell r="P1016" t="str">
            <v>12</v>
          </cell>
        </row>
        <row r="1017">
          <cell r="B1017">
            <v>42</v>
          </cell>
          <cell r="C1017">
            <v>9286</v>
          </cell>
          <cell r="D1017">
            <v>43</v>
          </cell>
          <cell r="E1017">
            <v>6882.5</v>
          </cell>
          <cell r="G1017">
            <v>1</v>
          </cell>
          <cell r="H1017" t="str">
            <v>ERAF</v>
          </cell>
          <cell r="L1017" t="str">
            <v>-</v>
          </cell>
          <cell r="N1017">
            <v>43</v>
          </cell>
          <cell r="P1017" t="str">
            <v>32</v>
          </cell>
        </row>
        <row r="1018">
          <cell r="B1018">
            <v>43</v>
          </cell>
          <cell r="C1018">
            <v>11194.5</v>
          </cell>
          <cell r="D1018">
            <v>44</v>
          </cell>
          <cell r="E1018">
            <v>9304.59</v>
          </cell>
          <cell r="G1018">
            <v>1</v>
          </cell>
          <cell r="H1018" t="str">
            <v>ERAF</v>
          </cell>
          <cell r="L1018" t="str">
            <v>-</v>
          </cell>
          <cell r="N1018">
            <v>44</v>
          </cell>
          <cell r="P1018" t="str">
            <v>32</v>
          </cell>
        </row>
        <row r="1019">
          <cell r="B1019">
            <v>41</v>
          </cell>
          <cell r="C1019">
            <v>8373</v>
          </cell>
          <cell r="D1019">
            <v>43</v>
          </cell>
          <cell r="E1019">
            <v>6179.38</v>
          </cell>
          <cell r="G1019">
            <v>1</v>
          </cell>
          <cell r="H1019" t="str">
            <v>ERAF</v>
          </cell>
          <cell r="L1019" t="str">
            <v>-</v>
          </cell>
          <cell r="N1019">
            <v>43</v>
          </cell>
          <cell r="P1019" t="str">
            <v>32</v>
          </cell>
        </row>
        <row r="1020">
          <cell r="B1020">
            <v>42</v>
          </cell>
          <cell r="C1020">
            <v>5413.9</v>
          </cell>
          <cell r="D1020">
            <v>42</v>
          </cell>
          <cell r="E1020">
            <v>4547.06</v>
          </cell>
          <cell r="G1020">
            <v>1</v>
          </cell>
          <cell r="H1020" t="str">
            <v>ERAF</v>
          </cell>
          <cell r="L1020" t="str">
            <v>-</v>
          </cell>
          <cell r="N1020">
            <v>42</v>
          </cell>
          <cell r="P1020" t="str">
            <v>32</v>
          </cell>
        </row>
        <row r="1021">
          <cell r="B1021">
            <v>41</v>
          </cell>
          <cell r="C1021">
            <v>8125.5</v>
          </cell>
          <cell r="D1021">
            <v>43</v>
          </cell>
          <cell r="E1021">
            <v>0</v>
          </cell>
          <cell r="G1021">
            <v>1</v>
          </cell>
          <cell r="H1021" t="str">
            <v>ERAF</v>
          </cell>
          <cell r="L1021" t="str">
            <v>-</v>
          </cell>
          <cell r="N1021">
            <v>43</v>
          </cell>
          <cell r="P1021" t="str">
            <v>32</v>
          </cell>
        </row>
        <row r="1022">
          <cell r="B1022">
            <v>37</v>
          </cell>
          <cell r="C1022">
            <v>3496.27</v>
          </cell>
          <cell r="D1022">
            <v>40</v>
          </cell>
          <cell r="E1022">
            <v>2602.53</v>
          </cell>
          <cell r="G1022">
            <v>1</v>
          </cell>
          <cell r="H1022" t="str">
            <v>ERAF</v>
          </cell>
          <cell r="L1022" t="str">
            <v>-</v>
          </cell>
          <cell r="N1022">
            <v>40</v>
          </cell>
          <cell r="P1022" t="str">
            <v>32</v>
          </cell>
        </row>
        <row r="1023">
          <cell r="B1023">
            <v>43</v>
          </cell>
          <cell r="C1023">
            <v>524507.71</v>
          </cell>
          <cell r="D1023">
            <v>40</v>
          </cell>
          <cell r="E1023">
            <v>0</v>
          </cell>
          <cell r="G1023">
            <v>1</v>
          </cell>
          <cell r="H1023" t="str">
            <v>ERAF</v>
          </cell>
          <cell r="N1023">
            <v>40</v>
          </cell>
          <cell r="P1023" t="str">
            <v>12</v>
          </cell>
        </row>
        <row r="1024">
          <cell r="B1024">
            <v>41</v>
          </cell>
          <cell r="C1024">
            <v>10974</v>
          </cell>
          <cell r="D1024">
            <v>40</v>
          </cell>
          <cell r="E1024">
            <v>0</v>
          </cell>
          <cell r="G1024">
            <v>1</v>
          </cell>
          <cell r="H1024" t="str">
            <v>ERAF</v>
          </cell>
          <cell r="N1024">
            <v>40</v>
          </cell>
          <cell r="P1024" t="str">
            <v>32</v>
          </cell>
        </row>
        <row r="1025">
          <cell r="B1025">
            <v>41</v>
          </cell>
          <cell r="C1025">
            <v>7494</v>
          </cell>
          <cell r="D1025">
            <v>40</v>
          </cell>
          <cell r="E1025">
            <v>0</v>
          </cell>
          <cell r="G1025">
            <v>1</v>
          </cell>
          <cell r="H1025" t="str">
            <v>ERAF</v>
          </cell>
          <cell r="N1025">
            <v>40</v>
          </cell>
          <cell r="P1025" t="str">
            <v>32</v>
          </cell>
        </row>
        <row r="1026">
          <cell r="B1026">
            <v>38</v>
          </cell>
          <cell r="C1026">
            <v>6376</v>
          </cell>
          <cell r="D1026">
            <v>38</v>
          </cell>
          <cell r="E1026">
            <v>3531.03</v>
          </cell>
          <cell r="G1026">
            <v>1</v>
          </cell>
          <cell r="H1026" t="str">
            <v>ERAF</v>
          </cell>
          <cell r="L1026" t="str">
            <v>-</v>
          </cell>
          <cell r="N1026">
            <v>38</v>
          </cell>
          <cell r="P1026" t="str">
            <v>32</v>
          </cell>
        </row>
        <row r="1027">
          <cell r="B1027">
            <v>39</v>
          </cell>
          <cell r="C1027">
            <v>6500</v>
          </cell>
          <cell r="D1027">
            <v>40</v>
          </cell>
          <cell r="E1027">
            <v>5201.05</v>
          </cell>
          <cell r="G1027">
            <v>1</v>
          </cell>
          <cell r="H1027" t="str">
            <v>ERAF</v>
          </cell>
          <cell r="L1027" t="str">
            <v>-</v>
          </cell>
          <cell r="N1027">
            <v>40</v>
          </cell>
          <cell r="P1027" t="str">
            <v>32</v>
          </cell>
        </row>
        <row r="1028">
          <cell r="B1028">
            <v>40</v>
          </cell>
          <cell r="C1028">
            <v>20386.77</v>
          </cell>
          <cell r="D1028">
            <v>42</v>
          </cell>
          <cell r="E1028">
            <v>15636.41</v>
          </cell>
          <cell r="G1028">
            <v>1</v>
          </cell>
          <cell r="H1028" t="str">
            <v>ERAF</v>
          </cell>
          <cell r="L1028" t="str">
            <v>-</v>
          </cell>
          <cell r="N1028">
            <v>42</v>
          </cell>
          <cell r="P1028" t="str">
            <v>32</v>
          </cell>
        </row>
        <row r="1029">
          <cell r="B1029">
            <v>42</v>
          </cell>
          <cell r="C1029">
            <v>12054</v>
          </cell>
          <cell r="D1029">
            <v>42</v>
          </cell>
          <cell r="E1029">
            <v>10429.5</v>
          </cell>
          <cell r="G1029">
            <v>1</v>
          </cell>
          <cell r="H1029" t="str">
            <v>ERAF</v>
          </cell>
          <cell r="L1029" t="str">
            <v>-</v>
          </cell>
          <cell r="N1029">
            <v>42</v>
          </cell>
          <cell r="P1029" t="str">
            <v>32</v>
          </cell>
        </row>
        <row r="1030">
          <cell r="B1030">
            <v>37</v>
          </cell>
          <cell r="C1030">
            <v>13500</v>
          </cell>
          <cell r="D1030">
            <v>43</v>
          </cell>
          <cell r="E1030">
            <v>9341.15</v>
          </cell>
          <cell r="G1030">
            <v>1</v>
          </cell>
          <cell r="H1030" t="str">
            <v>ERAF</v>
          </cell>
          <cell r="L1030" t="str">
            <v>-</v>
          </cell>
          <cell r="N1030">
            <v>43</v>
          </cell>
          <cell r="P1030" t="str">
            <v>32</v>
          </cell>
        </row>
        <row r="1031">
          <cell r="B1031">
            <v>41</v>
          </cell>
          <cell r="C1031">
            <v>5836.5</v>
          </cell>
          <cell r="D1031">
            <v>41</v>
          </cell>
          <cell r="E1031">
            <v>5785.04</v>
          </cell>
          <cell r="G1031">
            <v>1</v>
          </cell>
          <cell r="H1031" t="str">
            <v>ERAF</v>
          </cell>
          <cell r="L1031" t="str">
            <v>-</v>
          </cell>
          <cell r="N1031">
            <v>41</v>
          </cell>
          <cell r="P1031" t="str">
            <v>32</v>
          </cell>
        </row>
        <row r="1032">
          <cell r="B1032">
            <v>41</v>
          </cell>
          <cell r="C1032">
            <v>29977.3</v>
          </cell>
          <cell r="D1032">
            <v>43</v>
          </cell>
          <cell r="E1032">
            <v>27065.06</v>
          </cell>
          <cell r="G1032">
            <v>1</v>
          </cell>
          <cell r="H1032" t="str">
            <v>ERAF</v>
          </cell>
          <cell r="L1032" t="str">
            <v>-</v>
          </cell>
          <cell r="N1032">
            <v>43</v>
          </cell>
          <cell r="P1032" t="str">
            <v>32</v>
          </cell>
        </row>
        <row r="1033">
          <cell r="B1033">
            <v>39</v>
          </cell>
          <cell r="C1033">
            <v>5352.5</v>
          </cell>
          <cell r="D1033">
            <v>39</v>
          </cell>
          <cell r="E1033">
            <v>4002</v>
          </cell>
          <cell r="G1033">
            <v>1</v>
          </cell>
          <cell r="H1033" t="str">
            <v>ERAF</v>
          </cell>
          <cell r="L1033" t="str">
            <v>-</v>
          </cell>
          <cell r="N1033">
            <v>39</v>
          </cell>
          <cell r="P1033" t="str">
            <v>32</v>
          </cell>
        </row>
        <row r="1034">
          <cell r="B1034">
            <v>38</v>
          </cell>
          <cell r="C1034">
            <v>5100.85</v>
          </cell>
          <cell r="D1034">
            <v>44</v>
          </cell>
          <cell r="E1034">
            <v>4307.01</v>
          </cell>
          <cell r="G1034">
            <v>1</v>
          </cell>
          <cell r="H1034" t="str">
            <v>ERAF</v>
          </cell>
          <cell r="L1034" t="str">
            <v>-</v>
          </cell>
          <cell r="N1034">
            <v>44</v>
          </cell>
          <cell r="P1034" t="str">
            <v>32</v>
          </cell>
        </row>
        <row r="1035">
          <cell r="B1035">
            <v>38</v>
          </cell>
          <cell r="C1035">
            <v>2125</v>
          </cell>
          <cell r="D1035">
            <v>44</v>
          </cell>
          <cell r="E1035">
            <v>860.72</v>
          </cell>
          <cell r="G1035">
            <v>1</v>
          </cell>
          <cell r="H1035" t="str">
            <v>ERAF</v>
          </cell>
          <cell r="L1035" t="str">
            <v>-</v>
          </cell>
          <cell r="N1035">
            <v>44</v>
          </cell>
          <cell r="P1035" t="str">
            <v>32</v>
          </cell>
        </row>
        <row r="1036">
          <cell r="B1036">
            <v>41</v>
          </cell>
          <cell r="C1036">
            <v>6891.08</v>
          </cell>
          <cell r="D1036">
            <v>42</v>
          </cell>
          <cell r="E1036">
            <v>6548.12</v>
          </cell>
          <cell r="G1036">
            <v>1</v>
          </cell>
          <cell r="H1036" t="str">
            <v>ERAF</v>
          </cell>
          <cell r="L1036" t="str">
            <v>-</v>
          </cell>
          <cell r="N1036">
            <v>42</v>
          </cell>
          <cell r="P1036" t="str">
            <v>32</v>
          </cell>
        </row>
        <row r="1037">
          <cell r="B1037">
            <v>37</v>
          </cell>
          <cell r="C1037">
            <v>8250</v>
          </cell>
          <cell r="D1037">
            <v>39</v>
          </cell>
          <cell r="E1037">
            <v>4868.64</v>
          </cell>
          <cell r="G1037">
            <v>1</v>
          </cell>
          <cell r="H1037" t="str">
            <v>ERAF</v>
          </cell>
          <cell r="L1037" t="str">
            <v>-</v>
          </cell>
          <cell r="N1037">
            <v>39</v>
          </cell>
          <cell r="P1037" t="str">
            <v>32</v>
          </cell>
        </row>
        <row r="1038">
          <cell r="B1038">
            <v>40</v>
          </cell>
          <cell r="C1038">
            <v>8045</v>
          </cell>
          <cell r="D1038">
            <v>42</v>
          </cell>
          <cell r="E1038">
            <v>6098.83</v>
          </cell>
          <cell r="G1038">
            <v>1</v>
          </cell>
          <cell r="H1038" t="str">
            <v>ERAF</v>
          </cell>
          <cell r="L1038" t="str">
            <v>-</v>
          </cell>
          <cell r="N1038">
            <v>42</v>
          </cell>
          <cell r="P1038" t="str">
            <v>32</v>
          </cell>
        </row>
        <row r="1039">
          <cell r="B1039">
            <v>38</v>
          </cell>
          <cell r="C1039">
            <v>5177.5</v>
          </cell>
          <cell r="D1039">
            <v>40</v>
          </cell>
          <cell r="E1039">
            <v>2758.78</v>
          </cell>
          <cell r="G1039">
            <v>1</v>
          </cell>
          <cell r="H1039" t="str">
            <v>ERAF</v>
          </cell>
          <cell r="L1039" t="str">
            <v>-</v>
          </cell>
          <cell r="N1039">
            <v>40</v>
          </cell>
          <cell r="P1039" t="str">
            <v>32</v>
          </cell>
        </row>
        <row r="1040">
          <cell r="B1040">
            <v>39</v>
          </cell>
          <cell r="C1040">
            <v>18253</v>
          </cell>
          <cell r="D1040">
            <v>43</v>
          </cell>
          <cell r="E1040">
            <v>17045.54</v>
          </cell>
          <cell r="G1040">
            <v>1</v>
          </cell>
          <cell r="H1040" t="str">
            <v>ERAF</v>
          </cell>
          <cell r="L1040" t="str">
            <v>-</v>
          </cell>
          <cell r="N1040">
            <v>43</v>
          </cell>
          <cell r="P1040" t="str">
            <v>32</v>
          </cell>
        </row>
        <row r="1041">
          <cell r="B1041">
            <v>41</v>
          </cell>
          <cell r="C1041">
            <v>4825</v>
          </cell>
          <cell r="D1041">
            <v>40</v>
          </cell>
          <cell r="E1041">
            <v>3550.58</v>
          </cell>
          <cell r="G1041">
            <v>1</v>
          </cell>
          <cell r="H1041" t="str">
            <v>ERAF</v>
          </cell>
          <cell r="L1041" t="str">
            <v>-</v>
          </cell>
          <cell r="N1041">
            <v>40</v>
          </cell>
          <cell r="P1041" t="str">
            <v>32</v>
          </cell>
        </row>
        <row r="1042">
          <cell r="B1042">
            <v>41</v>
          </cell>
          <cell r="C1042">
            <v>7265.5</v>
          </cell>
          <cell r="D1042">
            <v>44</v>
          </cell>
          <cell r="E1042">
            <v>4625.07</v>
          </cell>
          <cell r="G1042">
            <v>1</v>
          </cell>
          <cell r="H1042" t="str">
            <v>ERAF</v>
          </cell>
          <cell r="L1042" t="str">
            <v>-</v>
          </cell>
          <cell r="N1042">
            <v>44</v>
          </cell>
          <cell r="P1042" t="str">
            <v>32</v>
          </cell>
        </row>
        <row r="1043">
          <cell r="B1043">
            <v>41</v>
          </cell>
          <cell r="C1043">
            <v>5388.5</v>
          </cell>
          <cell r="D1043">
            <v>44</v>
          </cell>
          <cell r="E1043">
            <v>0</v>
          </cell>
          <cell r="G1043">
            <v>1</v>
          </cell>
          <cell r="H1043" t="str">
            <v>ERAF</v>
          </cell>
          <cell r="L1043" t="str">
            <v>-</v>
          </cell>
          <cell r="N1043">
            <v>44</v>
          </cell>
          <cell r="P1043" t="str">
            <v>32</v>
          </cell>
        </row>
        <row r="1044">
          <cell r="B1044">
            <v>38</v>
          </cell>
          <cell r="C1044">
            <v>17702.22</v>
          </cell>
          <cell r="D1044">
            <v>41</v>
          </cell>
          <cell r="E1044">
            <v>13817.65</v>
          </cell>
          <cell r="G1044">
            <v>1</v>
          </cell>
          <cell r="H1044" t="str">
            <v>ERAF</v>
          </cell>
          <cell r="L1044" t="str">
            <v>-</v>
          </cell>
          <cell r="N1044">
            <v>41</v>
          </cell>
          <cell r="P1044" t="str">
            <v>32</v>
          </cell>
        </row>
        <row r="1045">
          <cell r="B1045">
            <v>38</v>
          </cell>
          <cell r="C1045">
            <v>1717.5</v>
          </cell>
          <cell r="D1045">
            <v>41</v>
          </cell>
          <cell r="E1045">
            <v>1194.3</v>
          </cell>
          <cell r="G1045">
            <v>1</v>
          </cell>
          <cell r="H1045" t="str">
            <v>ERAF</v>
          </cell>
          <cell r="L1045" t="str">
            <v>-</v>
          </cell>
          <cell r="N1045">
            <v>41</v>
          </cell>
          <cell r="P1045" t="str">
            <v>32</v>
          </cell>
        </row>
        <row r="1046">
          <cell r="B1046">
            <v>42</v>
          </cell>
          <cell r="C1046">
            <v>13877.67</v>
          </cell>
          <cell r="D1046">
            <v>40</v>
          </cell>
          <cell r="E1046">
            <v>0</v>
          </cell>
          <cell r="G1046">
            <v>1</v>
          </cell>
          <cell r="H1046" t="str">
            <v>ERAF</v>
          </cell>
          <cell r="N1046">
            <v>40</v>
          </cell>
          <cell r="P1046" t="str">
            <v>32</v>
          </cell>
        </row>
        <row r="1047">
          <cell r="B1047">
            <v>38</v>
          </cell>
          <cell r="C1047">
            <v>2998.5</v>
          </cell>
          <cell r="D1047">
            <v>40</v>
          </cell>
          <cell r="E1047">
            <v>2450.53</v>
          </cell>
          <cell r="G1047">
            <v>1</v>
          </cell>
          <cell r="H1047" t="str">
            <v>ERAF</v>
          </cell>
          <cell r="L1047" t="str">
            <v>-</v>
          </cell>
          <cell r="N1047">
            <v>40</v>
          </cell>
          <cell r="P1047" t="str">
            <v>32</v>
          </cell>
        </row>
        <row r="1048">
          <cell r="B1048">
            <v>43</v>
          </cell>
          <cell r="C1048">
            <v>5961</v>
          </cell>
          <cell r="D1048">
            <v>43</v>
          </cell>
          <cell r="E1048">
            <v>5735.76</v>
          </cell>
          <cell r="G1048">
            <v>1</v>
          </cell>
          <cell r="H1048" t="str">
            <v>ERAF</v>
          </cell>
          <cell r="L1048" t="str">
            <v>-</v>
          </cell>
          <cell r="N1048">
            <v>43</v>
          </cell>
          <cell r="P1048" t="str">
            <v>32</v>
          </cell>
        </row>
        <row r="1049">
          <cell r="B1049">
            <v>40</v>
          </cell>
          <cell r="C1049">
            <v>14925</v>
          </cell>
          <cell r="D1049">
            <v>42</v>
          </cell>
          <cell r="E1049">
            <v>12267.74</v>
          </cell>
          <cell r="G1049">
            <v>1</v>
          </cell>
          <cell r="H1049" t="str">
            <v>ERAF</v>
          </cell>
          <cell r="L1049" t="str">
            <v>-</v>
          </cell>
          <cell r="N1049">
            <v>42</v>
          </cell>
          <cell r="P1049" t="str">
            <v>32</v>
          </cell>
        </row>
        <row r="1050">
          <cell r="B1050">
            <v>41</v>
          </cell>
          <cell r="C1050">
            <v>11107.5</v>
          </cell>
          <cell r="D1050">
            <v>43</v>
          </cell>
          <cell r="E1050">
            <v>10813.35</v>
          </cell>
          <cell r="G1050">
            <v>1</v>
          </cell>
          <cell r="H1050" t="str">
            <v>ERAF</v>
          </cell>
          <cell r="L1050" t="str">
            <v>-</v>
          </cell>
          <cell r="N1050">
            <v>43</v>
          </cell>
          <cell r="P1050" t="str">
            <v>32</v>
          </cell>
        </row>
        <row r="1051">
          <cell r="B1051">
            <v>40</v>
          </cell>
          <cell r="C1051">
            <v>15380</v>
          </cell>
          <cell r="D1051">
            <v>40</v>
          </cell>
          <cell r="E1051">
            <v>14428.62</v>
          </cell>
          <cell r="G1051">
            <v>1</v>
          </cell>
          <cell r="H1051" t="str">
            <v>ERAF</v>
          </cell>
          <cell r="L1051" t="str">
            <v>-</v>
          </cell>
          <cell r="N1051">
            <v>40</v>
          </cell>
          <cell r="P1051" t="str">
            <v>32</v>
          </cell>
        </row>
        <row r="1052">
          <cell r="B1052">
            <v>41</v>
          </cell>
          <cell r="C1052">
            <v>10899</v>
          </cell>
          <cell r="D1052">
            <v>40</v>
          </cell>
          <cell r="E1052">
            <v>10580</v>
          </cell>
          <cell r="G1052">
            <v>1</v>
          </cell>
          <cell r="H1052" t="str">
            <v>ERAF</v>
          </cell>
          <cell r="L1052" t="str">
            <v>-</v>
          </cell>
          <cell r="N1052">
            <v>40</v>
          </cell>
          <cell r="P1052" t="str">
            <v>32</v>
          </cell>
        </row>
        <row r="1053">
          <cell r="B1053">
            <v>42</v>
          </cell>
          <cell r="C1053">
            <v>11919</v>
          </cell>
          <cell r="D1053">
            <v>42</v>
          </cell>
          <cell r="E1053">
            <v>11919</v>
          </cell>
          <cell r="G1053">
            <v>1</v>
          </cell>
          <cell r="H1053" t="str">
            <v>ERAF</v>
          </cell>
          <cell r="L1053" t="str">
            <v>-</v>
          </cell>
          <cell r="N1053">
            <v>42</v>
          </cell>
          <cell r="P1053" t="str">
            <v>32</v>
          </cell>
        </row>
        <row r="1054">
          <cell r="B1054">
            <v>39</v>
          </cell>
          <cell r="C1054">
            <v>5940</v>
          </cell>
          <cell r="D1054">
            <v>39</v>
          </cell>
          <cell r="E1054">
            <v>3398.74</v>
          </cell>
          <cell r="G1054">
            <v>1</v>
          </cell>
          <cell r="H1054" t="str">
            <v>ERAF</v>
          </cell>
          <cell r="L1054" t="str">
            <v>-</v>
          </cell>
          <cell r="N1054">
            <v>39</v>
          </cell>
          <cell r="P1054" t="str">
            <v>32</v>
          </cell>
        </row>
        <row r="1055">
          <cell r="B1055">
            <v>39</v>
          </cell>
          <cell r="C1055">
            <v>1642.8</v>
          </cell>
          <cell r="D1055">
            <v>45</v>
          </cell>
          <cell r="E1055">
            <v>0</v>
          </cell>
          <cell r="G1055">
            <v>1</v>
          </cell>
          <cell r="H1055" t="str">
            <v>ERAF</v>
          </cell>
          <cell r="L1055" t="str">
            <v>-</v>
          </cell>
          <cell r="N1055">
            <v>45</v>
          </cell>
          <cell r="P1055" t="str">
            <v>32</v>
          </cell>
        </row>
        <row r="1056">
          <cell r="B1056">
            <v>40</v>
          </cell>
          <cell r="C1056">
            <v>2642.5</v>
          </cell>
          <cell r="D1056">
            <v>40</v>
          </cell>
          <cell r="E1056">
            <v>1855.9</v>
          </cell>
          <cell r="G1056">
            <v>1</v>
          </cell>
          <cell r="H1056" t="str">
            <v>ERAF</v>
          </cell>
          <cell r="L1056" t="str">
            <v>-</v>
          </cell>
          <cell r="N1056">
            <v>40</v>
          </cell>
          <cell r="P1056" t="str">
            <v>32</v>
          </cell>
        </row>
        <row r="1057">
          <cell r="B1057">
            <v>39</v>
          </cell>
          <cell r="C1057">
            <v>31248.68</v>
          </cell>
          <cell r="D1057">
            <v>41</v>
          </cell>
          <cell r="E1057">
            <v>30452.68</v>
          </cell>
          <cell r="G1057">
            <v>1</v>
          </cell>
          <cell r="H1057" t="str">
            <v>ERAF</v>
          </cell>
          <cell r="L1057" t="str">
            <v>-</v>
          </cell>
          <cell r="N1057">
            <v>41</v>
          </cell>
          <cell r="P1057" t="str">
            <v>32</v>
          </cell>
        </row>
        <row r="1058">
          <cell r="B1058">
            <v>39</v>
          </cell>
          <cell r="C1058">
            <v>20154</v>
          </cell>
          <cell r="D1058">
            <v>40</v>
          </cell>
          <cell r="E1058">
            <v>17973.53</v>
          </cell>
          <cell r="G1058">
            <v>1</v>
          </cell>
          <cell r="H1058" t="str">
            <v>ERAF</v>
          </cell>
          <cell r="L1058" t="str">
            <v>-</v>
          </cell>
          <cell r="N1058">
            <v>40</v>
          </cell>
          <cell r="P1058" t="str">
            <v>32</v>
          </cell>
        </row>
        <row r="1059">
          <cell r="B1059">
            <v>39</v>
          </cell>
          <cell r="C1059">
            <v>9603.5</v>
          </cell>
          <cell r="D1059">
            <v>41</v>
          </cell>
          <cell r="E1059">
            <v>7226.87</v>
          </cell>
          <cell r="G1059">
            <v>1</v>
          </cell>
          <cell r="H1059" t="str">
            <v>ERAF</v>
          </cell>
          <cell r="L1059" t="str">
            <v>-</v>
          </cell>
          <cell r="N1059">
            <v>41</v>
          </cell>
          <cell r="P1059" t="str">
            <v>32</v>
          </cell>
        </row>
        <row r="1060">
          <cell r="B1060">
            <v>39</v>
          </cell>
          <cell r="C1060">
            <v>8075</v>
          </cell>
          <cell r="D1060">
            <v>41</v>
          </cell>
          <cell r="E1060">
            <v>5070.43</v>
          </cell>
          <cell r="G1060">
            <v>1</v>
          </cell>
          <cell r="H1060" t="str">
            <v>ERAF</v>
          </cell>
          <cell r="L1060" t="str">
            <v>-</v>
          </cell>
          <cell r="N1060">
            <v>41</v>
          </cell>
          <cell r="P1060" t="str">
            <v>32</v>
          </cell>
        </row>
        <row r="1061">
          <cell r="B1061">
            <v>41</v>
          </cell>
          <cell r="C1061">
            <v>4836.47</v>
          </cell>
          <cell r="D1061">
            <v>42</v>
          </cell>
          <cell r="E1061">
            <v>4364.54</v>
          </cell>
          <cell r="G1061">
            <v>1</v>
          </cell>
          <cell r="H1061" t="str">
            <v>ERAF</v>
          </cell>
          <cell r="L1061" t="str">
            <v>-</v>
          </cell>
          <cell r="N1061">
            <v>42</v>
          </cell>
          <cell r="P1061" t="str">
            <v>32</v>
          </cell>
        </row>
        <row r="1062">
          <cell r="B1062">
            <v>41</v>
          </cell>
          <cell r="C1062">
            <v>10748.8</v>
          </cell>
          <cell r="D1062">
            <v>42</v>
          </cell>
          <cell r="E1062">
            <v>10656.31</v>
          </cell>
          <cell r="G1062">
            <v>1</v>
          </cell>
          <cell r="H1062" t="str">
            <v>ERAF</v>
          </cell>
          <cell r="L1062" t="str">
            <v>-</v>
          </cell>
          <cell r="N1062">
            <v>42</v>
          </cell>
          <cell r="P1062" t="str">
            <v>32</v>
          </cell>
        </row>
        <row r="1063">
          <cell r="B1063">
            <v>42</v>
          </cell>
          <cell r="C1063">
            <v>18853.76</v>
          </cell>
          <cell r="D1063">
            <v>42</v>
          </cell>
          <cell r="E1063">
            <v>15258.63</v>
          </cell>
          <cell r="G1063">
            <v>1</v>
          </cell>
          <cell r="H1063" t="str">
            <v>ERAF</v>
          </cell>
          <cell r="L1063" t="str">
            <v>-</v>
          </cell>
          <cell r="N1063">
            <v>42</v>
          </cell>
          <cell r="P1063" t="str">
            <v>32</v>
          </cell>
        </row>
        <row r="1064">
          <cell r="B1064">
            <v>41</v>
          </cell>
          <cell r="C1064">
            <v>11809.5</v>
          </cell>
          <cell r="D1064">
            <v>43</v>
          </cell>
          <cell r="E1064">
            <v>0</v>
          </cell>
          <cell r="G1064">
            <v>1</v>
          </cell>
          <cell r="H1064" t="str">
            <v>ERAF</v>
          </cell>
          <cell r="L1064" t="str">
            <v>-</v>
          </cell>
          <cell r="N1064">
            <v>43</v>
          </cell>
          <cell r="P1064" t="str">
            <v>32</v>
          </cell>
        </row>
        <row r="1065">
          <cell r="B1065">
            <v>41</v>
          </cell>
          <cell r="C1065">
            <v>2712.33</v>
          </cell>
          <cell r="D1065">
            <v>41</v>
          </cell>
          <cell r="E1065">
            <v>2200.92</v>
          </cell>
          <cell r="G1065">
            <v>1</v>
          </cell>
          <cell r="H1065" t="str">
            <v>ERAF</v>
          </cell>
          <cell r="L1065" t="str">
            <v>-</v>
          </cell>
          <cell r="N1065">
            <v>41</v>
          </cell>
          <cell r="P1065" t="str">
            <v>32</v>
          </cell>
        </row>
        <row r="1066">
          <cell r="B1066">
            <v>40</v>
          </cell>
          <cell r="C1066">
            <v>2306.18</v>
          </cell>
          <cell r="D1066">
            <v>41</v>
          </cell>
          <cell r="E1066">
            <v>1679.42</v>
          </cell>
          <cell r="G1066">
            <v>1</v>
          </cell>
          <cell r="H1066" t="str">
            <v>ERAF</v>
          </cell>
          <cell r="L1066" t="str">
            <v>-</v>
          </cell>
          <cell r="N1066">
            <v>41</v>
          </cell>
          <cell r="P1066" t="str">
            <v>32</v>
          </cell>
        </row>
        <row r="1067">
          <cell r="B1067">
            <v>41</v>
          </cell>
          <cell r="C1067">
            <v>3461</v>
          </cell>
          <cell r="D1067">
            <v>42</v>
          </cell>
          <cell r="E1067">
            <v>3047.54</v>
          </cell>
          <cell r="G1067">
            <v>1</v>
          </cell>
          <cell r="H1067" t="str">
            <v>ERAF</v>
          </cell>
          <cell r="L1067" t="str">
            <v>-</v>
          </cell>
          <cell r="N1067">
            <v>42</v>
          </cell>
          <cell r="P1067" t="str">
            <v>32</v>
          </cell>
        </row>
        <row r="1068">
          <cell r="B1068">
            <v>40</v>
          </cell>
          <cell r="C1068">
            <v>5590</v>
          </cell>
          <cell r="D1068">
            <v>44</v>
          </cell>
          <cell r="E1068">
            <v>2586.4</v>
          </cell>
          <cell r="G1068">
            <v>1</v>
          </cell>
          <cell r="H1068" t="str">
            <v>ERAF</v>
          </cell>
          <cell r="L1068" t="str">
            <v>-</v>
          </cell>
          <cell r="N1068">
            <v>44</v>
          </cell>
          <cell r="P1068" t="str">
            <v>32</v>
          </cell>
        </row>
        <row r="1069">
          <cell r="B1069">
            <v>41</v>
          </cell>
          <cell r="C1069">
            <v>4445</v>
          </cell>
          <cell r="D1069">
            <v>43</v>
          </cell>
          <cell r="E1069">
            <v>2697.01</v>
          </cell>
          <cell r="G1069">
            <v>1</v>
          </cell>
          <cell r="H1069" t="str">
            <v>ERAF</v>
          </cell>
          <cell r="L1069" t="str">
            <v>-</v>
          </cell>
          <cell r="N1069">
            <v>43</v>
          </cell>
          <cell r="P1069" t="str">
            <v>32</v>
          </cell>
        </row>
        <row r="1070">
          <cell r="B1070">
            <v>39</v>
          </cell>
          <cell r="C1070">
            <v>3533</v>
          </cell>
          <cell r="D1070">
            <v>41</v>
          </cell>
          <cell r="E1070">
            <v>1055.21</v>
          </cell>
          <cell r="G1070">
            <v>1</v>
          </cell>
          <cell r="H1070" t="str">
            <v>ERAF</v>
          </cell>
          <cell r="L1070" t="str">
            <v>-</v>
          </cell>
          <cell r="N1070">
            <v>41</v>
          </cell>
          <cell r="P1070" t="str">
            <v>32</v>
          </cell>
        </row>
        <row r="1071">
          <cell r="B1071">
            <v>42</v>
          </cell>
          <cell r="C1071">
            <v>4907.29</v>
          </cell>
          <cell r="D1071">
            <v>43</v>
          </cell>
          <cell r="E1071">
            <v>4429.8</v>
          </cell>
          <cell r="G1071">
            <v>1</v>
          </cell>
          <cell r="H1071" t="str">
            <v>ERAF</v>
          </cell>
          <cell r="L1071" t="str">
            <v>-</v>
          </cell>
          <cell r="N1071">
            <v>43</v>
          </cell>
          <cell r="P1071" t="str">
            <v>32</v>
          </cell>
        </row>
        <row r="1072">
          <cell r="B1072">
            <v>41</v>
          </cell>
          <cell r="C1072">
            <v>10647</v>
          </cell>
          <cell r="D1072">
            <v>44</v>
          </cell>
          <cell r="E1072">
            <v>5601.97</v>
          </cell>
          <cell r="G1072">
            <v>1</v>
          </cell>
          <cell r="H1072" t="str">
            <v>ERAF</v>
          </cell>
          <cell r="L1072" t="str">
            <v>-</v>
          </cell>
          <cell r="N1072">
            <v>44</v>
          </cell>
          <cell r="P1072" t="str">
            <v>32</v>
          </cell>
        </row>
        <row r="1073">
          <cell r="B1073">
            <v>42</v>
          </cell>
          <cell r="C1073">
            <v>14375</v>
          </cell>
          <cell r="D1073">
            <v>43</v>
          </cell>
          <cell r="E1073">
            <v>12044.27</v>
          </cell>
          <cell r="G1073">
            <v>1</v>
          </cell>
          <cell r="H1073" t="str">
            <v>ERAF</v>
          </cell>
          <cell r="L1073" t="str">
            <v>-</v>
          </cell>
          <cell r="N1073">
            <v>43</v>
          </cell>
          <cell r="P1073" t="str">
            <v>32</v>
          </cell>
        </row>
        <row r="1074">
          <cell r="B1074">
            <v>42</v>
          </cell>
          <cell r="C1074">
            <v>15310</v>
          </cell>
          <cell r="D1074">
            <v>44</v>
          </cell>
          <cell r="E1074">
            <v>9571.79</v>
          </cell>
          <cell r="G1074">
            <v>1</v>
          </cell>
          <cell r="H1074" t="str">
            <v>ERAF</v>
          </cell>
          <cell r="L1074" t="str">
            <v>-</v>
          </cell>
          <cell r="N1074">
            <v>44</v>
          </cell>
          <cell r="P1074" t="str">
            <v>32</v>
          </cell>
        </row>
        <row r="1075">
          <cell r="B1075">
            <v>39</v>
          </cell>
          <cell r="C1075">
            <v>6349.5</v>
          </cell>
          <cell r="D1075">
            <v>41</v>
          </cell>
          <cell r="E1075">
            <v>3928.15</v>
          </cell>
          <cell r="G1075">
            <v>1</v>
          </cell>
          <cell r="H1075" t="str">
            <v>ERAF</v>
          </cell>
          <cell r="L1075" t="str">
            <v>-</v>
          </cell>
          <cell r="N1075">
            <v>41</v>
          </cell>
          <cell r="P1075" t="str">
            <v>32</v>
          </cell>
        </row>
        <row r="1076">
          <cell r="B1076">
            <v>42</v>
          </cell>
          <cell r="C1076">
            <v>14408.76</v>
          </cell>
          <cell r="D1076">
            <v>44</v>
          </cell>
          <cell r="E1076">
            <v>9330.86</v>
          </cell>
          <cell r="G1076">
            <v>1</v>
          </cell>
          <cell r="H1076" t="str">
            <v>ERAF</v>
          </cell>
          <cell r="L1076" t="str">
            <v>-</v>
          </cell>
          <cell r="N1076">
            <v>44</v>
          </cell>
          <cell r="P1076" t="str">
            <v>32</v>
          </cell>
        </row>
        <row r="1077">
          <cell r="B1077">
            <v>39</v>
          </cell>
          <cell r="C1077">
            <v>7230</v>
          </cell>
          <cell r="D1077">
            <v>43</v>
          </cell>
          <cell r="E1077">
            <v>4185.22</v>
          </cell>
          <cell r="G1077">
            <v>1</v>
          </cell>
          <cell r="H1077" t="str">
            <v>ERAF</v>
          </cell>
          <cell r="L1077" t="str">
            <v>-</v>
          </cell>
          <cell r="N1077">
            <v>43</v>
          </cell>
          <cell r="P1077" t="str">
            <v>32</v>
          </cell>
        </row>
        <row r="1078">
          <cell r="B1078">
            <v>39</v>
          </cell>
          <cell r="C1078">
            <v>8447</v>
          </cell>
          <cell r="D1078">
            <v>41</v>
          </cell>
          <cell r="E1078">
            <v>8066.31</v>
          </cell>
          <cell r="G1078">
            <v>1</v>
          </cell>
          <cell r="H1078" t="str">
            <v>ERAF</v>
          </cell>
          <cell r="L1078" t="str">
            <v>-</v>
          </cell>
          <cell r="N1078">
            <v>41</v>
          </cell>
          <cell r="P1078" t="str">
            <v>32</v>
          </cell>
        </row>
        <row r="1079">
          <cell r="B1079">
            <v>42</v>
          </cell>
          <cell r="C1079">
            <v>25956</v>
          </cell>
          <cell r="D1079">
            <v>40</v>
          </cell>
          <cell r="E1079">
            <v>0</v>
          </cell>
          <cell r="G1079">
            <v>1</v>
          </cell>
          <cell r="H1079" t="str">
            <v>ERAF</v>
          </cell>
          <cell r="N1079">
            <v>40</v>
          </cell>
          <cell r="P1079" t="str">
            <v>32</v>
          </cell>
        </row>
        <row r="1080">
          <cell r="B1080">
            <v>42</v>
          </cell>
          <cell r="C1080">
            <v>5516.5</v>
          </cell>
          <cell r="D1080">
            <v>43</v>
          </cell>
          <cell r="E1080">
            <v>5344.52</v>
          </cell>
          <cell r="G1080">
            <v>1</v>
          </cell>
          <cell r="H1080" t="str">
            <v>ERAF</v>
          </cell>
          <cell r="L1080" t="str">
            <v>-</v>
          </cell>
          <cell r="N1080">
            <v>43</v>
          </cell>
          <cell r="P1080" t="str">
            <v>32</v>
          </cell>
        </row>
        <row r="1081">
          <cell r="B1081">
            <v>40</v>
          </cell>
          <cell r="C1081">
            <v>4789</v>
          </cell>
          <cell r="D1081">
            <v>40</v>
          </cell>
          <cell r="E1081">
            <v>3530.3</v>
          </cell>
          <cell r="G1081">
            <v>1</v>
          </cell>
          <cell r="H1081" t="str">
            <v>ERAF</v>
          </cell>
          <cell r="L1081" t="str">
            <v>-</v>
          </cell>
          <cell r="N1081">
            <v>40</v>
          </cell>
          <cell r="P1081" t="str">
            <v>32</v>
          </cell>
        </row>
        <row r="1082">
          <cell r="B1082">
            <v>41</v>
          </cell>
          <cell r="C1082">
            <v>4235</v>
          </cell>
          <cell r="D1082">
            <v>43</v>
          </cell>
          <cell r="E1082">
            <v>2408.4</v>
          </cell>
          <cell r="G1082">
            <v>1</v>
          </cell>
          <cell r="H1082" t="str">
            <v>ERAF</v>
          </cell>
          <cell r="L1082" t="str">
            <v>-</v>
          </cell>
          <cell r="N1082">
            <v>43</v>
          </cell>
          <cell r="P1082" t="str">
            <v>32</v>
          </cell>
        </row>
        <row r="1083">
          <cell r="B1083">
            <v>41</v>
          </cell>
          <cell r="C1083">
            <v>6750.5</v>
          </cell>
          <cell r="D1083">
            <v>42</v>
          </cell>
          <cell r="E1083">
            <v>6145.5</v>
          </cell>
          <cell r="G1083">
            <v>1</v>
          </cell>
          <cell r="H1083" t="str">
            <v>ERAF</v>
          </cell>
          <cell r="L1083" t="str">
            <v>-</v>
          </cell>
          <cell r="N1083">
            <v>42</v>
          </cell>
          <cell r="P1083" t="str">
            <v>32</v>
          </cell>
        </row>
        <row r="1084">
          <cell r="B1084">
            <v>41</v>
          </cell>
          <cell r="C1084">
            <v>9730.73</v>
          </cell>
          <cell r="D1084">
            <v>42</v>
          </cell>
          <cell r="E1084">
            <v>4308.22</v>
          </cell>
          <cell r="G1084">
            <v>1</v>
          </cell>
          <cell r="H1084" t="str">
            <v>ERAF</v>
          </cell>
          <cell r="L1084" t="str">
            <v>-</v>
          </cell>
          <cell r="N1084">
            <v>42</v>
          </cell>
          <cell r="P1084" t="str">
            <v>32</v>
          </cell>
        </row>
        <row r="1085">
          <cell r="B1085">
            <v>40</v>
          </cell>
          <cell r="C1085">
            <v>7685.5</v>
          </cell>
          <cell r="D1085">
            <v>42</v>
          </cell>
          <cell r="E1085">
            <v>6243.21</v>
          </cell>
          <cell r="G1085">
            <v>1</v>
          </cell>
          <cell r="H1085" t="str">
            <v>ERAF</v>
          </cell>
          <cell r="L1085" t="str">
            <v>-</v>
          </cell>
          <cell r="N1085">
            <v>42</v>
          </cell>
          <cell r="P1085" t="str">
            <v>32</v>
          </cell>
        </row>
        <row r="1086">
          <cell r="B1086">
            <v>40</v>
          </cell>
          <cell r="C1086">
            <v>3536.56</v>
          </cell>
          <cell r="D1086">
            <v>43</v>
          </cell>
          <cell r="E1086">
            <v>1807.02</v>
          </cell>
          <cell r="G1086">
            <v>1</v>
          </cell>
          <cell r="H1086" t="str">
            <v>ERAF</v>
          </cell>
          <cell r="L1086" t="str">
            <v>-</v>
          </cell>
          <cell r="N1086">
            <v>43</v>
          </cell>
          <cell r="P1086" t="str">
            <v>32</v>
          </cell>
        </row>
        <row r="1087">
          <cell r="B1087">
            <v>40</v>
          </cell>
          <cell r="C1087">
            <v>16680.89</v>
          </cell>
          <cell r="D1087">
            <v>42</v>
          </cell>
          <cell r="E1087">
            <v>14897.11</v>
          </cell>
          <cell r="G1087">
            <v>1</v>
          </cell>
          <cell r="H1087" t="str">
            <v>ERAF</v>
          </cell>
          <cell r="L1087" t="str">
            <v>-</v>
          </cell>
          <cell r="N1087">
            <v>42</v>
          </cell>
          <cell r="P1087" t="str">
            <v>32</v>
          </cell>
        </row>
        <row r="1088">
          <cell r="B1088">
            <v>42</v>
          </cell>
          <cell r="C1088">
            <v>11982.04</v>
          </cell>
          <cell r="D1088">
            <v>44</v>
          </cell>
          <cell r="E1088">
            <v>10897.49</v>
          </cell>
          <cell r="G1088">
            <v>1</v>
          </cell>
          <cell r="H1088" t="str">
            <v>ERAF</v>
          </cell>
          <cell r="L1088" t="str">
            <v>-</v>
          </cell>
          <cell r="N1088">
            <v>44</v>
          </cell>
          <cell r="P1088" t="str">
            <v>32</v>
          </cell>
        </row>
        <row r="1089">
          <cell r="B1089">
            <v>40</v>
          </cell>
          <cell r="C1089">
            <v>6609</v>
          </cell>
          <cell r="D1089">
            <v>42</v>
          </cell>
          <cell r="E1089">
            <v>6437.7</v>
          </cell>
          <cell r="G1089">
            <v>1</v>
          </cell>
          <cell r="H1089" t="str">
            <v>ERAF</v>
          </cell>
          <cell r="L1089" t="str">
            <v>-</v>
          </cell>
          <cell r="N1089">
            <v>42</v>
          </cell>
          <cell r="P1089" t="str">
            <v>32</v>
          </cell>
        </row>
        <row r="1090">
          <cell r="B1090">
            <v>41</v>
          </cell>
          <cell r="C1090">
            <v>6550</v>
          </cell>
          <cell r="D1090">
            <v>43</v>
          </cell>
          <cell r="E1090">
            <v>5439.59</v>
          </cell>
          <cell r="G1090">
            <v>1</v>
          </cell>
          <cell r="H1090" t="str">
            <v>ERAF</v>
          </cell>
          <cell r="L1090" t="str">
            <v>-</v>
          </cell>
          <cell r="N1090">
            <v>43</v>
          </cell>
          <cell r="P1090" t="str">
            <v>32</v>
          </cell>
        </row>
        <row r="1091">
          <cell r="B1091">
            <v>40</v>
          </cell>
          <cell r="C1091">
            <v>7130.5</v>
          </cell>
          <cell r="D1091">
            <v>43</v>
          </cell>
          <cell r="E1091">
            <v>6774.86</v>
          </cell>
          <cell r="G1091">
            <v>1</v>
          </cell>
          <cell r="H1091" t="str">
            <v>ERAF</v>
          </cell>
          <cell r="L1091" t="str">
            <v>-</v>
          </cell>
          <cell r="N1091">
            <v>43</v>
          </cell>
          <cell r="P1091" t="str">
            <v>32</v>
          </cell>
        </row>
        <row r="1092">
          <cell r="B1092">
            <v>40</v>
          </cell>
          <cell r="C1092">
            <v>1525</v>
          </cell>
          <cell r="D1092">
            <v>40</v>
          </cell>
          <cell r="E1092">
            <v>1497.68</v>
          </cell>
          <cell r="G1092">
            <v>1</v>
          </cell>
          <cell r="H1092" t="str">
            <v>ERAF</v>
          </cell>
          <cell r="L1092" t="str">
            <v>-</v>
          </cell>
          <cell r="N1092">
            <v>40</v>
          </cell>
          <cell r="P1092" t="str">
            <v>32</v>
          </cell>
        </row>
        <row r="1093">
          <cell r="B1093">
            <v>41</v>
          </cell>
          <cell r="C1093">
            <v>4132.34</v>
          </cell>
          <cell r="D1093">
            <v>42</v>
          </cell>
          <cell r="E1093">
            <v>3042.18</v>
          </cell>
          <cell r="G1093">
            <v>1</v>
          </cell>
          <cell r="H1093" t="str">
            <v>ERAF</v>
          </cell>
          <cell r="L1093" t="str">
            <v>-</v>
          </cell>
          <cell r="N1093">
            <v>42</v>
          </cell>
          <cell r="P1093" t="str">
            <v>32</v>
          </cell>
        </row>
        <row r="1094">
          <cell r="B1094">
            <v>40</v>
          </cell>
          <cell r="C1094">
            <v>3331.5</v>
          </cell>
          <cell r="D1094">
            <v>41</v>
          </cell>
          <cell r="E1094">
            <v>3029.66</v>
          </cell>
          <cell r="G1094">
            <v>1</v>
          </cell>
          <cell r="H1094" t="str">
            <v>ERAF</v>
          </cell>
          <cell r="L1094" t="str">
            <v>-</v>
          </cell>
          <cell r="N1094">
            <v>41</v>
          </cell>
          <cell r="P1094" t="str">
            <v>32</v>
          </cell>
        </row>
        <row r="1095">
          <cell r="B1095">
            <v>41</v>
          </cell>
          <cell r="C1095">
            <v>4324.25</v>
          </cell>
          <cell r="D1095">
            <v>41</v>
          </cell>
          <cell r="E1095">
            <v>4324.25</v>
          </cell>
          <cell r="G1095">
            <v>1</v>
          </cell>
          <cell r="H1095" t="str">
            <v>ERAF</v>
          </cell>
          <cell r="L1095" t="str">
            <v>-</v>
          </cell>
          <cell r="N1095">
            <v>41</v>
          </cell>
          <cell r="P1095" t="str">
            <v>32</v>
          </cell>
        </row>
        <row r="1096">
          <cell r="B1096">
            <v>40</v>
          </cell>
          <cell r="C1096">
            <v>7744.5</v>
          </cell>
          <cell r="D1096">
            <v>44</v>
          </cell>
          <cell r="E1096">
            <v>4450</v>
          </cell>
          <cell r="G1096">
            <v>1</v>
          </cell>
          <cell r="H1096" t="str">
            <v>ERAF</v>
          </cell>
          <cell r="L1096" t="str">
            <v>-</v>
          </cell>
          <cell r="N1096">
            <v>44</v>
          </cell>
          <cell r="P1096" t="str">
            <v>32</v>
          </cell>
        </row>
        <row r="1097">
          <cell r="B1097">
            <v>40</v>
          </cell>
          <cell r="C1097">
            <v>3003.5</v>
          </cell>
          <cell r="D1097">
            <v>41</v>
          </cell>
          <cell r="E1097">
            <v>3003.5</v>
          </cell>
          <cell r="G1097">
            <v>1</v>
          </cell>
          <cell r="H1097" t="str">
            <v>ERAF</v>
          </cell>
          <cell r="L1097" t="str">
            <v>-</v>
          </cell>
          <cell r="N1097">
            <v>41</v>
          </cell>
          <cell r="P1097" t="str">
            <v>32</v>
          </cell>
        </row>
        <row r="1098">
          <cell r="B1098">
            <v>41</v>
          </cell>
          <cell r="C1098">
            <v>22831.86</v>
          </cell>
          <cell r="D1098">
            <v>41</v>
          </cell>
          <cell r="E1098">
            <v>19836.6</v>
          </cell>
          <cell r="G1098">
            <v>1</v>
          </cell>
          <cell r="H1098" t="str">
            <v>ERAF</v>
          </cell>
          <cell r="L1098" t="str">
            <v>-</v>
          </cell>
          <cell r="N1098">
            <v>41</v>
          </cell>
          <cell r="P1098" t="str">
            <v>32</v>
          </cell>
        </row>
        <row r="1099">
          <cell r="B1099">
            <v>41</v>
          </cell>
          <cell r="C1099">
            <v>11327.65</v>
          </cell>
          <cell r="D1099">
            <v>41</v>
          </cell>
          <cell r="E1099">
            <v>8647.59</v>
          </cell>
          <cell r="G1099">
            <v>1</v>
          </cell>
          <cell r="H1099" t="str">
            <v>ERAF</v>
          </cell>
          <cell r="L1099" t="str">
            <v>-</v>
          </cell>
          <cell r="N1099">
            <v>41</v>
          </cell>
          <cell r="P1099" t="str">
            <v>32</v>
          </cell>
        </row>
        <row r="1100">
          <cell r="B1100">
            <v>41</v>
          </cell>
          <cell r="C1100">
            <v>6990</v>
          </cell>
          <cell r="D1100">
            <v>44</v>
          </cell>
          <cell r="E1100">
            <v>4173.02</v>
          </cell>
          <cell r="G1100">
            <v>1</v>
          </cell>
          <cell r="H1100" t="str">
            <v>ERAF</v>
          </cell>
          <cell r="L1100" t="str">
            <v>-</v>
          </cell>
          <cell r="N1100">
            <v>44</v>
          </cell>
          <cell r="P1100" t="str">
            <v>32</v>
          </cell>
        </row>
        <row r="1101">
          <cell r="B1101">
            <v>41</v>
          </cell>
          <cell r="C1101">
            <v>3882.53</v>
          </cell>
          <cell r="D1101">
            <v>41</v>
          </cell>
          <cell r="E1101">
            <v>2741.05</v>
          </cell>
          <cell r="G1101">
            <v>1</v>
          </cell>
          <cell r="H1101" t="str">
            <v>ERAF</v>
          </cell>
          <cell r="L1101" t="str">
            <v>-</v>
          </cell>
          <cell r="N1101">
            <v>41</v>
          </cell>
          <cell r="P1101" t="str">
            <v>32</v>
          </cell>
        </row>
        <row r="1102">
          <cell r="B1102">
            <v>40</v>
          </cell>
          <cell r="C1102">
            <v>6704.5</v>
          </cell>
          <cell r="D1102">
            <v>41</v>
          </cell>
          <cell r="E1102">
            <v>2311.11</v>
          </cell>
          <cell r="G1102">
            <v>1</v>
          </cell>
          <cell r="H1102" t="str">
            <v>ERAF</v>
          </cell>
          <cell r="L1102" t="str">
            <v>-</v>
          </cell>
          <cell r="N1102">
            <v>41</v>
          </cell>
          <cell r="P1102" t="str">
            <v>32</v>
          </cell>
        </row>
        <row r="1103">
          <cell r="B1103">
            <v>42</v>
          </cell>
          <cell r="C1103">
            <v>14738.6</v>
          </cell>
          <cell r="D1103">
            <v>43</v>
          </cell>
          <cell r="E1103">
            <v>13029.28</v>
          </cell>
          <cell r="G1103">
            <v>1</v>
          </cell>
          <cell r="H1103" t="str">
            <v>ERAF</v>
          </cell>
          <cell r="L1103" t="str">
            <v>-</v>
          </cell>
          <cell r="N1103">
            <v>43</v>
          </cell>
          <cell r="P1103" t="str">
            <v>32</v>
          </cell>
        </row>
        <row r="1104">
          <cell r="B1104">
            <v>41</v>
          </cell>
          <cell r="C1104">
            <v>22042.5</v>
          </cell>
          <cell r="D1104">
            <v>42</v>
          </cell>
          <cell r="E1104">
            <v>10340.78</v>
          </cell>
          <cell r="G1104">
            <v>1</v>
          </cell>
          <cell r="H1104" t="str">
            <v>ERAF</v>
          </cell>
          <cell r="L1104" t="str">
            <v>-</v>
          </cell>
          <cell r="N1104">
            <v>42</v>
          </cell>
          <cell r="P1104" t="str">
            <v>32</v>
          </cell>
        </row>
        <row r="1105">
          <cell r="B1105">
            <v>42</v>
          </cell>
          <cell r="C1105">
            <v>600000</v>
          </cell>
          <cell r="D1105">
            <v>41</v>
          </cell>
          <cell r="E1105">
            <v>0</v>
          </cell>
          <cell r="G1105">
            <v>1</v>
          </cell>
          <cell r="H1105" t="str">
            <v>ERAF</v>
          </cell>
          <cell r="N1105">
            <v>41</v>
          </cell>
          <cell r="P1105" t="str">
            <v>12</v>
          </cell>
        </row>
        <row r="1106">
          <cell r="B1106">
            <v>43</v>
          </cell>
          <cell r="C1106">
            <v>46046.83</v>
          </cell>
          <cell r="D1106">
            <v>41</v>
          </cell>
          <cell r="E1106">
            <v>0</v>
          </cell>
          <cell r="G1106">
            <v>1</v>
          </cell>
          <cell r="H1106" t="str">
            <v>ERAF</v>
          </cell>
          <cell r="N1106">
            <v>41</v>
          </cell>
          <cell r="P1106" t="str">
            <v>20</v>
          </cell>
        </row>
        <row r="1107">
          <cell r="B1107">
            <v>42</v>
          </cell>
          <cell r="C1107">
            <v>4183.5</v>
          </cell>
          <cell r="D1107">
            <v>44</v>
          </cell>
          <cell r="E1107">
            <v>1564.72</v>
          </cell>
          <cell r="G1107">
            <v>1</v>
          </cell>
          <cell r="H1107" t="str">
            <v>ERAF</v>
          </cell>
          <cell r="L1107" t="str">
            <v>-</v>
          </cell>
          <cell r="N1107">
            <v>44</v>
          </cell>
          <cell r="P1107" t="str">
            <v>32</v>
          </cell>
        </row>
        <row r="1108">
          <cell r="B1108">
            <v>41</v>
          </cell>
          <cell r="C1108">
            <v>6137.5</v>
          </cell>
          <cell r="D1108">
            <v>43</v>
          </cell>
          <cell r="E1108">
            <v>6094.18</v>
          </cell>
          <cell r="G1108">
            <v>1</v>
          </cell>
          <cell r="H1108" t="str">
            <v>ERAF</v>
          </cell>
          <cell r="L1108" t="str">
            <v>-</v>
          </cell>
          <cell r="N1108">
            <v>43</v>
          </cell>
          <cell r="P1108" t="str">
            <v>32</v>
          </cell>
        </row>
        <row r="1109">
          <cell r="B1109">
            <v>41</v>
          </cell>
          <cell r="C1109">
            <v>3428.46</v>
          </cell>
          <cell r="D1109">
            <v>44</v>
          </cell>
          <cell r="E1109">
            <v>2120.27</v>
          </cell>
          <cell r="G1109">
            <v>1</v>
          </cell>
          <cell r="H1109" t="str">
            <v>ERAF</v>
          </cell>
          <cell r="L1109" t="str">
            <v>-</v>
          </cell>
          <cell r="N1109">
            <v>44</v>
          </cell>
          <cell r="P1109" t="str">
            <v>32</v>
          </cell>
        </row>
        <row r="1110">
          <cell r="B1110">
            <v>40</v>
          </cell>
          <cell r="C1110">
            <v>16596.5</v>
          </cell>
          <cell r="D1110">
            <v>41</v>
          </cell>
          <cell r="E1110">
            <v>11976.61</v>
          </cell>
          <cell r="G1110">
            <v>1</v>
          </cell>
          <cell r="H1110" t="str">
            <v>ERAF</v>
          </cell>
          <cell r="L1110" t="str">
            <v>-</v>
          </cell>
          <cell r="N1110">
            <v>41</v>
          </cell>
          <cell r="P1110" t="str">
            <v>32</v>
          </cell>
        </row>
        <row r="1111">
          <cell r="B1111">
            <v>42</v>
          </cell>
          <cell r="C1111">
            <v>11942.24</v>
          </cell>
          <cell r="D1111">
            <v>44</v>
          </cell>
          <cell r="E1111">
            <v>9935.68</v>
          </cell>
          <cell r="G1111">
            <v>1</v>
          </cell>
          <cell r="H1111" t="str">
            <v>ERAF</v>
          </cell>
          <cell r="L1111" t="str">
            <v>-</v>
          </cell>
          <cell r="N1111">
            <v>44</v>
          </cell>
          <cell r="P1111" t="str">
            <v>32</v>
          </cell>
        </row>
        <row r="1112">
          <cell r="B1112">
            <v>42</v>
          </cell>
          <cell r="C1112">
            <v>9290.47</v>
          </cell>
          <cell r="D1112">
            <v>44</v>
          </cell>
          <cell r="E1112">
            <v>8510.34</v>
          </cell>
          <cell r="G1112">
            <v>1</v>
          </cell>
          <cell r="H1112" t="str">
            <v>ERAF</v>
          </cell>
          <cell r="L1112" t="str">
            <v>-</v>
          </cell>
          <cell r="N1112">
            <v>44</v>
          </cell>
          <cell r="P1112" t="str">
            <v>32</v>
          </cell>
        </row>
        <row r="1113">
          <cell r="B1113">
            <v>41</v>
          </cell>
          <cell r="C1113">
            <v>686.5</v>
          </cell>
          <cell r="D1113">
            <v>41</v>
          </cell>
          <cell r="E1113">
            <v>655</v>
          </cell>
          <cell r="G1113">
            <v>1</v>
          </cell>
          <cell r="H1113" t="str">
            <v>ERAF</v>
          </cell>
          <cell r="L1113" t="str">
            <v>-</v>
          </cell>
          <cell r="N1113">
            <v>41</v>
          </cell>
          <cell r="P1113" t="str">
            <v>32</v>
          </cell>
        </row>
        <row r="1114">
          <cell r="B1114">
            <v>40</v>
          </cell>
          <cell r="C1114">
            <v>24077.5</v>
          </cell>
          <cell r="D1114">
            <v>44</v>
          </cell>
          <cell r="E1114">
            <v>12186.21</v>
          </cell>
          <cell r="G1114">
            <v>1</v>
          </cell>
          <cell r="H1114" t="str">
            <v>ERAF</v>
          </cell>
          <cell r="L1114" t="str">
            <v>-</v>
          </cell>
          <cell r="N1114">
            <v>44</v>
          </cell>
          <cell r="P1114" t="str">
            <v>32</v>
          </cell>
        </row>
        <row r="1115">
          <cell r="B1115">
            <v>40</v>
          </cell>
          <cell r="C1115">
            <v>34460.8</v>
          </cell>
          <cell r="D1115">
            <v>42</v>
          </cell>
          <cell r="E1115">
            <v>34204.71</v>
          </cell>
          <cell r="G1115">
            <v>1</v>
          </cell>
          <cell r="H1115" t="str">
            <v>ERAF</v>
          </cell>
          <cell r="L1115" t="str">
            <v>-</v>
          </cell>
          <cell r="N1115">
            <v>42</v>
          </cell>
          <cell r="P1115" t="str">
            <v>32</v>
          </cell>
        </row>
        <row r="1116">
          <cell r="B1116">
            <v>41</v>
          </cell>
          <cell r="C1116">
            <v>5871.68</v>
          </cell>
          <cell r="D1116">
            <v>43</v>
          </cell>
          <cell r="E1116">
            <v>3529.74</v>
          </cell>
          <cell r="G1116">
            <v>1</v>
          </cell>
          <cell r="H1116" t="str">
            <v>ERAF</v>
          </cell>
          <cell r="L1116" t="str">
            <v>-</v>
          </cell>
          <cell r="N1116">
            <v>43</v>
          </cell>
          <cell r="P1116" t="str">
            <v>32</v>
          </cell>
        </row>
        <row r="1117">
          <cell r="B1117">
            <v>41</v>
          </cell>
          <cell r="C1117">
            <v>5760</v>
          </cell>
          <cell r="D1117">
            <v>41</v>
          </cell>
          <cell r="E1117">
            <v>3413.53</v>
          </cell>
          <cell r="G1117">
            <v>1</v>
          </cell>
          <cell r="H1117" t="str">
            <v>ERAF</v>
          </cell>
          <cell r="L1117" t="str">
            <v>-</v>
          </cell>
          <cell r="N1117">
            <v>41</v>
          </cell>
          <cell r="P1117" t="str">
            <v>32</v>
          </cell>
        </row>
        <row r="1118">
          <cell r="B1118">
            <v>41</v>
          </cell>
          <cell r="C1118">
            <v>10333.76</v>
          </cell>
          <cell r="D1118">
            <v>41</v>
          </cell>
          <cell r="E1118">
            <v>8883.45</v>
          </cell>
          <cell r="G1118">
            <v>1</v>
          </cell>
          <cell r="H1118" t="str">
            <v>ERAF</v>
          </cell>
          <cell r="L1118" t="str">
            <v>-</v>
          </cell>
          <cell r="N1118">
            <v>41</v>
          </cell>
          <cell r="P1118" t="str">
            <v>32</v>
          </cell>
        </row>
        <row r="1119">
          <cell r="B1119">
            <v>41</v>
          </cell>
          <cell r="C1119">
            <v>13002.5</v>
          </cell>
          <cell r="D1119">
            <v>42</v>
          </cell>
          <cell r="E1119">
            <v>9487.77</v>
          </cell>
          <cell r="G1119">
            <v>1</v>
          </cell>
          <cell r="H1119" t="str">
            <v>ERAF</v>
          </cell>
          <cell r="L1119" t="str">
            <v>-</v>
          </cell>
          <cell r="N1119">
            <v>42</v>
          </cell>
          <cell r="P1119" t="str">
            <v>32</v>
          </cell>
        </row>
        <row r="1120">
          <cell r="B1120">
            <v>41</v>
          </cell>
          <cell r="C1120">
            <v>3569.58</v>
          </cell>
          <cell r="D1120">
            <v>42</v>
          </cell>
          <cell r="E1120">
            <v>2950.25</v>
          </cell>
          <cell r="G1120">
            <v>1</v>
          </cell>
          <cell r="H1120" t="str">
            <v>ERAF</v>
          </cell>
          <cell r="L1120" t="str">
            <v>-</v>
          </cell>
          <cell r="N1120">
            <v>42</v>
          </cell>
          <cell r="P1120" t="str">
            <v>32</v>
          </cell>
        </row>
        <row r="1121">
          <cell r="B1121">
            <v>41</v>
          </cell>
          <cell r="C1121">
            <v>10598.5</v>
          </cell>
          <cell r="D1121">
            <v>42</v>
          </cell>
          <cell r="E1121">
            <v>10419.4</v>
          </cell>
          <cell r="G1121">
            <v>1</v>
          </cell>
          <cell r="H1121" t="str">
            <v>ERAF</v>
          </cell>
          <cell r="L1121" t="str">
            <v>-</v>
          </cell>
          <cell r="N1121">
            <v>42</v>
          </cell>
          <cell r="P1121" t="str">
            <v>32</v>
          </cell>
        </row>
        <row r="1122">
          <cell r="B1122">
            <v>41</v>
          </cell>
          <cell r="C1122">
            <v>11649</v>
          </cell>
          <cell r="D1122">
            <v>42</v>
          </cell>
          <cell r="E1122">
            <v>11579</v>
          </cell>
          <cell r="G1122">
            <v>1</v>
          </cell>
          <cell r="H1122" t="str">
            <v>ERAF</v>
          </cell>
          <cell r="L1122" t="str">
            <v>-</v>
          </cell>
          <cell r="N1122">
            <v>42</v>
          </cell>
          <cell r="P1122" t="str">
            <v>32</v>
          </cell>
        </row>
        <row r="1123">
          <cell r="B1123">
            <v>41</v>
          </cell>
          <cell r="C1123">
            <v>10565</v>
          </cell>
          <cell r="D1123">
            <v>42</v>
          </cell>
          <cell r="E1123">
            <v>10512.1</v>
          </cell>
          <cell r="G1123">
            <v>1</v>
          </cell>
          <cell r="H1123" t="str">
            <v>ERAF</v>
          </cell>
          <cell r="L1123" t="str">
            <v>-</v>
          </cell>
          <cell r="N1123">
            <v>42</v>
          </cell>
          <cell r="P1123" t="str">
            <v>32</v>
          </cell>
        </row>
        <row r="1124">
          <cell r="B1124">
            <v>41</v>
          </cell>
          <cell r="C1124">
            <v>11101.05</v>
          </cell>
          <cell r="D1124">
            <v>42</v>
          </cell>
          <cell r="E1124">
            <v>11101.05</v>
          </cell>
          <cell r="G1124">
            <v>1</v>
          </cell>
          <cell r="H1124" t="str">
            <v>ERAF</v>
          </cell>
          <cell r="L1124" t="str">
            <v>-</v>
          </cell>
          <cell r="N1124">
            <v>42</v>
          </cell>
          <cell r="P1124" t="str">
            <v>32</v>
          </cell>
        </row>
        <row r="1125">
          <cell r="B1125">
            <v>41</v>
          </cell>
          <cell r="C1125">
            <v>6071</v>
          </cell>
          <cell r="D1125">
            <v>44</v>
          </cell>
          <cell r="E1125">
            <v>5919.9</v>
          </cell>
          <cell r="G1125">
            <v>1</v>
          </cell>
          <cell r="H1125" t="str">
            <v>ERAF</v>
          </cell>
          <cell r="L1125" t="str">
            <v>-</v>
          </cell>
          <cell r="N1125">
            <v>44</v>
          </cell>
          <cell r="P1125" t="str">
            <v>32</v>
          </cell>
        </row>
        <row r="1126">
          <cell r="B1126">
            <v>41</v>
          </cell>
          <cell r="C1126">
            <v>3341.9</v>
          </cell>
          <cell r="D1126">
            <v>42</v>
          </cell>
          <cell r="E1126">
            <v>1631.61</v>
          </cell>
          <cell r="G1126">
            <v>1</v>
          </cell>
          <cell r="H1126" t="str">
            <v>ERAF</v>
          </cell>
          <cell r="L1126" t="str">
            <v>-</v>
          </cell>
          <cell r="N1126">
            <v>42</v>
          </cell>
          <cell r="P1126" t="str">
            <v>32</v>
          </cell>
        </row>
        <row r="1127">
          <cell r="B1127">
            <v>42</v>
          </cell>
          <cell r="C1127">
            <v>2552.2</v>
          </cell>
          <cell r="D1127">
            <v>41</v>
          </cell>
          <cell r="E1127">
            <v>2494.68</v>
          </cell>
          <cell r="G1127">
            <v>1</v>
          </cell>
          <cell r="H1127" t="str">
            <v>ERAF</v>
          </cell>
          <cell r="L1127" t="str">
            <v>-</v>
          </cell>
          <cell r="N1127">
            <v>41</v>
          </cell>
          <cell r="P1127" t="str">
            <v>32</v>
          </cell>
        </row>
        <row r="1128">
          <cell r="B1128">
            <v>42</v>
          </cell>
          <cell r="C1128">
            <v>4783.2</v>
          </cell>
          <cell r="D1128">
            <v>42</v>
          </cell>
          <cell r="E1128">
            <v>3382.97</v>
          </cell>
          <cell r="G1128">
            <v>1</v>
          </cell>
          <cell r="H1128" t="str">
            <v>ERAF</v>
          </cell>
          <cell r="L1128" t="str">
            <v>-</v>
          </cell>
          <cell r="N1128">
            <v>42</v>
          </cell>
          <cell r="P1128" t="str">
            <v>32</v>
          </cell>
        </row>
        <row r="1129">
          <cell r="B1129">
            <v>40</v>
          </cell>
          <cell r="C1129">
            <v>15452.5</v>
          </cell>
          <cell r="D1129">
            <v>44</v>
          </cell>
          <cell r="E1129">
            <v>7129.29</v>
          </cell>
          <cell r="G1129">
            <v>1</v>
          </cell>
          <cell r="H1129" t="str">
            <v>ERAF</v>
          </cell>
          <cell r="L1129" t="str">
            <v>-</v>
          </cell>
          <cell r="N1129">
            <v>44</v>
          </cell>
          <cell r="P1129" t="str">
            <v>32</v>
          </cell>
        </row>
        <row r="1130">
          <cell r="B1130">
            <v>42</v>
          </cell>
          <cell r="C1130">
            <v>4624.9</v>
          </cell>
          <cell r="D1130">
            <v>43</v>
          </cell>
          <cell r="E1130">
            <v>0</v>
          </cell>
          <cell r="G1130">
            <v>1</v>
          </cell>
          <cell r="H1130" t="str">
            <v>ERAF</v>
          </cell>
          <cell r="L1130" t="str">
            <v>-</v>
          </cell>
          <cell r="N1130">
            <v>43</v>
          </cell>
          <cell r="P1130" t="str">
            <v>32</v>
          </cell>
        </row>
        <row r="1131">
          <cell r="B1131">
            <v>42</v>
          </cell>
          <cell r="C1131">
            <v>2145.47</v>
          </cell>
          <cell r="D1131">
            <v>42</v>
          </cell>
          <cell r="E1131">
            <v>1672.3</v>
          </cell>
          <cell r="G1131">
            <v>1</v>
          </cell>
          <cell r="H1131" t="str">
            <v>ERAF</v>
          </cell>
          <cell r="L1131" t="str">
            <v>-</v>
          </cell>
          <cell r="N1131">
            <v>42</v>
          </cell>
          <cell r="P1131" t="str">
            <v>32</v>
          </cell>
        </row>
        <row r="1132">
          <cell r="B1132">
            <v>42</v>
          </cell>
          <cell r="C1132">
            <v>13791.07</v>
          </cell>
          <cell r="D1132">
            <v>43</v>
          </cell>
          <cell r="E1132">
            <v>11789.63</v>
          </cell>
          <cell r="G1132">
            <v>1</v>
          </cell>
          <cell r="H1132" t="str">
            <v>ERAF</v>
          </cell>
          <cell r="L1132" t="str">
            <v>-</v>
          </cell>
          <cell r="N1132">
            <v>43</v>
          </cell>
          <cell r="P1132" t="str">
            <v>32</v>
          </cell>
        </row>
        <row r="1133">
          <cell r="B1133">
            <v>42</v>
          </cell>
          <cell r="C1133">
            <v>3771</v>
          </cell>
          <cell r="D1133">
            <v>43</v>
          </cell>
          <cell r="E1133">
            <v>2311.88</v>
          </cell>
          <cell r="G1133">
            <v>1</v>
          </cell>
          <cell r="H1133" t="str">
            <v>ERAF</v>
          </cell>
          <cell r="L1133" t="str">
            <v>-</v>
          </cell>
          <cell r="N1133">
            <v>43</v>
          </cell>
          <cell r="P1133" t="str">
            <v>32</v>
          </cell>
        </row>
        <row r="1134">
          <cell r="B1134">
            <v>41</v>
          </cell>
          <cell r="C1134">
            <v>4377</v>
          </cell>
          <cell r="D1134">
            <v>43</v>
          </cell>
          <cell r="E1134">
            <v>3559.59</v>
          </cell>
          <cell r="G1134">
            <v>1</v>
          </cell>
          <cell r="H1134" t="str">
            <v>ERAF</v>
          </cell>
          <cell r="L1134" t="str">
            <v>-</v>
          </cell>
          <cell r="N1134">
            <v>43</v>
          </cell>
          <cell r="P1134" t="str">
            <v>32</v>
          </cell>
        </row>
        <row r="1135">
          <cell r="B1135">
            <v>42</v>
          </cell>
          <cell r="C1135">
            <v>16440</v>
          </cell>
          <cell r="D1135">
            <v>44</v>
          </cell>
          <cell r="E1135">
            <v>9602.2</v>
          </cell>
          <cell r="G1135">
            <v>1</v>
          </cell>
          <cell r="H1135" t="str">
            <v>ERAF</v>
          </cell>
          <cell r="L1135" t="str">
            <v>-</v>
          </cell>
          <cell r="N1135">
            <v>44</v>
          </cell>
          <cell r="P1135" t="str">
            <v>32</v>
          </cell>
        </row>
        <row r="1136">
          <cell r="B1136">
            <v>41</v>
          </cell>
          <cell r="C1136">
            <v>4592</v>
          </cell>
          <cell r="D1136">
            <v>44</v>
          </cell>
          <cell r="E1136">
            <v>3194.64</v>
          </cell>
          <cell r="G1136">
            <v>1</v>
          </cell>
          <cell r="H1136" t="str">
            <v>ERAF</v>
          </cell>
          <cell r="L1136" t="str">
            <v>-</v>
          </cell>
          <cell r="N1136">
            <v>44</v>
          </cell>
          <cell r="P1136" t="str">
            <v>32</v>
          </cell>
        </row>
        <row r="1137">
          <cell r="B1137">
            <v>42</v>
          </cell>
          <cell r="C1137">
            <v>2310.98</v>
          </cell>
          <cell r="D1137">
            <v>42</v>
          </cell>
          <cell r="E1137">
            <v>1597.38</v>
          </cell>
          <cell r="G1137">
            <v>1</v>
          </cell>
          <cell r="H1137" t="str">
            <v>ERAF</v>
          </cell>
          <cell r="L1137" t="str">
            <v>-</v>
          </cell>
          <cell r="N1137">
            <v>42</v>
          </cell>
          <cell r="P1137" t="str">
            <v>32</v>
          </cell>
        </row>
        <row r="1138">
          <cell r="B1138">
            <v>41</v>
          </cell>
          <cell r="C1138">
            <v>3077.5</v>
          </cell>
          <cell r="D1138">
            <v>44</v>
          </cell>
          <cell r="E1138">
            <v>2635.4</v>
          </cell>
          <cell r="G1138">
            <v>1</v>
          </cell>
          <cell r="H1138" t="str">
            <v>ERAF</v>
          </cell>
          <cell r="L1138" t="str">
            <v>-</v>
          </cell>
          <cell r="N1138">
            <v>44</v>
          </cell>
          <cell r="P1138" t="str">
            <v>32</v>
          </cell>
        </row>
        <row r="1139">
          <cell r="B1139">
            <v>41</v>
          </cell>
          <cell r="C1139">
            <v>24387.68</v>
          </cell>
          <cell r="D1139">
            <v>44</v>
          </cell>
          <cell r="E1139">
            <v>15291.38</v>
          </cell>
          <cell r="G1139">
            <v>1</v>
          </cell>
          <cell r="H1139" t="str">
            <v>ERAF</v>
          </cell>
          <cell r="L1139" t="str">
            <v>-</v>
          </cell>
          <cell r="N1139">
            <v>44</v>
          </cell>
          <cell r="P1139" t="str">
            <v>32</v>
          </cell>
        </row>
        <row r="1140">
          <cell r="B1140">
            <v>42</v>
          </cell>
          <cell r="C1140">
            <v>8966.25</v>
          </cell>
          <cell r="D1140">
            <v>44</v>
          </cell>
          <cell r="E1140">
            <v>7169.52</v>
          </cell>
          <cell r="G1140">
            <v>1</v>
          </cell>
          <cell r="H1140" t="str">
            <v>ERAF</v>
          </cell>
          <cell r="L1140" t="str">
            <v>-</v>
          </cell>
          <cell r="N1140">
            <v>44</v>
          </cell>
          <cell r="P1140" t="str">
            <v>32</v>
          </cell>
        </row>
        <row r="1141">
          <cell r="B1141">
            <v>43</v>
          </cell>
          <cell r="C1141">
            <v>10836</v>
          </cell>
          <cell r="D1141">
            <v>43</v>
          </cell>
          <cell r="E1141">
            <v>10643.82</v>
          </cell>
          <cell r="G1141">
            <v>1</v>
          </cell>
          <cell r="H1141" t="str">
            <v>ERAF</v>
          </cell>
          <cell r="L1141" t="str">
            <v>-</v>
          </cell>
          <cell r="N1141">
            <v>43</v>
          </cell>
          <cell r="P1141" t="str">
            <v>32</v>
          </cell>
        </row>
        <row r="1142">
          <cell r="B1142">
            <v>41</v>
          </cell>
          <cell r="C1142">
            <v>3975</v>
          </cell>
          <cell r="D1142">
            <v>43</v>
          </cell>
          <cell r="E1142">
            <v>2979.42</v>
          </cell>
          <cell r="G1142">
            <v>1</v>
          </cell>
          <cell r="H1142" t="str">
            <v>ERAF</v>
          </cell>
          <cell r="L1142" t="str">
            <v>-</v>
          </cell>
          <cell r="N1142">
            <v>43</v>
          </cell>
          <cell r="P1142" t="str">
            <v>32</v>
          </cell>
        </row>
        <row r="1143">
          <cell r="B1143">
            <v>41</v>
          </cell>
          <cell r="C1143">
            <v>10427</v>
          </cell>
          <cell r="D1143">
            <v>41</v>
          </cell>
          <cell r="E1143">
            <v>9177</v>
          </cell>
          <cell r="G1143">
            <v>1</v>
          </cell>
          <cell r="H1143" t="str">
            <v>ERAF</v>
          </cell>
          <cell r="L1143" t="str">
            <v>-</v>
          </cell>
          <cell r="N1143">
            <v>41</v>
          </cell>
          <cell r="P1143" t="str">
            <v>32</v>
          </cell>
        </row>
        <row r="1144">
          <cell r="B1144">
            <v>41</v>
          </cell>
          <cell r="C1144">
            <v>10742.5</v>
          </cell>
          <cell r="D1144">
            <v>43</v>
          </cell>
          <cell r="E1144">
            <v>4381.73</v>
          </cell>
          <cell r="G1144">
            <v>1</v>
          </cell>
          <cell r="H1144" t="str">
            <v>ERAF</v>
          </cell>
          <cell r="L1144" t="str">
            <v>-</v>
          </cell>
          <cell r="N1144">
            <v>43</v>
          </cell>
          <cell r="P1144" t="str">
            <v>32</v>
          </cell>
        </row>
        <row r="1145">
          <cell r="B1145">
            <v>42</v>
          </cell>
          <cell r="C1145">
            <v>10429</v>
          </cell>
          <cell r="D1145">
            <v>42</v>
          </cell>
          <cell r="E1145">
            <v>7220.22</v>
          </cell>
          <cell r="G1145">
            <v>1</v>
          </cell>
          <cell r="H1145" t="str">
            <v>ERAF</v>
          </cell>
          <cell r="L1145" t="str">
            <v>-</v>
          </cell>
          <cell r="N1145">
            <v>42</v>
          </cell>
          <cell r="P1145" t="str">
            <v>32</v>
          </cell>
        </row>
        <row r="1146">
          <cell r="B1146">
            <v>41</v>
          </cell>
          <cell r="C1146">
            <v>3668.47</v>
          </cell>
          <cell r="D1146">
            <v>43</v>
          </cell>
          <cell r="E1146">
            <v>3551.23</v>
          </cell>
          <cell r="G1146">
            <v>1</v>
          </cell>
          <cell r="H1146" t="str">
            <v>ERAF</v>
          </cell>
          <cell r="L1146" t="str">
            <v>-</v>
          </cell>
          <cell r="N1146">
            <v>43</v>
          </cell>
          <cell r="P1146" t="str">
            <v>32</v>
          </cell>
        </row>
        <row r="1147">
          <cell r="B1147">
            <v>42</v>
          </cell>
          <cell r="C1147">
            <v>6998.5</v>
          </cell>
          <cell r="D1147">
            <v>44</v>
          </cell>
          <cell r="E1147">
            <v>4874.47</v>
          </cell>
          <cell r="G1147">
            <v>1</v>
          </cell>
          <cell r="H1147" t="str">
            <v>ERAF</v>
          </cell>
          <cell r="L1147" t="str">
            <v>-</v>
          </cell>
          <cell r="N1147">
            <v>44</v>
          </cell>
          <cell r="P1147" t="str">
            <v>32</v>
          </cell>
        </row>
        <row r="1148">
          <cell r="B1148">
            <v>41</v>
          </cell>
          <cell r="C1148">
            <v>8898</v>
          </cell>
          <cell r="D1148">
            <v>44</v>
          </cell>
          <cell r="E1148">
            <v>5123.64</v>
          </cell>
          <cell r="G1148">
            <v>1</v>
          </cell>
          <cell r="H1148" t="str">
            <v>ERAF</v>
          </cell>
          <cell r="L1148" t="str">
            <v>-</v>
          </cell>
          <cell r="N1148">
            <v>44</v>
          </cell>
          <cell r="P1148" t="str">
            <v>32</v>
          </cell>
        </row>
        <row r="1149">
          <cell r="B1149">
            <v>42</v>
          </cell>
          <cell r="C1149">
            <v>4365</v>
          </cell>
          <cell r="D1149">
            <v>44</v>
          </cell>
          <cell r="E1149">
            <v>3177.41</v>
          </cell>
          <cell r="G1149">
            <v>1</v>
          </cell>
          <cell r="H1149" t="str">
            <v>ERAF</v>
          </cell>
          <cell r="L1149" t="str">
            <v>-</v>
          </cell>
          <cell r="N1149">
            <v>44</v>
          </cell>
          <cell r="P1149" t="str">
            <v>32</v>
          </cell>
        </row>
        <row r="1150">
          <cell r="B1150">
            <v>41</v>
          </cell>
          <cell r="C1150">
            <v>3381</v>
          </cell>
          <cell r="D1150">
            <v>43</v>
          </cell>
          <cell r="E1150">
            <v>0</v>
          </cell>
          <cell r="G1150">
            <v>1</v>
          </cell>
          <cell r="H1150" t="str">
            <v>ERAF</v>
          </cell>
          <cell r="L1150" t="str">
            <v>-</v>
          </cell>
          <cell r="N1150">
            <v>43</v>
          </cell>
          <cell r="P1150" t="str">
            <v>32</v>
          </cell>
        </row>
        <row r="1151">
          <cell r="B1151">
            <v>41</v>
          </cell>
          <cell r="C1151">
            <v>5360</v>
          </cell>
          <cell r="D1151">
            <v>42</v>
          </cell>
          <cell r="E1151">
            <v>4882.12</v>
          </cell>
          <cell r="G1151">
            <v>1</v>
          </cell>
          <cell r="H1151" t="str">
            <v>ERAF</v>
          </cell>
          <cell r="L1151" t="str">
            <v>-</v>
          </cell>
          <cell r="N1151">
            <v>42</v>
          </cell>
          <cell r="P1151" t="str">
            <v>32</v>
          </cell>
        </row>
        <row r="1152">
          <cell r="B1152">
            <v>41</v>
          </cell>
          <cell r="C1152">
            <v>10695</v>
          </cell>
          <cell r="D1152">
            <v>42</v>
          </cell>
          <cell r="E1152">
            <v>6975.35</v>
          </cell>
          <cell r="G1152">
            <v>1</v>
          </cell>
          <cell r="H1152" t="str">
            <v>ERAF</v>
          </cell>
          <cell r="L1152" t="str">
            <v>-</v>
          </cell>
          <cell r="N1152">
            <v>42</v>
          </cell>
          <cell r="P1152" t="str">
            <v>32</v>
          </cell>
        </row>
        <row r="1153">
          <cell r="B1153">
            <v>41</v>
          </cell>
          <cell r="C1153">
            <v>10695</v>
          </cell>
          <cell r="D1153">
            <v>44</v>
          </cell>
          <cell r="E1153">
            <v>262.14</v>
          </cell>
          <cell r="G1153">
            <v>1</v>
          </cell>
          <cell r="H1153" t="str">
            <v>ERAF</v>
          </cell>
          <cell r="L1153" t="str">
            <v>-</v>
          </cell>
          <cell r="N1153">
            <v>44</v>
          </cell>
          <cell r="P1153" t="str">
            <v>32</v>
          </cell>
        </row>
        <row r="1154">
          <cell r="B1154">
            <v>41</v>
          </cell>
          <cell r="C1154">
            <v>14800</v>
          </cell>
          <cell r="D1154">
            <v>43</v>
          </cell>
          <cell r="E1154">
            <v>11469.39</v>
          </cell>
          <cell r="G1154">
            <v>1</v>
          </cell>
          <cell r="H1154" t="str">
            <v>ERAF</v>
          </cell>
          <cell r="L1154" t="str">
            <v>-</v>
          </cell>
          <cell r="N1154">
            <v>43</v>
          </cell>
          <cell r="P1154" t="str">
            <v>32</v>
          </cell>
        </row>
        <row r="1155">
          <cell r="B1155">
            <v>41</v>
          </cell>
          <cell r="C1155">
            <v>7109.22</v>
          </cell>
          <cell r="D1155">
            <v>44</v>
          </cell>
          <cell r="E1155">
            <v>6839.22</v>
          </cell>
          <cell r="G1155">
            <v>1</v>
          </cell>
          <cell r="H1155" t="str">
            <v>ERAF</v>
          </cell>
          <cell r="L1155" t="str">
            <v>-</v>
          </cell>
          <cell r="N1155">
            <v>44</v>
          </cell>
          <cell r="P1155" t="str">
            <v>32</v>
          </cell>
        </row>
        <row r="1156">
          <cell r="B1156">
            <v>41</v>
          </cell>
          <cell r="C1156">
            <v>14025</v>
          </cell>
          <cell r="D1156">
            <v>44</v>
          </cell>
          <cell r="E1156">
            <v>4159.05</v>
          </cell>
          <cell r="G1156">
            <v>1</v>
          </cell>
          <cell r="H1156" t="str">
            <v>ERAF</v>
          </cell>
          <cell r="L1156" t="str">
            <v>-</v>
          </cell>
          <cell r="N1156">
            <v>44</v>
          </cell>
          <cell r="P1156" t="str">
            <v>32</v>
          </cell>
        </row>
        <row r="1157">
          <cell r="B1157">
            <v>42</v>
          </cell>
          <cell r="C1157">
            <v>11694.13</v>
          </cell>
          <cell r="D1157">
            <v>43</v>
          </cell>
          <cell r="E1157">
            <v>8365.52</v>
          </cell>
          <cell r="G1157">
            <v>1</v>
          </cell>
          <cell r="H1157" t="str">
            <v>ERAF</v>
          </cell>
          <cell r="L1157" t="str">
            <v>-</v>
          </cell>
          <cell r="N1157">
            <v>43</v>
          </cell>
          <cell r="P1157" t="str">
            <v>32</v>
          </cell>
        </row>
        <row r="1158">
          <cell r="B1158">
            <v>41</v>
          </cell>
          <cell r="C1158">
            <v>3324</v>
          </cell>
          <cell r="D1158">
            <v>43</v>
          </cell>
          <cell r="E1158">
            <v>0</v>
          </cell>
          <cell r="G1158">
            <v>1</v>
          </cell>
          <cell r="H1158" t="str">
            <v>ERAF</v>
          </cell>
          <cell r="L1158" t="str">
            <v>-</v>
          </cell>
          <cell r="N1158">
            <v>43</v>
          </cell>
          <cell r="P1158" t="str">
            <v>32</v>
          </cell>
        </row>
        <row r="1159">
          <cell r="B1159">
            <v>42</v>
          </cell>
          <cell r="C1159">
            <v>7386</v>
          </cell>
          <cell r="D1159">
            <v>41</v>
          </cell>
          <cell r="E1159">
            <v>0</v>
          </cell>
          <cell r="G1159">
            <v>1</v>
          </cell>
          <cell r="H1159" t="str">
            <v>ERAF</v>
          </cell>
          <cell r="N1159">
            <v>41</v>
          </cell>
          <cell r="P1159" t="str">
            <v>32</v>
          </cell>
        </row>
        <row r="1160">
          <cell r="B1160">
            <v>41</v>
          </cell>
          <cell r="C1160">
            <v>454</v>
          </cell>
          <cell r="D1160">
            <v>44</v>
          </cell>
          <cell r="E1160">
            <v>454</v>
          </cell>
          <cell r="G1160">
            <v>1</v>
          </cell>
          <cell r="H1160" t="str">
            <v>ERAF</v>
          </cell>
          <cell r="L1160" t="str">
            <v>-</v>
          </cell>
          <cell r="N1160">
            <v>44</v>
          </cell>
          <cell r="P1160" t="str">
            <v>32</v>
          </cell>
        </row>
        <row r="1161">
          <cell r="B1161">
            <v>42</v>
          </cell>
          <cell r="C1161">
            <v>4225</v>
          </cell>
          <cell r="D1161">
            <v>42</v>
          </cell>
          <cell r="E1161">
            <v>1529.1</v>
          </cell>
          <cell r="G1161">
            <v>1</v>
          </cell>
          <cell r="H1161" t="str">
            <v>ERAF</v>
          </cell>
          <cell r="L1161" t="str">
            <v>-</v>
          </cell>
          <cell r="N1161">
            <v>42</v>
          </cell>
          <cell r="P1161" t="str">
            <v>32</v>
          </cell>
        </row>
        <row r="1162">
          <cell r="B1162">
            <v>41</v>
          </cell>
          <cell r="C1162">
            <v>4700</v>
          </cell>
          <cell r="D1162">
            <v>43</v>
          </cell>
          <cell r="E1162">
            <v>3369.91</v>
          </cell>
          <cell r="G1162">
            <v>1</v>
          </cell>
          <cell r="H1162" t="str">
            <v>ERAF</v>
          </cell>
          <cell r="L1162" t="str">
            <v>-</v>
          </cell>
          <cell r="N1162">
            <v>43</v>
          </cell>
          <cell r="P1162" t="str">
            <v>32</v>
          </cell>
        </row>
        <row r="1163">
          <cell r="B1163">
            <v>42</v>
          </cell>
          <cell r="C1163">
            <v>30478.18</v>
          </cell>
          <cell r="D1163">
            <v>44</v>
          </cell>
          <cell r="E1163">
            <v>20562.98</v>
          </cell>
          <cell r="G1163">
            <v>1</v>
          </cell>
          <cell r="H1163" t="str">
            <v>ERAF</v>
          </cell>
          <cell r="L1163" t="str">
            <v>-</v>
          </cell>
          <cell r="N1163">
            <v>44</v>
          </cell>
          <cell r="P1163" t="str">
            <v>32</v>
          </cell>
        </row>
        <row r="1164">
          <cell r="B1164">
            <v>41</v>
          </cell>
          <cell r="C1164">
            <v>4685</v>
          </cell>
          <cell r="D1164">
            <v>43</v>
          </cell>
          <cell r="E1164">
            <v>0</v>
          </cell>
          <cell r="G1164">
            <v>1</v>
          </cell>
          <cell r="H1164" t="str">
            <v>ERAF</v>
          </cell>
          <cell r="L1164" t="str">
            <v>-</v>
          </cell>
          <cell r="N1164">
            <v>43</v>
          </cell>
          <cell r="P1164" t="str">
            <v>32</v>
          </cell>
        </row>
        <row r="1165">
          <cell r="B1165">
            <v>42</v>
          </cell>
          <cell r="C1165">
            <v>5450</v>
          </cell>
          <cell r="D1165">
            <v>43</v>
          </cell>
          <cell r="E1165">
            <v>0</v>
          </cell>
          <cell r="G1165">
            <v>1</v>
          </cell>
          <cell r="H1165" t="str">
            <v>ERAF</v>
          </cell>
          <cell r="L1165" t="str">
            <v>-</v>
          </cell>
          <cell r="N1165">
            <v>43</v>
          </cell>
          <cell r="P1165" t="str">
            <v>32</v>
          </cell>
        </row>
        <row r="1166">
          <cell r="B1166">
            <v>41</v>
          </cell>
          <cell r="C1166">
            <v>27446</v>
          </cell>
          <cell r="D1166">
            <v>43</v>
          </cell>
          <cell r="E1166">
            <v>14445.07</v>
          </cell>
          <cell r="G1166">
            <v>1</v>
          </cell>
          <cell r="H1166" t="str">
            <v>ERAF</v>
          </cell>
          <cell r="L1166" t="str">
            <v>-</v>
          </cell>
          <cell r="N1166">
            <v>43</v>
          </cell>
          <cell r="P1166" t="str">
            <v>32</v>
          </cell>
        </row>
        <row r="1167">
          <cell r="B1167">
            <v>42</v>
          </cell>
          <cell r="C1167">
            <v>3875</v>
          </cell>
          <cell r="D1167">
            <v>43</v>
          </cell>
          <cell r="E1167">
            <v>0</v>
          </cell>
          <cell r="G1167">
            <v>1</v>
          </cell>
          <cell r="H1167" t="str">
            <v>ERAF</v>
          </cell>
          <cell r="L1167" t="str">
            <v>-</v>
          </cell>
          <cell r="N1167">
            <v>43</v>
          </cell>
          <cell r="P1167" t="str">
            <v>32</v>
          </cell>
        </row>
        <row r="1168">
          <cell r="B1168">
            <v>42</v>
          </cell>
          <cell r="C1168">
            <v>3238</v>
          </cell>
          <cell r="D1168">
            <v>43</v>
          </cell>
          <cell r="E1168">
            <v>0</v>
          </cell>
          <cell r="G1168">
            <v>1</v>
          </cell>
          <cell r="H1168" t="str">
            <v>ERAF</v>
          </cell>
          <cell r="L1168" t="str">
            <v>-</v>
          </cell>
          <cell r="N1168">
            <v>43</v>
          </cell>
          <cell r="P1168" t="str">
            <v>32</v>
          </cell>
        </row>
        <row r="1169">
          <cell r="B1169">
            <v>42</v>
          </cell>
          <cell r="C1169">
            <v>6990.5</v>
          </cell>
          <cell r="D1169">
            <v>44</v>
          </cell>
          <cell r="E1169">
            <v>4781.81</v>
          </cell>
          <cell r="G1169">
            <v>1</v>
          </cell>
          <cell r="H1169" t="str">
            <v>ERAF</v>
          </cell>
          <cell r="L1169" t="str">
            <v>-</v>
          </cell>
          <cell r="N1169">
            <v>44</v>
          </cell>
          <cell r="P1169" t="str">
            <v>32</v>
          </cell>
        </row>
        <row r="1170">
          <cell r="B1170">
            <v>41</v>
          </cell>
          <cell r="C1170">
            <v>21371.7</v>
          </cell>
          <cell r="D1170">
            <v>44</v>
          </cell>
          <cell r="E1170">
            <v>9970.31</v>
          </cell>
          <cell r="G1170">
            <v>1</v>
          </cell>
          <cell r="H1170" t="str">
            <v>ERAF</v>
          </cell>
          <cell r="L1170" t="str">
            <v>-</v>
          </cell>
          <cell r="N1170">
            <v>44</v>
          </cell>
          <cell r="P1170" t="str">
            <v>32</v>
          </cell>
        </row>
        <row r="1171">
          <cell r="B1171">
            <v>42</v>
          </cell>
          <cell r="C1171">
            <v>6000</v>
          </cell>
          <cell r="D1171">
            <v>44</v>
          </cell>
          <cell r="E1171">
            <v>4855.86</v>
          </cell>
          <cell r="G1171">
            <v>1</v>
          </cell>
          <cell r="H1171" t="str">
            <v>ERAF</v>
          </cell>
          <cell r="L1171" t="str">
            <v>-</v>
          </cell>
          <cell r="N1171">
            <v>44</v>
          </cell>
          <cell r="P1171" t="str">
            <v>32</v>
          </cell>
        </row>
        <row r="1172">
          <cell r="B1172">
            <v>41</v>
          </cell>
          <cell r="C1172">
            <v>2626.5</v>
          </cell>
          <cell r="D1172">
            <v>44</v>
          </cell>
          <cell r="E1172">
            <v>1277.25</v>
          </cell>
          <cell r="G1172">
            <v>1</v>
          </cell>
          <cell r="H1172" t="str">
            <v>ERAF</v>
          </cell>
          <cell r="L1172" t="str">
            <v>-</v>
          </cell>
          <cell r="N1172">
            <v>44</v>
          </cell>
          <cell r="P1172" t="str">
            <v>32</v>
          </cell>
        </row>
        <row r="1173">
          <cell r="B1173">
            <v>41</v>
          </cell>
          <cell r="C1173">
            <v>4864</v>
          </cell>
          <cell r="D1173">
            <v>42</v>
          </cell>
          <cell r="E1173">
            <v>2882</v>
          </cell>
          <cell r="G1173">
            <v>1</v>
          </cell>
          <cell r="H1173" t="str">
            <v>ERAF</v>
          </cell>
          <cell r="L1173" t="str">
            <v>-</v>
          </cell>
          <cell r="N1173">
            <v>42</v>
          </cell>
          <cell r="P1173" t="str">
            <v>32</v>
          </cell>
        </row>
        <row r="1174">
          <cell r="B1174">
            <v>42</v>
          </cell>
          <cell r="C1174">
            <v>5279</v>
          </cell>
          <cell r="D1174">
            <v>44</v>
          </cell>
          <cell r="E1174">
            <v>4555.66</v>
          </cell>
          <cell r="G1174">
            <v>1</v>
          </cell>
          <cell r="H1174" t="str">
            <v>ERAF</v>
          </cell>
          <cell r="L1174" t="str">
            <v>-</v>
          </cell>
          <cell r="N1174">
            <v>44</v>
          </cell>
          <cell r="P1174" t="str">
            <v>32</v>
          </cell>
        </row>
        <row r="1175">
          <cell r="B1175">
            <v>42</v>
          </cell>
          <cell r="C1175">
            <v>5803.18</v>
          </cell>
          <cell r="D1175">
            <v>43</v>
          </cell>
          <cell r="E1175">
            <v>3284.5</v>
          </cell>
          <cell r="G1175">
            <v>1</v>
          </cell>
          <cell r="H1175" t="str">
            <v>ERAF</v>
          </cell>
          <cell r="L1175" t="str">
            <v>-</v>
          </cell>
          <cell r="N1175">
            <v>43</v>
          </cell>
          <cell r="P1175" t="str">
            <v>32</v>
          </cell>
        </row>
        <row r="1176">
          <cell r="B1176">
            <v>42</v>
          </cell>
          <cell r="C1176">
            <v>20807.68</v>
          </cell>
          <cell r="D1176">
            <v>44</v>
          </cell>
          <cell r="E1176">
            <v>13542.12</v>
          </cell>
          <cell r="G1176">
            <v>1</v>
          </cell>
          <cell r="H1176" t="str">
            <v>ERAF</v>
          </cell>
          <cell r="L1176" t="str">
            <v>-</v>
          </cell>
          <cell r="N1176">
            <v>44</v>
          </cell>
          <cell r="P1176" t="str">
            <v>32</v>
          </cell>
        </row>
        <row r="1177">
          <cell r="B1177">
            <v>42</v>
          </cell>
          <cell r="C1177">
            <v>12123.63</v>
          </cell>
          <cell r="D1177">
            <v>44</v>
          </cell>
          <cell r="E1177">
            <v>9799.25</v>
          </cell>
          <cell r="G1177">
            <v>1</v>
          </cell>
          <cell r="H1177" t="str">
            <v>ERAF</v>
          </cell>
          <cell r="L1177" t="str">
            <v>-</v>
          </cell>
          <cell r="N1177">
            <v>44</v>
          </cell>
          <cell r="P1177" t="str">
            <v>32</v>
          </cell>
        </row>
        <row r="1178">
          <cell r="B1178">
            <v>42</v>
          </cell>
          <cell r="C1178">
            <v>5413.89</v>
          </cell>
          <cell r="D1178">
            <v>43</v>
          </cell>
          <cell r="E1178">
            <v>2712.73</v>
          </cell>
          <cell r="G1178">
            <v>1</v>
          </cell>
          <cell r="H1178" t="str">
            <v>ERAF</v>
          </cell>
          <cell r="L1178" t="str">
            <v>-</v>
          </cell>
          <cell r="N1178">
            <v>43</v>
          </cell>
          <cell r="P1178" t="str">
            <v>32</v>
          </cell>
        </row>
        <row r="1179">
          <cell r="B1179">
            <v>41</v>
          </cell>
          <cell r="C1179">
            <v>3952.05</v>
          </cell>
          <cell r="D1179">
            <v>44</v>
          </cell>
          <cell r="E1179">
            <v>1379.01</v>
          </cell>
          <cell r="G1179">
            <v>1</v>
          </cell>
          <cell r="H1179" t="str">
            <v>ERAF</v>
          </cell>
          <cell r="L1179" t="str">
            <v>-</v>
          </cell>
          <cell r="N1179">
            <v>44</v>
          </cell>
          <cell r="P1179" t="str">
            <v>32</v>
          </cell>
        </row>
        <row r="1180">
          <cell r="B1180">
            <v>42</v>
          </cell>
          <cell r="C1180">
            <v>9048.18</v>
          </cell>
          <cell r="D1180">
            <v>43</v>
          </cell>
          <cell r="E1180">
            <v>7817.32</v>
          </cell>
          <cell r="G1180">
            <v>1</v>
          </cell>
          <cell r="H1180" t="str">
            <v>ERAF</v>
          </cell>
          <cell r="L1180" t="str">
            <v>-</v>
          </cell>
          <cell r="N1180">
            <v>43</v>
          </cell>
          <cell r="P1180" t="str">
            <v>32</v>
          </cell>
        </row>
        <row r="1181">
          <cell r="B1181">
            <v>42</v>
          </cell>
          <cell r="C1181">
            <v>4212.84</v>
          </cell>
          <cell r="D1181">
            <v>42</v>
          </cell>
          <cell r="E1181">
            <v>3541.08</v>
          </cell>
          <cell r="G1181">
            <v>1</v>
          </cell>
          <cell r="H1181" t="str">
            <v>ERAF</v>
          </cell>
          <cell r="L1181" t="str">
            <v>-</v>
          </cell>
          <cell r="N1181">
            <v>42</v>
          </cell>
          <cell r="P1181" t="str">
            <v>32</v>
          </cell>
        </row>
        <row r="1182">
          <cell r="B1182">
            <v>42</v>
          </cell>
          <cell r="C1182">
            <v>9678</v>
          </cell>
          <cell r="D1182">
            <v>42</v>
          </cell>
          <cell r="E1182">
            <v>5440.11</v>
          </cell>
          <cell r="G1182">
            <v>1</v>
          </cell>
          <cell r="H1182" t="str">
            <v>ERAF</v>
          </cell>
          <cell r="L1182" t="str">
            <v>-</v>
          </cell>
          <cell r="N1182">
            <v>42</v>
          </cell>
          <cell r="P1182" t="str">
            <v>32</v>
          </cell>
        </row>
        <row r="1183">
          <cell r="B1183">
            <v>42</v>
          </cell>
          <cell r="C1183">
            <v>8297.5</v>
          </cell>
          <cell r="D1183">
            <v>44</v>
          </cell>
          <cell r="E1183">
            <v>0</v>
          </cell>
          <cell r="G1183">
            <v>1</v>
          </cell>
          <cell r="H1183" t="str">
            <v>ERAF</v>
          </cell>
          <cell r="L1183" t="str">
            <v>-</v>
          </cell>
          <cell r="N1183">
            <v>44</v>
          </cell>
          <cell r="P1183" t="str">
            <v>32</v>
          </cell>
        </row>
        <row r="1184">
          <cell r="B1184">
            <v>41</v>
          </cell>
          <cell r="C1184">
            <v>9605</v>
          </cell>
          <cell r="D1184">
            <v>44</v>
          </cell>
          <cell r="E1184">
            <v>4399.56</v>
          </cell>
          <cell r="G1184">
            <v>1</v>
          </cell>
          <cell r="H1184" t="str">
            <v>ERAF</v>
          </cell>
          <cell r="L1184" t="str">
            <v>-</v>
          </cell>
          <cell r="N1184">
            <v>44</v>
          </cell>
          <cell r="P1184" t="str">
            <v>32</v>
          </cell>
        </row>
        <row r="1185">
          <cell r="B1185">
            <v>41</v>
          </cell>
          <cell r="C1185">
            <v>5645</v>
          </cell>
          <cell r="D1185">
            <v>44</v>
          </cell>
          <cell r="E1185">
            <v>3148.94</v>
          </cell>
          <cell r="G1185">
            <v>1</v>
          </cell>
          <cell r="H1185" t="str">
            <v>ERAF</v>
          </cell>
          <cell r="L1185" t="str">
            <v>-</v>
          </cell>
          <cell r="N1185">
            <v>44</v>
          </cell>
          <cell r="P1185" t="str">
            <v>32</v>
          </cell>
        </row>
        <row r="1186">
          <cell r="B1186">
            <v>41</v>
          </cell>
          <cell r="C1186">
            <v>9508.5</v>
          </cell>
          <cell r="D1186">
            <v>44</v>
          </cell>
          <cell r="E1186">
            <v>7755.74</v>
          </cell>
          <cell r="G1186">
            <v>1</v>
          </cell>
          <cell r="H1186" t="str">
            <v>ERAF</v>
          </cell>
          <cell r="L1186" t="str">
            <v>-</v>
          </cell>
          <cell r="N1186">
            <v>44</v>
          </cell>
          <cell r="P1186" t="str">
            <v>32</v>
          </cell>
        </row>
        <row r="1187">
          <cell r="B1187">
            <v>42</v>
          </cell>
          <cell r="C1187">
            <v>7902.75</v>
          </cell>
          <cell r="D1187">
            <v>43</v>
          </cell>
          <cell r="E1187">
            <v>4320.92</v>
          </cell>
          <cell r="G1187">
            <v>1</v>
          </cell>
          <cell r="H1187" t="str">
            <v>ERAF</v>
          </cell>
          <cell r="L1187" t="str">
            <v>-</v>
          </cell>
          <cell r="N1187">
            <v>43</v>
          </cell>
          <cell r="P1187" t="str">
            <v>32</v>
          </cell>
        </row>
        <row r="1188">
          <cell r="B1188">
            <v>41</v>
          </cell>
          <cell r="C1188">
            <v>750</v>
          </cell>
          <cell r="D1188">
            <v>43</v>
          </cell>
          <cell r="E1188">
            <v>512.56</v>
          </cell>
          <cell r="G1188">
            <v>1</v>
          </cell>
          <cell r="H1188" t="str">
            <v>ERAF</v>
          </cell>
          <cell r="L1188" t="str">
            <v>-</v>
          </cell>
          <cell r="N1188">
            <v>43</v>
          </cell>
          <cell r="P1188" t="str">
            <v>32</v>
          </cell>
        </row>
        <row r="1189">
          <cell r="B1189">
            <v>42</v>
          </cell>
          <cell r="C1189">
            <v>8377.5</v>
          </cell>
          <cell r="D1189">
            <v>41</v>
          </cell>
          <cell r="E1189">
            <v>0</v>
          </cell>
          <cell r="G1189">
            <v>1</v>
          </cell>
          <cell r="H1189" t="str">
            <v>ERAF</v>
          </cell>
          <cell r="N1189">
            <v>41</v>
          </cell>
          <cell r="P1189" t="str">
            <v>32</v>
          </cell>
        </row>
        <row r="1190">
          <cell r="B1190">
            <v>42</v>
          </cell>
          <cell r="C1190">
            <v>2095</v>
          </cell>
          <cell r="D1190">
            <v>43</v>
          </cell>
          <cell r="E1190">
            <v>0</v>
          </cell>
          <cell r="G1190">
            <v>1</v>
          </cell>
          <cell r="H1190" t="str">
            <v>ERAF</v>
          </cell>
          <cell r="L1190" t="str">
            <v>-</v>
          </cell>
          <cell r="N1190">
            <v>43</v>
          </cell>
          <cell r="P1190" t="str">
            <v>32</v>
          </cell>
        </row>
        <row r="1191">
          <cell r="B1191">
            <v>41</v>
          </cell>
          <cell r="C1191">
            <v>4627.35</v>
          </cell>
          <cell r="D1191">
            <v>44</v>
          </cell>
          <cell r="E1191">
            <v>4577.24</v>
          </cell>
          <cell r="G1191">
            <v>1</v>
          </cell>
          <cell r="H1191" t="str">
            <v>ERAF</v>
          </cell>
          <cell r="L1191" t="str">
            <v>-</v>
          </cell>
          <cell r="N1191">
            <v>44</v>
          </cell>
          <cell r="P1191" t="str">
            <v>32</v>
          </cell>
        </row>
        <row r="1192">
          <cell r="B1192">
            <v>41</v>
          </cell>
          <cell r="C1192">
            <v>9157.5</v>
          </cell>
          <cell r="D1192">
            <v>44</v>
          </cell>
          <cell r="E1192">
            <v>8401.96</v>
          </cell>
          <cell r="G1192">
            <v>1</v>
          </cell>
          <cell r="H1192" t="str">
            <v>ERAF</v>
          </cell>
          <cell r="L1192" t="str">
            <v>-</v>
          </cell>
          <cell r="N1192">
            <v>44</v>
          </cell>
          <cell r="P1192" t="str">
            <v>32</v>
          </cell>
        </row>
        <row r="1193">
          <cell r="B1193">
            <v>41</v>
          </cell>
          <cell r="C1193">
            <v>4577.5</v>
          </cell>
          <cell r="D1193">
            <v>43</v>
          </cell>
          <cell r="E1193">
            <v>3937.5</v>
          </cell>
          <cell r="G1193">
            <v>1</v>
          </cell>
          <cell r="H1193" t="str">
            <v>ERAF</v>
          </cell>
          <cell r="L1193" t="str">
            <v>-</v>
          </cell>
          <cell r="N1193">
            <v>43</v>
          </cell>
          <cell r="P1193" t="str">
            <v>32</v>
          </cell>
        </row>
        <row r="1194">
          <cell r="B1194">
            <v>41</v>
          </cell>
          <cell r="C1194">
            <v>8205.51</v>
          </cell>
          <cell r="D1194">
            <v>41</v>
          </cell>
          <cell r="E1194">
            <v>8057.06</v>
          </cell>
          <cell r="G1194">
            <v>1</v>
          </cell>
          <cell r="H1194" t="str">
            <v>ERAF</v>
          </cell>
          <cell r="L1194" t="str">
            <v>-</v>
          </cell>
          <cell r="N1194">
            <v>41</v>
          </cell>
          <cell r="P1194" t="str">
            <v>32</v>
          </cell>
        </row>
        <row r="1195">
          <cell r="B1195">
            <v>41</v>
          </cell>
          <cell r="C1195">
            <v>3041.69</v>
          </cell>
          <cell r="D1195">
            <v>43</v>
          </cell>
          <cell r="E1195">
            <v>2872.26</v>
          </cell>
          <cell r="G1195">
            <v>1</v>
          </cell>
          <cell r="H1195" t="str">
            <v>ERAF</v>
          </cell>
          <cell r="L1195" t="str">
            <v>-</v>
          </cell>
          <cell r="N1195" t="str">
            <v>-</v>
          </cell>
          <cell r="P1195" t="str">
            <v>32</v>
          </cell>
        </row>
        <row r="1196">
          <cell r="B1196">
            <v>41</v>
          </cell>
          <cell r="C1196">
            <v>2154.09</v>
          </cell>
          <cell r="D1196">
            <v>42</v>
          </cell>
          <cell r="E1196">
            <v>1945.09</v>
          </cell>
          <cell r="G1196">
            <v>1</v>
          </cell>
          <cell r="H1196" t="str">
            <v>ERAF</v>
          </cell>
          <cell r="L1196" t="str">
            <v>-</v>
          </cell>
          <cell r="N1196">
            <v>42</v>
          </cell>
          <cell r="P1196" t="str">
            <v>32</v>
          </cell>
        </row>
        <row r="1197">
          <cell r="B1197">
            <v>41</v>
          </cell>
          <cell r="C1197">
            <v>2608.84</v>
          </cell>
          <cell r="D1197">
            <v>43</v>
          </cell>
          <cell r="E1197">
            <v>971.62</v>
          </cell>
          <cell r="G1197">
            <v>1</v>
          </cell>
          <cell r="H1197" t="str">
            <v>ERAF</v>
          </cell>
          <cell r="L1197" t="str">
            <v>-</v>
          </cell>
          <cell r="N1197">
            <v>43</v>
          </cell>
          <cell r="P1197" t="str">
            <v>32</v>
          </cell>
        </row>
        <row r="1198">
          <cell r="B1198">
            <v>41</v>
          </cell>
          <cell r="C1198">
            <v>1260.62</v>
          </cell>
          <cell r="D1198">
            <v>44</v>
          </cell>
          <cell r="E1198">
            <v>858.59</v>
          </cell>
          <cell r="G1198">
            <v>1</v>
          </cell>
          <cell r="H1198" t="str">
            <v>ERAF</v>
          </cell>
          <cell r="L1198" t="str">
            <v>-</v>
          </cell>
          <cell r="N1198">
            <v>44</v>
          </cell>
          <cell r="P1198" t="str">
            <v>32</v>
          </cell>
        </row>
        <row r="1199">
          <cell r="B1199">
            <v>42</v>
          </cell>
          <cell r="C1199">
            <v>3900</v>
          </cell>
          <cell r="D1199">
            <v>43</v>
          </cell>
          <cell r="E1199">
            <v>2101.08</v>
          </cell>
          <cell r="G1199">
            <v>1</v>
          </cell>
          <cell r="H1199" t="str">
            <v>ERAF</v>
          </cell>
          <cell r="L1199" t="str">
            <v>-</v>
          </cell>
          <cell r="N1199">
            <v>43</v>
          </cell>
          <cell r="P1199" t="str">
            <v>32</v>
          </cell>
        </row>
        <row r="1200">
          <cell r="B1200">
            <v>41</v>
          </cell>
          <cell r="C1200">
            <v>4180.11</v>
          </cell>
          <cell r="D1200">
            <v>43</v>
          </cell>
          <cell r="E1200">
            <v>0</v>
          </cell>
          <cell r="G1200">
            <v>1</v>
          </cell>
          <cell r="H1200" t="str">
            <v>ERAF</v>
          </cell>
          <cell r="L1200" t="str">
            <v>-</v>
          </cell>
          <cell r="N1200">
            <v>43</v>
          </cell>
          <cell r="P1200" t="str">
            <v>32</v>
          </cell>
        </row>
        <row r="1201">
          <cell r="B1201">
            <v>41</v>
          </cell>
          <cell r="C1201">
            <v>5530.41</v>
          </cell>
          <cell r="D1201">
            <v>43</v>
          </cell>
          <cell r="E1201">
            <v>804.86</v>
          </cell>
          <cell r="G1201">
            <v>1</v>
          </cell>
          <cell r="H1201" t="str">
            <v>ERAF</v>
          </cell>
          <cell r="L1201" t="str">
            <v>-</v>
          </cell>
          <cell r="N1201">
            <v>43</v>
          </cell>
          <cell r="P1201" t="str">
            <v>32</v>
          </cell>
        </row>
        <row r="1202">
          <cell r="B1202">
            <v>41</v>
          </cell>
          <cell r="C1202">
            <v>6455.59</v>
          </cell>
          <cell r="D1202">
            <v>43</v>
          </cell>
          <cell r="E1202">
            <v>6228.67</v>
          </cell>
          <cell r="G1202">
            <v>1</v>
          </cell>
          <cell r="H1202" t="str">
            <v>ERAF</v>
          </cell>
          <cell r="L1202" t="str">
            <v>-</v>
          </cell>
          <cell r="N1202">
            <v>43</v>
          </cell>
          <cell r="P1202" t="str">
            <v>32</v>
          </cell>
        </row>
        <row r="1203">
          <cell r="B1203">
            <v>42</v>
          </cell>
          <cell r="C1203">
            <v>3490.06</v>
          </cell>
          <cell r="D1203">
            <v>44</v>
          </cell>
          <cell r="E1203">
            <v>3270.29</v>
          </cell>
          <cell r="G1203">
            <v>1</v>
          </cell>
          <cell r="H1203" t="str">
            <v>ERAF</v>
          </cell>
          <cell r="L1203" t="str">
            <v>-</v>
          </cell>
          <cell r="N1203">
            <v>44</v>
          </cell>
          <cell r="P1203" t="str">
            <v>32</v>
          </cell>
        </row>
        <row r="1204">
          <cell r="B1204">
            <v>42</v>
          </cell>
          <cell r="C1204">
            <v>10191</v>
          </cell>
          <cell r="D1204">
            <v>44</v>
          </cell>
          <cell r="E1204">
            <v>6843.89</v>
          </cell>
          <cell r="G1204">
            <v>1</v>
          </cell>
          <cell r="H1204" t="str">
            <v>ERAF</v>
          </cell>
          <cell r="L1204" t="str">
            <v>-</v>
          </cell>
          <cell r="N1204">
            <v>44</v>
          </cell>
          <cell r="P1204" t="str">
            <v>32</v>
          </cell>
        </row>
        <row r="1205">
          <cell r="B1205">
            <v>42</v>
          </cell>
          <cell r="C1205">
            <v>10356</v>
          </cell>
          <cell r="D1205">
            <v>44</v>
          </cell>
          <cell r="E1205">
            <v>7518.45</v>
          </cell>
          <cell r="G1205">
            <v>1</v>
          </cell>
          <cell r="H1205" t="str">
            <v>ERAF</v>
          </cell>
          <cell r="L1205" t="str">
            <v>-</v>
          </cell>
          <cell r="N1205">
            <v>44</v>
          </cell>
          <cell r="P1205" t="str">
            <v>32</v>
          </cell>
        </row>
        <row r="1206">
          <cell r="B1206">
            <v>42</v>
          </cell>
          <cell r="C1206">
            <v>9540</v>
          </cell>
          <cell r="D1206">
            <v>44</v>
          </cell>
          <cell r="E1206">
            <v>4260.25</v>
          </cell>
          <cell r="G1206">
            <v>1</v>
          </cell>
          <cell r="H1206" t="str">
            <v>ERAF</v>
          </cell>
          <cell r="L1206" t="str">
            <v>-</v>
          </cell>
          <cell r="N1206">
            <v>44</v>
          </cell>
          <cell r="P1206" t="str">
            <v>32</v>
          </cell>
        </row>
        <row r="1207">
          <cell r="B1207">
            <v>43</v>
          </cell>
          <cell r="C1207">
            <v>22400</v>
          </cell>
          <cell r="D1207">
            <v>42</v>
          </cell>
          <cell r="E1207">
            <v>0</v>
          </cell>
          <cell r="G1207">
            <v>1</v>
          </cell>
          <cell r="H1207" t="str">
            <v>ERAF</v>
          </cell>
          <cell r="N1207">
            <v>42</v>
          </cell>
          <cell r="P1207" t="str">
            <v>32</v>
          </cell>
        </row>
        <row r="1208">
          <cell r="B1208">
            <v>41</v>
          </cell>
          <cell r="C1208">
            <v>19030</v>
          </cell>
          <cell r="D1208">
            <v>42</v>
          </cell>
          <cell r="E1208">
            <v>0</v>
          </cell>
          <cell r="G1208">
            <v>1</v>
          </cell>
          <cell r="H1208" t="str">
            <v>ERAF</v>
          </cell>
          <cell r="N1208">
            <v>42</v>
          </cell>
          <cell r="P1208" t="str">
            <v>32</v>
          </cell>
        </row>
        <row r="1209">
          <cell r="B1209">
            <v>42</v>
          </cell>
          <cell r="C1209">
            <v>8500.38</v>
          </cell>
          <cell r="D1209">
            <v>43</v>
          </cell>
          <cell r="E1209">
            <v>7542.34</v>
          </cell>
          <cell r="G1209">
            <v>1</v>
          </cell>
          <cell r="H1209" t="str">
            <v>ERAF</v>
          </cell>
          <cell r="L1209" t="str">
            <v>-</v>
          </cell>
          <cell r="N1209">
            <v>43</v>
          </cell>
          <cell r="P1209" t="str">
            <v>32</v>
          </cell>
        </row>
        <row r="1210">
          <cell r="B1210">
            <v>42</v>
          </cell>
          <cell r="C1210">
            <v>5185.5</v>
          </cell>
          <cell r="D1210">
            <v>43</v>
          </cell>
          <cell r="E1210">
            <v>5055.37</v>
          </cell>
          <cell r="G1210">
            <v>1</v>
          </cell>
          <cell r="H1210" t="str">
            <v>ERAF</v>
          </cell>
          <cell r="L1210" t="str">
            <v>-</v>
          </cell>
          <cell r="N1210">
            <v>43</v>
          </cell>
          <cell r="P1210" t="str">
            <v>32</v>
          </cell>
        </row>
        <row r="1211">
          <cell r="B1211">
            <v>42</v>
          </cell>
          <cell r="C1211">
            <v>6285.5</v>
          </cell>
          <cell r="D1211">
            <v>44</v>
          </cell>
          <cell r="E1211">
            <v>5204.59</v>
          </cell>
          <cell r="G1211">
            <v>1</v>
          </cell>
          <cell r="H1211" t="str">
            <v>ERAF</v>
          </cell>
          <cell r="L1211" t="str">
            <v>-</v>
          </cell>
          <cell r="N1211">
            <v>44</v>
          </cell>
          <cell r="P1211" t="str">
            <v>32</v>
          </cell>
        </row>
        <row r="1212">
          <cell r="B1212">
            <v>42</v>
          </cell>
          <cell r="C1212">
            <v>5280.5</v>
          </cell>
          <cell r="D1212">
            <v>43</v>
          </cell>
          <cell r="E1212">
            <v>5082.67</v>
          </cell>
          <cell r="G1212">
            <v>1</v>
          </cell>
          <cell r="H1212" t="str">
            <v>ERAF</v>
          </cell>
          <cell r="L1212" t="str">
            <v>-</v>
          </cell>
          <cell r="N1212">
            <v>43</v>
          </cell>
          <cell r="P1212" t="str">
            <v>32</v>
          </cell>
        </row>
        <row r="1213">
          <cell r="B1213">
            <v>42</v>
          </cell>
          <cell r="C1213">
            <v>2635</v>
          </cell>
          <cell r="D1213">
            <v>42</v>
          </cell>
          <cell r="E1213">
            <v>2634.5</v>
          </cell>
          <cell r="G1213">
            <v>1</v>
          </cell>
          <cell r="H1213" t="str">
            <v>ERAF</v>
          </cell>
          <cell r="L1213" t="str">
            <v>-</v>
          </cell>
          <cell r="N1213">
            <v>42</v>
          </cell>
          <cell r="P1213" t="str">
            <v>32</v>
          </cell>
        </row>
        <row r="1214">
          <cell r="B1214">
            <v>42</v>
          </cell>
          <cell r="C1214">
            <v>10290</v>
          </cell>
          <cell r="D1214">
            <v>43</v>
          </cell>
          <cell r="E1214">
            <v>0</v>
          </cell>
          <cell r="G1214">
            <v>1</v>
          </cell>
          <cell r="H1214" t="str">
            <v>ERAF</v>
          </cell>
          <cell r="L1214" t="str">
            <v>-</v>
          </cell>
          <cell r="N1214">
            <v>43</v>
          </cell>
          <cell r="P1214" t="str">
            <v>32</v>
          </cell>
        </row>
        <row r="1215">
          <cell r="B1215">
            <v>42</v>
          </cell>
          <cell r="C1215">
            <v>16164</v>
          </cell>
          <cell r="D1215">
            <v>43</v>
          </cell>
          <cell r="E1215">
            <v>13056.76</v>
          </cell>
          <cell r="G1215">
            <v>1</v>
          </cell>
          <cell r="H1215" t="str">
            <v>ERAF</v>
          </cell>
          <cell r="L1215" t="str">
            <v>-</v>
          </cell>
          <cell r="N1215">
            <v>43</v>
          </cell>
          <cell r="P1215" t="str">
            <v>32</v>
          </cell>
        </row>
        <row r="1216">
          <cell r="B1216">
            <v>42</v>
          </cell>
          <cell r="C1216">
            <v>3846.45</v>
          </cell>
          <cell r="D1216">
            <v>44</v>
          </cell>
          <cell r="E1216">
            <v>3097.57</v>
          </cell>
          <cell r="G1216">
            <v>1</v>
          </cell>
          <cell r="H1216" t="str">
            <v>ERAF</v>
          </cell>
          <cell r="L1216" t="str">
            <v>-</v>
          </cell>
          <cell r="N1216">
            <v>44</v>
          </cell>
          <cell r="P1216" t="str">
            <v>32</v>
          </cell>
        </row>
        <row r="1217">
          <cell r="B1217">
            <v>42</v>
          </cell>
          <cell r="C1217">
            <v>5183.47</v>
          </cell>
          <cell r="D1217">
            <v>42</v>
          </cell>
          <cell r="E1217">
            <v>3234.14</v>
          </cell>
          <cell r="G1217">
            <v>1</v>
          </cell>
          <cell r="H1217" t="str">
            <v>ERAF</v>
          </cell>
          <cell r="L1217" t="str">
            <v>-</v>
          </cell>
          <cell r="N1217">
            <v>42</v>
          </cell>
          <cell r="P1217" t="str">
            <v>32</v>
          </cell>
        </row>
        <row r="1218">
          <cell r="B1218">
            <v>42</v>
          </cell>
          <cell r="C1218">
            <v>6380.5</v>
          </cell>
          <cell r="D1218">
            <v>43</v>
          </cell>
          <cell r="E1218">
            <v>5692.43</v>
          </cell>
          <cell r="G1218">
            <v>1</v>
          </cell>
          <cell r="H1218" t="str">
            <v>ERAF</v>
          </cell>
          <cell r="L1218" t="str">
            <v>-</v>
          </cell>
          <cell r="N1218">
            <v>43</v>
          </cell>
          <cell r="P1218" t="str">
            <v>32</v>
          </cell>
        </row>
        <row r="1219">
          <cell r="B1219">
            <v>42</v>
          </cell>
          <cell r="C1219">
            <v>9472.18</v>
          </cell>
          <cell r="D1219">
            <v>44</v>
          </cell>
          <cell r="E1219">
            <v>9369.55</v>
          </cell>
          <cell r="G1219">
            <v>1</v>
          </cell>
          <cell r="H1219" t="str">
            <v>ERAF</v>
          </cell>
          <cell r="L1219" t="str">
            <v>-</v>
          </cell>
          <cell r="N1219">
            <v>44</v>
          </cell>
          <cell r="P1219" t="str">
            <v>32</v>
          </cell>
        </row>
        <row r="1220">
          <cell r="B1220">
            <v>42</v>
          </cell>
          <cell r="C1220">
            <v>16241.58</v>
          </cell>
          <cell r="D1220">
            <v>43</v>
          </cell>
          <cell r="E1220">
            <v>14362.91</v>
          </cell>
          <cell r="G1220">
            <v>1</v>
          </cell>
          <cell r="H1220" t="str">
            <v>ERAF</v>
          </cell>
          <cell r="L1220" t="str">
            <v>-</v>
          </cell>
          <cell r="N1220">
            <v>43</v>
          </cell>
          <cell r="P1220" t="str">
            <v>32</v>
          </cell>
        </row>
        <row r="1221">
          <cell r="B1221">
            <v>42</v>
          </cell>
          <cell r="C1221">
            <v>3872.27</v>
          </cell>
          <cell r="D1221">
            <v>43</v>
          </cell>
          <cell r="E1221">
            <v>3513.43</v>
          </cell>
          <cell r="G1221">
            <v>1</v>
          </cell>
          <cell r="H1221" t="str">
            <v>ERAF</v>
          </cell>
          <cell r="L1221" t="str">
            <v>-</v>
          </cell>
          <cell r="N1221">
            <v>43</v>
          </cell>
          <cell r="P1221" t="str">
            <v>32</v>
          </cell>
        </row>
        <row r="1222">
          <cell r="B1222">
            <v>42</v>
          </cell>
          <cell r="C1222">
            <v>16376.65</v>
          </cell>
          <cell r="D1222">
            <v>44</v>
          </cell>
          <cell r="E1222">
            <v>13496.37</v>
          </cell>
          <cell r="G1222">
            <v>1</v>
          </cell>
          <cell r="H1222" t="str">
            <v>ERAF</v>
          </cell>
          <cell r="L1222" t="str">
            <v>-</v>
          </cell>
          <cell r="N1222">
            <v>44</v>
          </cell>
          <cell r="P1222" t="str">
            <v>32</v>
          </cell>
        </row>
        <row r="1223">
          <cell r="B1223">
            <v>42</v>
          </cell>
          <cell r="C1223">
            <v>1991.87</v>
          </cell>
          <cell r="D1223">
            <v>44</v>
          </cell>
          <cell r="E1223">
            <v>1478.55</v>
          </cell>
          <cell r="G1223">
            <v>1</v>
          </cell>
          <cell r="H1223" t="str">
            <v>ERAF</v>
          </cell>
          <cell r="L1223" t="str">
            <v>-</v>
          </cell>
          <cell r="N1223">
            <v>44</v>
          </cell>
          <cell r="P1223" t="str">
            <v>32</v>
          </cell>
        </row>
        <row r="1224">
          <cell r="B1224">
            <v>42</v>
          </cell>
          <cell r="C1224">
            <v>6967</v>
          </cell>
          <cell r="D1224">
            <v>45</v>
          </cell>
          <cell r="E1224">
            <v>0</v>
          </cell>
          <cell r="G1224">
            <v>1</v>
          </cell>
          <cell r="H1224" t="str">
            <v>ERAF</v>
          </cell>
          <cell r="L1224" t="str">
            <v>-</v>
          </cell>
          <cell r="N1224">
            <v>45</v>
          </cell>
          <cell r="P1224" t="str">
            <v>32</v>
          </cell>
        </row>
        <row r="1225">
          <cell r="B1225">
            <v>42</v>
          </cell>
          <cell r="C1225">
            <v>8795</v>
          </cell>
          <cell r="D1225">
            <v>43</v>
          </cell>
          <cell r="E1225">
            <v>7219.2</v>
          </cell>
          <cell r="G1225">
            <v>1</v>
          </cell>
          <cell r="H1225" t="str">
            <v>ERAF</v>
          </cell>
          <cell r="L1225" t="str">
            <v>-</v>
          </cell>
          <cell r="N1225">
            <v>43</v>
          </cell>
          <cell r="P1225" t="str">
            <v>32</v>
          </cell>
        </row>
        <row r="1226">
          <cell r="B1226">
            <v>42</v>
          </cell>
          <cell r="C1226">
            <v>2430</v>
          </cell>
          <cell r="D1226">
            <v>44</v>
          </cell>
          <cell r="E1226">
            <v>791.84</v>
          </cell>
          <cell r="G1226">
            <v>1</v>
          </cell>
          <cell r="H1226" t="str">
            <v>ERAF</v>
          </cell>
          <cell r="L1226" t="str">
            <v>-</v>
          </cell>
          <cell r="N1226">
            <v>44</v>
          </cell>
          <cell r="P1226" t="str">
            <v>32</v>
          </cell>
        </row>
        <row r="1227">
          <cell r="B1227">
            <v>42</v>
          </cell>
          <cell r="C1227">
            <v>14024.78</v>
          </cell>
          <cell r="D1227">
            <v>44</v>
          </cell>
          <cell r="E1227">
            <v>8765.94</v>
          </cell>
          <cell r="G1227">
            <v>1</v>
          </cell>
          <cell r="H1227" t="str">
            <v>ERAF</v>
          </cell>
          <cell r="L1227" t="str">
            <v>-</v>
          </cell>
          <cell r="N1227">
            <v>44</v>
          </cell>
          <cell r="P1227" t="str">
            <v>32</v>
          </cell>
        </row>
        <row r="1228">
          <cell r="B1228">
            <v>42</v>
          </cell>
          <cell r="C1228">
            <v>3159.38</v>
          </cell>
          <cell r="D1228">
            <v>44</v>
          </cell>
          <cell r="E1228">
            <v>2030.29</v>
          </cell>
          <cell r="G1228">
            <v>1</v>
          </cell>
          <cell r="H1228" t="str">
            <v>ERAF</v>
          </cell>
          <cell r="L1228" t="str">
            <v>-</v>
          </cell>
          <cell r="N1228">
            <v>44</v>
          </cell>
          <cell r="P1228" t="str">
            <v>32</v>
          </cell>
        </row>
        <row r="1229">
          <cell r="B1229">
            <v>42</v>
          </cell>
          <cell r="C1229">
            <v>8250</v>
          </cell>
          <cell r="D1229">
            <v>42</v>
          </cell>
          <cell r="E1229">
            <v>1571.85</v>
          </cell>
          <cell r="G1229">
            <v>1</v>
          </cell>
          <cell r="H1229" t="str">
            <v>ERAF</v>
          </cell>
          <cell r="L1229" t="str">
            <v>-</v>
          </cell>
          <cell r="N1229">
            <v>42</v>
          </cell>
          <cell r="P1229" t="str">
            <v>32</v>
          </cell>
        </row>
        <row r="1230">
          <cell r="B1230">
            <v>42</v>
          </cell>
          <cell r="C1230">
            <v>14000</v>
          </cell>
          <cell r="D1230">
            <v>43</v>
          </cell>
          <cell r="E1230">
            <v>4237.54</v>
          </cell>
          <cell r="G1230">
            <v>1</v>
          </cell>
          <cell r="H1230" t="str">
            <v>ERAF</v>
          </cell>
          <cell r="L1230" t="str">
            <v>-</v>
          </cell>
          <cell r="N1230">
            <v>43</v>
          </cell>
          <cell r="P1230" t="str">
            <v>32</v>
          </cell>
        </row>
        <row r="1231">
          <cell r="B1231">
            <v>42</v>
          </cell>
          <cell r="C1231">
            <v>5550</v>
          </cell>
          <cell r="D1231">
            <v>44</v>
          </cell>
          <cell r="E1231">
            <v>1732.52</v>
          </cell>
          <cell r="G1231">
            <v>1</v>
          </cell>
          <cell r="H1231" t="str">
            <v>ERAF</v>
          </cell>
          <cell r="L1231" t="str">
            <v>-</v>
          </cell>
          <cell r="N1231">
            <v>44</v>
          </cell>
          <cell r="P1231" t="str">
            <v>32</v>
          </cell>
        </row>
        <row r="1232">
          <cell r="B1232">
            <v>42</v>
          </cell>
          <cell r="C1232">
            <v>9186</v>
          </cell>
          <cell r="D1232">
            <v>44</v>
          </cell>
          <cell r="E1232">
            <v>7762.5</v>
          </cell>
          <cell r="G1232">
            <v>1</v>
          </cell>
          <cell r="H1232" t="str">
            <v>ERAF</v>
          </cell>
          <cell r="L1232" t="str">
            <v>-</v>
          </cell>
          <cell r="N1232">
            <v>44</v>
          </cell>
          <cell r="P1232" t="str">
            <v>32</v>
          </cell>
        </row>
        <row r="1233">
          <cell r="B1233">
            <v>42</v>
          </cell>
          <cell r="C1233">
            <v>40485</v>
          </cell>
          <cell r="D1233">
            <v>42</v>
          </cell>
          <cell r="E1233">
            <v>0</v>
          </cell>
          <cell r="G1233">
            <v>1</v>
          </cell>
          <cell r="H1233" t="str">
            <v>ERAF</v>
          </cell>
          <cell r="N1233">
            <v>42</v>
          </cell>
          <cell r="P1233" t="str">
            <v>32</v>
          </cell>
        </row>
        <row r="1234">
          <cell r="B1234">
            <v>42</v>
          </cell>
          <cell r="C1234">
            <v>6325.5</v>
          </cell>
          <cell r="D1234">
            <v>44</v>
          </cell>
          <cell r="E1234">
            <v>4409.5</v>
          </cell>
          <cell r="G1234">
            <v>1</v>
          </cell>
          <cell r="H1234" t="str">
            <v>ERAF</v>
          </cell>
          <cell r="L1234" t="str">
            <v>-</v>
          </cell>
          <cell r="N1234">
            <v>44</v>
          </cell>
          <cell r="P1234" t="str">
            <v>32</v>
          </cell>
        </row>
        <row r="1235">
          <cell r="B1235">
            <v>42</v>
          </cell>
          <cell r="C1235">
            <v>9255</v>
          </cell>
          <cell r="D1235">
            <v>44</v>
          </cell>
          <cell r="E1235">
            <v>920.5</v>
          </cell>
          <cell r="G1235">
            <v>1</v>
          </cell>
          <cell r="H1235" t="str">
            <v>ERAF</v>
          </cell>
          <cell r="L1235" t="str">
            <v>-</v>
          </cell>
          <cell r="N1235">
            <v>44</v>
          </cell>
          <cell r="P1235" t="str">
            <v>32</v>
          </cell>
        </row>
        <row r="1236">
          <cell r="B1236">
            <v>42</v>
          </cell>
          <cell r="C1236">
            <v>8145</v>
          </cell>
          <cell r="D1236">
            <v>44</v>
          </cell>
          <cell r="E1236">
            <v>915.5</v>
          </cell>
          <cell r="G1236">
            <v>1</v>
          </cell>
          <cell r="H1236" t="str">
            <v>ERAF</v>
          </cell>
          <cell r="L1236" t="str">
            <v>-</v>
          </cell>
          <cell r="N1236">
            <v>44</v>
          </cell>
          <cell r="P1236" t="str">
            <v>32</v>
          </cell>
        </row>
        <row r="1237">
          <cell r="B1237">
            <v>42</v>
          </cell>
          <cell r="C1237">
            <v>6920</v>
          </cell>
          <cell r="D1237">
            <v>44</v>
          </cell>
          <cell r="E1237">
            <v>6918.65</v>
          </cell>
          <cell r="G1237">
            <v>1</v>
          </cell>
          <cell r="H1237" t="str">
            <v>ERAF</v>
          </cell>
          <cell r="L1237" t="str">
            <v>-</v>
          </cell>
          <cell r="N1237">
            <v>44</v>
          </cell>
          <cell r="P1237" t="str">
            <v>32</v>
          </cell>
        </row>
        <row r="1238">
          <cell r="B1238">
            <v>42</v>
          </cell>
          <cell r="C1238">
            <v>5947.5</v>
          </cell>
          <cell r="D1238">
            <v>43</v>
          </cell>
          <cell r="E1238">
            <v>0</v>
          </cell>
          <cell r="G1238">
            <v>1</v>
          </cell>
          <cell r="H1238" t="str">
            <v>ERAF</v>
          </cell>
          <cell r="L1238" t="str">
            <v>-</v>
          </cell>
          <cell r="N1238">
            <v>43</v>
          </cell>
          <cell r="P1238" t="str">
            <v>32</v>
          </cell>
        </row>
        <row r="1239">
          <cell r="B1239">
            <v>42</v>
          </cell>
          <cell r="C1239">
            <v>8685</v>
          </cell>
          <cell r="D1239">
            <v>44</v>
          </cell>
          <cell r="E1239">
            <v>3828.84</v>
          </cell>
          <cell r="G1239">
            <v>1</v>
          </cell>
          <cell r="H1239" t="str">
            <v>ERAF</v>
          </cell>
          <cell r="L1239" t="str">
            <v>-</v>
          </cell>
          <cell r="N1239">
            <v>44</v>
          </cell>
          <cell r="P1239" t="str">
            <v>32</v>
          </cell>
        </row>
        <row r="1240">
          <cell r="B1240">
            <v>42</v>
          </cell>
          <cell r="C1240">
            <v>1453.5</v>
          </cell>
          <cell r="D1240">
            <v>44</v>
          </cell>
          <cell r="E1240">
            <v>723.17</v>
          </cell>
          <cell r="G1240">
            <v>1</v>
          </cell>
          <cell r="H1240" t="str">
            <v>ERAF</v>
          </cell>
          <cell r="L1240" t="str">
            <v>-</v>
          </cell>
          <cell r="N1240">
            <v>44</v>
          </cell>
          <cell r="P1240" t="str">
            <v>32</v>
          </cell>
        </row>
        <row r="1241">
          <cell r="B1241">
            <v>42</v>
          </cell>
          <cell r="C1241">
            <v>6565</v>
          </cell>
          <cell r="D1241">
            <v>44</v>
          </cell>
          <cell r="E1241">
            <v>6563.75</v>
          </cell>
          <cell r="G1241">
            <v>1</v>
          </cell>
          <cell r="H1241" t="str">
            <v>ERAF</v>
          </cell>
          <cell r="L1241" t="str">
            <v>-</v>
          </cell>
          <cell r="N1241">
            <v>44</v>
          </cell>
          <cell r="P1241" t="str">
            <v>32</v>
          </cell>
        </row>
        <row r="1242">
          <cell r="B1242">
            <v>42</v>
          </cell>
          <cell r="C1242">
            <v>6685</v>
          </cell>
          <cell r="D1242">
            <v>43</v>
          </cell>
          <cell r="E1242">
            <v>0</v>
          </cell>
          <cell r="G1242">
            <v>1</v>
          </cell>
          <cell r="H1242" t="str">
            <v>ERAF</v>
          </cell>
          <cell r="L1242" t="str">
            <v>-</v>
          </cell>
          <cell r="N1242">
            <v>43</v>
          </cell>
          <cell r="P1242" t="str">
            <v>32</v>
          </cell>
        </row>
        <row r="1243">
          <cell r="B1243">
            <v>42</v>
          </cell>
          <cell r="C1243">
            <v>5328</v>
          </cell>
          <cell r="D1243">
            <v>43</v>
          </cell>
          <cell r="E1243">
            <v>5035.23</v>
          </cell>
          <cell r="G1243">
            <v>1</v>
          </cell>
          <cell r="H1243" t="str">
            <v>ERAF</v>
          </cell>
          <cell r="L1243" t="str">
            <v>-</v>
          </cell>
          <cell r="N1243">
            <v>43</v>
          </cell>
          <cell r="P1243" t="str">
            <v>32</v>
          </cell>
        </row>
        <row r="1244">
          <cell r="B1244">
            <v>42</v>
          </cell>
          <cell r="C1244">
            <v>2485.87</v>
          </cell>
          <cell r="D1244">
            <v>44</v>
          </cell>
          <cell r="E1244">
            <v>1969.38</v>
          </cell>
          <cell r="G1244">
            <v>1</v>
          </cell>
          <cell r="H1244" t="str">
            <v>ERAF</v>
          </cell>
          <cell r="L1244" t="str">
            <v>-</v>
          </cell>
          <cell r="N1244">
            <v>44</v>
          </cell>
          <cell r="P1244" t="str">
            <v>32</v>
          </cell>
        </row>
        <row r="1245">
          <cell r="B1245">
            <v>42</v>
          </cell>
          <cell r="C1245">
            <v>4315</v>
          </cell>
          <cell r="D1245">
            <v>44</v>
          </cell>
          <cell r="E1245">
            <v>3321.09</v>
          </cell>
          <cell r="G1245">
            <v>1</v>
          </cell>
          <cell r="H1245" t="str">
            <v>ERAF</v>
          </cell>
          <cell r="L1245" t="str">
            <v>-</v>
          </cell>
          <cell r="N1245">
            <v>44</v>
          </cell>
          <cell r="P1245" t="str">
            <v>32</v>
          </cell>
        </row>
        <row r="1246">
          <cell r="B1246">
            <v>42</v>
          </cell>
          <cell r="C1246">
            <v>2050</v>
          </cell>
          <cell r="D1246">
            <v>43</v>
          </cell>
          <cell r="E1246">
            <v>1219.84</v>
          </cell>
          <cell r="G1246">
            <v>1</v>
          </cell>
          <cell r="H1246" t="str">
            <v>ERAF</v>
          </cell>
          <cell r="L1246" t="str">
            <v>-</v>
          </cell>
          <cell r="N1246">
            <v>43</v>
          </cell>
          <cell r="P1246" t="str">
            <v>32</v>
          </cell>
        </row>
        <row r="1247">
          <cell r="B1247">
            <v>42</v>
          </cell>
          <cell r="C1247">
            <v>4642.5</v>
          </cell>
          <cell r="D1247">
            <v>43</v>
          </cell>
          <cell r="E1247">
            <v>3369.97</v>
          </cell>
          <cell r="G1247">
            <v>1</v>
          </cell>
          <cell r="H1247" t="str">
            <v>ERAF</v>
          </cell>
          <cell r="L1247" t="str">
            <v>-</v>
          </cell>
          <cell r="N1247">
            <v>43</v>
          </cell>
          <cell r="P1247" t="str">
            <v>32</v>
          </cell>
        </row>
        <row r="1248">
          <cell r="B1248">
            <v>42</v>
          </cell>
          <cell r="C1248">
            <v>6508.38</v>
          </cell>
          <cell r="D1248">
            <v>44</v>
          </cell>
          <cell r="E1248">
            <v>5197.17</v>
          </cell>
          <cell r="G1248">
            <v>1</v>
          </cell>
          <cell r="H1248" t="str">
            <v>ERAF</v>
          </cell>
          <cell r="L1248" t="str">
            <v>-</v>
          </cell>
          <cell r="N1248">
            <v>44</v>
          </cell>
          <cell r="P1248" t="str">
            <v>32</v>
          </cell>
        </row>
        <row r="1249">
          <cell r="B1249">
            <v>42</v>
          </cell>
          <cell r="C1249">
            <v>9350</v>
          </cell>
          <cell r="D1249">
            <v>44</v>
          </cell>
          <cell r="E1249">
            <v>2514.85</v>
          </cell>
          <cell r="G1249">
            <v>1</v>
          </cell>
          <cell r="H1249" t="str">
            <v>ERAF</v>
          </cell>
          <cell r="L1249" t="str">
            <v>-</v>
          </cell>
          <cell r="N1249">
            <v>44</v>
          </cell>
          <cell r="P1249" t="str">
            <v>32</v>
          </cell>
        </row>
        <row r="1250">
          <cell r="H1250" t="str">
            <v/>
          </cell>
          <cell r="P125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H40"/>
  <sheetViews>
    <sheetView view="pageLayout" zoomScaleNormal="90" zoomScaleSheetLayoutView="71" workbookViewId="0" topLeftCell="A1">
      <selection activeCell="E85" sqref="E85"/>
    </sheetView>
  </sheetViews>
  <sheetFormatPr defaultColWidth="9.00390625" defaultRowHeight="15.75"/>
  <cols>
    <col min="2" max="2" width="32.75390625" style="0" customWidth="1"/>
    <col min="3" max="3" width="7.875" style="0" customWidth="1"/>
    <col min="4" max="4" width="13.75390625" style="0" hidden="1" customWidth="1"/>
    <col min="5" max="5" width="15.25390625" style="0" customWidth="1"/>
    <col min="6" max="6" width="15.75390625" style="0" customWidth="1"/>
    <col min="7" max="8" width="13.375" style="0" customWidth="1"/>
    <col min="9" max="9" width="14.125" style="0" customWidth="1"/>
    <col min="10" max="10" width="13.25390625" style="0" customWidth="1"/>
    <col min="11" max="11" width="13.00390625" style="0" customWidth="1"/>
    <col min="12" max="12" width="11.25390625" style="0" customWidth="1"/>
    <col min="13" max="13" width="14.25390625" style="0" customWidth="1"/>
    <col min="14" max="14" width="11.875" style="0" customWidth="1"/>
    <col min="15" max="15" width="13.625" style="0" customWidth="1"/>
    <col min="16" max="16" width="12.375" style="0" customWidth="1"/>
    <col min="17" max="17" width="14.875" style="0" customWidth="1"/>
    <col min="18" max="18" width="10.25390625" style="0" customWidth="1"/>
    <col min="19" max="19" width="13.00390625" style="0" customWidth="1"/>
    <col min="20" max="20" width="10.50390625" style="0" customWidth="1"/>
    <col min="21" max="21" width="13.125" style="0" customWidth="1"/>
    <col min="22" max="22" width="11.625" style="0" customWidth="1"/>
    <col min="23" max="23" width="14.00390625" style="0" customWidth="1"/>
    <col min="24" max="24" width="12.75390625" style="0" customWidth="1"/>
    <col min="25" max="25" width="13.625" style="0" customWidth="1"/>
    <col min="26" max="26" width="11.50390625" style="0" customWidth="1"/>
    <col min="27" max="27" width="14.375" style="0" customWidth="1"/>
    <col min="28" max="28" width="11.875" style="0" customWidth="1"/>
    <col min="29" max="29" width="15.125" style="0" customWidth="1"/>
    <col min="30" max="30" width="12.125" style="0" customWidth="1"/>
    <col min="31" max="31" width="13.125" style="0" customWidth="1"/>
    <col min="32" max="32" width="11.875" style="2" customWidth="1"/>
    <col min="33" max="33" width="55.875" style="0" customWidth="1"/>
  </cols>
  <sheetData>
    <row r="1" ht="15.75">
      <c r="AG1" s="256" t="s">
        <v>351</v>
      </c>
    </row>
    <row r="2" spans="2:34" ht="94.5" customHeight="1">
      <c r="B2" s="257" t="s">
        <v>321</v>
      </c>
      <c r="C2" s="14"/>
      <c r="D2" s="14"/>
      <c r="E2" s="14"/>
      <c r="F2" s="139"/>
      <c r="G2" s="156"/>
      <c r="H2" s="139"/>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29:31" ht="15.75">
      <c r="AC3" s="1"/>
      <c r="AD3" s="1"/>
      <c r="AE3" s="1"/>
    </row>
    <row r="4" spans="2:33" ht="33" customHeight="1">
      <c r="B4" s="436"/>
      <c r="C4" s="436" t="s">
        <v>247</v>
      </c>
      <c r="D4" s="436" t="s">
        <v>3</v>
      </c>
      <c r="E4" s="436" t="s">
        <v>248</v>
      </c>
      <c r="F4" s="445"/>
      <c r="G4" s="436" t="s">
        <v>249</v>
      </c>
      <c r="H4" s="436"/>
      <c r="I4" s="436" t="s">
        <v>365</v>
      </c>
      <c r="J4" s="436"/>
      <c r="K4" s="436"/>
      <c r="L4" s="436"/>
      <c r="M4" s="441" t="s">
        <v>250</v>
      </c>
      <c r="N4" s="442"/>
      <c r="O4" s="442"/>
      <c r="P4" s="442"/>
      <c r="Q4" s="442"/>
      <c r="R4" s="442"/>
      <c r="S4" s="442"/>
      <c r="T4" s="442"/>
      <c r="U4" s="442"/>
      <c r="V4" s="442"/>
      <c r="W4" s="442"/>
      <c r="X4" s="442"/>
      <c r="Y4" s="442"/>
      <c r="Z4" s="442"/>
      <c r="AA4" s="442"/>
      <c r="AB4" s="442"/>
      <c r="AC4" s="442"/>
      <c r="AD4" s="442"/>
      <c r="AE4" s="442"/>
      <c r="AF4" s="443"/>
      <c r="AG4" s="438" t="s">
        <v>364</v>
      </c>
    </row>
    <row r="5" spans="2:33" ht="15.75" customHeight="1">
      <c r="B5" s="444"/>
      <c r="C5" s="436"/>
      <c r="D5" s="436"/>
      <c r="E5" s="433" t="s">
        <v>4</v>
      </c>
      <c r="F5" s="433" t="s">
        <v>5</v>
      </c>
      <c r="G5" s="433" t="s">
        <v>4</v>
      </c>
      <c r="H5" s="433" t="s">
        <v>5</v>
      </c>
      <c r="I5" s="433" t="s">
        <v>4</v>
      </c>
      <c r="J5" s="436" t="s">
        <v>6</v>
      </c>
      <c r="K5" s="433" t="s">
        <v>5</v>
      </c>
      <c r="L5" s="436" t="s">
        <v>6</v>
      </c>
      <c r="M5" s="435" t="s">
        <v>7</v>
      </c>
      <c r="N5" s="435"/>
      <c r="O5" s="435"/>
      <c r="P5" s="435"/>
      <c r="Q5" s="435" t="s">
        <v>8</v>
      </c>
      <c r="R5" s="435"/>
      <c r="S5" s="435"/>
      <c r="T5" s="435"/>
      <c r="U5" s="435" t="s">
        <v>9</v>
      </c>
      <c r="V5" s="435"/>
      <c r="W5" s="435"/>
      <c r="X5" s="435"/>
      <c r="Y5" s="435" t="s">
        <v>10</v>
      </c>
      <c r="Z5" s="435"/>
      <c r="AA5" s="435"/>
      <c r="AB5" s="435"/>
      <c r="AC5" s="435" t="s">
        <v>11</v>
      </c>
      <c r="AD5" s="435"/>
      <c r="AE5" s="435"/>
      <c r="AF5" s="435"/>
      <c r="AG5" s="439"/>
    </row>
    <row r="6" spans="2:33" ht="87.75" customHeight="1">
      <c r="B6" s="444"/>
      <c r="C6" s="434"/>
      <c r="D6" s="434"/>
      <c r="E6" s="434"/>
      <c r="F6" s="434"/>
      <c r="G6" s="434"/>
      <c r="H6" s="434"/>
      <c r="I6" s="434"/>
      <c r="J6" s="434"/>
      <c r="K6" s="434"/>
      <c r="L6" s="437"/>
      <c r="M6" s="8" t="s">
        <v>4</v>
      </c>
      <c r="N6" s="7" t="s">
        <v>6</v>
      </c>
      <c r="O6" s="8" t="s">
        <v>5</v>
      </c>
      <c r="P6" s="7" t="s">
        <v>6</v>
      </c>
      <c r="Q6" s="8" t="s">
        <v>4</v>
      </c>
      <c r="R6" s="7" t="s">
        <v>6</v>
      </c>
      <c r="S6" s="8" t="s">
        <v>5</v>
      </c>
      <c r="T6" s="7" t="s">
        <v>6</v>
      </c>
      <c r="U6" s="8" t="s">
        <v>4</v>
      </c>
      <c r="V6" s="7" t="s">
        <v>6</v>
      </c>
      <c r="W6" s="8" t="s">
        <v>5</v>
      </c>
      <c r="X6" s="7" t="s">
        <v>6</v>
      </c>
      <c r="Y6" s="8" t="s">
        <v>4</v>
      </c>
      <c r="Z6" s="7" t="s">
        <v>6</v>
      </c>
      <c r="AA6" s="8" t="s">
        <v>5</v>
      </c>
      <c r="AB6" s="7" t="s">
        <v>6</v>
      </c>
      <c r="AC6" s="8" t="s">
        <v>4</v>
      </c>
      <c r="AD6" s="7" t="s">
        <v>6</v>
      </c>
      <c r="AE6" s="8" t="s">
        <v>5</v>
      </c>
      <c r="AF6" s="7" t="s">
        <v>6</v>
      </c>
      <c r="AG6" s="440"/>
    </row>
    <row r="7" spans="2:33" s="51" customFormat="1" ht="22.5" customHeight="1">
      <c r="B7" s="125" t="s">
        <v>39</v>
      </c>
      <c r="C7" s="49">
        <f>C8+C9+C10</f>
        <v>1379</v>
      </c>
      <c r="D7" s="49"/>
      <c r="E7" s="49">
        <f aca="true" t="shared" si="0" ref="E7:AE7">E8+E9+E10</f>
        <v>927915855.442636</v>
      </c>
      <c r="F7" s="49">
        <f t="shared" si="0"/>
        <v>558990455.469584</v>
      </c>
      <c r="G7" s="49">
        <f t="shared" si="0"/>
        <v>310771498.79999995</v>
      </c>
      <c r="H7" s="49">
        <f t="shared" si="0"/>
        <v>289429017.24399996</v>
      </c>
      <c r="I7" s="49">
        <f t="shared" si="0"/>
        <v>285997831.21</v>
      </c>
      <c r="J7" s="50">
        <f>I7/G7</f>
        <v>0.920283334586151</v>
      </c>
      <c r="K7" s="49">
        <f t="shared" si="0"/>
        <v>218877432.76000002</v>
      </c>
      <c r="L7" s="50">
        <f>K7/H7</f>
        <v>0.756238731154858</v>
      </c>
      <c r="M7" s="49">
        <f t="shared" si="0"/>
        <v>488602726.29081404</v>
      </c>
      <c r="N7" s="50">
        <f>M7/E7</f>
        <v>0.5265593032223164</v>
      </c>
      <c r="O7" s="49">
        <f t="shared" si="0"/>
        <v>294034297.77</v>
      </c>
      <c r="P7" s="50">
        <f>O7/F7</f>
        <v>0.5260095139245166</v>
      </c>
      <c r="Q7" s="49">
        <f t="shared" si="0"/>
        <v>761312231.0932411</v>
      </c>
      <c r="R7" s="50">
        <f>Q7/E7</f>
        <v>0.8204539524007579</v>
      </c>
      <c r="S7" s="49">
        <f t="shared" si="0"/>
        <v>451871644.026628</v>
      </c>
      <c r="T7" s="50">
        <f>S7/F7</f>
        <v>0.8083709473125619</v>
      </c>
      <c r="U7" s="49">
        <f t="shared" si="0"/>
        <v>854054587.214332</v>
      </c>
      <c r="V7" s="50">
        <f>U7/E7</f>
        <v>0.9204008986428294</v>
      </c>
      <c r="W7" s="49">
        <f t="shared" si="0"/>
        <v>509762369.97</v>
      </c>
      <c r="X7" s="50">
        <f>W7/F7</f>
        <v>0.911933942667716</v>
      </c>
      <c r="Y7" s="49">
        <f t="shared" si="0"/>
        <v>878697033.4780629</v>
      </c>
      <c r="Z7" s="50">
        <f>Y7/E7</f>
        <v>0.946957666823039</v>
      </c>
      <c r="AA7" s="49">
        <f t="shared" si="0"/>
        <v>497711137.18000007</v>
      </c>
      <c r="AB7" s="50">
        <f>AA7/F7</f>
        <v>0.89037501858935</v>
      </c>
      <c r="AC7" s="49">
        <f t="shared" si="0"/>
        <v>935580199.9487501</v>
      </c>
      <c r="AD7" s="50">
        <f>AC7/E7</f>
        <v>1.008259740860294</v>
      </c>
      <c r="AE7" s="49">
        <f t="shared" si="0"/>
        <v>563423203.4000001</v>
      </c>
      <c r="AF7" s="50">
        <f>AE7/F7</f>
        <v>1.0079299170263871</v>
      </c>
      <c r="AG7" s="398" t="s">
        <v>524</v>
      </c>
    </row>
    <row r="8" spans="2:33" s="10" customFormat="1" ht="66.75" customHeight="1">
      <c r="B8" s="11" t="s">
        <v>12</v>
      </c>
      <c r="C8" s="12">
        <f>'EM'!F7</f>
        <v>122</v>
      </c>
      <c r="D8" s="12"/>
      <c r="E8" s="12">
        <f>'EM'!H7</f>
        <v>76081225</v>
      </c>
      <c r="F8" s="12">
        <f>'EM'!I7</f>
        <v>47116751.4523</v>
      </c>
      <c r="G8" s="12">
        <f>'EM'!J7</f>
        <v>19626310.25</v>
      </c>
      <c r="H8" s="12">
        <f>'EM'!K7</f>
        <v>17479024.84</v>
      </c>
      <c r="I8" s="12">
        <f>'EM'!L7</f>
        <v>28568511.8</v>
      </c>
      <c r="J8" s="13">
        <f>'EM'!M7</f>
        <v>0.37550015526169567</v>
      </c>
      <c r="K8" s="12">
        <f>'EM'!N7</f>
        <v>15760258.100000001</v>
      </c>
      <c r="L8" s="13">
        <f>'EM'!O7</f>
        <v>0.3344937334220793</v>
      </c>
      <c r="M8" s="12">
        <f>'EM'!P7</f>
        <v>32011298.837503288</v>
      </c>
      <c r="N8" s="13">
        <f>'EM'!Q7</f>
        <v>0.420751622197241</v>
      </c>
      <c r="O8" s="12">
        <f>'EM'!R7</f>
        <v>18028630.11</v>
      </c>
      <c r="P8" s="13">
        <f>'EM'!S7</f>
        <v>0.3826373753345836</v>
      </c>
      <c r="Q8" s="12">
        <f>'EM'!T7</f>
        <v>44652688.154963605</v>
      </c>
      <c r="R8" s="13">
        <f>'EM'!U7</f>
        <v>0.586908112414904</v>
      </c>
      <c r="S8" s="12">
        <f>'EM'!V7</f>
        <v>25992705.380000003</v>
      </c>
      <c r="T8" s="13">
        <f>'EM'!W7</f>
        <v>0.551665906048605</v>
      </c>
      <c r="U8" s="12">
        <f>'EM'!X7</f>
        <v>51667631.31369376</v>
      </c>
      <c r="V8" s="13">
        <f>'EM'!Y7</f>
        <v>0.6791114537613421</v>
      </c>
      <c r="W8" s="12">
        <f>'EM'!Z7</f>
        <v>30412119.57</v>
      </c>
      <c r="X8" s="13">
        <f>'EM'!AA7</f>
        <v>0.6454629963355727</v>
      </c>
      <c r="Y8" s="12">
        <f>'EM'!AB7</f>
        <v>53078099.23432869</v>
      </c>
      <c r="Z8" s="13">
        <f>'EM'!AC7</f>
        <v>0.6976504286613247</v>
      </c>
      <c r="AA8" s="12">
        <f>'EM'!AD7</f>
        <v>31410406.78</v>
      </c>
      <c r="AB8" s="13">
        <f>'EM'!AE7</f>
        <v>0.6666505183787815</v>
      </c>
      <c r="AC8" s="12">
        <f>'EM'!AF7</f>
        <v>76081225</v>
      </c>
      <c r="AD8" s="13">
        <f>'EM'!AG7</f>
        <v>1</v>
      </c>
      <c r="AE8" s="12">
        <f>'EM'!AH7</f>
        <v>47116751</v>
      </c>
      <c r="AF8" s="13">
        <f>'EM'!AI7</f>
        <v>0.9999999904004419</v>
      </c>
      <c r="AG8" s="398" t="s">
        <v>524</v>
      </c>
    </row>
    <row r="9" spans="2:33" s="10" customFormat="1" ht="53.25" customHeight="1">
      <c r="B9" s="11" t="s">
        <v>14</v>
      </c>
      <c r="C9" s="12">
        <f>'EM'!F12</f>
        <v>1197</v>
      </c>
      <c r="D9" s="12"/>
      <c r="E9" s="12">
        <f>'EM'!H12</f>
        <v>698442431.442636</v>
      </c>
      <c r="F9" s="12">
        <f>'EM'!I12</f>
        <v>435177604.13728404</v>
      </c>
      <c r="G9" s="12">
        <f>'EM'!J12</f>
        <v>273559906.54999995</v>
      </c>
      <c r="H9" s="12">
        <f>'EM'!K12</f>
        <v>254364710.40399998</v>
      </c>
      <c r="I9" s="12">
        <f>'EM'!L12</f>
        <v>246816164.33</v>
      </c>
      <c r="J9" s="13">
        <f>'EM'!M12</f>
        <v>0.35338082742224025</v>
      </c>
      <c r="K9" s="12">
        <f>'EM'!N12</f>
        <v>196530609.76000002</v>
      </c>
      <c r="L9" s="13">
        <f>'EM'!O12</f>
        <v>0.45161011938932677</v>
      </c>
      <c r="M9" s="12">
        <f>'EM'!P12</f>
        <v>419589209.6533107</v>
      </c>
      <c r="N9" s="13">
        <f>'EM'!Q12</f>
        <v>0.6007498839763319</v>
      </c>
      <c r="O9" s="12">
        <f>'EM'!R12</f>
        <v>257504558.76000002</v>
      </c>
      <c r="P9" s="13">
        <f>'EM'!S12</f>
        <v>0.5917229110870464</v>
      </c>
      <c r="Q9" s="12">
        <f>'EM'!T12</f>
        <v>594336019.3182775</v>
      </c>
      <c r="R9" s="13">
        <f>'EM'!U12</f>
        <v>0.850944891894202</v>
      </c>
      <c r="S9" s="12">
        <f>'EM'!V12</f>
        <v>364717176.956628</v>
      </c>
      <c r="T9" s="13">
        <f>'EM'!W12</f>
        <v>0.8380881127365458</v>
      </c>
      <c r="U9" s="12">
        <f>'EM'!X12</f>
        <v>648994756.9006382</v>
      </c>
      <c r="V9" s="13">
        <f>'EM'!Y12</f>
        <v>0.9292029345355445</v>
      </c>
      <c r="W9" s="12">
        <f>'EM'!Z12</f>
        <v>402654150.52000004</v>
      </c>
      <c r="X9" s="13">
        <f>'EM'!AA12</f>
        <v>0.9252639535948547</v>
      </c>
      <c r="Y9" s="12">
        <f>'EM'!AB12</f>
        <v>672226735.2437341</v>
      </c>
      <c r="Z9" s="13">
        <f>'EM'!AC12</f>
        <v>0.9624654874636507</v>
      </c>
      <c r="AA9" s="12">
        <f>'EM'!AD12</f>
        <v>389604630.52000004</v>
      </c>
      <c r="AB9" s="13">
        <f>'EM'!AE12</f>
        <v>0.8952773001551173</v>
      </c>
      <c r="AC9" s="12">
        <f>'EM'!AF12</f>
        <v>706106775.9487501</v>
      </c>
      <c r="AD9" s="13">
        <f>'EM'!AG12</f>
        <v>1.0109734806493405</v>
      </c>
      <c r="AE9" s="12">
        <f>'EM'!AH12</f>
        <v>439610352.52000004</v>
      </c>
      <c r="AF9" s="13">
        <f>'EM'!AI12</f>
        <v>1.0101860673448573</v>
      </c>
      <c r="AG9" s="398" t="s">
        <v>524</v>
      </c>
    </row>
    <row r="10" spans="2:33" s="10" customFormat="1" ht="50.25" customHeight="1">
      <c r="B10" s="11" t="s">
        <v>36</v>
      </c>
      <c r="C10" s="12">
        <f>'EM'!F32</f>
        <v>60</v>
      </c>
      <c r="D10" s="12"/>
      <c r="E10" s="12">
        <f>'EM'!H33</f>
        <v>153392199</v>
      </c>
      <c r="F10" s="12">
        <f>'EM'!I33</f>
        <v>76696099.88</v>
      </c>
      <c r="G10" s="12">
        <f>'EM'!J33</f>
        <v>17585282</v>
      </c>
      <c r="H10" s="12">
        <f>'EM'!K33</f>
        <v>17585282</v>
      </c>
      <c r="I10" s="12">
        <f>'EM'!L33</f>
        <v>10613155.08</v>
      </c>
      <c r="J10" s="13">
        <f>'EM'!M33</f>
        <v>0.0691896664184337</v>
      </c>
      <c r="K10" s="12">
        <f>'EM'!N33</f>
        <v>6586564.9</v>
      </c>
      <c r="L10" s="13">
        <f>'EM'!O33</f>
        <v>0.0858787462505323</v>
      </c>
      <c r="M10" s="12">
        <f>'EM'!P33</f>
        <v>37002217.8</v>
      </c>
      <c r="N10" s="13">
        <f>'EM'!Q33</f>
        <v>0.24122620342642065</v>
      </c>
      <c r="O10" s="12">
        <f>'EM'!R33</f>
        <v>18501108.9</v>
      </c>
      <c r="P10" s="13">
        <f>'EM'!S33</f>
        <v>0.24122620223123659</v>
      </c>
      <c r="Q10" s="12">
        <f>'EM'!T33</f>
        <v>122323523.62</v>
      </c>
      <c r="R10" s="13">
        <f>'EM'!U33</f>
        <v>0.797455962020598</v>
      </c>
      <c r="S10" s="12">
        <f>'EM'!V33</f>
        <v>61161761.690000005</v>
      </c>
      <c r="T10" s="13">
        <f>'EM'!W33</f>
        <v>0.7974559565048904</v>
      </c>
      <c r="U10" s="12">
        <f>'EM'!X33</f>
        <v>153392199</v>
      </c>
      <c r="V10" s="13">
        <f>'EM'!Y33</f>
        <v>1</v>
      </c>
      <c r="W10" s="12">
        <f>'EM'!Z33</f>
        <v>76696099.88</v>
      </c>
      <c r="X10" s="13">
        <f>'EM'!AA33</f>
        <v>1</v>
      </c>
      <c r="Y10" s="12">
        <f>'EM'!AB33</f>
        <v>153392199</v>
      </c>
      <c r="Z10" s="13">
        <f>'EM'!AC33</f>
        <v>1</v>
      </c>
      <c r="AA10" s="12">
        <f>'EM'!AD33</f>
        <v>76696099.88</v>
      </c>
      <c r="AB10" s="13">
        <f>'EM'!AE33</f>
        <v>1</v>
      </c>
      <c r="AC10" s="12">
        <f>'EM'!AF33</f>
        <v>153392199</v>
      </c>
      <c r="AD10" s="13">
        <f>'EM'!AG33</f>
        <v>1</v>
      </c>
      <c r="AE10" s="12">
        <f>'EM'!AH33</f>
        <v>76696099.88</v>
      </c>
      <c r="AF10" s="13">
        <f>'EM'!AI33</f>
        <v>1</v>
      </c>
      <c r="AG10" s="398" t="s">
        <v>524</v>
      </c>
    </row>
    <row r="11" spans="2:33" s="51" customFormat="1" ht="36.75" customHeight="1">
      <c r="B11" s="136" t="s">
        <v>84</v>
      </c>
      <c r="C11" s="49">
        <f>IZM!E7</f>
        <v>680</v>
      </c>
      <c r="D11" s="49"/>
      <c r="E11" s="49">
        <f>IZM!G7</f>
        <v>590089976.945128</v>
      </c>
      <c r="F11" s="49">
        <f>IZM!H7</f>
        <v>507852856.658164</v>
      </c>
      <c r="G11" s="49">
        <f>IZM!I7</f>
        <v>276247844.90000004</v>
      </c>
      <c r="H11" s="49">
        <f>IZM!J7</f>
        <v>244884055.69219404</v>
      </c>
      <c r="I11" s="49">
        <f>IZM!L7</f>
        <v>145731171.31</v>
      </c>
      <c r="J11" s="50">
        <f>IZM!M7</f>
        <v>0.24696432239782212</v>
      </c>
      <c r="K11" s="49">
        <f>IZM!N7</f>
        <v>131318355.93</v>
      </c>
      <c r="L11" s="50">
        <f>IZM!O7</f>
        <v>0.258575597652669</v>
      </c>
      <c r="M11" s="49">
        <f>IZM!P7</f>
        <v>242077567.49192196</v>
      </c>
      <c r="N11" s="50">
        <f>IZM!Q7</f>
        <v>0.41023839914236093</v>
      </c>
      <c r="O11" s="49">
        <f>IZM!R7</f>
        <v>212163394.66000003</v>
      </c>
      <c r="P11" s="50">
        <f>IZM!S7</f>
        <v>0.4177654843887337</v>
      </c>
      <c r="Q11" s="49">
        <f>IZM!T7</f>
        <v>390768742.7586452</v>
      </c>
      <c r="R11" s="50">
        <f>IZM!U7</f>
        <v>0.6622189124133903</v>
      </c>
      <c r="S11" s="49">
        <f>IZM!V7</f>
        <v>342059015.43502</v>
      </c>
      <c r="T11" s="50">
        <f>IZM!W7</f>
        <v>0.6735396108350732</v>
      </c>
      <c r="U11" s="49">
        <f>IZM!X7</f>
        <v>491791630.3548841</v>
      </c>
      <c r="V11" s="50">
        <f>IZM!Y7</f>
        <v>0.8334180371964112</v>
      </c>
      <c r="W11" s="49">
        <f>IZM!Z7</f>
        <v>427395850.03502</v>
      </c>
      <c r="X11" s="50">
        <f>IZM!AA7</f>
        <v>0.8415741773068343</v>
      </c>
      <c r="Y11" s="49">
        <f>IZM!AB7</f>
        <v>565721129.9102552</v>
      </c>
      <c r="Z11" s="50">
        <f>IZM!AC7</f>
        <v>0.9587031673355488</v>
      </c>
      <c r="AA11" s="49">
        <f>IZM!AD7</f>
        <v>487698844.3901481</v>
      </c>
      <c r="AB11" s="50">
        <f>IZM!AE7</f>
        <v>0.9603152527276585</v>
      </c>
      <c r="AC11" s="49">
        <f>IZM!AF7</f>
        <v>590089976.8698338</v>
      </c>
      <c r="AD11" s="50">
        <f>IZM!AG7</f>
        <v>0.9999999998724023</v>
      </c>
      <c r="AE11" s="49">
        <f>IZM!AH7</f>
        <v>507852855.95014805</v>
      </c>
      <c r="AF11" s="50">
        <f>IZM!AI7</f>
        <v>0.999999998605864</v>
      </c>
      <c r="AG11" s="398" t="s">
        <v>525</v>
      </c>
    </row>
    <row r="12" spans="2:33" s="10" customFormat="1" ht="57" customHeight="1">
      <c r="B12" s="11" t="s">
        <v>12</v>
      </c>
      <c r="C12" s="12">
        <f>IZM!E8</f>
        <v>140</v>
      </c>
      <c r="D12" s="12"/>
      <c r="E12" s="12">
        <f>IZM!G8</f>
        <v>188834929</v>
      </c>
      <c r="F12" s="12">
        <f>IZM!H8</f>
        <v>166495473.00814</v>
      </c>
      <c r="G12" s="12">
        <f>IZM!I8</f>
        <v>127940818.88000001</v>
      </c>
      <c r="H12" s="12">
        <f>IZM!J8</f>
        <v>112016251.45939402</v>
      </c>
      <c r="I12" s="12">
        <f>IZM!L8</f>
        <v>72430502.00999999</v>
      </c>
      <c r="J12" s="13">
        <f>IZM!M8</f>
        <v>0.3835651719391384</v>
      </c>
      <c r="K12" s="12">
        <f>IZM!N8</f>
        <v>63458902.33</v>
      </c>
      <c r="L12" s="13">
        <f>IZM!O8</f>
        <v>0.3811449115310029</v>
      </c>
      <c r="M12" s="12">
        <f>IZM!P8</f>
        <v>110303266.01699452</v>
      </c>
      <c r="N12" s="13">
        <f>IZM!Q8</f>
        <v>0.5841253342330248</v>
      </c>
      <c r="O12" s="12">
        <f>IZM!R8</f>
        <v>96594927.48</v>
      </c>
      <c r="P12" s="13">
        <f>IZM!S8</f>
        <v>0.5801654887954669</v>
      </c>
      <c r="Q12" s="12">
        <f>IZM!T8</f>
        <v>158128082.1960076</v>
      </c>
      <c r="R12" s="13">
        <f>IZM!U8</f>
        <v>0.8373878870471448</v>
      </c>
      <c r="S12" s="12">
        <f>IZM!V8</f>
        <v>139007919.19000003</v>
      </c>
      <c r="T12" s="13">
        <f>IZM!W8</f>
        <v>0.8349050978893816</v>
      </c>
      <c r="U12" s="12">
        <f>IZM!X8</f>
        <v>181013793.63954008</v>
      </c>
      <c r="V12" s="13">
        <f>IZM!Y8</f>
        <v>0.9585821574330673</v>
      </c>
      <c r="W12" s="12">
        <f>IZM!Z8</f>
        <v>159248593.55</v>
      </c>
      <c r="X12" s="13">
        <f>IZM!AA8</f>
        <v>0.9564740150154972</v>
      </c>
      <c r="Y12" s="12">
        <f>IZM!AB8</f>
        <v>186317732.1028198</v>
      </c>
      <c r="Z12" s="13">
        <f>IZM!AC8</f>
        <v>0.9866698554631267</v>
      </c>
      <c r="AA12" s="12">
        <f>IZM!AD8</f>
        <v>164119814.96000004</v>
      </c>
      <c r="AB12" s="13">
        <f>IZM!AE8</f>
        <v>0.9857313955435665</v>
      </c>
      <c r="AC12" s="12">
        <f>IZM!AF8</f>
        <v>188834929.09470588</v>
      </c>
      <c r="AD12" s="13">
        <f>IZM!AG8</f>
        <v>1.0000000005015273</v>
      </c>
      <c r="AE12" s="12">
        <f>IZM!AH8</f>
        <v>166495472.78000003</v>
      </c>
      <c r="AF12" s="13">
        <f>IZM!AI8</f>
        <v>0.9999999986297528</v>
      </c>
      <c r="AG12" s="398" t="s">
        <v>525</v>
      </c>
    </row>
    <row r="13" spans="2:33" s="10" customFormat="1" ht="60" customHeight="1">
      <c r="B13" s="11" t="s">
        <v>14</v>
      </c>
      <c r="C13" s="12">
        <f>IZM!E9</f>
        <v>540</v>
      </c>
      <c r="D13" s="12"/>
      <c r="E13" s="12">
        <f>IZM!G9</f>
        <v>401255047.945128</v>
      </c>
      <c r="F13" s="12">
        <f>IZM!H9</f>
        <v>341357383.650024</v>
      </c>
      <c r="G13" s="12">
        <f>IZM!I9</f>
        <v>148307026.02</v>
      </c>
      <c r="H13" s="12">
        <f>IZM!J9</f>
        <v>132867804.2328</v>
      </c>
      <c r="I13" s="12">
        <f>IZM!L9</f>
        <v>73300669.3</v>
      </c>
      <c r="J13" s="13">
        <f>IZM!M9</f>
        <v>0.182678497567522</v>
      </c>
      <c r="K13" s="12">
        <f>IZM!N9</f>
        <v>67859453.6</v>
      </c>
      <c r="L13" s="13">
        <f>IZM!O9</f>
        <v>0.1987929860324122</v>
      </c>
      <c r="M13" s="12">
        <f>IZM!P9</f>
        <v>131774301.47492741</v>
      </c>
      <c r="N13" s="13">
        <f>IZM!Q9</f>
        <v>0.32840534256144155</v>
      </c>
      <c r="O13" s="12">
        <f>IZM!R9</f>
        <v>115568467.17999999</v>
      </c>
      <c r="P13" s="13">
        <f>IZM!S9</f>
        <v>0.33855563909080794</v>
      </c>
      <c r="Q13" s="12">
        <f>IZM!T9</f>
        <v>232640660.56263757</v>
      </c>
      <c r="R13" s="13">
        <f>IZM!U9</f>
        <v>0.579782514273693</v>
      </c>
      <c r="S13" s="12">
        <f>IZM!V9</f>
        <v>203051096.24502</v>
      </c>
      <c r="T13" s="13">
        <f>IZM!W9</f>
        <v>0.5948343465545124</v>
      </c>
      <c r="U13" s="12">
        <f>IZM!X9</f>
        <v>310777836.715344</v>
      </c>
      <c r="V13" s="13">
        <f>IZM!Y9</f>
        <v>0.7745144598351399</v>
      </c>
      <c r="W13" s="12">
        <f>IZM!Z9</f>
        <v>268147256.48501998</v>
      </c>
      <c r="X13" s="13">
        <f>IZM!AA9</f>
        <v>0.7855323169453907</v>
      </c>
      <c r="Y13" s="12">
        <f>IZM!AB9</f>
        <v>379403397.80743545</v>
      </c>
      <c r="Z13" s="13">
        <f>IZM!AC9</f>
        <v>0.9455417439616092</v>
      </c>
      <c r="AA13" s="12">
        <f>IZM!AD9</f>
        <v>323579029.430148</v>
      </c>
      <c r="AB13" s="13">
        <f>IZM!AE9</f>
        <v>0.947918647518979</v>
      </c>
      <c r="AC13" s="12">
        <f>IZM!AF9</f>
        <v>401255047.775128</v>
      </c>
      <c r="AD13" s="13">
        <f>IZM!AG9</f>
        <v>0.9999999995763292</v>
      </c>
      <c r="AE13" s="12">
        <f>IZM!AH9</f>
        <v>341357383.170148</v>
      </c>
      <c r="AF13" s="13">
        <f>IZM!AI9</f>
        <v>0.9999999985942124</v>
      </c>
      <c r="AG13" s="398" t="s">
        <v>525</v>
      </c>
    </row>
    <row r="14" spans="2:33" s="51" customFormat="1" ht="35.25" customHeight="1">
      <c r="B14" s="125" t="s">
        <v>236</v>
      </c>
      <c r="C14" s="49">
        <f>KM!E10</f>
        <v>12</v>
      </c>
      <c r="D14" s="49">
        <f>KM!F10</f>
        <v>0</v>
      </c>
      <c r="E14" s="49">
        <f>KM!G10</f>
        <v>31100253</v>
      </c>
      <c r="F14" s="49">
        <f>KM!H10</f>
        <v>25335213</v>
      </c>
      <c r="G14" s="49">
        <f>KM!I10</f>
        <v>7062696</v>
      </c>
      <c r="H14" s="49">
        <f>KM!J10</f>
        <v>6758436</v>
      </c>
      <c r="I14" s="49">
        <f>KM!K10</f>
        <v>525739.5900000001</v>
      </c>
      <c r="J14" s="50">
        <f>KM!L10</f>
        <v>0.016904672447519965</v>
      </c>
      <c r="K14" s="49">
        <f>KM!M10</f>
        <v>2471776.69</v>
      </c>
      <c r="L14" s="50">
        <f>KM!N10</f>
        <v>0.09756289359004007</v>
      </c>
      <c r="M14" s="49">
        <f>KM!O10</f>
        <v>8742789.253731344</v>
      </c>
      <c r="N14" s="50">
        <f>KM!P10</f>
        <v>0.28111633862693475</v>
      </c>
      <c r="O14" s="49">
        <f>KM!Q10</f>
        <v>7197596</v>
      </c>
      <c r="P14" s="50">
        <f>KM!R10</f>
        <v>0.2840945525107683</v>
      </c>
      <c r="Q14" s="49">
        <f>KM!S10</f>
        <v>26310358.950834066</v>
      </c>
      <c r="R14" s="50">
        <f>KM!T10</f>
        <v>0.8459853670911959</v>
      </c>
      <c r="S14" s="49">
        <f>KM!U10</f>
        <v>12677391</v>
      </c>
      <c r="T14" s="50">
        <f>KM!V10</f>
        <v>0.500386201608015</v>
      </c>
      <c r="U14" s="49">
        <f>KM!W10</f>
        <v>31100253</v>
      </c>
      <c r="V14" s="50">
        <f>KM!X10</f>
        <v>1</v>
      </c>
      <c r="W14" s="49">
        <f>KM!Y10</f>
        <v>19334995</v>
      </c>
      <c r="X14" s="50">
        <f>KM!Z10</f>
        <v>0.7631668618692884</v>
      </c>
      <c r="Y14" s="49">
        <f>KM!AA10</f>
        <v>31100253</v>
      </c>
      <c r="Z14" s="50">
        <f>KM!AB10</f>
        <v>1</v>
      </c>
      <c r="AA14" s="49">
        <f>KM!AC10</f>
        <v>25335213</v>
      </c>
      <c r="AB14" s="50">
        <f>KM!AD10</f>
        <v>1</v>
      </c>
      <c r="AC14" s="49">
        <f>KM!AE10</f>
        <v>31100253</v>
      </c>
      <c r="AD14" s="50">
        <f>KM!AF10</f>
        <v>1</v>
      </c>
      <c r="AE14" s="49">
        <f>KM!AG10</f>
        <v>25335213</v>
      </c>
      <c r="AF14" s="50">
        <f>KM!AH10</f>
        <v>1</v>
      </c>
      <c r="AG14" s="398" t="s">
        <v>526</v>
      </c>
    </row>
    <row r="15" spans="2:33" s="51" customFormat="1" ht="35.25" customHeight="1">
      <c r="B15" s="125" t="s">
        <v>147</v>
      </c>
      <c r="C15" s="49">
        <f>C16+C17</f>
        <v>71</v>
      </c>
      <c r="D15" s="49"/>
      <c r="E15" s="49">
        <f>LM!H28</f>
        <v>174751625</v>
      </c>
      <c r="F15" s="49">
        <f>LM!I28</f>
        <v>157266895</v>
      </c>
      <c r="G15" s="49">
        <f>LM!J28</f>
        <v>148489769.69000003</v>
      </c>
      <c r="H15" s="49">
        <f>LM!K28</f>
        <v>132625684.56849998</v>
      </c>
      <c r="I15" s="49">
        <f>LM!L28</f>
        <v>101931301.07</v>
      </c>
      <c r="J15" s="50">
        <f>LM!M28</f>
        <v>0.5832924361647567</v>
      </c>
      <c r="K15" s="49">
        <f>LM!N28</f>
        <v>77733856.36</v>
      </c>
      <c r="L15" s="50">
        <f>LM!O28</f>
        <v>0.4942798442100609</v>
      </c>
      <c r="M15" s="49">
        <f>LM!P28</f>
        <v>124070168.73424637</v>
      </c>
      <c r="N15" s="50">
        <f>LM!Q28</f>
        <v>0.709980057319904</v>
      </c>
      <c r="O15" s="49">
        <f>LM!R28</f>
        <v>98599806.38000001</v>
      </c>
      <c r="P15" s="50">
        <f>LM!S28</f>
        <v>0.6269584350857821</v>
      </c>
      <c r="Q15" s="49">
        <f>LM!T28</f>
        <v>161525740.6717564</v>
      </c>
      <c r="R15" s="50">
        <f>LM!U28</f>
        <v>0.9243161010477379</v>
      </c>
      <c r="S15" s="49">
        <f>LM!V28</f>
        <v>145020617.13</v>
      </c>
      <c r="T15" s="50">
        <f>LM!W28</f>
        <v>0.922130605617921</v>
      </c>
      <c r="U15" s="49">
        <f>LM!X28</f>
        <v>175391093.4715913</v>
      </c>
      <c r="V15" s="50">
        <f>LM!Y28</f>
        <v>1.003659299142948</v>
      </c>
      <c r="W15" s="49">
        <f>LM!Z28</f>
        <v>158275501.32</v>
      </c>
      <c r="X15" s="50">
        <f>LM!AA28</f>
        <v>1.0064133415999597</v>
      </c>
      <c r="Y15" s="49">
        <f>LM!AB28</f>
        <v>173696087.5136363</v>
      </c>
      <c r="Z15" s="50">
        <f>LM!AC28</f>
        <v>0.9939597844291078</v>
      </c>
      <c r="AA15" s="49">
        <f>LM!AD28</f>
        <v>161646292.98999998</v>
      </c>
      <c r="AB15" s="50">
        <f>LM!AE28</f>
        <v>1.0278469158432866</v>
      </c>
      <c r="AC15" s="49">
        <f>LM!AF28</f>
        <v>174751625</v>
      </c>
      <c r="AD15" s="50">
        <f>LM!AG28</f>
        <v>1</v>
      </c>
      <c r="AE15" s="49">
        <f>LM!AH28</f>
        <v>157349139.1</v>
      </c>
      <c r="AF15" s="50">
        <f>LM!AI28</f>
        <v>1.0005229587574676</v>
      </c>
      <c r="AG15" s="398" t="s">
        <v>527</v>
      </c>
    </row>
    <row r="16" spans="2:33" s="10" customFormat="1" ht="22.5" customHeight="1">
      <c r="B16" s="11" t="s">
        <v>12</v>
      </c>
      <c r="C16" s="12">
        <v>60</v>
      </c>
      <c r="D16" s="12"/>
      <c r="E16" s="12">
        <f>LM!H20</f>
        <v>162729252</v>
      </c>
      <c r="F16" s="12">
        <f>LM!I20</f>
        <v>147047877</v>
      </c>
      <c r="G16" s="12">
        <f>LM!J20</f>
        <v>138732757.48000002</v>
      </c>
      <c r="H16" s="12">
        <f>LM!K20</f>
        <v>124332224.25999998</v>
      </c>
      <c r="I16" s="12">
        <f>LM!L20</f>
        <v>96935958.3</v>
      </c>
      <c r="J16" s="13">
        <f>LM!M20</f>
        <v>0.5956885876916586</v>
      </c>
      <c r="K16" s="12">
        <f>LM!N20</f>
        <v>72847410.61</v>
      </c>
      <c r="L16" s="13">
        <f>LM!O20</f>
        <v>0.4953992678860641</v>
      </c>
      <c r="M16" s="12">
        <f>LM!P20</f>
        <v>115785973.90012872</v>
      </c>
      <c r="N16" s="13">
        <f>LM!Q20</f>
        <v>0.7115252634488157</v>
      </c>
      <c r="O16" s="12">
        <f>LM!R20</f>
        <v>91236253.4</v>
      </c>
      <c r="P16" s="13">
        <f>LM!S20</f>
        <v>0.6204527073859081</v>
      </c>
      <c r="Q16" s="12">
        <f>LM!T20</f>
        <v>149778964.3423446</v>
      </c>
      <c r="R16" s="13">
        <f>LM!U20</f>
        <v>0.9204181946485234</v>
      </c>
      <c r="S16" s="12">
        <f>LM!V20</f>
        <v>135035925.4</v>
      </c>
      <c r="T16" s="13">
        <f>LM!W20</f>
        <v>0.9183126486076368</v>
      </c>
      <c r="U16" s="12">
        <f>LM!X20</f>
        <v>163368720.4715913</v>
      </c>
      <c r="V16" s="13">
        <f>LM!Y20</f>
        <v>1.0039296467213608</v>
      </c>
      <c r="W16" s="12">
        <f>LM!Z20</f>
        <v>148056551.32</v>
      </c>
      <c r="X16" s="13">
        <f>LM!AA20</f>
        <v>1.006859495972186</v>
      </c>
      <c r="Y16" s="12">
        <f>LM!AB20</f>
        <v>166714417.71363628</v>
      </c>
      <c r="Z16" s="13">
        <f>LM!AC20</f>
        <v>1.0244895472980868</v>
      </c>
      <c r="AA16" s="12">
        <f>LM!AD20</f>
        <v>151427342.98999998</v>
      </c>
      <c r="AB16" s="13">
        <f>LM!AE20</f>
        <v>1.0297825856404577</v>
      </c>
      <c r="AC16" s="12">
        <f>LM!AF20</f>
        <v>162729252</v>
      </c>
      <c r="AD16" s="13">
        <f>LM!AG20</f>
        <v>1</v>
      </c>
      <c r="AE16" s="12">
        <f>LM!AH20</f>
        <v>147130121.1</v>
      </c>
      <c r="AF16" s="13">
        <f>LM!AI20</f>
        <v>1.000559301512391</v>
      </c>
      <c r="AG16" s="398" t="s">
        <v>527</v>
      </c>
    </row>
    <row r="17" spans="2:33" s="10" customFormat="1" ht="51" customHeight="1">
      <c r="B17" s="11" t="s">
        <v>14</v>
      </c>
      <c r="C17" s="12">
        <v>11</v>
      </c>
      <c r="D17" s="12"/>
      <c r="E17" s="12">
        <f>LM!H27</f>
        <v>12022373</v>
      </c>
      <c r="F17" s="12">
        <f>LM!I27</f>
        <v>10219018</v>
      </c>
      <c r="G17" s="12">
        <f>LM!J27</f>
        <v>9757012.21</v>
      </c>
      <c r="H17" s="12">
        <f>LM!K27</f>
        <v>8293460.3085</v>
      </c>
      <c r="I17" s="12">
        <f>LM!L27</f>
        <v>4995342.77</v>
      </c>
      <c r="J17" s="13">
        <f>LM!M27</f>
        <v>0.4155038917857564</v>
      </c>
      <c r="K17" s="12">
        <f>LM!N27</f>
        <v>4886445.75</v>
      </c>
      <c r="L17" s="13">
        <f>LM!O27</f>
        <v>0.47817175290228475</v>
      </c>
      <c r="M17" s="12">
        <f>LM!P27</f>
        <v>8284194.834117647</v>
      </c>
      <c r="N17" s="13">
        <f>LM!Q27</f>
        <v>0.6890648654901697</v>
      </c>
      <c r="O17" s="12">
        <f>LM!R27</f>
        <v>7363552.98</v>
      </c>
      <c r="P17" s="13">
        <f>LM!S27</f>
        <v>0.7205734425754021</v>
      </c>
      <c r="Q17" s="12">
        <f>LM!T27</f>
        <v>11746776.329411764</v>
      </c>
      <c r="R17" s="13">
        <f>LM!U27</f>
        <v>0.9770763500193983</v>
      </c>
      <c r="S17" s="12">
        <f>LM!V27</f>
        <v>9984691.73</v>
      </c>
      <c r="T17" s="13">
        <f>LM!W27</f>
        <v>0.9770695902482999</v>
      </c>
      <c r="U17" s="12">
        <f>LM!X27</f>
        <v>12022373</v>
      </c>
      <c r="V17" s="13">
        <f>LM!Y27</f>
        <v>1</v>
      </c>
      <c r="W17" s="12">
        <f>LM!Z27</f>
        <v>10218950</v>
      </c>
      <c r="X17" s="13">
        <f>LM!AA27</f>
        <v>0.9999933457402659</v>
      </c>
      <c r="Y17" s="12">
        <f>LM!AB27</f>
        <v>6981669.8</v>
      </c>
      <c r="Z17" s="13">
        <f>LM!AC27</f>
        <v>0.5807231068275789</v>
      </c>
      <c r="AA17" s="12">
        <f>LM!AD27</f>
        <v>10218950</v>
      </c>
      <c r="AB17" s="13">
        <f>LM!AE27</f>
        <v>0.9999933457402659</v>
      </c>
      <c r="AC17" s="12">
        <f>LM!AF27</f>
        <v>12022373</v>
      </c>
      <c r="AD17" s="13">
        <f>LM!AG27</f>
        <v>1</v>
      </c>
      <c r="AE17" s="12">
        <f>LM!AH27</f>
        <v>10219018</v>
      </c>
      <c r="AF17" s="13">
        <f>LM!AI27</f>
        <v>1</v>
      </c>
      <c r="AG17" s="398" t="s">
        <v>527</v>
      </c>
    </row>
    <row r="18" spans="2:33" s="51" customFormat="1" ht="35.25" customHeight="1">
      <c r="B18" s="136" t="s">
        <v>212</v>
      </c>
      <c r="C18" s="49">
        <f>SM!E26</f>
        <v>201</v>
      </c>
      <c r="D18" s="49"/>
      <c r="E18" s="49">
        <f>SM!G26</f>
        <v>985443431.1764705</v>
      </c>
      <c r="F18" s="49">
        <f>SM!H26</f>
        <v>838782329</v>
      </c>
      <c r="G18" s="49">
        <f>SM!I26</f>
        <v>371935632</v>
      </c>
      <c r="H18" s="49">
        <f>SM!J26</f>
        <v>338535608</v>
      </c>
      <c r="I18" s="49">
        <f>SM!K26</f>
        <v>172658920.64000002</v>
      </c>
      <c r="J18" s="50">
        <f>SM!L26</f>
        <v>0.17520936786180752</v>
      </c>
      <c r="K18" s="49">
        <f>SM!M26</f>
        <v>154953846.07</v>
      </c>
      <c r="L18" s="50">
        <f>SM!N26</f>
        <v>0.18473666017110382</v>
      </c>
      <c r="M18" s="49">
        <f>SM!O26</f>
        <v>392834554.55294114</v>
      </c>
      <c r="N18" s="50">
        <f>SM!P26</f>
        <v>0.3986373465232358</v>
      </c>
      <c r="O18" s="49">
        <f>SM!Q26</f>
        <v>334486352.12</v>
      </c>
      <c r="P18" s="50">
        <f>SM!R26</f>
        <v>0.39877610740652597</v>
      </c>
      <c r="Q18" s="49">
        <f>SM!S26</f>
        <v>592829208.3764706</v>
      </c>
      <c r="R18" s="50">
        <f>SM!T26</f>
        <v>0.6015862398805806</v>
      </c>
      <c r="S18" s="49">
        <f>SM!U26</f>
        <v>503904827.12</v>
      </c>
      <c r="T18" s="50">
        <f>SM!V26</f>
        <v>0.6007575621207442</v>
      </c>
      <c r="U18" s="49">
        <f>SM!W26</f>
        <v>826331707.0823529</v>
      </c>
      <c r="V18" s="50">
        <f>SM!X26</f>
        <v>0.8385379423513308</v>
      </c>
      <c r="W18" s="49">
        <f>SM!Y26</f>
        <v>703537364.12</v>
      </c>
      <c r="X18" s="50">
        <f>SM!Z26</f>
        <v>0.8387603550956544</v>
      </c>
      <c r="Y18" s="49">
        <f>SM!AA26</f>
        <v>952735236.2117647</v>
      </c>
      <c r="Z18" s="50">
        <f>SM!AB26</f>
        <v>0.9668086529069891</v>
      </c>
      <c r="AA18" s="49">
        <f>SM!AC26</f>
        <v>811820926.48</v>
      </c>
      <c r="AB18" s="50">
        <f>SM!AD26</f>
        <v>0.9678564967479185</v>
      </c>
      <c r="AC18" s="49">
        <f>SM!AE26</f>
        <v>985443430.2117646</v>
      </c>
      <c r="AD18" s="50">
        <f>SM!AF26</f>
        <v>0.9999999990210439</v>
      </c>
      <c r="AE18" s="49">
        <f>SM!AG26</f>
        <v>838782328.8</v>
      </c>
      <c r="AF18" s="50">
        <f>SM!AH26</f>
        <v>0.9999999997615591</v>
      </c>
      <c r="AG18" s="398"/>
    </row>
    <row r="19" spans="2:33" s="10" customFormat="1" ht="27.75" customHeight="1">
      <c r="B19" s="11" t="s">
        <v>14</v>
      </c>
      <c r="C19" s="12">
        <f>SM!E24</f>
        <v>168</v>
      </c>
      <c r="D19" s="12"/>
      <c r="E19" s="12">
        <f>SM!G24</f>
        <v>289901917</v>
      </c>
      <c r="F19" s="12">
        <f>SM!H24</f>
        <v>247572043</v>
      </c>
      <c r="G19" s="12">
        <f>SM!I24</f>
        <v>105334517</v>
      </c>
      <c r="H19" s="12">
        <f>SM!J24</f>
        <v>96225791.35</v>
      </c>
      <c r="I19" s="12">
        <f>SM!K24</f>
        <v>27635382.080000002</v>
      </c>
      <c r="J19" s="13">
        <f>SM!L24</f>
        <v>0.09532666208619794</v>
      </c>
      <c r="K19" s="12">
        <f>SM!M24</f>
        <v>25069008.669999998</v>
      </c>
      <c r="L19" s="13">
        <f>SM!N24</f>
        <v>0.1012594490323772</v>
      </c>
      <c r="M19" s="12">
        <f>SM!O24</f>
        <v>87966168.19999999</v>
      </c>
      <c r="N19" s="13">
        <f>SM!P24</f>
        <v>0.3034342411747487</v>
      </c>
      <c r="O19" s="12">
        <f>SM!Q24</f>
        <v>75348223.72</v>
      </c>
      <c r="P19" s="13">
        <f>SM!R24</f>
        <v>0.30434867688190465</v>
      </c>
      <c r="Q19" s="12">
        <f>SM!S24</f>
        <v>159060337.31764707</v>
      </c>
      <c r="R19" s="13">
        <f>SM!T24</f>
        <v>0.5486694912667551</v>
      </c>
      <c r="S19" s="12">
        <f>SM!U24</f>
        <v>135201286.72</v>
      </c>
      <c r="T19" s="13">
        <f>SM!V24</f>
        <v>0.546108862219148</v>
      </c>
      <c r="U19" s="12">
        <f>SM!W24</f>
        <v>219890648.96470582</v>
      </c>
      <c r="V19" s="13">
        <f>SM!X24</f>
        <v>0.7585001549496682</v>
      </c>
      <c r="W19" s="12">
        <f>SM!Y24</f>
        <v>188062464.72</v>
      </c>
      <c r="X19" s="13">
        <f>SM!Z24</f>
        <v>0.7596272278611038</v>
      </c>
      <c r="Y19" s="12">
        <f>SM!AA24</f>
        <v>257986011.49411765</v>
      </c>
      <c r="Z19" s="13">
        <f>SM!AB24</f>
        <v>0.8899079183878513</v>
      </c>
      <c r="AA19" s="12">
        <f>SM!AC24</f>
        <v>220443523.72</v>
      </c>
      <c r="AB19" s="13">
        <f>SM!AD24</f>
        <v>0.8904217174473129</v>
      </c>
      <c r="AC19" s="12">
        <f>SM!AE24</f>
        <v>289901916.0352941</v>
      </c>
      <c r="AD19" s="13">
        <f>SM!AF24</f>
        <v>0.9999999966723025</v>
      </c>
      <c r="AE19" s="12">
        <f>SM!AG24</f>
        <v>247572042.53</v>
      </c>
      <c r="AF19" s="13">
        <f>SM!AH24</f>
        <v>0.9999999981015627</v>
      </c>
      <c r="AG19" s="398" t="s">
        <v>528</v>
      </c>
    </row>
    <row r="20" spans="2:33" s="10" customFormat="1" ht="17.25" customHeight="1">
      <c r="B20" s="11" t="s">
        <v>36</v>
      </c>
      <c r="C20" s="12">
        <f>SM!E25</f>
        <v>33</v>
      </c>
      <c r="D20" s="12"/>
      <c r="E20" s="12">
        <f>SM!G25</f>
        <v>695541514.1764705</v>
      </c>
      <c r="F20" s="12">
        <f>SM!H25</f>
        <v>591210286</v>
      </c>
      <c r="G20" s="12">
        <f>SM!I25</f>
        <v>266601115</v>
      </c>
      <c r="H20" s="12">
        <f>SM!J25</f>
        <v>242309816.65</v>
      </c>
      <c r="I20" s="12">
        <f>SM!K25</f>
        <v>145023538.56</v>
      </c>
      <c r="J20" s="13">
        <f>SM!L25</f>
        <v>0.20850450419441838</v>
      </c>
      <c r="K20" s="12">
        <f>SM!M25</f>
        <v>129884837.4</v>
      </c>
      <c r="L20" s="13">
        <f>SM!N25</f>
        <v>0.2196931286138009</v>
      </c>
      <c r="M20" s="12">
        <f>SM!O25</f>
        <v>304868386.35294116</v>
      </c>
      <c r="N20" s="13">
        <f>SM!P25</f>
        <v>0.4383180301091143</v>
      </c>
      <c r="O20" s="12">
        <f>SM!Q25</f>
        <v>259138128.40000004</v>
      </c>
      <c r="P20" s="13">
        <f>SM!R25</f>
        <v>0.438318030887575</v>
      </c>
      <c r="Q20" s="12">
        <f>SM!S25</f>
        <v>433768871.0588235</v>
      </c>
      <c r="R20" s="13">
        <f>SM!T25</f>
        <v>0.6236419569756538</v>
      </c>
      <c r="S20" s="12">
        <f>SM!U25</f>
        <v>368703540.4</v>
      </c>
      <c r="T20" s="13">
        <f>SM!V25</f>
        <v>0.623641958083253</v>
      </c>
      <c r="U20" s="12">
        <f>SM!W25</f>
        <v>606441058.117647</v>
      </c>
      <c r="V20" s="13">
        <f>SM!X25</f>
        <v>0.871897716753371</v>
      </c>
      <c r="W20" s="12">
        <f>SM!Y25</f>
        <v>515474899.4</v>
      </c>
      <c r="X20" s="13">
        <f>SM!Z25</f>
        <v>0.8718977183018767</v>
      </c>
      <c r="Y20" s="12">
        <f>SM!AA25</f>
        <v>694749224.7176471</v>
      </c>
      <c r="Z20" s="13">
        <f>SM!AB25</f>
        <v>0.998860902702894</v>
      </c>
      <c r="AA20" s="12">
        <f>SM!AC25</f>
        <v>591377402.76</v>
      </c>
      <c r="AB20" s="13">
        <f>SM!AD25</f>
        <v>1.0002826688979494</v>
      </c>
      <c r="AC20" s="12">
        <f>SM!AE25</f>
        <v>695541514.1764705</v>
      </c>
      <c r="AD20" s="13">
        <f>SM!AF25</f>
        <v>1</v>
      </c>
      <c r="AE20" s="12">
        <f>SM!AG25</f>
        <v>591210286.27</v>
      </c>
      <c r="AF20" s="13">
        <f>SM!AH25</f>
        <v>1.0000000004566902</v>
      </c>
      <c r="AG20" s="398" t="s">
        <v>528</v>
      </c>
    </row>
    <row r="21" spans="2:33" s="51" customFormat="1" ht="30" customHeight="1">
      <c r="B21" s="125" t="s">
        <v>176</v>
      </c>
      <c r="C21" s="49">
        <f>VeM!D19</f>
        <v>271</v>
      </c>
      <c r="D21" s="49"/>
      <c r="E21" s="49">
        <f>VeM!F19</f>
        <v>181477077.69684705</v>
      </c>
      <c r="F21" s="49">
        <f>VeM!G19</f>
        <v>154392344.31432</v>
      </c>
      <c r="G21" s="49">
        <f>VeM!H19</f>
        <v>86175075.82</v>
      </c>
      <c r="H21" s="49">
        <f>VeM!I19</f>
        <v>75860313.2</v>
      </c>
      <c r="I21" s="49">
        <f>VeM!J19</f>
        <v>54847335.92</v>
      </c>
      <c r="J21" s="50">
        <f>VeM!K19</f>
        <v>0.3022273480269564</v>
      </c>
      <c r="K21" s="49">
        <f>VeM!L19</f>
        <v>48097967.43</v>
      </c>
      <c r="L21" s="50">
        <f>VeM!M19</f>
        <v>0.3115307798687197</v>
      </c>
      <c r="M21" s="49">
        <f>VeM!N19</f>
        <v>96671924.96941178</v>
      </c>
      <c r="N21" s="50">
        <f>VeM!O19</f>
        <v>0.5326949617896086</v>
      </c>
      <c r="O21" s="49">
        <f>VeM!P19</f>
        <v>82171136.20699999</v>
      </c>
      <c r="P21" s="50">
        <f>VeM!Q19</f>
        <v>0.5322228674739966</v>
      </c>
      <c r="Q21" s="49">
        <f>VeM!R19</f>
        <v>135457774.62390587</v>
      </c>
      <c r="R21" s="50">
        <f>VeM!S19</f>
        <v>0.7464180950179543</v>
      </c>
      <c r="S21" s="49">
        <f>VeM!T19</f>
        <v>115139107.54332</v>
      </c>
      <c r="T21" s="50">
        <f>VeM!U19</f>
        <v>0.7457565856303975</v>
      </c>
      <c r="U21" s="49">
        <f>VeM!V19</f>
        <v>159473149.67025882</v>
      </c>
      <c r="V21" s="50">
        <f>VeM!W19</f>
        <v>0.8787509237759203</v>
      </c>
      <c r="W21" s="49">
        <f>VeM!X19</f>
        <v>135689004.74971998</v>
      </c>
      <c r="X21" s="50">
        <f>VeM!Y19</f>
        <v>0.8788583744377715</v>
      </c>
      <c r="Y21" s="49">
        <f>VeM!Z19</f>
        <v>178505078.39261177</v>
      </c>
      <c r="Z21" s="50">
        <f>VeM!AA19</f>
        <v>0.983623279909764</v>
      </c>
      <c r="AA21" s="49">
        <f>VeM!AB19</f>
        <v>151866144.16371998</v>
      </c>
      <c r="AB21" s="50">
        <f>VeM!AC19</f>
        <v>0.9836377887658921</v>
      </c>
      <c r="AC21" s="49">
        <f>VeM!AD19</f>
        <v>185451685.33261177</v>
      </c>
      <c r="AD21" s="50">
        <f>VeM!AE19</f>
        <v>1.0219014306721657</v>
      </c>
      <c r="AE21" s="49">
        <f>VeM!AF19</f>
        <v>157770760.06272</v>
      </c>
      <c r="AF21" s="50">
        <f>VeM!AG19</f>
        <v>1.0218820159989412</v>
      </c>
      <c r="AG21" s="398" t="s">
        <v>529</v>
      </c>
    </row>
    <row r="22" spans="2:33" s="10" customFormat="1" ht="22.5" customHeight="1">
      <c r="B22" s="11" t="s">
        <v>12</v>
      </c>
      <c r="C22" s="12">
        <f>VeM!D7</f>
        <v>1</v>
      </c>
      <c r="D22" s="12"/>
      <c r="E22" s="12">
        <f>VeM!F7</f>
        <v>10098256</v>
      </c>
      <c r="F22" s="12">
        <f>VeM!G7</f>
        <v>8720346</v>
      </c>
      <c r="G22" s="12">
        <f>VeM!H7</f>
        <v>8105136.1899999995</v>
      </c>
      <c r="H22" s="12">
        <f>VeM!I7</f>
        <v>6802302.95</v>
      </c>
      <c r="I22" s="12">
        <f>VeM!J7</f>
        <v>4994871.42</v>
      </c>
      <c r="J22" s="13">
        <f>VeM!K7</f>
        <v>0.49462713363574856</v>
      </c>
      <c r="K22" s="12">
        <f>VeM!L7</f>
        <v>4245640.69</v>
      </c>
      <c r="L22" s="13">
        <f>VeM!M7</f>
        <v>0.48686608191922665</v>
      </c>
      <c r="M22" s="12">
        <f>VeM!N7</f>
        <v>6894871.42</v>
      </c>
      <c r="N22" s="13">
        <f>VeM!O7</f>
        <v>0.6827784342167598</v>
      </c>
      <c r="O22" s="12">
        <f>VeM!P7</f>
        <v>5860640.69</v>
      </c>
      <c r="P22" s="13">
        <f>VeM!Q7</f>
        <v>0.6720651554422268</v>
      </c>
      <c r="Q22" s="12">
        <f>VeM!R7</f>
        <v>8794871.42</v>
      </c>
      <c r="R22" s="13">
        <f>VeM!S7</f>
        <v>0.870929734797771</v>
      </c>
      <c r="S22" s="12">
        <f>VeM!T7</f>
        <v>7475640.69</v>
      </c>
      <c r="T22" s="13">
        <f>VeM!U7</f>
        <v>0.8572642289652269</v>
      </c>
      <c r="U22" s="12">
        <f>VeM!V7</f>
        <v>10098256</v>
      </c>
      <c r="V22" s="13">
        <f>VeM!W7</f>
        <v>1</v>
      </c>
      <c r="W22" s="12">
        <f>VeM!X7</f>
        <v>8720346</v>
      </c>
      <c r="X22" s="13">
        <f>VeM!Y7</f>
        <v>1</v>
      </c>
      <c r="Y22" s="12">
        <f>VeM!Z7</f>
        <v>10098256</v>
      </c>
      <c r="Z22" s="13">
        <f>VeM!AA7</f>
        <v>1</v>
      </c>
      <c r="AA22" s="12">
        <f>VeM!AB7</f>
        <v>8720346</v>
      </c>
      <c r="AB22" s="13">
        <f>VeM!AC7</f>
        <v>1</v>
      </c>
      <c r="AC22" s="12">
        <f>VeM!AD7</f>
        <v>10098256</v>
      </c>
      <c r="AD22" s="13">
        <f>VeM!AE7</f>
        <v>1</v>
      </c>
      <c r="AE22" s="12">
        <f>VeM!AF7</f>
        <v>8720346</v>
      </c>
      <c r="AF22" s="13">
        <f>VeM!AG7</f>
        <v>1</v>
      </c>
      <c r="AG22" s="398" t="s">
        <v>529</v>
      </c>
    </row>
    <row r="23" spans="2:33" s="10" customFormat="1" ht="52.5" customHeight="1">
      <c r="B23" s="11" t="s">
        <v>14</v>
      </c>
      <c r="C23" s="12">
        <f>VeM!D11</f>
        <v>270</v>
      </c>
      <c r="D23" s="12"/>
      <c r="E23" s="12">
        <f>VeM!F11</f>
        <v>171378821.69684705</v>
      </c>
      <c r="F23" s="12">
        <f>VeM!G11</f>
        <v>145671998.31432</v>
      </c>
      <c r="G23" s="12">
        <f>VeM!H11</f>
        <v>78069939.63</v>
      </c>
      <c r="H23" s="12">
        <f>VeM!I11</f>
        <v>69058010.25</v>
      </c>
      <c r="I23" s="12">
        <f>VeM!J11</f>
        <v>49852464.5</v>
      </c>
      <c r="J23" s="13">
        <f>VeM!K11</f>
        <v>0.2908904612973959</v>
      </c>
      <c r="K23" s="12">
        <f>VeM!L11</f>
        <v>43852326.74</v>
      </c>
      <c r="L23" s="13">
        <f>VeM!M11</f>
        <v>0.301034702945303</v>
      </c>
      <c r="M23" s="12">
        <f>VeM!N11</f>
        <v>89777053.54941177</v>
      </c>
      <c r="N23" s="13">
        <f>VeM!O11</f>
        <v>0.5238515042904128</v>
      </c>
      <c r="O23" s="12">
        <f>VeM!P11</f>
        <v>76310495.51699999</v>
      </c>
      <c r="P23" s="13">
        <f>VeM!Q11</f>
        <v>0.5238515047507138</v>
      </c>
      <c r="Q23" s="12">
        <f>VeM!R11</f>
        <v>126662903.20390588</v>
      </c>
      <c r="R23" s="13">
        <f>VeM!S11</f>
        <v>0.7390814217871132</v>
      </c>
      <c r="S23" s="12">
        <f>VeM!T11</f>
        <v>107663466.85332</v>
      </c>
      <c r="T23" s="13">
        <f>VeM!U11</f>
        <v>0.7390814164642125</v>
      </c>
      <c r="U23" s="12">
        <f>VeM!V11</f>
        <v>149374893.67025882</v>
      </c>
      <c r="V23" s="13">
        <f>VeM!W11</f>
        <v>0.8716064925133451</v>
      </c>
      <c r="W23" s="12">
        <f>VeM!X11</f>
        <v>126968658.74971999</v>
      </c>
      <c r="X23" s="13">
        <f>VeM!Y11</f>
        <v>0.8716064873068923</v>
      </c>
      <c r="Y23" s="12">
        <f>VeM!Z11</f>
        <v>168406822.39261177</v>
      </c>
      <c r="Z23" s="13">
        <f>VeM!AA11</f>
        <v>0.9826583047146137</v>
      </c>
      <c r="AA23" s="12">
        <f>VeM!AB11</f>
        <v>143145798.16371998</v>
      </c>
      <c r="AB23" s="13">
        <f>VeM!AC11</f>
        <v>0.9826582996057405</v>
      </c>
      <c r="AC23" s="12">
        <f>VeM!AD11</f>
        <v>175353429.33261177</v>
      </c>
      <c r="AD23" s="13">
        <f>VeM!AE11</f>
        <v>1.0231919416670714</v>
      </c>
      <c r="AE23" s="12">
        <f>VeM!AF11</f>
        <v>149050414.06272</v>
      </c>
      <c r="AF23" s="13">
        <f>VeM!AG11</f>
        <v>1.0231919365938147</v>
      </c>
      <c r="AG23" s="398" t="s">
        <v>529</v>
      </c>
    </row>
    <row r="24" spans="2:33" s="51" customFormat="1" ht="34.5" customHeight="1">
      <c r="B24" s="125" t="s">
        <v>185</v>
      </c>
      <c r="C24" s="49">
        <f>VKanc!E14</f>
        <v>166</v>
      </c>
      <c r="D24" s="49"/>
      <c r="E24" s="49">
        <f>VKanc!G14</f>
        <v>12089908.58</v>
      </c>
      <c r="F24" s="49">
        <f>VKanc!H14</f>
        <v>10694590.776</v>
      </c>
      <c r="G24" s="49">
        <f>VKanc!I14</f>
        <v>4285649</v>
      </c>
      <c r="H24" s="49">
        <f>VKanc!J14</f>
        <v>3740628.3499999996</v>
      </c>
      <c r="I24" s="49">
        <f>VKanc!K14</f>
        <v>2230544.8</v>
      </c>
      <c r="J24" s="50">
        <f>VKanc!L14</f>
        <v>0.18449641577025058</v>
      </c>
      <c r="K24" s="49">
        <f>VKanc!M14</f>
        <v>1952019.14</v>
      </c>
      <c r="L24" s="50">
        <f>VKanc!N14</f>
        <v>0.1825239675725204</v>
      </c>
      <c r="M24" s="49">
        <f>VKanc!O14</f>
        <v>4483417.43</v>
      </c>
      <c r="N24" s="50">
        <f>VKanc!P14</f>
        <v>0.37083964699425376</v>
      </c>
      <c r="O24" s="49">
        <f>VKanc!Q14</f>
        <v>4341936.214500001</v>
      </c>
      <c r="P24" s="50">
        <f>VKanc!R14</f>
        <v>0.4059936752553308</v>
      </c>
      <c r="Q24" s="49">
        <f>VKanc!S14</f>
        <v>7512124.43</v>
      </c>
      <c r="R24" s="50">
        <f>VKanc!T14</f>
        <v>0.621354940799726</v>
      </c>
      <c r="S24" s="49">
        <f>VKanc!U14</f>
        <v>6712590.274499999</v>
      </c>
      <c r="T24" s="50">
        <f>VKanc!V14</f>
        <v>0.6276621906435066</v>
      </c>
      <c r="U24" s="49">
        <f>VKanc!W14</f>
        <v>10254989.430000002</v>
      </c>
      <c r="V24" s="50">
        <f>VKanc!X14</f>
        <v>0.8482272104988904</v>
      </c>
      <c r="W24" s="49">
        <f>VKanc!Y14</f>
        <v>9193458.7245</v>
      </c>
      <c r="X24" s="50">
        <f>VKanc!Z14</f>
        <v>0.859636326163248</v>
      </c>
      <c r="Y24" s="49">
        <f>VKanc!AA14</f>
        <v>10845860.430000002</v>
      </c>
      <c r="Z24" s="50">
        <f>VKanc!AB14</f>
        <v>0.8971002847732039</v>
      </c>
      <c r="AA24" s="49">
        <f>VKanc!AC14</f>
        <v>9596458.2745</v>
      </c>
      <c r="AB24" s="50">
        <f>VKanc!AD14</f>
        <v>0.8973188853598449</v>
      </c>
      <c r="AC24" s="49">
        <f>VKanc!AE14</f>
        <v>12228297.430000002</v>
      </c>
      <c r="AD24" s="50">
        <f>VKanc!AF14</f>
        <v>1.0114466415593029</v>
      </c>
      <c r="AE24" s="49">
        <f>VKanc!AG14</f>
        <v>10814634.6245</v>
      </c>
      <c r="AF24" s="50">
        <f>VKanc!AH14</f>
        <v>1.0112247257528912</v>
      </c>
      <c r="AG24" s="398" t="s">
        <v>530</v>
      </c>
    </row>
    <row r="25" spans="2:33" s="51" customFormat="1" ht="39" customHeight="1">
      <c r="B25" s="136" t="s">
        <v>288</v>
      </c>
      <c r="C25" s="49">
        <f>VARAM!E29</f>
        <v>781</v>
      </c>
      <c r="D25" s="49"/>
      <c r="E25" s="49">
        <f>VARAM!G29</f>
        <v>1017825646.16686</v>
      </c>
      <c r="F25" s="49">
        <f>VARAM!H29</f>
        <v>863658671.061924</v>
      </c>
      <c r="G25" s="49">
        <f>VARAM!I29</f>
        <v>468521227</v>
      </c>
      <c r="H25" s="49">
        <f>VARAM!J29</f>
        <v>455041479.34000003</v>
      </c>
      <c r="I25" s="49">
        <f>VARAM!K29</f>
        <v>380859201.49999994</v>
      </c>
      <c r="J25" s="50">
        <f>VARAM!L29</f>
        <v>0.3741890400721567</v>
      </c>
      <c r="K25" s="49">
        <f>VARAM!M29</f>
        <v>347637036.26</v>
      </c>
      <c r="L25" s="50">
        <f>VARAM!N29</f>
        <v>0.4025166977511589</v>
      </c>
      <c r="M25" s="49">
        <f>VARAM!O29</f>
        <v>549720429.771835</v>
      </c>
      <c r="N25" s="50">
        <f>VARAM!P29</f>
        <v>0.5400929244041813</v>
      </c>
      <c r="O25" s="49">
        <f>VARAM!Q29</f>
        <v>482087290.26</v>
      </c>
      <c r="P25" s="50">
        <f>VARAM!R29</f>
        <v>0.5581919181882845</v>
      </c>
      <c r="Q25" s="49">
        <f>VARAM!S29</f>
        <v>754719983.9444082</v>
      </c>
      <c r="R25" s="50">
        <f>VARAM!T29</f>
        <v>0.7415022276032148</v>
      </c>
      <c r="S25" s="49">
        <f>VARAM!U29</f>
        <v>657269206.26</v>
      </c>
      <c r="T25" s="50">
        <f>VARAM!V29</f>
        <v>0.7610288975062859</v>
      </c>
      <c r="U25" s="49">
        <f>VARAM!W29</f>
        <v>892038307.5851748</v>
      </c>
      <c r="V25" s="50">
        <f>VARAM!X29</f>
        <v>0.8764156326229336</v>
      </c>
      <c r="W25" s="49">
        <f>VARAM!Y29</f>
        <v>768046164.2399999</v>
      </c>
      <c r="X25" s="50">
        <f>VARAM!Z29</f>
        <v>0.8892936410811897</v>
      </c>
      <c r="Y25" s="49">
        <f>VARAM!AA29</f>
        <v>970218059.0677124</v>
      </c>
      <c r="Z25" s="50">
        <f>VARAM!AB29</f>
        <v>1</v>
      </c>
      <c r="AA25" s="49">
        <f>VARAM!AC29</f>
        <v>827356131.9299998</v>
      </c>
      <c r="AB25" s="50">
        <f>VARAM!AD29</f>
        <v>1</v>
      </c>
      <c r="AC25" s="49">
        <f>VARAM!AE29</f>
        <v>1017825647.3433306</v>
      </c>
      <c r="AD25" s="50">
        <f>VARAM!AF29</f>
        <v>1</v>
      </c>
      <c r="AE25" s="49">
        <f>VARAM!AG29</f>
        <v>863658671.061924</v>
      </c>
      <c r="AF25" s="50">
        <f>VARAM!AH29</f>
        <v>1</v>
      </c>
      <c r="AG25" s="398" t="s">
        <v>531</v>
      </c>
    </row>
    <row r="26" spans="2:33" s="10" customFormat="1" ht="29.25" customHeight="1">
      <c r="B26" s="199" t="s">
        <v>12</v>
      </c>
      <c r="C26" s="12">
        <f>VARAM!E30</f>
        <v>198</v>
      </c>
      <c r="D26" s="12"/>
      <c r="E26" s="12">
        <f>VARAM!G30</f>
        <v>5100000</v>
      </c>
      <c r="F26" s="12">
        <f>VARAM!H30</f>
        <v>5100000</v>
      </c>
      <c r="G26" s="12">
        <f>VARAM!I30</f>
        <v>2978764</v>
      </c>
      <c r="H26" s="12">
        <f>VARAM!J30</f>
        <v>2978764</v>
      </c>
      <c r="I26" s="12">
        <f>VARAM!K30</f>
        <v>2213704.46</v>
      </c>
      <c r="J26" s="13">
        <f>VARAM!L30</f>
        <v>0.4340596980392157</v>
      </c>
      <c r="K26" s="12">
        <f>VARAM!M30</f>
        <v>2213704.46</v>
      </c>
      <c r="L26" s="13">
        <f>VARAM!N30</f>
        <v>0.4340596980392157</v>
      </c>
      <c r="M26" s="12">
        <f>VARAM!O30</f>
        <v>3204781</v>
      </c>
      <c r="N26" s="13">
        <f>VARAM!P30</f>
        <v>0.6283884313725491</v>
      </c>
      <c r="O26" s="12">
        <f>VARAM!Q30</f>
        <v>3204781</v>
      </c>
      <c r="P26" s="13">
        <f>VARAM!R30</f>
        <v>0.6283884313725491</v>
      </c>
      <c r="Q26" s="12">
        <f>VARAM!S30</f>
        <v>4575862</v>
      </c>
      <c r="R26" s="13">
        <f>VARAM!T30</f>
        <v>0.8972278431372549</v>
      </c>
      <c r="S26" s="12">
        <f>VARAM!U30</f>
        <v>4575862</v>
      </c>
      <c r="T26" s="13">
        <f>VARAM!V30</f>
        <v>0.8972278431372549</v>
      </c>
      <c r="U26" s="12">
        <f>VARAM!W30</f>
        <v>4889316</v>
      </c>
      <c r="V26" s="13">
        <f>VARAM!X30</f>
        <v>0.9586894117647059</v>
      </c>
      <c r="W26" s="12">
        <f>VARAM!Y30</f>
        <v>4889316</v>
      </c>
      <c r="X26" s="13">
        <f>VARAM!Z30</f>
        <v>0.9586894117647059</v>
      </c>
      <c r="Y26" s="12">
        <f>VARAM!AA30</f>
        <v>5100000</v>
      </c>
      <c r="Z26" s="13">
        <f>VARAM!AB30</f>
        <v>1</v>
      </c>
      <c r="AA26" s="12">
        <f>VARAM!AC30</f>
        <v>5100000</v>
      </c>
      <c r="AB26" s="13">
        <f>VARAM!AD30</f>
        <v>1</v>
      </c>
      <c r="AC26" s="12">
        <f>VARAM!AE30</f>
        <v>5100000</v>
      </c>
      <c r="AD26" s="13">
        <f>VARAM!AF30</f>
        <v>1</v>
      </c>
      <c r="AE26" s="12">
        <f>VARAM!AG30</f>
        <v>5100000</v>
      </c>
      <c r="AF26" s="13">
        <f>VARAM!AH30</f>
        <v>1</v>
      </c>
      <c r="AG26" s="398" t="s">
        <v>531</v>
      </c>
    </row>
    <row r="27" spans="2:33" s="10" customFormat="1" ht="48.75" customHeight="1">
      <c r="B27" s="11" t="s">
        <v>14</v>
      </c>
      <c r="C27" s="12">
        <f>VARAM!E31</f>
        <v>426</v>
      </c>
      <c r="D27" s="12"/>
      <c r="E27" s="12">
        <f>VARAM!G31</f>
        <v>519924356.16686</v>
      </c>
      <c r="F27" s="12">
        <f>VARAM!H31</f>
        <v>452878145.261924</v>
      </c>
      <c r="G27" s="12">
        <f>VARAM!I31</f>
        <v>223362560</v>
      </c>
      <c r="H27" s="12">
        <f>VARAM!J31</f>
        <v>218931317.6</v>
      </c>
      <c r="I27" s="12">
        <f>VARAM!K31</f>
        <v>163223105.92</v>
      </c>
      <c r="J27" s="13">
        <f>VARAM!L31</f>
        <v>0.3139362562726655</v>
      </c>
      <c r="K27" s="12">
        <f>VARAM!M31</f>
        <v>151307128.12</v>
      </c>
      <c r="L27" s="13">
        <f>VARAM!N31</f>
        <v>0.3341011919055862</v>
      </c>
      <c r="M27" s="12">
        <f>VARAM!O31</f>
        <v>277577177.29314214</v>
      </c>
      <c r="N27" s="13">
        <f>VARAM!P31</f>
        <v>0.533879926956257</v>
      </c>
      <c r="O27" s="12">
        <f>VARAM!Q31</f>
        <v>240942600.10000002</v>
      </c>
      <c r="P27" s="13">
        <f>VARAM!R31</f>
        <v>0.5320252315568238</v>
      </c>
      <c r="Q27" s="12">
        <f>VARAM!S31</f>
        <v>392995825.4264998</v>
      </c>
      <c r="R27" s="13">
        <f>VARAM!T31</f>
        <v>0.7558711584967086</v>
      </c>
      <c r="S27" s="12">
        <f>VARAM!U31</f>
        <v>341303012.1</v>
      </c>
      <c r="T27" s="13">
        <f>VARAM!V31</f>
        <v>0.7536310057589685</v>
      </c>
      <c r="U27" s="12">
        <f>VARAM!W31</f>
        <v>463431023.9365473</v>
      </c>
      <c r="V27" s="13">
        <f>VARAM!X31</f>
        <v>0.8913431702895984</v>
      </c>
      <c r="W27" s="12">
        <f>VARAM!Y31</f>
        <v>402235489.2</v>
      </c>
      <c r="X27" s="13">
        <f>VARAM!Z31</f>
        <v>0.8881759771546612</v>
      </c>
      <c r="Y27" s="12">
        <f>VARAM!AA31</f>
        <v>495296622.60470587</v>
      </c>
      <c r="Z27" s="13">
        <f>VARAM!AB31</f>
        <v>1</v>
      </c>
      <c r="AA27" s="12">
        <f>VARAM!AC31</f>
        <v>430184994.21</v>
      </c>
      <c r="AB27" s="13">
        <f>VARAM!AD31</f>
        <v>1</v>
      </c>
      <c r="AC27" s="12">
        <f>VARAM!AE31</f>
        <v>519924357.3433306</v>
      </c>
      <c r="AD27" s="13">
        <f>VARAM!AF31</f>
        <v>1</v>
      </c>
      <c r="AE27" s="12">
        <f>VARAM!AG31</f>
        <v>452878145.261924</v>
      </c>
      <c r="AF27" s="13">
        <f>VARAM!AH31</f>
        <v>1</v>
      </c>
      <c r="AG27" s="398" t="s">
        <v>531</v>
      </c>
    </row>
    <row r="28" spans="2:33" s="10" customFormat="1" ht="50.25" customHeight="1">
      <c r="B28" s="11" t="s">
        <v>36</v>
      </c>
      <c r="C28" s="12">
        <f>VARAM!E32</f>
        <v>157</v>
      </c>
      <c r="D28" s="12"/>
      <c r="E28" s="12">
        <f>VARAM!G32</f>
        <v>492801290</v>
      </c>
      <c r="F28" s="12">
        <f>VARAM!H32</f>
        <v>405680525.8</v>
      </c>
      <c r="G28" s="12">
        <f>VARAM!I32</f>
        <v>242179903</v>
      </c>
      <c r="H28" s="12">
        <f>VARAM!J32</f>
        <v>233131397.73999998</v>
      </c>
      <c r="I28" s="12">
        <f>VARAM!K32</f>
        <v>215422391.12</v>
      </c>
      <c r="J28" s="13">
        <f>VARAM!L32</f>
        <v>0.43713844807508523</v>
      </c>
      <c r="K28" s="12">
        <f>VARAM!M32</f>
        <v>194116203.68</v>
      </c>
      <c r="L28" s="13">
        <f>VARAM!N32</f>
        <v>0.4784952477006477</v>
      </c>
      <c r="M28" s="12">
        <f>VARAM!O32</f>
        <v>268938471.4786928</v>
      </c>
      <c r="N28" s="13">
        <f>VARAM!P32</f>
        <v>0.5457341060911038</v>
      </c>
      <c r="O28" s="12">
        <f>VARAM!Q32</f>
        <v>237939909.16</v>
      </c>
      <c r="P28" s="13">
        <f>VARAM!R32</f>
        <v>0.586520412067559</v>
      </c>
      <c r="Q28" s="12">
        <f>VARAM!S32</f>
        <v>357148296.5179085</v>
      </c>
      <c r="R28" s="13">
        <f>VARAM!T32</f>
        <v>0.7247308474332698</v>
      </c>
      <c r="S28" s="12">
        <f>VARAM!U32</f>
        <v>311390332.15999997</v>
      </c>
      <c r="T28" s="13">
        <f>VARAM!V32</f>
        <v>0.767575252832114</v>
      </c>
      <c r="U28" s="12">
        <f>VARAM!W32</f>
        <v>423717967.64862746</v>
      </c>
      <c r="V28" s="13">
        <f>VARAM!X32</f>
        <v>0.8598150537483931</v>
      </c>
      <c r="W28" s="12">
        <f>VARAM!Y32</f>
        <v>360921359.03999996</v>
      </c>
      <c r="X28" s="13">
        <f>VARAM!Z32</f>
        <v>0.8896689293336544</v>
      </c>
      <c r="Y28" s="12">
        <f>VARAM!AA32</f>
        <v>469821436.4630065</v>
      </c>
      <c r="Z28" s="13">
        <f>VARAM!AB32</f>
        <v>1</v>
      </c>
      <c r="AA28" s="12">
        <f>VARAM!AC32</f>
        <v>392071137.72</v>
      </c>
      <c r="AB28" s="13">
        <f>VARAM!AD32</f>
        <v>1</v>
      </c>
      <c r="AC28" s="12">
        <f>VARAM!AE32</f>
        <v>492801290</v>
      </c>
      <c r="AD28" s="13">
        <f>VARAM!AF32</f>
        <v>1</v>
      </c>
      <c r="AE28" s="12">
        <f>VARAM!AG32</f>
        <v>405680525.8</v>
      </c>
      <c r="AF28" s="13">
        <f>VARAM!AH32</f>
        <v>1</v>
      </c>
      <c r="AG28" s="398" t="s">
        <v>531</v>
      </c>
    </row>
    <row r="29" spans="2:33" s="51" customFormat="1" ht="39" customHeight="1">
      <c r="B29" s="136" t="s">
        <v>216</v>
      </c>
      <c r="C29" s="49">
        <f>'FM'!E9</f>
        <v>80</v>
      </c>
      <c r="D29" s="49">
        <f>'FM'!F9</f>
        <v>0</v>
      </c>
      <c r="E29" s="49">
        <f>'FM'!G9</f>
        <v>80889598</v>
      </c>
      <c r="F29" s="49">
        <f>'FM'!H9</f>
        <v>80889598</v>
      </c>
      <c r="G29" s="49">
        <f>'FM'!I9</f>
        <v>39688134</v>
      </c>
      <c r="H29" s="49">
        <f>'FM'!J9</f>
        <v>39688134</v>
      </c>
      <c r="I29" s="49">
        <f>'FM'!K9</f>
        <v>19852472.69</v>
      </c>
      <c r="J29" s="50">
        <f>'FM'!L9</f>
        <v>0.24542676908840616</v>
      </c>
      <c r="K29" s="49">
        <f>'FM'!M9</f>
        <v>19852472.69</v>
      </c>
      <c r="L29" s="50">
        <f>'FM'!N9</f>
        <v>0.24542676908840616</v>
      </c>
      <c r="M29" s="49">
        <f>'FM'!O9</f>
        <v>40272126</v>
      </c>
      <c r="N29" s="50">
        <f>'FM'!P9</f>
        <v>0.4978653250322742</v>
      </c>
      <c r="O29" s="49">
        <f>'FM'!Q9</f>
        <v>40272126</v>
      </c>
      <c r="P29" s="50">
        <f>'FM'!R9</f>
        <v>0.4978653250322742</v>
      </c>
      <c r="Q29" s="49">
        <f>'FM'!S9</f>
        <v>50843861</v>
      </c>
      <c r="R29" s="50">
        <f>'FM'!T9</f>
        <v>0.6285587054098105</v>
      </c>
      <c r="S29" s="49">
        <f>'FM'!U9</f>
        <v>50843861</v>
      </c>
      <c r="T29" s="50">
        <f>'FM'!V9</f>
        <v>0.6285587054098105</v>
      </c>
      <c r="U29" s="49">
        <f>'FM'!W9</f>
        <v>61003824.66</v>
      </c>
      <c r="V29" s="50">
        <f>'FM'!X9</f>
        <v>0.7541615506606918</v>
      </c>
      <c r="W29" s="49">
        <f>'FM'!Y9</f>
        <v>61003824.66</v>
      </c>
      <c r="X29" s="50">
        <f>'FM'!Z9</f>
        <v>0.7541615506606918</v>
      </c>
      <c r="Y29" s="49">
        <f>'FM'!AA9</f>
        <v>70885975.32</v>
      </c>
      <c r="Z29" s="50">
        <f>'FM'!AB9</f>
        <v>0.8763299246461824</v>
      </c>
      <c r="AA29" s="49">
        <f>'FM'!AC9</f>
        <v>70885975.32</v>
      </c>
      <c r="AB29" s="50">
        <f>'FM'!AD9</f>
        <v>0.8763299246461824</v>
      </c>
      <c r="AC29" s="49">
        <f>'FM'!AE9</f>
        <v>80889597.97999999</v>
      </c>
      <c r="AD29" s="50">
        <f>'FM'!AF9</f>
        <v>0.9999999997527493</v>
      </c>
      <c r="AE29" s="49">
        <f>'FM'!AG9</f>
        <v>80889597.97999999</v>
      </c>
      <c r="AF29" s="50">
        <f>'FM'!AH9</f>
        <v>0.9999999997527493</v>
      </c>
      <c r="AG29" s="398" t="s">
        <v>532</v>
      </c>
    </row>
    <row r="30" spans="2:33" ht="24.75" customHeight="1">
      <c r="B30" s="137" t="s">
        <v>175</v>
      </c>
      <c r="C30" s="138">
        <f>C7+C11+C15+C21+C24+C25+C29</f>
        <v>3428</v>
      </c>
      <c r="D30" s="138">
        <f>D7+D11+D15+D21+D24+D25+D29</f>
        <v>0</v>
      </c>
      <c r="E30" s="138">
        <f>E7+E11+E14+E15+E18+E21+E24+E25+E29</f>
        <v>4001583372.0079417</v>
      </c>
      <c r="F30" s="138">
        <f aca="true" t="shared" si="1" ref="F30:AE30">F7+F11+F14+F15+F18+F21+F24+F25+F29</f>
        <v>3197862953.279992</v>
      </c>
      <c r="G30" s="138">
        <f t="shared" si="1"/>
        <v>1713177527.21</v>
      </c>
      <c r="H30" s="138">
        <f t="shared" si="1"/>
        <v>1586563356.3946939</v>
      </c>
      <c r="I30" s="138">
        <f t="shared" si="1"/>
        <v>1164634518.7299998</v>
      </c>
      <c r="J30" s="50">
        <f>I30/E30</f>
        <v>0.2910434221805559</v>
      </c>
      <c r="K30" s="138">
        <f t="shared" si="1"/>
        <v>1002894763.33</v>
      </c>
      <c r="L30" s="50">
        <f>K30/F30</f>
        <v>0.31361405350449695</v>
      </c>
      <c r="M30" s="138">
        <f t="shared" si="1"/>
        <v>1947475704.4949017</v>
      </c>
      <c r="N30" s="50">
        <f>M30/E30</f>
        <v>0.48667627872456</v>
      </c>
      <c r="O30" s="138">
        <f t="shared" si="1"/>
        <v>1555353935.6115</v>
      </c>
      <c r="P30" s="50">
        <f>O30/F30</f>
        <v>0.48637291789387055</v>
      </c>
      <c r="Q30" s="138">
        <f t="shared" si="1"/>
        <v>2881280025.8492613</v>
      </c>
      <c r="R30" s="50">
        <f>Q30/E30</f>
        <v>0.7200349856520603</v>
      </c>
      <c r="S30" s="138">
        <f t="shared" si="1"/>
        <v>2285498259.789468</v>
      </c>
      <c r="T30" s="50">
        <f>S30/F30</f>
        <v>0.7146954992068288</v>
      </c>
      <c r="U30" s="138">
        <f t="shared" si="1"/>
        <v>3501439542.4685936</v>
      </c>
      <c r="V30" s="50">
        <f>U30/E30</f>
        <v>0.8750135176395482</v>
      </c>
      <c r="W30" s="138">
        <f t="shared" si="1"/>
        <v>2792238532.81924</v>
      </c>
      <c r="X30" s="50">
        <f>W30/F30</f>
        <v>0.8731576598538376</v>
      </c>
      <c r="Y30" s="138">
        <f t="shared" si="1"/>
        <v>3832404713.3240433</v>
      </c>
      <c r="Z30" s="50">
        <f>Y30/E30</f>
        <v>0.9577220707514569</v>
      </c>
      <c r="AA30" s="138">
        <f t="shared" si="1"/>
        <v>3043917123.7283683</v>
      </c>
      <c r="AB30" s="50">
        <f>AA30/F30</f>
        <v>0.9518597789208808</v>
      </c>
      <c r="AC30" s="138">
        <f t="shared" si="1"/>
        <v>4013360713.1162906</v>
      </c>
      <c r="AD30" s="50">
        <f>AC30/E30</f>
        <v>1.0029431702437426</v>
      </c>
      <c r="AE30" s="138">
        <f t="shared" si="1"/>
        <v>3205876403.979292</v>
      </c>
      <c r="AF30" s="50">
        <f>AE30/F30</f>
        <v>1.0025058768359916</v>
      </c>
      <c r="AG30" s="138"/>
    </row>
    <row r="31" spans="2:33" ht="18" customHeight="1">
      <c r="B31" s="164" t="s">
        <v>491</v>
      </c>
      <c r="C31" s="162"/>
      <c r="D31" s="162"/>
      <c r="E31" s="162"/>
      <c r="F31" s="162"/>
      <c r="G31" s="162"/>
      <c r="H31" s="162"/>
      <c r="I31" s="162"/>
      <c r="J31" s="163"/>
      <c r="K31" s="162"/>
      <c r="L31" s="163"/>
      <c r="M31" s="162"/>
      <c r="N31" s="163"/>
      <c r="O31" s="162"/>
      <c r="P31" s="163"/>
      <c r="Q31" s="162"/>
      <c r="R31" s="163"/>
      <c r="S31" s="162"/>
      <c r="T31" s="163"/>
      <c r="U31" s="162"/>
      <c r="V31" s="163"/>
      <c r="W31" s="162"/>
      <c r="X31" s="163"/>
      <c r="Y31" s="162"/>
      <c r="Z31" s="163"/>
      <c r="AA31" s="162"/>
      <c r="AB31" s="163"/>
      <c r="AC31" s="162"/>
      <c r="AD31" s="163"/>
      <c r="AE31" s="162"/>
      <c r="AF31" s="163"/>
      <c r="AG31" s="162"/>
    </row>
    <row r="32" spans="2:9" ht="18" customHeight="1">
      <c r="B32" s="164" t="s">
        <v>251</v>
      </c>
      <c r="C32" s="160"/>
      <c r="D32" s="160"/>
      <c r="E32" s="160"/>
      <c r="F32" s="160"/>
      <c r="G32" s="160"/>
      <c r="H32" s="160"/>
      <c r="I32" s="160"/>
    </row>
    <row r="33" ht="16.5">
      <c r="B33" s="164" t="s">
        <v>252</v>
      </c>
    </row>
    <row r="34" ht="16.5">
      <c r="B34" s="165" t="s">
        <v>253</v>
      </c>
    </row>
    <row r="35" ht="16.5">
      <c r="B35" s="166" t="s">
        <v>254</v>
      </c>
    </row>
    <row r="37" spans="2:32" ht="15.75" hidden="1">
      <c r="B37" t="s">
        <v>318</v>
      </c>
      <c r="C37" t="s">
        <v>317</v>
      </c>
      <c r="E37" s="153" t="e">
        <f>'EM'!H26+'EM'!H27+'EM'!H28+'EM'!H29+'EM'!H30+'EM'!H31+'EM'!H33+'EM'!H34+'EM'!H35+'EM'!H36+IZM!G38+IZM!G39+IZM!G40+IZM!G41+IZM!G42+IZM!G43+IZM!G44+IZM!G45+IZM!G46+LM!H21+LM!H22+LM!H23+LM!H24+LM!H25+LM!H26+VARAM!G10+VARAM!G11+VARAM!G12+VARAM!G13+VARAM!G14+VARAM!#REF!+VARAM!G15+VARAM!G16+VARAM!G17+VARAM!G18+VARAM!G19+VARAM!G20+VARAM!G21+VARAM!G22+VARAM!G23+VARAM!G24+VARAM!G25+VARAM!G26+VARAM!G27+VARAM!G28+SM!G26+VeM!F11+KM!G7+KM!G8+KM!G9</f>
        <v>#REF!</v>
      </c>
      <c r="F37" s="153" t="e">
        <f>'EM'!I26+'EM'!I27+'EM'!I28+'EM'!I29+'EM'!I30+'EM'!I31+'EM'!I33+'EM'!I34+'EM'!I35+'EM'!I36+IZM!H38+IZM!H39+IZM!H40+IZM!H41+IZM!H42+IZM!H43+IZM!H44+IZM!H45+IZM!H46+LM!I21+LM!I22+LM!I23+LM!I24+LM!I25+LM!I26+VARAM!H10+VARAM!H11+VARAM!H12+VARAM!H13+VARAM!H14+VARAM!#REF!+VARAM!H15+VARAM!H16+VARAM!H17+VARAM!H18+VARAM!H19+VARAM!H20+VARAM!H21+VARAM!H22+VARAM!H23+VARAM!H24+VARAM!H25+VARAM!H26+VARAM!H27+VARAM!H28+SM!H26+VeM!G11+KM!H7+KM!H8+KM!H9</f>
        <v>#REF!</v>
      </c>
      <c r="G37" s="153" t="e">
        <f>'EM'!J26+'EM'!J27+'EM'!J28+'EM'!J29+'EM'!J30+'EM'!J31+'EM'!J33+'EM'!J34+'EM'!J35+'EM'!J36+IZM!I38+IZM!I39+IZM!I40+IZM!I41+IZM!I42+IZM!I43+IZM!I44+IZM!I45+IZM!I46+LM!J21+LM!J22+LM!J23+LM!J24+LM!J25+LM!J26+VARAM!I10+VARAM!I11+VARAM!I12+VARAM!I13+VARAM!I14+VARAM!#REF!+VARAM!I15+VARAM!I16+VARAM!I17+VARAM!I18+VARAM!I19+VARAM!I20+VARAM!I21+VARAM!I22+VARAM!I23+VARAM!I24+VARAM!I25+VARAM!I26+VARAM!I27+VARAM!I28+SM!I26+VeM!H11+KM!I7+KM!I8+KM!I9</f>
        <v>#REF!</v>
      </c>
      <c r="H37" s="153" t="e">
        <f>'EM'!K26+'EM'!K27+'EM'!K28+'EM'!K29+'EM'!K30+'EM'!K31+'EM'!K33+'EM'!K34+'EM'!K35+'EM'!K36+IZM!J38+IZM!J39+IZM!J40+IZM!J41+IZM!J42+IZM!J43+IZM!J44+IZM!J45+IZM!J46+LM!K21+LM!K22+LM!K23+LM!K24+LM!K25+LM!K26+VARAM!J10+VARAM!J11+VARAM!J12+VARAM!J13+VARAM!J14+VARAM!#REF!+VARAM!J15+VARAM!J16+VARAM!J17+VARAM!J18+VARAM!J19+VARAM!J20+VARAM!J21+VARAM!J22+VARAM!J23+VARAM!J24+VARAM!J25+VARAM!J26+VARAM!J27+VARAM!J28+SM!J26+VeM!I11+KM!J7+KM!J8+KM!J9</f>
        <v>#REF!</v>
      </c>
      <c r="I37" s="153" t="e">
        <f>'EM'!L26+'EM'!L27+'EM'!L28+'EM'!L29+'EM'!L30+'EM'!L31+'EM'!L33+'EM'!L34+'EM'!L35+'EM'!L36+IZM!L38+IZM!L39+IZM!L40+IZM!L41+IZM!L42+IZM!L43+IZM!L44+IZM!L45+IZM!L46+LM!L21+LM!L22+LM!L23+LM!L24+LM!L25+LM!L26+VARAM!K10+VARAM!K11+VARAM!K12+VARAM!K13+VARAM!K14+VARAM!#REF!+VARAM!K15+VARAM!K16+VARAM!K17+VARAM!K18+VARAM!K19+VARAM!K20+VARAM!K21+VARAM!K22+VARAM!K23+VARAM!K24+VARAM!K25+VARAM!K26+VARAM!K27+VARAM!K28+SM!K26+VeM!J11+KM!K7+KM!K8+KM!K9</f>
        <v>#REF!</v>
      </c>
      <c r="J37" s="153" t="e">
        <f>'EM'!M26+'EM'!M27+'EM'!M28+'EM'!M29+'EM'!M30+'EM'!M31+'EM'!M33+'EM'!M34+'EM'!M35+'EM'!M36+IZM!M38+IZM!M39+IZM!M40+IZM!M41+IZM!M42+IZM!M43+IZM!M44+IZM!M45+IZM!M46+LM!M21+LM!M22+LM!M23+LM!M24+LM!M25+LM!M26+VARAM!L10+VARAM!L11+VARAM!L12+VARAM!L13+VARAM!L14+VARAM!#REF!+VARAM!L15+VARAM!L16+VARAM!L17+VARAM!L18+VARAM!L19+VARAM!L20+VARAM!L21+VARAM!L22+VARAM!L23+VARAM!L24+VARAM!L25+VARAM!L26+VARAM!L27+VARAM!L28+SM!L26+VeM!K11+KM!L7+KM!L8+KM!L9</f>
        <v>#REF!</v>
      </c>
      <c r="K37" s="153" t="e">
        <f>'EM'!N26+'EM'!N27+'EM'!N28+'EM'!N29+'EM'!N30+'EM'!N31+'EM'!N33+'EM'!N34+'EM'!N35+'EM'!N36+IZM!N38+IZM!N39+IZM!N40+IZM!N41+IZM!N42+IZM!N43+IZM!N44+IZM!N45+IZM!N46+LM!N21+LM!N22+LM!N23+LM!N24+LM!N25+LM!N26+VARAM!M10+VARAM!M11+VARAM!M12+VARAM!M13+VARAM!M14+VARAM!#REF!+VARAM!M15+VARAM!M16+VARAM!M17+VARAM!M18+VARAM!M19+VARAM!M20+VARAM!M21+VARAM!M22+VARAM!M23+VARAM!M24+VARAM!M25+VARAM!M26+VARAM!M27+VARAM!M28+SM!M26+VeM!L11+KM!M7+KM!M8+KM!M9</f>
        <v>#REF!</v>
      </c>
      <c r="L37" s="153" t="e">
        <f>'EM'!O26+'EM'!O27+'EM'!O28+'EM'!O29+'EM'!O30+'EM'!O31+'EM'!O33+'EM'!O34+'EM'!O35+'EM'!O36+IZM!O38+IZM!O39+IZM!O40+IZM!O41+IZM!O42+IZM!O43+IZM!O44+IZM!O45+IZM!O46+LM!O21+LM!O22+LM!O23+LM!O24+LM!O25+LM!O26+VARAM!N10+VARAM!N11+VARAM!N12+VARAM!N13+VARAM!N14+VARAM!#REF!+VARAM!N15+VARAM!N16+VARAM!N17+VARAM!N18+VARAM!N19+VARAM!N20+VARAM!N21+VARAM!N22+VARAM!N23+VARAM!N24+VARAM!N25+VARAM!N26+VARAM!N27+VARAM!N28+SM!N26+VeM!M11+KM!N7+KM!N8+KM!N9</f>
        <v>#REF!</v>
      </c>
      <c r="M37" s="153" t="e">
        <f>'EM'!P26+'EM'!P27+'EM'!P28+'EM'!P29+'EM'!P30+'EM'!P31+'EM'!P33+'EM'!P34+'EM'!P35+'EM'!P36+IZM!P38+IZM!P39+IZM!P40+IZM!P41+IZM!P42+IZM!P43+IZM!P44+IZM!P45+IZM!P46+LM!P21+LM!P22+LM!P23+LM!P24+LM!P25+LM!P26+VARAM!O10+VARAM!O11+VARAM!O12+VARAM!O13+VARAM!O14+VARAM!#REF!+VARAM!O15+VARAM!O16+VARAM!O17+VARAM!O18+VARAM!O19+VARAM!O20+VARAM!O21+VARAM!O22+VARAM!O23+VARAM!O24+VARAM!O25+VARAM!O26+VARAM!O27+VARAM!O28+SM!O26+VeM!N11+KM!O7+KM!O8+KM!O9</f>
        <v>#REF!</v>
      </c>
      <c r="N37" s="153" t="e">
        <f>'EM'!Q26+'EM'!Q27+'EM'!Q28+'EM'!Q29+'EM'!Q30+'EM'!Q31+'EM'!Q33+'EM'!Q34+'EM'!Q35+'EM'!Q36+IZM!Q38+IZM!Q39+IZM!Q40+IZM!Q41+IZM!Q42+IZM!Q43+IZM!Q44+IZM!Q45+IZM!Q46+LM!Q21+LM!Q22+LM!Q23+LM!Q24+LM!Q25+LM!Q26+VARAM!P10+VARAM!P11+VARAM!P12+VARAM!P13+VARAM!P14+VARAM!#REF!+VARAM!P15+VARAM!P16+VARAM!P17+VARAM!P18+VARAM!P19+VARAM!P20+VARAM!P21+VARAM!P22+VARAM!P23+VARAM!P24+VARAM!P25+VARAM!P26+VARAM!P27+VARAM!P28+SM!P26+VeM!O11+KM!P7+KM!P8+KM!P9</f>
        <v>#REF!</v>
      </c>
      <c r="O37" s="153" t="e">
        <f>'EM'!R26+'EM'!R27+'EM'!R28+'EM'!R29+'EM'!R30+'EM'!R31+'EM'!R33+'EM'!R34+'EM'!R35+'EM'!R36+IZM!R38+IZM!R39+IZM!R40+IZM!R41+IZM!R42+IZM!R43+IZM!R44+IZM!R45+IZM!R46+LM!R21+LM!R22+LM!R23+LM!R24+LM!R25+LM!R26+VARAM!Q10+VARAM!Q11+VARAM!Q12+VARAM!Q13+VARAM!Q14+VARAM!#REF!+VARAM!Q15+VARAM!Q16+VARAM!Q17+VARAM!Q18+VARAM!Q19+VARAM!Q20+VARAM!Q21+VARAM!Q22+VARAM!Q23+VARAM!Q24+VARAM!Q25+VARAM!Q26+VARAM!Q27+VARAM!Q28+SM!Q26+VeM!P11+KM!Q7+KM!Q8+KM!Q9</f>
        <v>#REF!</v>
      </c>
      <c r="P37" s="153" t="e">
        <f>'EM'!S26+'EM'!S27+'EM'!S28+'EM'!S29+'EM'!S30+'EM'!S31+'EM'!S33+'EM'!S34+'EM'!S35+'EM'!S36+IZM!S38+IZM!S39+IZM!S40+IZM!S41+IZM!S42+IZM!S43+IZM!S44+IZM!S45+IZM!S46+LM!S21+LM!S22+LM!S23+LM!S24+LM!S25+LM!S26+VARAM!R10+VARAM!R11+VARAM!R12+VARAM!R13+VARAM!R14+VARAM!#REF!+VARAM!R15+VARAM!R16+VARAM!R17+VARAM!R18+VARAM!R19+VARAM!R20+VARAM!R21+VARAM!R22+VARAM!R23+VARAM!R24+VARAM!R25+VARAM!R26+VARAM!R27+VARAM!R28+SM!R26+VeM!Q11+KM!R7+KM!R8+KM!R9</f>
        <v>#REF!</v>
      </c>
      <c r="Q37" s="153" t="e">
        <f>'EM'!T26+'EM'!T27+'EM'!T28+'EM'!T29+'EM'!T30+'EM'!T31+'EM'!T33+'EM'!T34+'EM'!T35+'EM'!T36+IZM!T38+IZM!T39+IZM!T40+IZM!T41+IZM!T42+IZM!T43+IZM!T44+IZM!T45+IZM!T46+LM!T21+LM!T22+LM!T23+LM!T24+LM!T25+LM!T26+VARAM!S10+VARAM!S11+VARAM!S12+VARAM!S13+VARAM!S14+VARAM!#REF!+VARAM!S15+VARAM!S16+VARAM!S17+VARAM!S18+VARAM!S19+VARAM!S20+VARAM!S21+VARAM!S22+VARAM!S23+VARAM!S24+VARAM!S25+VARAM!S26+VARAM!S27+VARAM!S28+SM!S26+VeM!R11+KM!S7+KM!S8+KM!S9</f>
        <v>#REF!</v>
      </c>
      <c r="R37" s="153" t="e">
        <f>'EM'!U26+'EM'!U27+'EM'!U28+'EM'!U29+'EM'!U30+'EM'!U31+'EM'!U33+'EM'!U34+'EM'!U35+'EM'!U36+IZM!U38+IZM!U39+IZM!U40+IZM!U41+IZM!U42+IZM!U43+IZM!U44+IZM!U45+IZM!U46+LM!U21+LM!U22+LM!U23+LM!U24+LM!U25+LM!U26+VARAM!T10+VARAM!T11+VARAM!T12+VARAM!T13+VARAM!T14+VARAM!#REF!+VARAM!T15+VARAM!T16+VARAM!T17+VARAM!T18+VARAM!T19+VARAM!T20+VARAM!T21+VARAM!T22+VARAM!T23+VARAM!T24+VARAM!T25+VARAM!T26+VARAM!T27+VARAM!T28+SM!T26+VeM!S11+KM!T7+KM!T8+KM!T9</f>
        <v>#REF!</v>
      </c>
      <c r="S37" s="153" t="e">
        <f>'EM'!V26+'EM'!V27+'EM'!V28+'EM'!V29+'EM'!V30+'EM'!V31+'EM'!V33+'EM'!V34+'EM'!V35+'EM'!V36+IZM!V38+IZM!V39+IZM!V40+IZM!V41+IZM!V42+IZM!V43+IZM!V44+IZM!V45+IZM!V46+LM!V21+LM!V22+LM!V23+LM!V24+LM!V25+LM!V26+VARAM!U10+VARAM!U11+VARAM!U12+VARAM!U13+VARAM!U14+VARAM!#REF!+VARAM!U15+VARAM!U16+VARAM!U17+VARAM!U18+VARAM!U19+VARAM!U20+VARAM!U21+VARAM!U22+VARAM!U23+VARAM!U24+VARAM!U25+VARAM!U26+VARAM!U27+VARAM!U28+SM!U26+VeM!T11+KM!U7+KM!U8+KM!U9</f>
        <v>#REF!</v>
      </c>
      <c r="T37" s="153" t="e">
        <f>'EM'!W26+'EM'!W27+'EM'!W28+'EM'!W29+'EM'!W30+'EM'!W31+'EM'!W33+'EM'!W34+'EM'!W35+'EM'!W36+IZM!W38+IZM!W39+IZM!W40+IZM!W41+IZM!W42+IZM!W43+IZM!W44+IZM!W45+IZM!W46+LM!W21+LM!W22+LM!W23+LM!W24+LM!W25+LM!W26+VARAM!V10+VARAM!V11+VARAM!V12+VARAM!V13+VARAM!V14+VARAM!#REF!+VARAM!V15+VARAM!V16+VARAM!V17+VARAM!V18+VARAM!V19+VARAM!V20+VARAM!V21+VARAM!V22+VARAM!V23+VARAM!V24+VARAM!V25+VARAM!V26+VARAM!V27+VARAM!V28+SM!V26+VeM!U11+KM!V7+KM!V8+KM!V9</f>
        <v>#REF!</v>
      </c>
      <c r="U37" s="153" t="e">
        <f>'EM'!X26+'EM'!X27+'EM'!X28+'EM'!X29+'EM'!X30+'EM'!X31+'EM'!X33+'EM'!X34+'EM'!X35+'EM'!X36+IZM!X38+IZM!X39+IZM!X40+IZM!X41+IZM!X42+IZM!X43+IZM!X44+IZM!X45+IZM!X46+LM!X21+LM!X22+LM!X23+LM!X24+LM!X25+LM!X26+VARAM!W10+VARAM!W11+VARAM!W12+VARAM!W13+VARAM!W14+VARAM!#REF!+VARAM!W15+VARAM!W16+VARAM!W17+VARAM!W18+VARAM!W19+VARAM!W20+VARAM!W21+VARAM!W22+VARAM!W23+VARAM!W24+VARAM!W25+VARAM!W26+VARAM!W27+VARAM!W28+SM!W26+VeM!V11+KM!W7+KM!W8+KM!W9</f>
        <v>#REF!</v>
      </c>
      <c r="V37" s="153" t="e">
        <f>'EM'!Y26+'EM'!Y27+'EM'!Y28+'EM'!Y29+'EM'!Y30+'EM'!Y31+'EM'!Y33+'EM'!Y34+'EM'!Y35+'EM'!Y36+IZM!Y38+IZM!Y39+IZM!Y40+IZM!Y41+IZM!Y42+IZM!Y43+IZM!Y44+IZM!Y45+IZM!Y46+LM!Y21+LM!Y22+LM!Y23+LM!Y24+LM!Y25+LM!Y26+VARAM!X10+VARAM!X11+VARAM!X12+VARAM!X13+VARAM!X14+VARAM!#REF!+VARAM!X15+VARAM!X16+VARAM!X17+VARAM!X18+VARAM!X19+VARAM!X20+VARAM!X21+VARAM!X22+VARAM!X23+VARAM!X24+VARAM!X25+VARAM!X26+VARAM!X27+VARAM!X28+SM!X26+VeM!W11+KM!X7+KM!X8+KM!X9</f>
        <v>#REF!</v>
      </c>
      <c r="W37" s="153" t="e">
        <f>'EM'!Z26+'EM'!Z27+'EM'!Z28+'EM'!Z29+'EM'!Z30+'EM'!Z31+'EM'!Z33+'EM'!Z34+'EM'!Z35+'EM'!Z36+IZM!Z38+IZM!Z39+IZM!Z40+IZM!Z41+IZM!Z42+IZM!Z43+IZM!Z44+IZM!Z45+IZM!Z46+LM!Z21+LM!Z22+LM!Z23+LM!Z24+LM!Z25+LM!Z26+VARAM!Y10+VARAM!Y11+VARAM!Y12+VARAM!Y13+VARAM!Y14+VARAM!#REF!+VARAM!Y15+VARAM!Y16+VARAM!Y17+VARAM!Y18+VARAM!Y19+VARAM!Y20+VARAM!Y21+VARAM!Y22+VARAM!Y23+VARAM!Y24+VARAM!Y25+VARAM!Y26+VARAM!Y27+VARAM!Y28+SM!Y26+VeM!X11+KM!Y7+KM!Y8+KM!Y9</f>
        <v>#REF!</v>
      </c>
      <c r="X37" s="153" t="e">
        <f>'EM'!AA26+'EM'!AA27+'EM'!AA28+'EM'!AA29+'EM'!AA30+'EM'!AA31+'EM'!AA33+'EM'!AA34+'EM'!AA35+'EM'!AA36+IZM!AA38+IZM!AA39+IZM!AA40+IZM!AA41+IZM!AA42+IZM!AA43+IZM!AA44+IZM!AA45+IZM!AA46+LM!AA21+LM!AA22+LM!AA23+LM!AA24+LM!AA25+LM!AA26+VARAM!Z10+VARAM!Z11+VARAM!Z12+VARAM!Z13+VARAM!Z14+VARAM!#REF!+VARAM!Z15+VARAM!Z16+VARAM!Z17+VARAM!Z18+VARAM!Z19+VARAM!Z20+VARAM!Z21+VARAM!Z22+VARAM!Z23+VARAM!Z24+VARAM!Z25+VARAM!Z26+VARAM!Z27+VARAM!Z28+SM!Z26+VeM!Y11+KM!Z7+KM!Z8+KM!Z9</f>
        <v>#REF!</v>
      </c>
      <c r="Y37" s="153" t="e">
        <f>'EM'!AB26+'EM'!AB27+'EM'!AB28+'EM'!AB29+'EM'!AB30+'EM'!AB31+'EM'!AB33+'EM'!AB34+'EM'!AB35+'EM'!AB36+IZM!AB38+IZM!AB39+IZM!AB40+IZM!AB41+IZM!AB42+IZM!AB43+IZM!AB44+IZM!AB45+IZM!AB46+LM!AB21+LM!AB22+LM!AB23+LM!AB24+LM!AB25+LM!AB26+VARAM!AA10+VARAM!AA11+VARAM!AA12+VARAM!AA13+VARAM!AA14+VARAM!#REF!+VARAM!AA15+VARAM!AA16+VARAM!AA17+VARAM!AA18+VARAM!AA19+VARAM!AA20+VARAM!AA21+VARAM!AA22+VARAM!AA23+VARAM!AA24+VARAM!AA25+VARAM!AA26+VARAM!AA27+VARAM!AA28+SM!AA26+VeM!Z11+KM!AA7+KM!AA8+KM!AA9</f>
        <v>#REF!</v>
      </c>
      <c r="Z37" s="153" t="e">
        <f>'EM'!AC26+'EM'!AC27+'EM'!AC28+'EM'!AC29+'EM'!AC30+'EM'!AC31+'EM'!AC33+'EM'!AC34+'EM'!AC35+'EM'!AC36+IZM!AC38+IZM!AC39+IZM!AC40+IZM!AC41+IZM!AC42+IZM!AC43+IZM!AC44+IZM!AC45+IZM!AC46+LM!AC21+LM!AC22+LM!AC23+LM!AC24+LM!AC25+LM!AC26+VARAM!AB10+VARAM!AB11+VARAM!AB12+VARAM!AB13+VARAM!AB14+VARAM!#REF!+VARAM!AB15+VARAM!AB16+VARAM!AB17+VARAM!AB18+VARAM!AB19+VARAM!AB20+VARAM!AB21+VARAM!AB22+VARAM!AB23+VARAM!AB24+VARAM!AB25+VARAM!AB26+VARAM!AB27+VARAM!AB28+SM!AB26+VeM!AA11+KM!AB7+KM!AB8+KM!AB9</f>
        <v>#REF!</v>
      </c>
      <c r="AA37" s="153" t="e">
        <f>'EM'!AD26+'EM'!AD27+'EM'!AD28+'EM'!AD29+'EM'!AD30+'EM'!AD31+'EM'!AD33+'EM'!AD34+'EM'!AD35+'EM'!AD36+IZM!AD38+IZM!AD39+IZM!AD40+IZM!AD41+IZM!AD42+IZM!AD43+IZM!AD44+IZM!AD45+IZM!AD46+LM!AD21+LM!AD22+LM!AD23+LM!AD24+LM!AD25+LM!AD26+VARAM!AC10+VARAM!AC11+VARAM!AC12+VARAM!AC13+VARAM!AC14+VARAM!#REF!+VARAM!AC15+VARAM!AC16+VARAM!AC17+VARAM!AC18+VARAM!AC19+VARAM!AC20+VARAM!AC21+VARAM!AC22+VARAM!AC23+VARAM!AC24+VARAM!AC25+VARAM!AC26+VARAM!AC27+VARAM!AC28+SM!AC26+VeM!AB11+KM!AC7+KM!AC8+KM!AC9</f>
        <v>#REF!</v>
      </c>
      <c r="AB37" s="153" t="e">
        <f>'EM'!AE26+'EM'!AE27+'EM'!AE28+'EM'!AE29+'EM'!AE30+'EM'!AE31+'EM'!AE33+'EM'!AE34+'EM'!AE35+'EM'!AE36+IZM!AE38+IZM!AE39+IZM!AE40+IZM!AE41+IZM!AE42+IZM!AE43+IZM!AE44+IZM!AE45+IZM!AE46+LM!AE21+LM!AE22+LM!AE23+LM!AE24+LM!AE25+LM!AE26+VARAM!AD10+VARAM!AD11+VARAM!AD12+VARAM!AD13+VARAM!AD14+VARAM!#REF!+VARAM!AD15+VARAM!AD16+VARAM!AD17+VARAM!AD18+VARAM!AD19+VARAM!AD20+VARAM!AD21+VARAM!AD22+VARAM!AD23+VARAM!AD24+VARAM!AD25+VARAM!AD26+VARAM!AD27+VARAM!AD28+SM!AD26+VeM!AC11+KM!AD7+KM!AD8+KM!AD9</f>
        <v>#REF!</v>
      </c>
      <c r="AC37" s="153" t="e">
        <f>'EM'!AF26+'EM'!AF27+'EM'!AF28+'EM'!AF29+'EM'!AF30+'EM'!AF31+'EM'!AF33+'EM'!AF34+'EM'!AF35+'EM'!AF36+IZM!AF38+IZM!AF39+IZM!AF40+IZM!AF41+IZM!AF42+IZM!AF43+IZM!AF44+IZM!AF45+IZM!AF46+LM!AF21+LM!AF22+LM!AF23+LM!AF24+LM!AF25+LM!AF26+VARAM!AE10+VARAM!AE11+VARAM!AE12+VARAM!AE13+VARAM!AE14+VARAM!#REF!+VARAM!AE15+VARAM!AE16+VARAM!AE17+VARAM!AE18+VARAM!AE19+VARAM!AE20+VARAM!AE21+VARAM!AE22+VARAM!AE23+VARAM!AE24+VARAM!AE25+VARAM!AE26+VARAM!AE27+VARAM!AE28+SM!AE26+VeM!AD11+KM!AE7+KM!AE8+KM!AE9</f>
        <v>#REF!</v>
      </c>
      <c r="AD37" s="153" t="e">
        <f>'EM'!AG26+'EM'!AG27+'EM'!AG28+'EM'!AG29+'EM'!AG30+'EM'!AG31+'EM'!AG33+'EM'!AG34+'EM'!AG35+'EM'!AG36+IZM!AG38+IZM!AG39+IZM!AG40+IZM!AG41+IZM!AG42+IZM!AG43+IZM!AG44+IZM!AG45+IZM!AG46+LM!AG21+LM!AG22+LM!AG23+LM!AG24+LM!AG25+LM!AG26+VARAM!AF10+VARAM!AF11+VARAM!AF12+VARAM!AF13+VARAM!AF14+VARAM!#REF!+VARAM!AF15+VARAM!AF16+VARAM!AF17+VARAM!AF18+VARAM!AF19+VARAM!AF20+VARAM!AF21+VARAM!AF22+VARAM!AF23+VARAM!AF24+VARAM!AF25+VARAM!AF26+VARAM!AF27+VARAM!AF28+SM!AF26+VeM!AE11+KM!AF7+KM!AF8+KM!AF9</f>
        <v>#REF!</v>
      </c>
      <c r="AE37" s="153" t="e">
        <f>'EM'!AH26+'EM'!AH27+'EM'!AH28+'EM'!AH29+'EM'!AH30+'EM'!AH31+'EM'!AH33+'EM'!AH34+'EM'!AH35+'EM'!AH36+IZM!AH38+IZM!AH39+IZM!AH40+IZM!AH41+IZM!AH42+IZM!AH43+IZM!AH44+IZM!AH45+IZM!AH46+LM!AH21+LM!AH22+LM!AH23+LM!AH24+LM!AH25+LM!AH26+VARAM!AG10+VARAM!AG11+VARAM!AG12+VARAM!AG13+VARAM!AG14+VARAM!#REF!+VARAM!AG15+VARAM!AG16+VARAM!AG17+VARAM!AG18+VARAM!AG19+VARAM!AG20+VARAM!AG21+VARAM!AG22+VARAM!AG23+VARAM!AG24+VARAM!AG25+VARAM!AG26+VARAM!AG27+VARAM!AG28+SM!AG26+VeM!AF11+KM!AG7+KM!AG8+KM!AG9</f>
        <v>#REF!</v>
      </c>
      <c r="AF37" s="153" t="e">
        <f>'EM'!AI26+'EM'!AI27+'EM'!AI28+'EM'!AI29+'EM'!AI30+'EM'!AI31+'EM'!AI33+'EM'!AI34+'EM'!AI35+'EM'!AI36+IZM!AI38+IZM!AI39+IZM!AI40+IZM!AI41+IZM!AI42+IZM!AI43+IZM!AI44+IZM!AI45+IZM!AI46+LM!AI21+LM!AI22+LM!AI23+LM!AI24+LM!AI25+LM!AI26+VARAM!AH10+VARAM!AH11+VARAM!AH12+VARAM!AH13+VARAM!AH14+VARAM!#REF!+VARAM!AH15+VARAM!AH16+VARAM!AH17+VARAM!AH18+VARAM!AH19+VARAM!AH20+VARAM!AH21+VARAM!AH22+VARAM!AH23+VARAM!AH24+VARAM!AH25+VARAM!AH26+VARAM!AH27+VARAM!AH28+SM!AH26+VeM!AG11+KM!AH7+KM!AH8+KM!AH9</f>
        <v>#REF!</v>
      </c>
    </row>
    <row r="38" ht="15.75">
      <c r="G38" s="153"/>
    </row>
    <row r="40" spans="5:6" ht="15.75">
      <c r="E40" s="153"/>
      <c r="F40" s="153"/>
    </row>
  </sheetData>
  <sheetProtection/>
  <mergeCells count="21">
    <mergeCell ref="B4:B6"/>
    <mergeCell ref="C4:C6"/>
    <mergeCell ref="D4:D6"/>
    <mergeCell ref="E4:F4"/>
    <mergeCell ref="G4:H4"/>
    <mergeCell ref="AG4:AG6"/>
    <mergeCell ref="E5:E6"/>
    <mergeCell ref="Q5:T5"/>
    <mergeCell ref="I4:L4"/>
    <mergeCell ref="M5:P5"/>
    <mergeCell ref="M4:AF4"/>
    <mergeCell ref="F5:F6"/>
    <mergeCell ref="AC5:AF5"/>
    <mergeCell ref="G5:G6"/>
    <mergeCell ref="U5:X5"/>
    <mergeCell ref="L5:L6"/>
    <mergeCell ref="K5:K6"/>
    <mergeCell ref="Y5:AB5"/>
    <mergeCell ref="H5:H6"/>
    <mergeCell ref="I5:I6"/>
    <mergeCell ref="J5:J6"/>
  </mergeCells>
  <printOptions horizontalCentered="1"/>
  <pageMargins left="0.25" right="0.25" top="0.75" bottom="0.75" header="0.3" footer="0.3"/>
  <pageSetup fitToHeight="1" fitToWidth="1" horizontalDpi="600" verticalDpi="600" orientation="landscape" paperSize="8" scale="38" r:id="rId3"/>
  <headerFooter>
    <oddFooter>&amp;L&amp;10FM_pielik_Nr.1; Informācija par 1.mērķa Eiropas Savienības struktūrfondu un Kohēzijas fonda projektiem (faktiskā apguve un turpmāk plānotais finansējums  2007.-2013.gada plānošanas periodam) &amp;R&amp;P</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1:AI65"/>
  <sheetViews>
    <sheetView tabSelected="1" view="pageBreakPreview" zoomScale="55" zoomScaleSheetLayoutView="55" workbookViewId="0" topLeftCell="O16">
      <selection activeCell="X52" sqref="X52"/>
    </sheetView>
  </sheetViews>
  <sheetFormatPr defaultColWidth="9.00390625" defaultRowHeight="15.75"/>
  <cols>
    <col min="2" max="2" width="5.00390625" style="0" customWidth="1"/>
    <col min="4" max="4" width="18.625" style="0" customWidth="1"/>
    <col min="5" max="5" width="9.125" style="0" bestFit="1" customWidth="1"/>
    <col min="6" max="6" width="14.625" style="0" customWidth="1"/>
    <col min="7" max="8" width="11.50390625" style="0" bestFit="1" customWidth="1"/>
    <col min="9" max="9" width="11.75390625" style="0" customWidth="1"/>
    <col min="10" max="10" width="11.875" style="0" customWidth="1"/>
    <col min="11" max="11" width="9.875" style="0" bestFit="1" customWidth="1"/>
    <col min="12" max="12" width="9.25390625" style="0" bestFit="1" customWidth="1"/>
    <col min="13" max="13" width="10.75390625" style="0" customWidth="1"/>
    <col min="14" max="14" width="9.25390625" style="0" bestFit="1" customWidth="1"/>
    <col min="15" max="15" width="11.875" style="0" customWidth="1"/>
    <col min="16" max="16" width="9.125" style="0" bestFit="1" customWidth="1"/>
    <col min="17" max="17" width="12.125" style="0" customWidth="1"/>
    <col min="18" max="18" width="9.125" style="0" bestFit="1" customWidth="1"/>
    <col min="19" max="19" width="11.25390625" style="0" customWidth="1"/>
    <col min="20" max="20" width="9.125" style="0" bestFit="1" customWidth="1"/>
    <col min="21" max="21" width="11.75390625" style="0" customWidth="1"/>
    <col min="22" max="22" width="10.375" style="0" bestFit="1" customWidth="1"/>
    <col min="23" max="23" width="11.875" style="0" customWidth="1"/>
    <col min="24" max="24" width="12.25390625" style="0" customWidth="1"/>
    <col min="25" max="25" width="13.125" style="0" customWidth="1"/>
    <col min="27" max="27" width="11.875" style="0" customWidth="1"/>
    <col min="29" max="29" width="12.125" style="0" customWidth="1"/>
    <col min="31" max="31" width="11.50390625" style="0" customWidth="1"/>
    <col min="32" max="32" width="9.125" style="0" bestFit="1" customWidth="1"/>
    <col min="33" max="33" width="11.25390625" style="0" customWidth="1"/>
    <col min="34" max="34" width="9.125" style="0" bestFit="1" customWidth="1"/>
    <col min="35" max="35" width="67.875" style="0" customWidth="1"/>
  </cols>
  <sheetData>
    <row r="1" ht="15.75">
      <c r="AI1" s="256" t="s">
        <v>360</v>
      </c>
    </row>
    <row r="2" spans="2:35" ht="15.75">
      <c r="B2" s="473" t="s">
        <v>230</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2:35" ht="16.5" thickBot="1">
      <c r="B3" s="15"/>
      <c r="C3" s="15"/>
      <c r="D3" s="15"/>
      <c r="E3" s="15"/>
      <c r="F3" s="15"/>
      <c r="G3" s="15"/>
      <c r="H3" s="23"/>
      <c r="I3" s="15"/>
      <c r="J3" s="15"/>
      <c r="K3" s="15"/>
      <c r="L3" s="143"/>
      <c r="M3" s="15"/>
      <c r="N3" s="143"/>
      <c r="O3" s="32"/>
      <c r="P3" s="143"/>
      <c r="Q3" s="15"/>
      <c r="R3" s="143"/>
      <c r="S3" s="15"/>
      <c r="T3" s="143"/>
      <c r="U3" s="15"/>
      <c r="V3" s="143"/>
      <c r="W3" s="15"/>
      <c r="X3" s="143"/>
      <c r="Y3" s="15"/>
      <c r="Z3" s="143"/>
      <c r="AA3" s="15"/>
      <c r="AB3" s="143"/>
      <c r="AC3" s="15"/>
      <c r="AD3" s="143"/>
      <c r="AE3" s="16"/>
      <c r="AF3" s="144"/>
      <c r="AG3" s="16"/>
      <c r="AH3" s="143"/>
      <c r="AI3" s="15"/>
    </row>
    <row r="4" spans="2:35" ht="54" customHeight="1">
      <c r="B4" s="510" t="s">
        <v>0</v>
      </c>
      <c r="C4" s="512" t="s">
        <v>1</v>
      </c>
      <c r="D4" s="512" t="s">
        <v>2</v>
      </c>
      <c r="E4" s="478" t="s">
        <v>256</v>
      </c>
      <c r="F4" s="478" t="s">
        <v>255</v>
      </c>
      <c r="G4" s="522" t="str">
        <f>KOPSAVILKUMS!E4</f>
        <v>2007.-2013.gadam plānotais fnansējums 2</v>
      </c>
      <c r="H4" s="523"/>
      <c r="I4" s="522" t="str">
        <f>KOPSAVILKUMS!G4</f>
        <v>2007.-2011. g.plānotais finansējums 3</v>
      </c>
      <c r="J4" s="526"/>
      <c r="K4" s="522" t="str">
        <f>KOPSAVILKUMS!I4</f>
        <v>Apgūts līdz 1.05.2011.4</v>
      </c>
      <c r="L4" s="531"/>
      <c r="M4" s="531"/>
      <c r="N4" s="526"/>
      <c r="O4" s="531" t="str">
        <f>KOPSAVILKUMS!M4</f>
        <v>Plānotais attiecināmais finansējums pa gadiem (pieaugošā secībā no 2007.gada) 5</v>
      </c>
      <c r="P4" s="532"/>
      <c r="Q4" s="531"/>
      <c r="R4" s="532"/>
      <c r="S4" s="531"/>
      <c r="T4" s="532"/>
      <c r="U4" s="531"/>
      <c r="V4" s="532"/>
      <c r="W4" s="531"/>
      <c r="X4" s="532"/>
      <c r="Y4" s="531"/>
      <c r="Z4" s="532"/>
      <c r="AA4" s="531"/>
      <c r="AB4" s="532"/>
      <c r="AC4" s="531"/>
      <c r="AD4" s="532"/>
      <c r="AE4" s="531"/>
      <c r="AF4" s="532"/>
      <c r="AG4" s="531"/>
      <c r="AH4" s="533"/>
      <c r="AI4" s="507" t="s">
        <v>364</v>
      </c>
    </row>
    <row r="5" spans="2:35" ht="15.75">
      <c r="B5" s="511"/>
      <c r="C5" s="513"/>
      <c r="D5" s="515"/>
      <c r="E5" s="479"/>
      <c r="F5" s="479"/>
      <c r="G5" s="524" t="s">
        <v>4</v>
      </c>
      <c r="H5" s="527" t="s">
        <v>5</v>
      </c>
      <c r="I5" s="524" t="s">
        <v>4</v>
      </c>
      <c r="J5" s="524" t="s">
        <v>5</v>
      </c>
      <c r="K5" s="524" t="s">
        <v>4</v>
      </c>
      <c r="L5" s="520" t="s">
        <v>6</v>
      </c>
      <c r="M5" s="524" t="s">
        <v>5</v>
      </c>
      <c r="N5" s="520" t="s">
        <v>6</v>
      </c>
      <c r="O5" s="516" t="s">
        <v>7</v>
      </c>
      <c r="P5" s="517"/>
      <c r="Q5" s="518"/>
      <c r="R5" s="519"/>
      <c r="S5" s="516" t="s">
        <v>8</v>
      </c>
      <c r="T5" s="517"/>
      <c r="U5" s="518"/>
      <c r="V5" s="519"/>
      <c r="W5" s="516" t="s">
        <v>9</v>
      </c>
      <c r="X5" s="517"/>
      <c r="Y5" s="518"/>
      <c r="Z5" s="519"/>
      <c r="AA5" s="516" t="s">
        <v>10</v>
      </c>
      <c r="AB5" s="517"/>
      <c r="AC5" s="518"/>
      <c r="AD5" s="519"/>
      <c r="AE5" s="516" t="s">
        <v>231</v>
      </c>
      <c r="AF5" s="517"/>
      <c r="AG5" s="518"/>
      <c r="AH5" s="519"/>
      <c r="AI5" s="508"/>
    </row>
    <row r="6" spans="2:35" ht="78.75">
      <c r="B6" s="511"/>
      <c r="C6" s="514"/>
      <c r="D6" s="515"/>
      <c r="E6" s="479"/>
      <c r="F6" s="479"/>
      <c r="G6" s="525"/>
      <c r="H6" s="528"/>
      <c r="I6" s="525"/>
      <c r="J6" s="525"/>
      <c r="K6" s="525"/>
      <c r="L6" s="521"/>
      <c r="M6" s="525"/>
      <c r="N6" s="534"/>
      <c r="O6" s="35" t="s">
        <v>4</v>
      </c>
      <c r="P6" s="34" t="s">
        <v>6</v>
      </c>
      <c r="Q6" s="35" t="s">
        <v>5</v>
      </c>
      <c r="R6" s="34" t="s">
        <v>6</v>
      </c>
      <c r="S6" s="35" t="s">
        <v>4</v>
      </c>
      <c r="T6" s="34" t="s">
        <v>6</v>
      </c>
      <c r="U6" s="35" t="s">
        <v>5</v>
      </c>
      <c r="V6" s="34" t="s">
        <v>6</v>
      </c>
      <c r="W6" s="35" t="s">
        <v>4</v>
      </c>
      <c r="X6" s="34" t="s">
        <v>6</v>
      </c>
      <c r="Y6" s="35" t="s">
        <v>5</v>
      </c>
      <c r="Z6" s="34" t="s">
        <v>6</v>
      </c>
      <c r="AA6" s="35" t="s">
        <v>4</v>
      </c>
      <c r="AB6" s="34" t="s">
        <v>6</v>
      </c>
      <c r="AC6" s="35" t="s">
        <v>5</v>
      </c>
      <c r="AD6" s="34" t="s">
        <v>6</v>
      </c>
      <c r="AE6" s="35" t="s">
        <v>4</v>
      </c>
      <c r="AF6" s="34" t="s">
        <v>6</v>
      </c>
      <c r="AG6" s="35" t="s">
        <v>5</v>
      </c>
      <c r="AH6" s="34" t="s">
        <v>6</v>
      </c>
      <c r="AI6" s="509"/>
    </row>
    <row r="7" spans="2:35" s="146" customFormat="1" ht="349.5" customHeight="1">
      <c r="B7" s="161">
        <v>1</v>
      </c>
      <c r="C7" s="40" t="s">
        <v>14</v>
      </c>
      <c r="D7" s="145" t="s">
        <v>232</v>
      </c>
      <c r="E7" s="66">
        <v>3</v>
      </c>
      <c r="F7" s="66" t="s">
        <v>233</v>
      </c>
      <c r="G7" s="67">
        <v>17517815</v>
      </c>
      <c r="H7" s="67">
        <v>14890142</v>
      </c>
      <c r="I7" s="327">
        <v>4261885</v>
      </c>
      <c r="J7" s="327">
        <v>4017145</v>
      </c>
      <c r="K7" s="327">
        <v>286245.34</v>
      </c>
      <c r="L7" s="328">
        <f>K7/G7</f>
        <v>0.016340242204864023</v>
      </c>
      <c r="M7" s="380">
        <v>2232282.44</v>
      </c>
      <c r="N7" s="328">
        <f>M7/H7</f>
        <v>0.14991679998753538</v>
      </c>
      <c r="O7" s="327">
        <f>Q7*100/85</f>
        <v>4655847.05882353</v>
      </c>
      <c r="P7" s="329">
        <f>O7/G7</f>
        <v>0.26577784151867856</v>
      </c>
      <c r="Q7" s="327">
        <v>3957470</v>
      </c>
      <c r="R7" s="330">
        <f>Q7/H7</f>
        <v>0.26577785490561473</v>
      </c>
      <c r="S7" s="327">
        <f>G7</f>
        <v>17517815</v>
      </c>
      <c r="T7" s="330">
        <f>S7/G7</f>
        <v>1</v>
      </c>
      <c r="U7" s="327">
        <v>5916325</v>
      </c>
      <c r="V7" s="330">
        <f>U7/H7</f>
        <v>0.3973316708463895</v>
      </c>
      <c r="W7" s="327">
        <v>17517815</v>
      </c>
      <c r="X7" s="331">
        <f>W7/G7</f>
        <v>1</v>
      </c>
      <c r="Y7" s="327">
        <v>8889924</v>
      </c>
      <c r="Z7" s="330">
        <f>Y7/H7</f>
        <v>0.5970341988679491</v>
      </c>
      <c r="AA7" s="327">
        <v>17517815</v>
      </c>
      <c r="AB7" s="350">
        <v>1</v>
      </c>
      <c r="AC7" s="327">
        <v>14890142</v>
      </c>
      <c r="AD7" s="350">
        <v>1</v>
      </c>
      <c r="AE7" s="327">
        <v>17517815</v>
      </c>
      <c r="AF7" s="328">
        <v>1</v>
      </c>
      <c r="AG7" s="327">
        <v>14890142</v>
      </c>
      <c r="AH7" s="330">
        <v>1</v>
      </c>
      <c r="AI7" s="351" t="s">
        <v>488</v>
      </c>
    </row>
    <row r="8" spans="2:35" s="151" customFormat="1" ht="344.25" customHeight="1">
      <c r="B8" s="161">
        <v>2</v>
      </c>
      <c r="C8" s="147" t="s">
        <v>14</v>
      </c>
      <c r="D8" s="148" t="s">
        <v>234</v>
      </c>
      <c r="E8" s="66">
        <v>6</v>
      </c>
      <c r="F8" s="189" t="s">
        <v>257</v>
      </c>
      <c r="G8" s="5">
        <v>7582439</v>
      </c>
      <c r="H8" s="5">
        <v>6445072</v>
      </c>
      <c r="I8" s="327">
        <v>1930648</v>
      </c>
      <c r="J8" s="327">
        <v>1871128</v>
      </c>
      <c r="K8" s="296">
        <v>239494.25</v>
      </c>
      <c r="L8" s="330">
        <f>K8/G8</f>
        <v>0.031585384333457873</v>
      </c>
      <c r="M8" s="296">
        <f>K8</f>
        <v>239494.25</v>
      </c>
      <c r="N8" s="330">
        <f>M8/H8</f>
        <v>0.037159282316784045</v>
      </c>
      <c r="O8" s="327">
        <f>Q8*100/85</f>
        <v>2788192.9411764704</v>
      </c>
      <c r="P8" s="329">
        <f>O8/G8</f>
        <v>0.3677171608207426</v>
      </c>
      <c r="Q8" s="296">
        <v>2369964</v>
      </c>
      <c r="R8" s="330">
        <f>Q8/H8</f>
        <v>0.36771722643284666</v>
      </c>
      <c r="S8" s="296">
        <f>U8*100/85</f>
        <v>4833675.294117647</v>
      </c>
      <c r="T8" s="330">
        <f>S8/G8</f>
        <v>0.6374829120442178</v>
      </c>
      <c r="U8" s="296">
        <v>4108624</v>
      </c>
      <c r="V8" s="330">
        <f>U8/H8</f>
        <v>0.6374830257908678</v>
      </c>
      <c r="W8" s="296">
        <f>G8</f>
        <v>7582439</v>
      </c>
      <c r="X8" s="331">
        <f>W8/G8</f>
        <v>1</v>
      </c>
      <c r="Y8" s="296">
        <v>6445072</v>
      </c>
      <c r="Z8" s="330">
        <f>Y8/H8</f>
        <v>1</v>
      </c>
      <c r="AA8" s="296">
        <v>7582439</v>
      </c>
      <c r="AB8" s="350">
        <v>1</v>
      </c>
      <c r="AC8" s="296">
        <v>6445072</v>
      </c>
      <c r="AD8" s="350">
        <v>1</v>
      </c>
      <c r="AE8" s="327">
        <v>7582439</v>
      </c>
      <c r="AF8" s="330">
        <v>1</v>
      </c>
      <c r="AG8" s="327">
        <v>6445072</v>
      </c>
      <c r="AH8" s="330">
        <v>1</v>
      </c>
      <c r="AI8" s="352" t="s">
        <v>489</v>
      </c>
    </row>
    <row r="9" spans="2:35" s="151" customFormat="1" ht="309.75" customHeight="1">
      <c r="B9" s="161">
        <v>3</v>
      </c>
      <c r="C9" s="147" t="s">
        <v>14</v>
      </c>
      <c r="D9" s="148" t="s">
        <v>235</v>
      </c>
      <c r="E9" s="66">
        <v>3</v>
      </c>
      <c r="F9" s="189" t="s">
        <v>258</v>
      </c>
      <c r="G9" s="5">
        <v>5999999</v>
      </c>
      <c r="H9" s="5">
        <v>3999999</v>
      </c>
      <c r="I9" s="327">
        <v>870163</v>
      </c>
      <c r="J9" s="327">
        <v>870163</v>
      </c>
      <c r="K9" s="296">
        <v>0</v>
      </c>
      <c r="L9" s="330">
        <f>K9/G9</f>
        <v>0</v>
      </c>
      <c r="M9" s="296">
        <v>0</v>
      </c>
      <c r="N9" s="330">
        <f>M9/H9</f>
        <v>0</v>
      </c>
      <c r="O9" s="327">
        <v>1298749.2537313432</v>
      </c>
      <c r="P9" s="329">
        <f>O9/G9</f>
        <v>0.21645824503159805</v>
      </c>
      <c r="Q9" s="296">
        <v>870162</v>
      </c>
      <c r="R9" s="330">
        <f>Q9/H9</f>
        <v>0.21754055438513858</v>
      </c>
      <c r="S9" s="296">
        <v>3958868.656716418</v>
      </c>
      <c r="T9" s="330">
        <f>S9/G9</f>
        <v>0.6598115527546617</v>
      </c>
      <c r="U9" s="296">
        <v>2652442</v>
      </c>
      <c r="V9" s="330">
        <f>U9/H9</f>
        <v>0.6631106657776664</v>
      </c>
      <c r="W9" s="353">
        <f>G9</f>
        <v>5999999</v>
      </c>
      <c r="X9" s="331">
        <f>W9/G9</f>
        <v>1</v>
      </c>
      <c r="Y9" s="296">
        <v>3999999</v>
      </c>
      <c r="Z9" s="330">
        <f>Y9/H9</f>
        <v>1</v>
      </c>
      <c r="AA9" s="353">
        <v>5999999</v>
      </c>
      <c r="AB9" s="350">
        <v>1</v>
      </c>
      <c r="AC9" s="353">
        <v>3999999</v>
      </c>
      <c r="AD9" s="350">
        <v>1</v>
      </c>
      <c r="AE9" s="327">
        <v>5999999</v>
      </c>
      <c r="AF9" s="330">
        <v>1</v>
      </c>
      <c r="AG9" s="327">
        <v>3999999</v>
      </c>
      <c r="AH9" s="330">
        <v>1</v>
      </c>
      <c r="AI9" s="352" t="s">
        <v>490</v>
      </c>
    </row>
    <row r="10" spans="2:35" ht="15.75">
      <c r="B10" s="140" t="s">
        <v>175</v>
      </c>
      <c r="C10" s="140"/>
      <c r="D10" s="140"/>
      <c r="E10" s="154">
        <f>SUM(E7:E9)</f>
        <v>12</v>
      </c>
      <c r="F10" s="140"/>
      <c r="G10" s="201">
        <f>SUM(G7:G9)</f>
        <v>31100253</v>
      </c>
      <c r="H10" s="201">
        <f>SUM(H7:H9)</f>
        <v>25335213</v>
      </c>
      <c r="I10" s="201">
        <f aca="true" t="shared" si="0" ref="I10:AG10">SUM(I7:I9)</f>
        <v>7062696</v>
      </c>
      <c r="J10" s="201">
        <f t="shared" si="0"/>
        <v>6758436</v>
      </c>
      <c r="K10" s="201">
        <f t="shared" si="0"/>
        <v>525739.5900000001</v>
      </c>
      <c r="L10" s="149">
        <f>K10/G10</f>
        <v>0.016904672447519965</v>
      </c>
      <c r="M10" s="201">
        <f t="shared" si="0"/>
        <v>2471776.69</v>
      </c>
      <c r="N10" s="149">
        <f>M10/H10</f>
        <v>0.09756289359004007</v>
      </c>
      <c r="O10" s="201">
        <f t="shared" si="0"/>
        <v>8742789.253731344</v>
      </c>
      <c r="P10" s="152">
        <f>O10/G10</f>
        <v>0.28111633862693475</v>
      </c>
      <c r="Q10" s="201">
        <f t="shared" si="0"/>
        <v>7197596</v>
      </c>
      <c r="R10" s="149">
        <f>Q10/H10</f>
        <v>0.2840945525107683</v>
      </c>
      <c r="S10" s="201">
        <f t="shared" si="0"/>
        <v>26310358.950834066</v>
      </c>
      <c r="T10" s="149">
        <f>S10/G10</f>
        <v>0.8459853670911959</v>
      </c>
      <c r="U10" s="201">
        <f t="shared" si="0"/>
        <v>12677391</v>
      </c>
      <c r="V10" s="149">
        <f>U10/H10</f>
        <v>0.500386201608015</v>
      </c>
      <c r="W10" s="201">
        <f t="shared" si="0"/>
        <v>31100253</v>
      </c>
      <c r="X10" s="150">
        <f>W10/G10</f>
        <v>1</v>
      </c>
      <c r="Y10" s="201">
        <f t="shared" si="0"/>
        <v>19334995</v>
      </c>
      <c r="Z10" s="149">
        <f>Y10/H10</f>
        <v>0.7631668618692884</v>
      </c>
      <c r="AA10" s="201">
        <f t="shared" si="0"/>
        <v>31100253</v>
      </c>
      <c r="AB10" s="200">
        <f>AA10/G10</f>
        <v>1</v>
      </c>
      <c r="AC10" s="201">
        <f t="shared" si="0"/>
        <v>25335213</v>
      </c>
      <c r="AD10" s="200">
        <f>AC10/H10</f>
        <v>1</v>
      </c>
      <c r="AE10" s="201">
        <f t="shared" si="0"/>
        <v>31100253</v>
      </c>
      <c r="AF10" s="149">
        <f>AE10/G10</f>
        <v>1</v>
      </c>
      <c r="AG10" s="201">
        <f t="shared" si="0"/>
        <v>25335213</v>
      </c>
      <c r="AH10" s="149">
        <f>AG10/H10</f>
        <v>1</v>
      </c>
      <c r="AI10" s="140"/>
    </row>
    <row r="11" spans="2:35" ht="25.5" customHeight="1">
      <c r="B11" s="420" t="str">
        <f>KOPSAVILKUMS!B31</f>
        <v>1 VIS dati uz 02.05.2011.; pieteikto, apstiprināto, noslēgto līgumu un pabeigto projektu skaits</v>
      </c>
      <c r="C11" s="421"/>
      <c r="D11" s="421"/>
      <c r="E11" s="422"/>
      <c r="F11" s="421"/>
      <c r="G11" s="422"/>
      <c r="H11" s="422"/>
      <c r="I11" s="422"/>
      <c r="J11" s="422"/>
      <c r="K11" s="422"/>
      <c r="L11" s="423"/>
      <c r="M11" s="183"/>
      <c r="N11" s="184"/>
      <c r="O11" s="183"/>
      <c r="P11" s="185"/>
      <c r="Q11" s="183"/>
      <c r="R11" s="186"/>
      <c r="S11" s="183"/>
      <c r="T11" s="186"/>
      <c r="U11" s="183"/>
      <c r="V11" s="186"/>
      <c r="W11" s="183"/>
      <c r="X11" s="187"/>
      <c r="Y11" s="183"/>
      <c r="Z11" s="186"/>
      <c r="AA11" s="183"/>
      <c r="AB11" s="188"/>
      <c r="AC11" s="183"/>
      <c r="AD11" s="188"/>
      <c r="AE11" s="183"/>
      <c r="AF11" s="186"/>
      <c r="AG11" s="183"/>
      <c r="AH11" s="186"/>
      <c r="AI11" s="182"/>
    </row>
    <row r="12" spans="2:12" ht="25.5" customHeight="1">
      <c r="B12" s="420" t="str">
        <f>KOPSAVILKUMS!B32</f>
        <v>2 Pieejamais finansējums atbilstoši  konceptuāli apstiprinātajiem MK protokollēmumiem</v>
      </c>
      <c r="C12" s="420"/>
      <c r="D12" s="420"/>
      <c r="E12" s="420"/>
      <c r="F12" s="420"/>
      <c r="G12" s="420"/>
      <c r="H12" s="420"/>
      <c r="I12" s="420"/>
      <c r="J12" s="420"/>
      <c r="K12" s="420"/>
      <c r="L12" s="420"/>
    </row>
    <row r="13" spans="2:12" ht="25.5" customHeight="1">
      <c r="B13" s="420" t="str">
        <f>KOPSAVILKUMS!B33</f>
        <v>3 2007.-2011.g. piešķirtais finansējums</v>
      </c>
      <c r="C13" s="420"/>
      <c r="D13" s="420"/>
      <c r="E13" s="420"/>
      <c r="F13" s="420"/>
      <c r="G13" s="420"/>
      <c r="H13" s="420"/>
      <c r="I13" s="424"/>
      <c r="J13" s="420"/>
      <c r="K13" s="420"/>
      <c r="L13" s="420"/>
    </row>
    <row r="14" spans="2:12" ht="25.5" customHeight="1">
      <c r="B14" s="420" t="str">
        <f>KOPSAVILKUMS!B34</f>
        <v>4 Kopējie veiktie maksājumi SF finansējuma saņēmējam, t.sk., starpposma maksājumi/ noslēguma maksājumi/ deklarējamie avansi un nedeklarējamie avansi</v>
      </c>
      <c r="C14" s="420"/>
      <c r="D14" s="420"/>
      <c r="E14" s="420"/>
      <c r="F14" s="420"/>
      <c r="G14" s="420"/>
      <c r="H14" s="420"/>
      <c r="I14" s="420"/>
      <c r="J14" s="420"/>
      <c r="K14" s="420"/>
      <c r="L14" s="420"/>
    </row>
    <row r="15" spans="2:12" ht="25.5" customHeight="1">
      <c r="B15" s="420" t="str">
        <f>KOPSAVILKUMS!B35</f>
        <v>5 DPP noteiktā finansējuma apguve sadalījumā pa gadiem, kumulatīvi</v>
      </c>
      <c r="C15" s="420"/>
      <c r="D15" s="420"/>
      <c r="E15" s="420"/>
      <c r="F15" s="420"/>
      <c r="G15" s="420"/>
      <c r="H15" s="420"/>
      <c r="I15" s="420"/>
      <c r="J15" s="420"/>
      <c r="K15" s="420"/>
      <c r="L15" s="420"/>
    </row>
    <row r="17" spans="2:32" ht="20.25">
      <c r="B17" s="259"/>
      <c r="C17" s="259"/>
      <c r="D17" s="259"/>
      <c r="E17" s="259"/>
      <c r="F17" s="259"/>
      <c r="G17" s="259"/>
      <c r="H17" s="259"/>
      <c r="I17" s="259"/>
      <c r="J17" s="259"/>
      <c r="K17" s="259"/>
      <c r="L17" s="259"/>
      <c r="M17" s="259"/>
      <c r="N17" s="259"/>
      <c r="O17" s="259"/>
      <c r="P17" s="259"/>
      <c r="Q17" s="259"/>
      <c r="R17" s="259"/>
      <c r="AF17" s="259"/>
    </row>
    <row r="18" spans="2:35" ht="23.25">
      <c r="B18" s="260"/>
      <c r="C18" s="430" t="s">
        <v>536</v>
      </c>
      <c r="D18" s="430"/>
      <c r="E18" s="430"/>
      <c r="F18" s="259"/>
      <c r="G18" s="259"/>
      <c r="H18" s="259"/>
      <c r="I18" s="259"/>
      <c r="J18" s="259"/>
      <c r="K18" s="259"/>
      <c r="L18" s="259"/>
      <c r="M18" s="259"/>
      <c r="N18" s="259"/>
      <c r="O18" s="259"/>
      <c r="P18" s="259"/>
      <c r="Q18" s="259"/>
      <c r="R18" s="259"/>
      <c r="AF18" s="259"/>
      <c r="AI18" s="432" t="s">
        <v>537</v>
      </c>
    </row>
    <row r="19" spans="2:35" ht="23.25">
      <c r="B19" s="259"/>
      <c r="C19" s="430"/>
      <c r="D19" s="430"/>
      <c r="E19" s="430"/>
      <c r="F19" s="259"/>
      <c r="G19" s="259"/>
      <c r="H19" s="259"/>
      <c r="I19" s="259"/>
      <c r="J19" s="259"/>
      <c r="K19" s="259"/>
      <c r="L19" s="259"/>
      <c r="M19" s="259"/>
      <c r="N19" s="259"/>
      <c r="O19" s="259"/>
      <c r="P19" s="259"/>
      <c r="Q19" s="259"/>
      <c r="R19" s="259"/>
      <c r="AF19" s="259"/>
      <c r="AI19" s="430"/>
    </row>
    <row r="20" spans="2:35" ht="21.75" customHeight="1">
      <c r="B20" s="259"/>
      <c r="C20" s="530" t="s">
        <v>543</v>
      </c>
      <c r="D20" s="530"/>
      <c r="E20" s="431" t="s">
        <v>362</v>
      </c>
      <c r="F20" s="259"/>
      <c r="G20" s="260"/>
      <c r="H20" s="260"/>
      <c r="I20" s="260"/>
      <c r="J20" s="260"/>
      <c r="K20" s="260"/>
      <c r="L20" s="260"/>
      <c r="M20" s="260"/>
      <c r="N20" s="260"/>
      <c r="O20" s="260"/>
      <c r="P20" s="260"/>
      <c r="Q20" s="260"/>
      <c r="R20" s="260"/>
      <c r="AF20" s="260"/>
      <c r="AG20" s="260"/>
      <c r="AI20" s="432" t="s">
        <v>538</v>
      </c>
    </row>
    <row r="21" spans="2:4" ht="21.75" customHeight="1">
      <c r="B21" s="258"/>
      <c r="C21" s="529"/>
      <c r="D21" s="529"/>
    </row>
    <row r="23" ht="15.75">
      <c r="C23" t="s">
        <v>542</v>
      </c>
    </row>
    <row r="25" ht="15.75">
      <c r="C25" t="s">
        <v>539</v>
      </c>
    </row>
    <row r="26" ht="15.75">
      <c r="C26" t="s">
        <v>540</v>
      </c>
    </row>
    <row r="27" ht="15.75">
      <c r="C27" t="s">
        <v>545</v>
      </c>
    </row>
    <row r="28" ht="15.75">
      <c r="C28" t="s">
        <v>541</v>
      </c>
    </row>
    <row r="65" ht="15.75">
      <c r="B65" s="261" t="s">
        <v>363</v>
      </c>
    </row>
  </sheetData>
  <sheetProtection/>
  <mergeCells count="26">
    <mergeCell ref="C21:D21"/>
    <mergeCell ref="C20:D20"/>
    <mergeCell ref="K4:N4"/>
    <mergeCell ref="O4:AH4"/>
    <mergeCell ref="W5:Z5"/>
    <mergeCell ref="K5:K6"/>
    <mergeCell ref="M5:M6"/>
    <mergeCell ref="N5:N6"/>
    <mergeCell ref="O5:R5"/>
    <mergeCell ref="S5:V5"/>
    <mergeCell ref="G4:H4"/>
    <mergeCell ref="G5:G6"/>
    <mergeCell ref="I4:J4"/>
    <mergeCell ref="J5:J6"/>
    <mergeCell ref="H5:H6"/>
    <mergeCell ref="I5:I6"/>
    <mergeCell ref="AI4:AI6"/>
    <mergeCell ref="B2:AI2"/>
    <mergeCell ref="B4:B6"/>
    <mergeCell ref="C4:C6"/>
    <mergeCell ref="D4:D6"/>
    <mergeCell ref="E4:E6"/>
    <mergeCell ref="F4:F6"/>
    <mergeCell ref="AE5:AH5"/>
    <mergeCell ref="AA5:AD5"/>
    <mergeCell ref="L5:L6"/>
  </mergeCells>
  <printOptions horizontalCentered="1"/>
  <pageMargins left="0.25" right="0.25" top="0.75" bottom="0.75" header="0.3" footer="0.3"/>
  <pageSetup fitToHeight="0" fitToWidth="1" horizontalDpi="600" verticalDpi="600" orientation="landscape" paperSize="8" scale="44" r:id="rId1"/>
  <headerFooter>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M41"/>
  <sheetViews>
    <sheetView view="pageBreakPreview" zoomScale="73" zoomScaleSheetLayoutView="73" workbookViewId="0" topLeftCell="A1">
      <pane xSplit="9" ySplit="6" topLeftCell="J7" activePane="bottomRight" state="frozen"/>
      <selection pane="topLeft" activeCell="A1" sqref="A1"/>
      <selection pane="topRight" activeCell="H1" sqref="H1"/>
      <selection pane="bottomLeft" activeCell="A7" sqref="A7"/>
      <selection pane="bottomRight" activeCell="B8" sqref="B8"/>
    </sheetView>
  </sheetViews>
  <sheetFormatPr defaultColWidth="9.00390625" defaultRowHeight="15.75"/>
  <cols>
    <col min="3" max="3" width="6.125" style="0" customWidth="1"/>
    <col min="4" max="4" width="6.875" style="0" customWidth="1"/>
    <col min="5" max="5" width="28.50390625" style="0" customWidth="1"/>
    <col min="6" max="6" width="6.25390625" style="0" customWidth="1"/>
    <col min="7" max="7" width="20.25390625" style="0" customWidth="1"/>
    <col min="8" max="8" width="11.75390625" style="0" customWidth="1"/>
    <col min="9" max="9" width="12.25390625" style="0" customWidth="1"/>
    <col min="10" max="10" width="13.50390625" style="0" customWidth="1"/>
    <col min="11" max="11" width="12.50390625" style="0" customWidth="1"/>
    <col min="12" max="12" width="13.125" style="0" customWidth="1"/>
    <col min="13" max="13" width="13.25390625" style="0" customWidth="1"/>
    <col min="14" max="14" width="13.00390625" style="0" customWidth="1"/>
    <col min="15" max="15" width="11.25390625" style="0" customWidth="1"/>
    <col min="16" max="16" width="12.00390625" style="0" customWidth="1"/>
    <col min="17" max="17" width="10.625" style="0" customWidth="1"/>
    <col min="18" max="18" width="11.375" style="0" customWidth="1"/>
    <col min="19" max="19" width="12.125" style="0" customWidth="1"/>
    <col min="20" max="20" width="13.50390625" style="0" customWidth="1"/>
    <col min="21" max="21" width="10.25390625" style="0" customWidth="1"/>
    <col min="22" max="22" width="12.875" style="0" customWidth="1"/>
    <col min="23" max="23" width="12.125" style="0" customWidth="1"/>
    <col min="24" max="24" width="13.75390625" style="0" customWidth="1"/>
    <col min="25" max="25" width="13.25390625" style="0" customWidth="1"/>
    <col min="26" max="26" width="14.25390625" style="0" customWidth="1"/>
    <col min="27" max="27" width="12.125" style="0" customWidth="1"/>
    <col min="28" max="29" width="13.00390625" style="0" customWidth="1"/>
    <col min="30" max="30" width="13.625" style="0" customWidth="1"/>
    <col min="31" max="31" width="12.50390625" style="0" customWidth="1"/>
    <col min="32" max="32" width="11.75390625" style="0" customWidth="1"/>
    <col min="33" max="33" width="12.25390625" style="0" customWidth="1"/>
    <col min="34" max="34" width="14.375" style="0" customWidth="1"/>
    <col min="35" max="35" width="11.25390625" style="2" customWidth="1"/>
    <col min="36" max="36" width="41.25390625" style="0" customWidth="1"/>
    <col min="37" max="37" width="11.875" style="0" hidden="1" customWidth="1"/>
    <col min="38" max="38" width="11.50390625" style="0" hidden="1" customWidth="1"/>
    <col min="39" max="39" width="44.50390625" style="0" customWidth="1"/>
  </cols>
  <sheetData>
    <row r="1" ht="15.75"/>
    <row r="2" spans="3:36" ht="24.75" customHeight="1">
      <c r="C2" s="263" t="s">
        <v>213</v>
      </c>
      <c r="D2" s="263"/>
      <c r="E2" s="263"/>
      <c r="F2" s="262"/>
      <c r="G2" s="262"/>
      <c r="H2" s="262"/>
      <c r="I2" s="262"/>
      <c r="J2" s="6"/>
      <c r="K2" s="6"/>
      <c r="L2" s="6"/>
      <c r="M2" s="6"/>
      <c r="N2" s="6"/>
      <c r="O2" s="6"/>
      <c r="P2" s="6"/>
      <c r="Q2" s="6"/>
      <c r="R2" s="6"/>
      <c r="T2" s="6"/>
      <c r="U2" s="6"/>
      <c r="V2" s="6"/>
      <c r="W2" s="6"/>
      <c r="X2" s="6"/>
      <c r="Y2" s="6"/>
      <c r="Z2" s="6"/>
      <c r="AA2" s="6"/>
      <c r="AB2" s="6"/>
      <c r="AC2" s="6"/>
      <c r="AD2" s="6"/>
      <c r="AE2" s="6"/>
      <c r="AF2" s="6"/>
      <c r="AG2" s="6"/>
      <c r="AH2" s="6"/>
      <c r="AI2" s="6"/>
      <c r="AJ2" s="256" t="s">
        <v>352</v>
      </c>
    </row>
    <row r="3" spans="32:34" ht="15.75">
      <c r="AF3" s="1"/>
      <c r="AG3" s="1"/>
      <c r="AH3" s="1"/>
    </row>
    <row r="4" spans="3:39" ht="33" customHeight="1">
      <c r="C4" s="436" t="s">
        <v>0</v>
      </c>
      <c r="D4" s="436" t="s">
        <v>1</v>
      </c>
      <c r="E4" s="436" t="s">
        <v>2</v>
      </c>
      <c r="F4" s="436" t="s">
        <v>256</v>
      </c>
      <c r="G4" s="436" t="s">
        <v>255</v>
      </c>
      <c r="H4" s="436" t="str">
        <f>KOPSAVILKUMS!E4</f>
        <v>2007.-2013.gadam plānotais fnansējums 2</v>
      </c>
      <c r="I4" s="436"/>
      <c r="J4" s="436" t="str">
        <f>KOPSAVILKUMS!G4</f>
        <v>2007.-2011. g.plānotais finansējums 3</v>
      </c>
      <c r="K4" s="436"/>
      <c r="L4" s="436" t="str">
        <f>KOPSAVILKUMS!I4</f>
        <v>Apgūts līdz 1.05.2011.4</v>
      </c>
      <c r="M4" s="436"/>
      <c r="N4" s="436"/>
      <c r="O4" s="436"/>
      <c r="P4" s="436" t="str">
        <f>KOPSAVILKUMS!M4</f>
        <v>Plānotais attiecināmais finansējums pa gadiem (pieaugošā secībā no 2007.gada) 5</v>
      </c>
      <c r="Q4" s="436"/>
      <c r="R4" s="436"/>
      <c r="S4" s="436"/>
      <c r="T4" s="436"/>
      <c r="U4" s="436"/>
      <c r="V4" s="436"/>
      <c r="W4" s="436"/>
      <c r="X4" s="436"/>
      <c r="Y4" s="436"/>
      <c r="Z4" s="436"/>
      <c r="AA4" s="436"/>
      <c r="AB4" s="436"/>
      <c r="AC4" s="436"/>
      <c r="AD4" s="436"/>
      <c r="AE4" s="436"/>
      <c r="AF4" s="436"/>
      <c r="AG4" s="436"/>
      <c r="AH4" s="436"/>
      <c r="AI4" s="436"/>
      <c r="AJ4" s="436" t="s">
        <v>364</v>
      </c>
      <c r="AM4" s="436" t="s">
        <v>383</v>
      </c>
    </row>
    <row r="5" spans="3:39" ht="15.75" customHeight="1">
      <c r="C5" s="444"/>
      <c r="D5" s="436"/>
      <c r="E5" s="444"/>
      <c r="F5" s="436"/>
      <c r="G5" s="436"/>
      <c r="H5" s="433" t="s">
        <v>4</v>
      </c>
      <c r="I5" s="433" t="s">
        <v>5</v>
      </c>
      <c r="J5" s="433" t="s">
        <v>4</v>
      </c>
      <c r="K5" s="433" t="s">
        <v>5</v>
      </c>
      <c r="L5" s="433" t="s">
        <v>4</v>
      </c>
      <c r="M5" s="436" t="s">
        <v>6</v>
      </c>
      <c r="N5" s="433" t="s">
        <v>5</v>
      </c>
      <c r="O5" s="436" t="s">
        <v>6</v>
      </c>
      <c r="P5" s="435" t="s">
        <v>7</v>
      </c>
      <c r="Q5" s="435"/>
      <c r="R5" s="435"/>
      <c r="S5" s="435"/>
      <c r="T5" s="435" t="s">
        <v>8</v>
      </c>
      <c r="U5" s="435"/>
      <c r="V5" s="435"/>
      <c r="W5" s="435"/>
      <c r="X5" s="435" t="s">
        <v>9</v>
      </c>
      <c r="Y5" s="435"/>
      <c r="Z5" s="435"/>
      <c r="AA5" s="435"/>
      <c r="AB5" s="435" t="s">
        <v>10</v>
      </c>
      <c r="AC5" s="435"/>
      <c r="AD5" s="435"/>
      <c r="AE5" s="435"/>
      <c r="AF5" s="435" t="s">
        <v>11</v>
      </c>
      <c r="AG5" s="435"/>
      <c r="AH5" s="435"/>
      <c r="AI5" s="435"/>
      <c r="AJ5" s="436"/>
      <c r="AM5" s="436"/>
    </row>
    <row r="6" spans="1:39" ht="84" customHeight="1">
      <c r="A6" s="182"/>
      <c r="B6" s="427"/>
      <c r="C6" s="444"/>
      <c r="D6" s="437"/>
      <c r="E6" s="444"/>
      <c r="F6" s="434"/>
      <c r="G6" s="434"/>
      <c r="H6" s="434"/>
      <c r="I6" s="434"/>
      <c r="J6" s="434"/>
      <c r="K6" s="434"/>
      <c r="L6" s="434"/>
      <c r="M6" s="434"/>
      <c r="N6" s="434"/>
      <c r="O6" s="437"/>
      <c r="P6" s="8" t="s">
        <v>4</v>
      </c>
      <c r="Q6" s="7" t="s">
        <v>6</v>
      </c>
      <c r="R6" s="8" t="s">
        <v>5</v>
      </c>
      <c r="S6" s="7" t="s">
        <v>6</v>
      </c>
      <c r="T6" s="8" t="s">
        <v>4</v>
      </c>
      <c r="U6" s="7" t="s">
        <v>6</v>
      </c>
      <c r="V6" s="8" t="s">
        <v>5</v>
      </c>
      <c r="W6" s="7" t="s">
        <v>6</v>
      </c>
      <c r="X6" s="8" t="s">
        <v>4</v>
      </c>
      <c r="Y6" s="7" t="s">
        <v>6</v>
      </c>
      <c r="Z6" s="8" t="s">
        <v>5</v>
      </c>
      <c r="AA6" s="7" t="s">
        <v>6</v>
      </c>
      <c r="AB6" s="8" t="s">
        <v>4</v>
      </c>
      <c r="AC6" s="7" t="s">
        <v>6</v>
      </c>
      <c r="AD6" s="8" t="s">
        <v>5</v>
      </c>
      <c r="AE6" s="7" t="s">
        <v>6</v>
      </c>
      <c r="AF6" s="8" t="s">
        <v>4</v>
      </c>
      <c r="AG6" s="7" t="s">
        <v>6</v>
      </c>
      <c r="AH6" s="8" t="s">
        <v>5</v>
      </c>
      <c r="AI6" s="7" t="s">
        <v>6</v>
      </c>
      <c r="AJ6" s="444"/>
      <c r="AK6" t="s">
        <v>197</v>
      </c>
      <c r="AL6" t="s">
        <v>227</v>
      </c>
      <c r="AM6" s="444"/>
    </row>
    <row r="7" spans="1:39" s="3" customFormat="1" ht="31.5" customHeight="1">
      <c r="A7" s="428"/>
      <c r="B7" s="429"/>
      <c r="C7" s="221"/>
      <c r="D7" s="222"/>
      <c r="E7" s="222" t="s">
        <v>284</v>
      </c>
      <c r="F7" s="220">
        <f>F8+F9+F10+F11</f>
        <v>122</v>
      </c>
      <c r="G7" s="223"/>
      <c r="H7" s="224">
        <f>H8+H9+H10+H11</f>
        <v>76081225</v>
      </c>
      <c r="I7" s="224">
        <f aca="true" t="shared" si="0" ref="I7:N7">I8+I9+I10+I11</f>
        <v>47116751.4523</v>
      </c>
      <c r="J7" s="224">
        <f t="shared" si="0"/>
        <v>19626310.25</v>
      </c>
      <c r="K7" s="224">
        <f t="shared" si="0"/>
        <v>17479024.84</v>
      </c>
      <c r="L7" s="224">
        <f>L8+L9+L10+L11</f>
        <v>28568511.8</v>
      </c>
      <c r="M7" s="243">
        <f>L7/H7</f>
        <v>0.37550015526169567</v>
      </c>
      <c r="N7" s="224">
        <f t="shared" si="0"/>
        <v>15760258.100000001</v>
      </c>
      <c r="O7" s="243">
        <f aca="true" t="shared" si="1" ref="O7:O13">N7/I7</f>
        <v>0.3344937334220793</v>
      </c>
      <c r="P7" s="224">
        <f>P8+P9+P10+P11</f>
        <v>32011298.837503288</v>
      </c>
      <c r="Q7" s="243">
        <f>P7/H7</f>
        <v>0.420751622197241</v>
      </c>
      <c r="R7" s="224">
        <f>R8+R9+R10+R11</f>
        <v>18028630.11</v>
      </c>
      <c r="S7" s="243">
        <f>R7/I7</f>
        <v>0.3826373753345836</v>
      </c>
      <c r="T7" s="224">
        <f>T8+T9+T10+T11</f>
        <v>44652688.154963605</v>
      </c>
      <c r="U7" s="243">
        <f>T7/H7</f>
        <v>0.586908112414904</v>
      </c>
      <c r="V7" s="224">
        <f>V8+V9+V10+V11</f>
        <v>25992705.380000003</v>
      </c>
      <c r="W7" s="243">
        <f>V7/I7</f>
        <v>0.551665906048605</v>
      </c>
      <c r="X7" s="224">
        <f>X8+X9+X10+X11</f>
        <v>51667631.31369376</v>
      </c>
      <c r="Y7" s="243">
        <f>X7/H7</f>
        <v>0.6791114537613421</v>
      </c>
      <c r="Z7" s="224">
        <f>Z8+Z9+Z10+Z11</f>
        <v>30412119.57</v>
      </c>
      <c r="AA7" s="243">
        <f>Z7/I7</f>
        <v>0.6454629963355727</v>
      </c>
      <c r="AB7" s="224">
        <f>SUM(AB8:AB11)</f>
        <v>53078099.23432869</v>
      </c>
      <c r="AC7" s="243">
        <f>AB7/H7</f>
        <v>0.6976504286613247</v>
      </c>
      <c r="AD7" s="224">
        <f>SUM(AD8:AD11)</f>
        <v>31410406.78</v>
      </c>
      <c r="AE7" s="243">
        <f>AD7/I7</f>
        <v>0.6666505183787815</v>
      </c>
      <c r="AF7" s="224">
        <f>SUM(AF8:AF11)</f>
        <v>76081225</v>
      </c>
      <c r="AG7" s="243">
        <f>AF7/H7</f>
        <v>1</v>
      </c>
      <c r="AH7" s="224">
        <f>SUM(AH8:AH11)</f>
        <v>47116751</v>
      </c>
      <c r="AI7" s="243">
        <f>AH7/I7</f>
        <v>0.9999999904004419</v>
      </c>
      <c r="AJ7" s="224"/>
      <c r="AK7" s="293"/>
      <c r="AL7" s="293"/>
      <c r="AM7" s="293"/>
    </row>
    <row r="8" spans="3:39" s="88" customFormat="1" ht="148.5" customHeight="1">
      <c r="C8" s="218">
        <v>1</v>
      </c>
      <c r="D8" s="215" t="s">
        <v>12</v>
      </c>
      <c r="E8" s="215" t="s">
        <v>15</v>
      </c>
      <c r="F8" s="269">
        <v>29</v>
      </c>
      <c r="G8" s="216" t="s">
        <v>301</v>
      </c>
      <c r="H8" s="9">
        <v>26837821</v>
      </c>
      <c r="I8" s="5">
        <v>17017519</v>
      </c>
      <c r="J8" s="5">
        <v>3086137.77</v>
      </c>
      <c r="K8" s="5">
        <v>3086137.77</v>
      </c>
      <c r="L8" s="5">
        <v>2321815.4</v>
      </c>
      <c r="M8" s="279">
        <f>L8/H8</f>
        <v>0.08651281339122129</v>
      </c>
      <c r="N8" s="219">
        <v>1525163.25</v>
      </c>
      <c r="O8" s="279">
        <f t="shared" si="1"/>
        <v>0.08962312602677276</v>
      </c>
      <c r="P8" s="9">
        <v>5771020.603174604</v>
      </c>
      <c r="Q8" s="244">
        <v>0.21503312818036172</v>
      </c>
      <c r="R8" s="9">
        <v>3635742.98</v>
      </c>
      <c r="S8" s="244">
        <v>0.21364706453390767</v>
      </c>
      <c r="T8" s="9">
        <v>18412409.92063492</v>
      </c>
      <c r="U8" s="244">
        <v>0.6860620286809023</v>
      </c>
      <c r="V8" s="9">
        <v>11599818.25</v>
      </c>
      <c r="W8" s="244">
        <v>0.6816398001377286</v>
      </c>
      <c r="X8" s="9">
        <v>25427353.079365082</v>
      </c>
      <c r="Y8" s="244">
        <v>0.9474447675675712</v>
      </c>
      <c r="Z8" s="9">
        <v>16019232.440000001</v>
      </c>
      <c r="AA8" s="244">
        <v>0.9413377143871561</v>
      </c>
      <c r="AB8" s="9">
        <f>H8</f>
        <v>26837821</v>
      </c>
      <c r="AC8" s="244">
        <v>1</v>
      </c>
      <c r="AD8" s="9">
        <v>17017519.650000002</v>
      </c>
      <c r="AE8" s="244">
        <v>1.0000000381959322</v>
      </c>
      <c r="AF8" s="9">
        <f>H8</f>
        <v>26837821</v>
      </c>
      <c r="AG8" s="244">
        <f>AF8/H8</f>
        <v>1</v>
      </c>
      <c r="AH8" s="9">
        <f>I8</f>
        <v>17017519</v>
      </c>
      <c r="AI8" s="244">
        <v>1.0000000381959322</v>
      </c>
      <c r="AJ8" s="286" t="s">
        <v>350</v>
      </c>
      <c r="AK8" s="280">
        <v>2781786</v>
      </c>
      <c r="AL8" s="281">
        <v>1858475</v>
      </c>
      <c r="AM8" s="282" t="s">
        <v>384</v>
      </c>
    </row>
    <row r="9" spans="3:39" s="88" customFormat="1" ht="140.25" customHeight="1">
      <c r="C9" s="218">
        <v>2</v>
      </c>
      <c r="D9" s="215" t="s">
        <v>12</v>
      </c>
      <c r="E9" s="215" t="s">
        <v>16</v>
      </c>
      <c r="F9" s="270">
        <v>89</v>
      </c>
      <c r="G9" s="216" t="s">
        <v>302</v>
      </c>
      <c r="H9" s="4">
        <v>25805648</v>
      </c>
      <c r="I9" s="4">
        <v>17740020</v>
      </c>
      <c r="J9" s="5">
        <v>2120827.77</v>
      </c>
      <c r="K9" s="4">
        <v>2120827.77</v>
      </c>
      <c r="L9" s="4">
        <v>2959274.72</v>
      </c>
      <c r="M9" s="279">
        <f>L9/H9</f>
        <v>0.11467546639402351</v>
      </c>
      <c r="N9" s="4">
        <v>1966189.64</v>
      </c>
      <c r="O9" s="279">
        <f t="shared" si="1"/>
        <v>0.11083356388549731</v>
      </c>
      <c r="P9" s="4">
        <v>3073662.927536232</v>
      </c>
      <c r="Q9" s="244">
        <v>0.1191081474697412</v>
      </c>
      <c r="R9" s="4">
        <v>2120827.42</v>
      </c>
      <c r="S9" s="244">
        <v>0.1195504525924999</v>
      </c>
      <c r="T9" s="4">
        <v>3073662.927536232</v>
      </c>
      <c r="U9" s="244">
        <v>0.1191081474697412</v>
      </c>
      <c r="V9" s="4">
        <v>2120827.42</v>
      </c>
      <c r="W9" s="244">
        <v>0.1195504525924999</v>
      </c>
      <c r="X9" s="9">
        <v>3073662.927536232</v>
      </c>
      <c r="Y9" s="244">
        <v>0.1191081474697412</v>
      </c>
      <c r="Z9" s="9">
        <v>2120827.42</v>
      </c>
      <c r="AA9" s="244">
        <v>0.1195504525924999</v>
      </c>
      <c r="AB9" s="9">
        <v>3073662.927536232</v>
      </c>
      <c r="AC9" s="244">
        <v>0.1191081474697412</v>
      </c>
      <c r="AD9" s="9">
        <v>2120827.42</v>
      </c>
      <c r="AE9" s="244">
        <v>0.1195504525924999</v>
      </c>
      <c r="AF9" s="9">
        <f>H9</f>
        <v>25805648</v>
      </c>
      <c r="AG9" s="244">
        <f>AF9/H9</f>
        <v>1</v>
      </c>
      <c r="AH9" s="9">
        <f>I9</f>
        <v>17740020</v>
      </c>
      <c r="AI9" s="244">
        <v>0.9999999650507724</v>
      </c>
      <c r="AJ9" s="286" t="s">
        <v>350</v>
      </c>
      <c r="AK9" s="283">
        <v>4604537</v>
      </c>
      <c r="AL9" s="284">
        <v>3033509</v>
      </c>
      <c r="AM9" s="282" t="s">
        <v>385</v>
      </c>
    </row>
    <row r="10" spans="3:39" s="88" customFormat="1" ht="180" customHeight="1">
      <c r="C10" s="218">
        <v>3</v>
      </c>
      <c r="D10" s="215" t="s">
        <v>12</v>
      </c>
      <c r="E10" s="215" t="s">
        <v>17</v>
      </c>
      <c r="F10" s="270">
        <v>1</v>
      </c>
      <c r="G10" s="216" t="s">
        <v>13</v>
      </c>
      <c r="H10" s="4">
        <v>23055238</v>
      </c>
      <c r="I10" s="4">
        <v>12167953.480152</v>
      </c>
      <c r="J10" s="5">
        <v>14315238</v>
      </c>
      <c r="K10" s="4">
        <v>12167952.299999999</v>
      </c>
      <c r="L10" s="4">
        <v>23055238</v>
      </c>
      <c r="M10" s="279">
        <f>L10/H10</f>
        <v>1</v>
      </c>
      <c r="N10" s="4">
        <v>12167953</v>
      </c>
      <c r="O10" s="279">
        <f t="shared" si="1"/>
        <v>0.9999999605396256</v>
      </c>
      <c r="P10" s="4">
        <v>22958401.88679245</v>
      </c>
      <c r="Q10" s="244">
        <v>0.9957998215760102</v>
      </c>
      <c r="R10" s="4">
        <v>12167953</v>
      </c>
      <c r="S10" s="244">
        <v>0.9999999605396256</v>
      </c>
      <c r="T10" s="4">
        <v>22958401.88679245</v>
      </c>
      <c r="U10" s="244">
        <v>0.9957998215760102</v>
      </c>
      <c r="V10" s="4">
        <v>12167953</v>
      </c>
      <c r="W10" s="244">
        <v>0.9999999605396256</v>
      </c>
      <c r="X10" s="4">
        <v>22958401.88679245</v>
      </c>
      <c r="Y10" s="244">
        <v>0.9957998215760102</v>
      </c>
      <c r="Z10" s="4">
        <v>12167953</v>
      </c>
      <c r="AA10" s="244">
        <v>0.9999999605396256</v>
      </c>
      <c r="AB10" s="4">
        <v>22958401.88679245</v>
      </c>
      <c r="AC10" s="244">
        <v>0.9957998215760102</v>
      </c>
      <c r="AD10" s="4">
        <v>12167953</v>
      </c>
      <c r="AE10" s="244">
        <v>0.9999999605396256</v>
      </c>
      <c r="AF10" s="4">
        <f>H10</f>
        <v>23055238</v>
      </c>
      <c r="AG10" s="244">
        <v>0.9957998215760102</v>
      </c>
      <c r="AH10" s="4">
        <v>12167953</v>
      </c>
      <c r="AI10" s="244">
        <v>0.9999999605396256</v>
      </c>
      <c r="AJ10" s="287" t="s">
        <v>405</v>
      </c>
      <c r="AK10" s="285"/>
      <c r="AL10" s="285"/>
      <c r="AM10" s="282" t="s">
        <v>386</v>
      </c>
    </row>
    <row r="11" spans="3:39" s="88" customFormat="1" ht="161.25" customHeight="1">
      <c r="C11" s="218">
        <v>4</v>
      </c>
      <c r="D11" s="215" t="s">
        <v>12</v>
      </c>
      <c r="E11" s="215" t="s">
        <v>18</v>
      </c>
      <c r="F11" s="270">
        <v>3</v>
      </c>
      <c r="G11" s="216" t="s">
        <v>303</v>
      </c>
      <c r="H11" s="247">
        <v>382518</v>
      </c>
      <c r="I11" s="4">
        <v>191258.972148</v>
      </c>
      <c r="J11" s="5">
        <v>104106.71</v>
      </c>
      <c r="K11" s="4">
        <v>104107</v>
      </c>
      <c r="L11" s="4">
        <v>232183.68</v>
      </c>
      <c r="M11" s="279">
        <f>L11/H11</f>
        <v>0.6069875927407338</v>
      </c>
      <c r="N11" s="4">
        <v>100952.21</v>
      </c>
      <c r="O11" s="279">
        <f t="shared" si="1"/>
        <v>0.527829930623496</v>
      </c>
      <c r="P11" s="4">
        <v>208213.42</v>
      </c>
      <c r="Q11" s="244">
        <v>0.5443231952483282</v>
      </c>
      <c r="R11" s="4">
        <v>104106.71</v>
      </c>
      <c r="S11" s="244">
        <v>0.5443232745151436</v>
      </c>
      <c r="T11" s="4">
        <v>208213.42</v>
      </c>
      <c r="U11" s="244">
        <v>0.5443231952483282</v>
      </c>
      <c r="V11" s="4">
        <v>104106.71</v>
      </c>
      <c r="W11" s="244">
        <v>0.5443232745151436</v>
      </c>
      <c r="X11" s="4">
        <v>208213.42</v>
      </c>
      <c r="Y11" s="244">
        <v>0.5443231952483282</v>
      </c>
      <c r="Z11" s="4">
        <v>104106.71</v>
      </c>
      <c r="AA11" s="244">
        <v>0.5443232745151436</v>
      </c>
      <c r="AB11" s="4">
        <v>208213.42</v>
      </c>
      <c r="AC11" s="244">
        <v>0.5443231952483282</v>
      </c>
      <c r="AD11" s="4">
        <v>104106.71</v>
      </c>
      <c r="AE11" s="244">
        <v>0.5443232745151436</v>
      </c>
      <c r="AF11" s="4">
        <f>H11</f>
        <v>382518</v>
      </c>
      <c r="AG11" s="244">
        <v>0.5443231952483282</v>
      </c>
      <c r="AH11" s="4">
        <v>191259</v>
      </c>
      <c r="AI11" s="244">
        <v>1.0000001456245409</v>
      </c>
      <c r="AJ11" s="286" t="s">
        <v>406</v>
      </c>
      <c r="AK11" s="285"/>
      <c r="AL11" s="285"/>
      <c r="AM11" s="282" t="s">
        <v>387</v>
      </c>
    </row>
    <row r="12" spans="3:39" s="3" customFormat="1" ht="15.75">
      <c r="C12" s="225"/>
      <c r="D12" s="226"/>
      <c r="E12" s="227" t="s">
        <v>285</v>
      </c>
      <c r="F12" s="271">
        <f>SUM(F14:F28)</f>
        <v>1197</v>
      </c>
      <c r="G12" s="225"/>
      <c r="H12" s="228">
        <f>SUM(H13:H32)</f>
        <v>698442431.442636</v>
      </c>
      <c r="I12" s="228">
        <f>SUM(I13:I32)</f>
        <v>435177604.13728404</v>
      </c>
      <c r="J12" s="228">
        <f>SUM(J13:J32)</f>
        <v>273559906.54999995</v>
      </c>
      <c r="K12" s="228">
        <f>SUM(K13:K32)</f>
        <v>254364710.40399998</v>
      </c>
      <c r="L12" s="228">
        <f>SUM(L13:L32)</f>
        <v>246816164.33</v>
      </c>
      <c r="M12" s="243">
        <f aca="true" t="shared" si="2" ref="M12:M26">L12/H12</f>
        <v>0.35338082742224025</v>
      </c>
      <c r="N12" s="228">
        <f>SUM(N13:N32)</f>
        <v>196530609.76000002</v>
      </c>
      <c r="O12" s="243">
        <f t="shared" si="1"/>
        <v>0.45161011938932677</v>
      </c>
      <c r="P12" s="228">
        <f>SUM(P13:P32)</f>
        <v>419589209.6533107</v>
      </c>
      <c r="Q12" s="243">
        <f aca="true" t="shared" si="3" ref="Q12:Q28">P12/H12</f>
        <v>0.6007498839763319</v>
      </c>
      <c r="R12" s="228">
        <f>SUM(R13:R32)</f>
        <v>257504558.76000002</v>
      </c>
      <c r="S12" s="243">
        <f>R12/I12</f>
        <v>0.5917229110870464</v>
      </c>
      <c r="T12" s="228">
        <f>SUM(T13:T32)</f>
        <v>594336019.3182775</v>
      </c>
      <c r="U12" s="243">
        <f aca="true" t="shared" si="4" ref="U12:U28">T12/H12</f>
        <v>0.850944891894202</v>
      </c>
      <c r="V12" s="228">
        <f>SUM(V13:V32)</f>
        <v>364717176.956628</v>
      </c>
      <c r="W12" s="243">
        <f>V12/I12</f>
        <v>0.8380881127365458</v>
      </c>
      <c r="X12" s="228">
        <f>SUM(X13:X32)</f>
        <v>648994756.9006382</v>
      </c>
      <c r="Y12" s="243">
        <f aca="true" t="shared" si="5" ref="Y12:Y26">X12/H12</f>
        <v>0.9292029345355445</v>
      </c>
      <c r="Z12" s="228">
        <f>SUM(Z13:Z32)</f>
        <v>402654150.52000004</v>
      </c>
      <c r="AA12" s="243">
        <f>Z12/I12</f>
        <v>0.9252639535948547</v>
      </c>
      <c r="AB12" s="228">
        <f>SUM(AB13:AB32)</f>
        <v>672226735.2437341</v>
      </c>
      <c r="AC12" s="243">
        <f aca="true" t="shared" si="6" ref="AC12:AC26">AB12/H12</f>
        <v>0.9624654874636507</v>
      </c>
      <c r="AD12" s="228">
        <f>SUM(AD14:AD32)</f>
        <v>389604630.52000004</v>
      </c>
      <c r="AE12" s="243">
        <f>AD12/I12</f>
        <v>0.8952773001551173</v>
      </c>
      <c r="AF12" s="228">
        <f>SUM(AF13:AF32)</f>
        <v>706106775.9487501</v>
      </c>
      <c r="AG12" s="243">
        <f aca="true" t="shared" si="7" ref="AG12:AG26">AF12/H12</f>
        <v>1.0109734806493405</v>
      </c>
      <c r="AH12" s="228">
        <f>SUM(AH13:AH32)</f>
        <v>439610352.52000004</v>
      </c>
      <c r="AI12" s="243">
        <f>AH12/I12</f>
        <v>1.0101860673448573</v>
      </c>
      <c r="AJ12" s="228"/>
      <c r="AK12" s="294"/>
      <c r="AL12" s="294"/>
      <c r="AM12" s="294"/>
    </row>
    <row r="13" spans="3:39" s="3" customFormat="1" ht="285.75" customHeight="1">
      <c r="C13" s="218">
        <v>5</v>
      </c>
      <c r="D13" s="215" t="s">
        <v>14</v>
      </c>
      <c r="E13" s="250" t="s">
        <v>286</v>
      </c>
      <c r="F13" s="270">
        <v>5</v>
      </c>
      <c r="G13" s="19" t="s">
        <v>290</v>
      </c>
      <c r="H13" s="230">
        <v>53825479.17</v>
      </c>
      <c r="I13" s="248">
        <v>37374243.13</v>
      </c>
      <c r="J13" s="230">
        <v>2717467</v>
      </c>
      <c r="K13" s="230">
        <f>J13</f>
        <v>2717467</v>
      </c>
      <c r="L13" s="230">
        <v>0</v>
      </c>
      <c r="M13" s="246">
        <f t="shared" si="2"/>
        <v>0</v>
      </c>
      <c r="N13" s="230">
        <v>0</v>
      </c>
      <c r="O13" s="246">
        <f t="shared" si="1"/>
        <v>0</v>
      </c>
      <c r="P13" s="247">
        <f>$H$13*R13/$I$13</f>
        <v>3913630.1140571726</v>
      </c>
      <c r="Q13" s="246">
        <f t="shared" si="3"/>
        <v>0.07270961957805405</v>
      </c>
      <c r="R13" s="247">
        <f>N13+2717467</f>
        <v>2717467</v>
      </c>
      <c r="S13" s="246">
        <f>R13/I13</f>
        <v>0.07270961957805404</v>
      </c>
      <c r="T13" s="247">
        <f>$H$13*V13/$I$13</f>
        <v>16012346.526660692</v>
      </c>
      <c r="U13" s="246">
        <f t="shared" si="4"/>
        <v>0.29748637213405954</v>
      </c>
      <c r="V13" s="247">
        <f>R13+8400861</f>
        <v>11118328</v>
      </c>
      <c r="W13" s="246">
        <f>V13/I13</f>
        <v>0.29748637213405954</v>
      </c>
      <c r="X13" s="247">
        <f aca="true" t="shared" si="8" ref="X13:X26">H13*Z13/I13</f>
        <v>28111062.93926421</v>
      </c>
      <c r="Y13" s="246">
        <f t="shared" si="5"/>
        <v>0.5222631246900651</v>
      </c>
      <c r="Z13" s="247">
        <f>V13+8400861</f>
        <v>19519189</v>
      </c>
      <c r="AA13" s="246">
        <f>Z13/I13</f>
        <v>0.5222631246900651</v>
      </c>
      <c r="AB13" s="247">
        <f aca="true" t="shared" si="9" ref="AB13:AB26">H13*AD13/I13</f>
        <v>41726762.57017363</v>
      </c>
      <c r="AC13" s="244">
        <f t="shared" si="6"/>
        <v>0.7752232439656631</v>
      </c>
      <c r="AD13" s="247">
        <f>Z13+9454193</f>
        <v>28973382</v>
      </c>
      <c r="AE13" s="244">
        <f>AD13/I13</f>
        <v>0.7752232439656631</v>
      </c>
      <c r="AF13" s="247">
        <f aca="true" t="shared" si="10" ref="AF13:AF26">H13*AH13/I13</f>
        <v>53825478.98277715</v>
      </c>
      <c r="AG13" s="244">
        <f t="shared" si="7"/>
        <v>0.9999999965216686</v>
      </c>
      <c r="AH13" s="247">
        <f>AD13+8400861</f>
        <v>37374243</v>
      </c>
      <c r="AI13" s="246">
        <f>AH13/I13</f>
        <v>0.9999999965216686</v>
      </c>
      <c r="AJ13" s="299" t="s">
        <v>407</v>
      </c>
      <c r="AK13" s="298"/>
      <c r="AL13" s="298"/>
      <c r="AM13" s="297" t="s">
        <v>388</v>
      </c>
    </row>
    <row r="14" spans="3:39" s="88" customFormat="1" ht="320.25" customHeight="1">
      <c r="C14" s="218">
        <v>6</v>
      </c>
      <c r="D14" s="215" t="s">
        <v>14</v>
      </c>
      <c r="E14" s="215" t="s">
        <v>19</v>
      </c>
      <c r="F14" s="270">
        <v>8</v>
      </c>
      <c r="G14" s="216" t="s">
        <v>291</v>
      </c>
      <c r="H14" s="5">
        <v>1918238.16</v>
      </c>
      <c r="I14" s="5">
        <v>1918238.16</v>
      </c>
      <c r="J14" s="5">
        <v>929500.99</v>
      </c>
      <c r="K14" s="230">
        <f aca="true" t="shared" si="11" ref="K14:K26">J14</f>
        <v>929500.99</v>
      </c>
      <c r="L14" s="5">
        <v>816331.62</v>
      </c>
      <c r="M14" s="246">
        <f t="shared" si="2"/>
        <v>0.4255632262054468</v>
      </c>
      <c r="N14" s="5">
        <v>611612.1</v>
      </c>
      <c r="O14" s="246">
        <f aca="true" t="shared" si="12" ref="O14:O26">N14/I14</f>
        <v>0.31884054480492663</v>
      </c>
      <c r="P14" s="247">
        <f aca="true" t="shared" si="13" ref="P14:P26">H14*R14/I14</f>
        <v>970439.1</v>
      </c>
      <c r="Q14" s="246">
        <f t="shared" si="3"/>
        <v>0.5059012588926914</v>
      </c>
      <c r="R14" s="247">
        <f>N14+358827</f>
        <v>970439.1</v>
      </c>
      <c r="S14" s="246">
        <f>R14/I14</f>
        <v>0.5059012588926914</v>
      </c>
      <c r="T14" s="247">
        <f aca="true" t="shared" si="14" ref="T14:T26">H14*V14/I14</f>
        <v>1318782.1</v>
      </c>
      <c r="U14" s="246">
        <f t="shared" si="4"/>
        <v>0.6874965410968574</v>
      </c>
      <c r="V14" s="247">
        <f>R14+348343</f>
        <v>1318782.1</v>
      </c>
      <c r="W14" s="246">
        <f aca="true" t="shared" si="15" ref="W14:W26">V14/I14</f>
        <v>0.6874965410968574</v>
      </c>
      <c r="X14" s="247">
        <f t="shared" si="8"/>
        <v>1667265.1</v>
      </c>
      <c r="Y14" s="246">
        <f t="shared" si="5"/>
        <v>0.8691648069393011</v>
      </c>
      <c r="Z14" s="247">
        <f>V14+348483</f>
        <v>1667265.1</v>
      </c>
      <c r="AA14" s="246">
        <f aca="true" t="shared" si="16" ref="AA14:AA26">Z14/I14</f>
        <v>0.8691648069393011</v>
      </c>
      <c r="AB14" s="247">
        <f t="shared" si="9"/>
        <v>1906278.1</v>
      </c>
      <c r="AC14" s="244">
        <f t="shared" si="6"/>
        <v>0.9937650807655709</v>
      </c>
      <c r="AD14" s="247">
        <f>Z14+239013</f>
        <v>1906278.1</v>
      </c>
      <c r="AE14" s="244">
        <f aca="true" t="shared" si="17" ref="AE14:AE26">AD14/I14</f>
        <v>0.9937650807655709</v>
      </c>
      <c r="AF14" s="247">
        <f t="shared" si="10"/>
        <v>2018332.1</v>
      </c>
      <c r="AG14" s="244">
        <f t="shared" si="7"/>
        <v>1.052180142219671</v>
      </c>
      <c r="AH14" s="247">
        <f>AD14+112054</f>
        <v>2018332.1</v>
      </c>
      <c r="AI14" s="246">
        <f aca="true" t="shared" si="18" ref="AI14:AI26">AH14/I14</f>
        <v>1.052180142219671</v>
      </c>
      <c r="AJ14" s="287" t="s">
        <v>408</v>
      </c>
      <c r="AK14" s="296">
        <v>1789000</v>
      </c>
      <c r="AL14" s="295">
        <v>1520650</v>
      </c>
      <c r="AM14" s="282" t="s">
        <v>389</v>
      </c>
    </row>
    <row r="15" spans="3:39" s="88" customFormat="1" ht="110.25">
      <c r="C15" s="218">
        <v>7</v>
      </c>
      <c r="D15" s="215" t="s">
        <v>14</v>
      </c>
      <c r="E15" s="215" t="s">
        <v>20</v>
      </c>
      <c r="F15" s="270">
        <v>102</v>
      </c>
      <c r="G15" s="19" t="s">
        <v>292</v>
      </c>
      <c r="H15" s="5">
        <v>11533414.24</v>
      </c>
      <c r="I15" s="5">
        <v>8097354.88</v>
      </c>
      <c r="J15" s="5">
        <v>5867501.6</v>
      </c>
      <c r="K15" s="230">
        <f t="shared" si="11"/>
        <v>5867501.6</v>
      </c>
      <c r="L15" s="5">
        <v>6333166.71</v>
      </c>
      <c r="M15" s="246">
        <f t="shared" si="2"/>
        <v>0.5491146488119202</v>
      </c>
      <c r="N15" s="5">
        <v>3124581.35</v>
      </c>
      <c r="O15" s="246">
        <f t="shared" si="12"/>
        <v>0.38587679511460415</v>
      </c>
      <c r="P15" s="247">
        <f t="shared" si="13"/>
        <v>9181578.916118952</v>
      </c>
      <c r="Q15" s="246">
        <f t="shared" si="3"/>
        <v>0.7960850729071665</v>
      </c>
      <c r="R15" s="247">
        <f>N15+3321602</f>
        <v>6446183.35</v>
      </c>
      <c r="S15" s="246">
        <f aca="true" t="shared" si="19" ref="S15:S26">R15/I15</f>
        <v>0.7960850729071665</v>
      </c>
      <c r="T15" s="247">
        <f t="shared" si="14"/>
        <v>11229636.639635576</v>
      </c>
      <c r="U15" s="246">
        <f t="shared" si="4"/>
        <v>0.9736610864707462</v>
      </c>
      <c r="V15" s="247">
        <f>R15+1437896</f>
        <v>7884079.35</v>
      </c>
      <c r="W15" s="246">
        <f t="shared" si="15"/>
        <v>0.9736610864707463</v>
      </c>
      <c r="X15" s="247">
        <f t="shared" si="8"/>
        <v>11229636.639635576</v>
      </c>
      <c r="Y15" s="246">
        <f t="shared" si="5"/>
        <v>0.9736610864707462</v>
      </c>
      <c r="Z15" s="247">
        <f>V15</f>
        <v>7884079.35</v>
      </c>
      <c r="AA15" s="246">
        <f t="shared" si="16"/>
        <v>0.9736610864707463</v>
      </c>
      <c r="AB15" s="247">
        <f t="shared" si="9"/>
        <v>11229636.639635576</v>
      </c>
      <c r="AC15" s="244">
        <f t="shared" si="6"/>
        <v>0.9736610864707462</v>
      </c>
      <c r="AD15" s="247">
        <f aca="true" t="shared" si="20" ref="AD15:AD21">Z15</f>
        <v>7884079.35</v>
      </c>
      <c r="AE15" s="244">
        <f t="shared" si="17"/>
        <v>0.9736610864707463</v>
      </c>
      <c r="AF15" s="247">
        <f t="shared" si="10"/>
        <v>12535486.092851825</v>
      </c>
      <c r="AG15" s="244">
        <f t="shared" si="7"/>
        <v>1.08688423323741</v>
      </c>
      <c r="AH15" s="247">
        <f>AD15+916808</f>
        <v>8800887.35</v>
      </c>
      <c r="AI15" s="246">
        <f t="shared" si="18"/>
        <v>1.08688423323741</v>
      </c>
      <c r="AJ15" s="287" t="s">
        <v>409</v>
      </c>
      <c r="AK15" s="296">
        <v>14271049</v>
      </c>
      <c r="AL15" s="295">
        <v>5898796</v>
      </c>
      <c r="AM15" s="282" t="s">
        <v>390</v>
      </c>
    </row>
    <row r="16" spans="3:39" s="88" customFormat="1" ht="111.75" customHeight="1">
      <c r="C16" s="218">
        <v>8</v>
      </c>
      <c r="D16" s="215" t="s">
        <v>14</v>
      </c>
      <c r="E16" s="215" t="s">
        <v>21</v>
      </c>
      <c r="F16" s="270">
        <v>225</v>
      </c>
      <c r="G16" s="19" t="s">
        <v>293</v>
      </c>
      <c r="H16" s="5">
        <v>56087251.43</v>
      </c>
      <c r="I16" s="5">
        <v>44687749.47</v>
      </c>
      <c r="J16" s="5">
        <v>7627770.9399999995</v>
      </c>
      <c r="K16" s="230">
        <f t="shared" si="11"/>
        <v>7627770.9399999995</v>
      </c>
      <c r="L16" s="5">
        <v>10381328.47</v>
      </c>
      <c r="M16" s="246">
        <f t="shared" si="2"/>
        <v>0.18509248011478105</v>
      </c>
      <c r="N16" s="5">
        <v>3328529.52</v>
      </c>
      <c r="O16" s="246">
        <f t="shared" si="12"/>
        <v>0.07448416086011503</v>
      </c>
      <c r="P16" s="247">
        <f t="shared" si="13"/>
        <v>9586535.15456659</v>
      </c>
      <c r="Q16" s="246">
        <f t="shared" si="3"/>
        <v>0.17092182109389184</v>
      </c>
      <c r="R16" s="247">
        <f>N16+4309582</f>
        <v>7638111.52</v>
      </c>
      <c r="S16" s="246">
        <f t="shared" si="19"/>
        <v>0.17092182109389184</v>
      </c>
      <c r="T16" s="247">
        <f t="shared" si="14"/>
        <v>33742294.33603958</v>
      </c>
      <c r="U16" s="246">
        <f t="shared" si="4"/>
        <v>0.6016036349749075</v>
      </c>
      <c r="V16" s="247">
        <f>R16+19246201</f>
        <v>26884312.52</v>
      </c>
      <c r="W16" s="246">
        <f t="shared" si="15"/>
        <v>0.6016036349749075</v>
      </c>
      <c r="X16" s="247">
        <f t="shared" si="8"/>
        <v>56339031.79901441</v>
      </c>
      <c r="Y16" s="246">
        <f t="shared" si="5"/>
        <v>1.0044890837506746</v>
      </c>
      <c r="Z16" s="247">
        <f>V16+18004044</f>
        <v>44888356.519999996</v>
      </c>
      <c r="AA16" s="246">
        <f t="shared" si="16"/>
        <v>1.0044890837506746</v>
      </c>
      <c r="AB16" s="247">
        <f t="shared" si="9"/>
        <v>56339031.79901441</v>
      </c>
      <c r="AC16" s="244">
        <f t="shared" si="6"/>
        <v>1.0044890837506746</v>
      </c>
      <c r="AD16" s="247">
        <f t="shared" si="20"/>
        <v>44888356.519999996</v>
      </c>
      <c r="AE16" s="244">
        <f t="shared" si="17"/>
        <v>1.0044890837506746</v>
      </c>
      <c r="AF16" s="247">
        <f t="shared" si="10"/>
        <v>56339031.79901441</v>
      </c>
      <c r="AG16" s="244">
        <f t="shared" si="7"/>
        <v>1.0044890837506746</v>
      </c>
      <c r="AH16" s="247">
        <f>AD16</f>
        <v>44888356.519999996</v>
      </c>
      <c r="AI16" s="246">
        <f t="shared" si="18"/>
        <v>1.0044890837506746</v>
      </c>
      <c r="AJ16" s="287" t="s">
        <v>410</v>
      </c>
      <c r="AK16" s="296">
        <v>36220880</v>
      </c>
      <c r="AL16" s="295">
        <v>9872413</v>
      </c>
      <c r="AM16" s="282" t="s">
        <v>391</v>
      </c>
    </row>
    <row r="17" spans="3:39" s="88" customFormat="1" ht="132.75" customHeight="1">
      <c r="C17" s="218">
        <v>9</v>
      </c>
      <c r="D17" s="215" t="s">
        <v>14</v>
      </c>
      <c r="E17" s="215" t="s">
        <v>22</v>
      </c>
      <c r="F17" s="270">
        <v>13</v>
      </c>
      <c r="G17" s="19" t="s">
        <v>294</v>
      </c>
      <c r="H17" s="5">
        <v>1064881.59</v>
      </c>
      <c r="I17" s="5">
        <v>203202.42</v>
      </c>
      <c r="J17" s="5">
        <v>53956.7</v>
      </c>
      <c r="K17" s="230">
        <f t="shared" si="11"/>
        <v>53956.7</v>
      </c>
      <c r="L17" s="5">
        <v>25426.99</v>
      </c>
      <c r="M17" s="246">
        <f t="shared" si="2"/>
        <v>0.023877762784874513</v>
      </c>
      <c r="N17" s="5">
        <v>10637.7</v>
      </c>
      <c r="O17" s="246">
        <f t="shared" si="12"/>
        <v>0.05235026236400137</v>
      </c>
      <c r="P17" s="247">
        <f t="shared" si="13"/>
        <v>282759.90259935387</v>
      </c>
      <c r="Q17" s="246">
        <f t="shared" si="3"/>
        <v>0.26553177860775473</v>
      </c>
      <c r="R17" s="247">
        <f>N17+43319</f>
        <v>53956.7</v>
      </c>
      <c r="S17" s="246">
        <f t="shared" si="19"/>
        <v>0.26553177860775473</v>
      </c>
      <c r="T17" s="247">
        <f t="shared" si="14"/>
        <v>762191.9740419086</v>
      </c>
      <c r="U17" s="246">
        <f t="shared" si="4"/>
        <v>0.7157527946763627</v>
      </c>
      <c r="V17" s="247">
        <f>R17+91486</f>
        <v>145442.7</v>
      </c>
      <c r="W17" s="246">
        <f t="shared" si="15"/>
        <v>0.7157527946763627</v>
      </c>
      <c r="X17" s="247">
        <f t="shared" si="8"/>
        <v>953145.1889515539</v>
      </c>
      <c r="Y17" s="246">
        <f t="shared" si="5"/>
        <v>0.8950715252308511</v>
      </c>
      <c r="Z17" s="247">
        <f>V17+36438</f>
        <v>181880.7</v>
      </c>
      <c r="AA17" s="246">
        <f t="shared" si="16"/>
        <v>0.8950715252308511</v>
      </c>
      <c r="AB17" s="247">
        <f t="shared" si="9"/>
        <v>953145.1889515539</v>
      </c>
      <c r="AC17" s="244">
        <f t="shared" si="6"/>
        <v>0.8950715252308511</v>
      </c>
      <c r="AD17" s="247">
        <f t="shared" si="20"/>
        <v>181880.7</v>
      </c>
      <c r="AE17" s="244">
        <f t="shared" si="17"/>
        <v>0.8950715252308511</v>
      </c>
      <c r="AF17" s="247">
        <f t="shared" si="10"/>
        <v>1064883.0573390466</v>
      </c>
      <c r="AG17" s="244">
        <f t="shared" si="7"/>
        <v>1.0000013779363455</v>
      </c>
      <c r="AH17" s="247">
        <f>AD17+21322</f>
        <v>203202.7</v>
      </c>
      <c r="AI17" s="246">
        <f t="shared" si="18"/>
        <v>1.0000013779363455</v>
      </c>
      <c r="AJ17" s="291" t="s">
        <v>41</v>
      </c>
      <c r="AK17" s="296">
        <v>242397</v>
      </c>
      <c r="AL17" s="295">
        <v>91447</v>
      </c>
      <c r="AM17" s="282" t="s">
        <v>392</v>
      </c>
    </row>
    <row r="18" spans="3:39" s="88" customFormat="1" ht="78.75">
      <c r="C18" s="218">
        <v>10</v>
      </c>
      <c r="D18" s="215" t="s">
        <v>14</v>
      </c>
      <c r="E18" s="215" t="s">
        <v>229</v>
      </c>
      <c r="F18" s="270">
        <v>29</v>
      </c>
      <c r="G18" s="216" t="s">
        <v>299</v>
      </c>
      <c r="H18" s="5">
        <v>153551004</v>
      </c>
      <c r="I18" s="5">
        <v>71751266.87</v>
      </c>
      <c r="J18" s="5">
        <v>50778555.21</v>
      </c>
      <c r="K18" s="230">
        <f>J18</f>
        <v>50778555.21</v>
      </c>
      <c r="L18" s="5">
        <v>33895198.94</v>
      </c>
      <c r="M18" s="246">
        <f t="shared" si="2"/>
        <v>0.22074228143763877</v>
      </c>
      <c r="N18" s="5">
        <v>21810005.48</v>
      </c>
      <c r="O18" s="246">
        <f>N18/I18</f>
        <v>0.30396683475311576</v>
      </c>
      <c r="P18" s="247">
        <f t="shared" si="13"/>
        <v>111132697.68567216</v>
      </c>
      <c r="Q18" s="246">
        <f t="shared" si="3"/>
        <v>0.7237510324951842</v>
      </c>
      <c r="R18" s="247">
        <f>N18+30120048</f>
        <v>51930053.480000004</v>
      </c>
      <c r="S18" s="246">
        <f>R18/I18</f>
        <v>0.7237510324951841</v>
      </c>
      <c r="T18" s="247">
        <f t="shared" si="14"/>
        <v>147640825.5817424</v>
      </c>
      <c r="U18" s="246">
        <f t="shared" si="4"/>
        <v>0.9615099982136386</v>
      </c>
      <c r="V18" s="247">
        <f>R18+17059507</f>
        <v>68989560.48</v>
      </c>
      <c r="W18" s="246">
        <f>V18/I18</f>
        <v>0.9615099982136385</v>
      </c>
      <c r="X18" s="247">
        <f t="shared" si="8"/>
        <v>156015263.8714035</v>
      </c>
      <c r="Y18" s="246">
        <f t="shared" si="5"/>
        <v>1.0160484777514283</v>
      </c>
      <c r="Z18" s="247">
        <f>V18+3913205</f>
        <v>72902765.48</v>
      </c>
      <c r="AA18" s="246">
        <f>Z18/I18</f>
        <v>1.0160484777514285</v>
      </c>
      <c r="AB18" s="247">
        <f t="shared" si="9"/>
        <v>156015263.8714035</v>
      </c>
      <c r="AC18" s="244">
        <f t="shared" si="6"/>
        <v>1.0160484777514283</v>
      </c>
      <c r="AD18" s="247">
        <f t="shared" si="20"/>
        <v>72902765.48</v>
      </c>
      <c r="AE18" s="244">
        <f>AD18/I18</f>
        <v>1.0160484777514285</v>
      </c>
      <c r="AF18" s="247">
        <f t="shared" si="10"/>
        <v>156015263.8714035</v>
      </c>
      <c r="AG18" s="244">
        <f t="shared" si="7"/>
        <v>1.0160484777514283</v>
      </c>
      <c r="AH18" s="247">
        <f>AD18</f>
        <v>72902765.48</v>
      </c>
      <c r="AI18" s="246">
        <f>AH18/I18</f>
        <v>1.0160484777514285</v>
      </c>
      <c r="AJ18" s="291" t="s">
        <v>41</v>
      </c>
      <c r="AK18" s="296">
        <v>4360935</v>
      </c>
      <c r="AL18" s="295">
        <v>2175243</v>
      </c>
      <c r="AM18" s="282" t="s">
        <v>393</v>
      </c>
    </row>
    <row r="19" spans="3:39" s="88" customFormat="1" ht="141.75">
      <c r="C19" s="218">
        <v>11</v>
      </c>
      <c r="D19" s="215" t="s">
        <v>29</v>
      </c>
      <c r="E19" s="215" t="s">
        <v>31</v>
      </c>
      <c r="F19" s="270">
        <v>1</v>
      </c>
      <c r="G19" s="216" t="s">
        <v>30</v>
      </c>
      <c r="H19" s="5">
        <v>107880414</v>
      </c>
      <c r="I19" s="5">
        <v>58529801.052815996</v>
      </c>
      <c r="J19" s="5">
        <v>64306566</v>
      </c>
      <c r="K19" s="230">
        <v>58529801</v>
      </c>
      <c r="L19" s="5">
        <v>64900950</v>
      </c>
      <c r="M19" s="246">
        <f t="shared" si="2"/>
        <v>0.601600861487239</v>
      </c>
      <c r="N19" s="5">
        <v>59070790.2</v>
      </c>
      <c r="O19" s="246">
        <f>N19/I19</f>
        <v>1.009242969178997</v>
      </c>
      <c r="P19" s="247">
        <f t="shared" si="13"/>
        <v>108877549.34161943</v>
      </c>
      <c r="Q19" s="246">
        <f t="shared" si="3"/>
        <v>1.009242969178997</v>
      </c>
      <c r="R19" s="247">
        <f>N19+0</f>
        <v>59070790.2</v>
      </c>
      <c r="S19" s="246">
        <f>R19/I19</f>
        <v>1.009242969178997</v>
      </c>
      <c r="T19" s="247">
        <f t="shared" si="14"/>
        <v>108877549.34161943</v>
      </c>
      <c r="U19" s="246">
        <f t="shared" si="4"/>
        <v>1.009242969178997</v>
      </c>
      <c r="V19" s="247">
        <f>R19</f>
        <v>59070790.2</v>
      </c>
      <c r="W19" s="246">
        <f>V19/I19</f>
        <v>1.009242969178997</v>
      </c>
      <c r="X19" s="247">
        <f t="shared" si="8"/>
        <v>108877549.34161943</v>
      </c>
      <c r="Y19" s="246">
        <f t="shared" si="5"/>
        <v>1.009242969178997</v>
      </c>
      <c r="Z19" s="247">
        <f>V19</f>
        <v>59070790.2</v>
      </c>
      <c r="AA19" s="246">
        <f>Z19/I19</f>
        <v>1.009242969178997</v>
      </c>
      <c r="AB19" s="247">
        <f t="shared" si="9"/>
        <v>108877549.34161943</v>
      </c>
      <c r="AC19" s="244">
        <f t="shared" si="6"/>
        <v>1.009242969178997</v>
      </c>
      <c r="AD19" s="247">
        <f t="shared" si="20"/>
        <v>59070790.2</v>
      </c>
      <c r="AE19" s="244">
        <f>AD19/I19</f>
        <v>1.009242969178997</v>
      </c>
      <c r="AF19" s="247">
        <f t="shared" si="10"/>
        <v>108877549.34161943</v>
      </c>
      <c r="AG19" s="244">
        <f t="shared" si="7"/>
        <v>1.009242969178997</v>
      </c>
      <c r="AH19" s="247">
        <f>AD19</f>
        <v>59070790.2</v>
      </c>
      <c r="AI19" s="246">
        <f>AH19/I19</f>
        <v>1.009242969178997</v>
      </c>
      <c r="AJ19" s="287" t="s">
        <v>411</v>
      </c>
      <c r="AK19" s="296">
        <v>2016943</v>
      </c>
      <c r="AL19" s="295">
        <v>1714401</v>
      </c>
      <c r="AM19" s="282" t="s">
        <v>394</v>
      </c>
    </row>
    <row r="20" spans="3:39" s="88" customFormat="1" ht="141.75">
      <c r="C20" s="218">
        <v>12</v>
      </c>
      <c r="D20" s="215" t="s">
        <v>14</v>
      </c>
      <c r="E20" s="215" t="s">
        <v>33</v>
      </c>
      <c r="F20" s="270">
        <v>1</v>
      </c>
      <c r="G20" s="216" t="s">
        <v>13</v>
      </c>
      <c r="H20" s="5">
        <v>60544547</v>
      </c>
      <c r="I20" s="5">
        <v>53477881.44468</v>
      </c>
      <c r="J20" s="5">
        <v>60544547</v>
      </c>
      <c r="K20" s="230">
        <v>53477881</v>
      </c>
      <c r="L20" s="5">
        <v>60544547</v>
      </c>
      <c r="M20" s="246">
        <f t="shared" si="2"/>
        <v>1</v>
      </c>
      <c r="N20" s="5">
        <v>53477881</v>
      </c>
      <c r="O20" s="246">
        <f>N20/I20</f>
        <v>0.9999999916847866</v>
      </c>
      <c r="P20" s="247">
        <f t="shared" si="13"/>
        <v>60544546.49655917</v>
      </c>
      <c r="Q20" s="246">
        <f t="shared" si="3"/>
        <v>0.9999999916847866</v>
      </c>
      <c r="R20" s="247">
        <f>N20+0</f>
        <v>53477881</v>
      </c>
      <c r="S20" s="246">
        <f>R20/I20</f>
        <v>0.9999999916847866</v>
      </c>
      <c r="T20" s="247">
        <f t="shared" si="14"/>
        <v>60544546.49655917</v>
      </c>
      <c r="U20" s="246">
        <f t="shared" si="4"/>
        <v>0.9999999916847866</v>
      </c>
      <c r="V20" s="247">
        <f>R20</f>
        <v>53477881</v>
      </c>
      <c r="W20" s="246">
        <f>V20/I20</f>
        <v>0.9999999916847866</v>
      </c>
      <c r="X20" s="247">
        <f t="shared" si="8"/>
        <v>60544546.49655917</v>
      </c>
      <c r="Y20" s="246">
        <f t="shared" si="5"/>
        <v>0.9999999916847866</v>
      </c>
      <c r="Z20" s="247">
        <f>V20</f>
        <v>53477881</v>
      </c>
      <c r="AA20" s="246">
        <f>Z20/I20</f>
        <v>0.9999999916847866</v>
      </c>
      <c r="AB20" s="247">
        <f t="shared" si="9"/>
        <v>60544546.49655917</v>
      </c>
      <c r="AC20" s="244">
        <f t="shared" si="6"/>
        <v>0.9999999916847866</v>
      </c>
      <c r="AD20" s="247">
        <f t="shared" si="20"/>
        <v>53477881</v>
      </c>
      <c r="AE20" s="244">
        <f>AD20/I20</f>
        <v>0.9999999916847866</v>
      </c>
      <c r="AF20" s="247">
        <f t="shared" si="10"/>
        <v>60544546.49655917</v>
      </c>
      <c r="AG20" s="244">
        <f t="shared" si="7"/>
        <v>0.9999999916847866</v>
      </c>
      <c r="AH20" s="247">
        <f>AD20</f>
        <v>53477881</v>
      </c>
      <c r="AI20" s="246">
        <f>AH20/I20</f>
        <v>0.9999999916847866</v>
      </c>
      <c r="AJ20" s="287" t="s">
        <v>412</v>
      </c>
      <c r="AK20" s="296">
        <v>18434467</v>
      </c>
      <c r="AL20" s="295">
        <v>15671004</v>
      </c>
      <c r="AM20" s="282" t="s">
        <v>395</v>
      </c>
    </row>
    <row r="21" spans="3:39" s="88" customFormat="1" ht="126">
      <c r="C21" s="218">
        <v>13</v>
      </c>
      <c r="D21" s="215" t="s">
        <v>14</v>
      </c>
      <c r="E21" s="215" t="s">
        <v>32</v>
      </c>
      <c r="F21" s="270">
        <v>1</v>
      </c>
      <c r="G21" s="216" t="s">
        <v>13</v>
      </c>
      <c r="H21" s="5">
        <v>60659242</v>
      </c>
      <c r="I21" s="5">
        <v>40314639.429455996</v>
      </c>
      <c r="J21" s="5">
        <v>45449243</v>
      </c>
      <c r="K21" s="230">
        <v>40314639</v>
      </c>
      <c r="L21" s="5">
        <v>45868896.75</v>
      </c>
      <c r="M21" s="246">
        <f t="shared" si="2"/>
        <v>0.756173259632885</v>
      </c>
      <c r="N21" s="5">
        <v>40686883.45</v>
      </c>
      <c r="O21" s="246">
        <f>N21/I21</f>
        <v>1.0092334701689538</v>
      </c>
      <c r="P21" s="247">
        <f t="shared" si="13"/>
        <v>61219337.30147834</v>
      </c>
      <c r="Q21" s="246">
        <f t="shared" si="3"/>
        <v>1.0092334701689536</v>
      </c>
      <c r="R21" s="247">
        <f>N21+0</f>
        <v>40686883.45</v>
      </c>
      <c r="S21" s="246">
        <f>R21/I21</f>
        <v>1.0092334701689538</v>
      </c>
      <c r="T21" s="247">
        <f t="shared" si="14"/>
        <v>61219337.30147834</v>
      </c>
      <c r="U21" s="246">
        <f t="shared" si="4"/>
        <v>1.0092334701689536</v>
      </c>
      <c r="V21" s="247">
        <f>R21</f>
        <v>40686883.45</v>
      </c>
      <c r="W21" s="246">
        <f>V21/I21</f>
        <v>1.0092334701689538</v>
      </c>
      <c r="X21" s="247">
        <f t="shared" si="8"/>
        <v>61219337.30147834</v>
      </c>
      <c r="Y21" s="246">
        <f t="shared" si="5"/>
        <v>1.0092334701689536</v>
      </c>
      <c r="Z21" s="247">
        <f>V21</f>
        <v>40686883.45</v>
      </c>
      <c r="AA21" s="246">
        <f>Z21/I21</f>
        <v>1.0092334701689538</v>
      </c>
      <c r="AB21" s="247">
        <f t="shared" si="9"/>
        <v>61219337.30147834</v>
      </c>
      <c r="AC21" s="244">
        <f t="shared" si="6"/>
        <v>1.0092334701689536</v>
      </c>
      <c r="AD21" s="247">
        <f t="shared" si="20"/>
        <v>40686883.45</v>
      </c>
      <c r="AE21" s="244">
        <f>AD21/I21</f>
        <v>1.0092334701689538</v>
      </c>
      <c r="AF21" s="247">
        <f t="shared" si="10"/>
        <v>61219337.30147834</v>
      </c>
      <c r="AG21" s="244">
        <f t="shared" si="7"/>
        <v>1.0092334701689536</v>
      </c>
      <c r="AH21" s="247">
        <f>AD21</f>
        <v>40686883.45</v>
      </c>
      <c r="AI21" s="246">
        <f>AH21/I21</f>
        <v>1.0092334701689538</v>
      </c>
      <c r="AJ21" s="287" t="s">
        <v>413</v>
      </c>
      <c r="AK21" s="296">
        <v>17973786</v>
      </c>
      <c r="AL21" s="295">
        <v>7460738</v>
      </c>
      <c r="AM21" s="282" t="s">
        <v>396</v>
      </c>
    </row>
    <row r="22" spans="3:39" s="88" customFormat="1" ht="110.25">
      <c r="C22" s="218">
        <v>14</v>
      </c>
      <c r="D22" s="215" t="s">
        <v>14</v>
      </c>
      <c r="E22" s="215" t="s">
        <v>23</v>
      </c>
      <c r="F22" s="270">
        <v>601</v>
      </c>
      <c r="G22" s="19" t="s">
        <v>295</v>
      </c>
      <c r="H22" s="5">
        <v>27266678</v>
      </c>
      <c r="I22" s="5">
        <v>14696804.62</v>
      </c>
      <c r="J22" s="5">
        <v>3308796.91</v>
      </c>
      <c r="K22" s="230">
        <f t="shared" si="11"/>
        <v>3308796.91</v>
      </c>
      <c r="L22" s="5">
        <v>3048066.95</v>
      </c>
      <c r="M22" s="246">
        <f t="shared" si="2"/>
        <v>0.1117872499906296</v>
      </c>
      <c r="N22" s="5">
        <v>1525371.91</v>
      </c>
      <c r="O22" s="246">
        <f t="shared" si="12"/>
        <v>0.10378935758077731</v>
      </c>
      <c r="P22" s="247">
        <f t="shared" si="13"/>
        <v>5034085.114234239</v>
      </c>
      <c r="Q22" s="246">
        <f t="shared" si="3"/>
        <v>0.18462407170518677</v>
      </c>
      <c r="R22" s="247">
        <f>N22+1188012</f>
        <v>2713383.91</v>
      </c>
      <c r="S22" s="246">
        <f t="shared" si="19"/>
        <v>0.18462407170518677</v>
      </c>
      <c r="T22" s="247">
        <f t="shared" si="14"/>
        <v>11031093.768796865</v>
      </c>
      <c r="U22" s="246">
        <f t="shared" si="4"/>
        <v>0.40456317299807715</v>
      </c>
      <c r="V22" s="247">
        <f>R22+3232402</f>
        <v>5945785.91</v>
      </c>
      <c r="W22" s="246">
        <f t="shared" si="15"/>
        <v>0.4045631729980772</v>
      </c>
      <c r="X22" s="247">
        <f t="shared" si="8"/>
        <v>16627208.097374093</v>
      </c>
      <c r="Y22" s="246">
        <f t="shared" si="5"/>
        <v>0.6097995545102375</v>
      </c>
      <c r="Z22" s="247">
        <f>V22+3016319</f>
        <v>8962104.91</v>
      </c>
      <c r="AA22" s="246">
        <f t="shared" si="16"/>
        <v>0.6097995545102375</v>
      </c>
      <c r="AB22" s="247">
        <f t="shared" si="9"/>
        <v>22223322.425951324</v>
      </c>
      <c r="AC22" s="244">
        <f t="shared" si="6"/>
        <v>0.8150359360223979</v>
      </c>
      <c r="AD22" s="247">
        <f>Z22+3016319</f>
        <v>11978423.91</v>
      </c>
      <c r="AE22" s="244">
        <f t="shared" si="17"/>
        <v>0.8150359360223979</v>
      </c>
      <c r="AF22" s="247">
        <f t="shared" si="10"/>
        <v>27819438.609807894</v>
      </c>
      <c r="AG22" s="244">
        <f t="shared" si="7"/>
        <v>1.0202723855765596</v>
      </c>
      <c r="AH22" s="247">
        <f>AD22+3016320</f>
        <v>14994743.91</v>
      </c>
      <c r="AI22" s="246">
        <f t="shared" si="18"/>
        <v>1.0202723855765594</v>
      </c>
      <c r="AJ22" s="287" t="s">
        <v>414</v>
      </c>
      <c r="AK22" s="296"/>
      <c r="AL22" s="295"/>
      <c r="AM22" s="282" t="s">
        <v>397</v>
      </c>
    </row>
    <row r="23" spans="3:39" s="88" customFormat="1" ht="63">
      <c r="C23" s="218">
        <v>15</v>
      </c>
      <c r="D23" s="215" t="s">
        <v>14</v>
      </c>
      <c r="E23" s="215" t="s">
        <v>347</v>
      </c>
      <c r="F23" s="270">
        <v>2</v>
      </c>
      <c r="G23" s="19" t="s">
        <v>348</v>
      </c>
      <c r="H23" s="5">
        <f>7114359*0.702804</f>
        <v>4999999.962636</v>
      </c>
      <c r="I23" s="5">
        <f>4268615*0.702804</f>
        <v>2999999.69646</v>
      </c>
      <c r="J23" s="5">
        <v>889638</v>
      </c>
      <c r="K23" s="230">
        <v>889638</v>
      </c>
      <c r="L23" s="5">
        <v>0</v>
      </c>
      <c r="M23" s="246">
        <f t="shared" si="2"/>
        <v>0</v>
      </c>
      <c r="N23" s="5">
        <v>0</v>
      </c>
      <c r="O23" s="246">
        <f t="shared" si="12"/>
        <v>0</v>
      </c>
      <c r="P23" s="247">
        <f t="shared" si="13"/>
        <v>1482730.1389424908</v>
      </c>
      <c r="Q23" s="246">
        <f t="shared" si="3"/>
        <v>0.29654603000452734</v>
      </c>
      <c r="R23" s="247">
        <v>889638</v>
      </c>
      <c r="S23" s="246">
        <f t="shared" si="19"/>
        <v>0.29654603000452734</v>
      </c>
      <c r="T23" s="247">
        <f t="shared" si="14"/>
        <v>3327856.978510828</v>
      </c>
      <c r="U23" s="246">
        <f t="shared" si="4"/>
        <v>0.6655714006758476</v>
      </c>
      <c r="V23" s="247">
        <f>R23+1107076</f>
        <v>1996714</v>
      </c>
      <c r="W23" s="246">
        <f>V23/I23</f>
        <v>0.6655714006758477</v>
      </c>
      <c r="X23" s="247">
        <f t="shared" si="8"/>
        <v>5000000.468536047</v>
      </c>
      <c r="Y23" s="246">
        <f t="shared" si="5"/>
        <v>1.0000001011800104</v>
      </c>
      <c r="Z23" s="247">
        <f>V23+1003286</f>
        <v>3000000</v>
      </c>
      <c r="AA23" s="246">
        <f>Z23/I23</f>
        <v>1.0000001011800104</v>
      </c>
      <c r="AB23" s="247">
        <f t="shared" si="9"/>
        <v>5000000.468536047</v>
      </c>
      <c r="AC23" s="244">
        <f t="shared" si="6"/>
        <v>1.0000001011800104</v>
      </c>
      <c r="AD23" s="247">
        <f>Z23</f>
        <v>3000000</v>
      </c>
      <c r="AE23" s="244">
        <f>AD23/I23</f>
        <v>1.0000001011800104</v>
      </c>
      <c r="AF23" s="247">
        <f t="shared" si="10"/>
        <v>5000000.468536047</v>
      </c>
      <c r="AG23" s="244">
        <f t="shared" si="7"/>
        <v>1.0000001011800104</v>
      </c>
      <c r="AH23" s="247">
        <f>AD23</f>
        <v>3000000</v>
      </c>
      <c r="AI23" s="246">
        <f>AH23/I23</f>
        <v>1.0000001011800104</v>
      </c>
      <c r="AJ23" s="287" t="s">
        <v>349</v>
      </c>
      <c r="AK23" s="296"/>
      <c r="AL23" s="295"/>
      <c r="AM23" s="282" t="s">
        <v>398</v>
      </c>
    </row>
    <row r="24" spans="3:39" s="88" customFormat="1" ht="183" customHeight="1">
      <c r="C24" s="218">
        <v>16</v>
      </c>
      <c r="D24" s="215" t="s">
        <v>14</v>
      </c>
      <c r="E24" s="215" t="s">
        <v>24</v>
      </c>
      <c r="F24" s="270">
        <v>1</v>
      </c>
      <c r="G24" s="216" t="s">
        <v>296</v>
      </c>
      <c r="H24" s="5">
        <v>2017461</v>
      </c>
      <c r="I24" s="5">
        <v>1714841.76</v>
      </c>
      <c r="J24" s="5">
        <v>750078.23</v>
      </c>
      <c r="K24" s="230">
        <f>J24*0.85</f>
        <v>637566.4955</v>
      </c>
      <c r="L24" s="5">
        <v>365705.44</v>
      </c>
      <c r="M24" s="246">
        <f t="shared" si="2"/>
        <v>0.18127014103370523</v>
      </c>
      <c r="N24" s="5">
        <v>310849.63</v>
      </c>
      <c r="O24" s="246">
        <f t="shared" si="12"/>
        <v>0.18127015404616692</v>
      </c>
      <c r="P24" s="247">
        <f t="shared" si="13"/>
        <v>711816.0726523419</v>
      </c>
      <c r="Q24" s="246">
        <f t="shared" si="3"/>
        <v>0.35282767431555895</v>
      </c>
      <c r="R24" s="247">
        <f>N24+294194</f>
        <v>605043.63</v>
      </c>
      <c r="S24" s="246">
        <f t="shared" si="19"/>
        <v>0.352827674315559</v>
      </c>
      <c r="T24" s="247">
        <f t="shared" si="14"/>
        <v>1057926.6790525499</v>
      </c>
      <c r="U24" s="246">
        <f t="shared" si="4"/>
        <v>0.524385194584951</v>
      </c>
      <c r="V24" s="247">
        <f>R24+294194</f>
        <v>899237.63</v>
      </c>
      <c r="W24" s="246">
        <f t="shared" si="15"/>
        <v>0.5243851945849511</v>
      </c>
      <c r="X24" s="247">
        <f t="shared" si="8"/>
        <v>1404037.285452758</v>
      </c>
      <c r="Y24" s="246">
        <f t="shared" si="5"/>
        <v>0.6959427148543431</v>
      </c>
      <c r="Z24" s="247">
        <f>V24+294194</f>
        <v>1193431.63</v>
      </c>
      <c r="AA24" s="246">
        <f t="shared" si="16"/>
        <v>0.6959427148543431</v>
      </c>
      <c r="AB24" s="247">
        <f t="shared" si="9"/>
        <v>1750147.8918529658</v>
      </c>
      <c r="AC24" s="244">
        <f t="shared" si="6"/>
        <v>0.8675002351237351</v>
      </c>
      <c r="AD24" s="247">
        <f>Z24+294194</f>
        <v>1487625.63</v>
      </c>
      <c r="AE24" s="244">
        <f t="shared" si="17"/>
        <v>0.8675002351237352</v>
      </c>
      <c r="AF24" s="247">
        <f t="shared" si="10"/>
        <v>2114685.55804381</v>
      </c>
      <c r="AG24" s="244">
        <f t="shared" si="7"/>
        <v>1.0481915427578576</v>
      </c>
      <c r="AH24" s="247">
        <f>AD24+309857</f>
        <v>1797482.63</v>
      </c>
      <c r="AI24" s="246">
        <f t="shared" si="18"/>
        <v>1.0481915427578576</v>
      </c>
      <c r="AJ24" s="287" t="s">
        <v>300</v>
      </c>
      <c r="AK24" s="285"/>
      <c r="AL24" s="285"/>
      <c r="AM24" s="282" t="s">
        <v>399</v>
      </c>
    </row>
    <row r="25" spans="3:39" s="88" customFormat="1" ht="132.75" customHeight="1">
      <c r="C25" s="218">
        <v>17</v>
      </c>
      <c r="D25" s="215" t="s">
        <v>14</v>
      </c>
      <c r="E25" s="215" t="s">
        <v>25</v>
      </c>
      <c r="F25" s="270">
        <v>1</v>
      </c>
      <c r="G25" s="216" t="s">
        <v>297</v>
      </c>
      <c r="H25" s="5">
        <v>20208601</v>
      </c>
      <c r="I25" s="5">
        <v>17179418.987244</v>
      </c>
      <c r="J25" s="5">
        <v>7364329.41</v>
      </c>
      <c r="K25" s="230">
        <f>J25*0.85</f>
        <v>6259679.9985</v>
      </c>
      <c r="L25" s="5">
        <v>3767243.25</v>
      </c>
      <c r="M25" s="246">
        <f t="shared" si="2"/>
        <v>0.1864178153648538</v>
      </c>
      <c r="N25" s="5">
        <v>3202156.77</v>
      </c>
      <c r="O25" s="246">
        <f t="shared" si="12"/>
        <v>0.1863949399207071</v>
      </c>
      <c r="P25" s="247">
        <f t="shared" si="13"/>
        <v>7201821.746485618</v>
      </c>
      <c r="Q25" s="246">
        <f t="shared" si="3"/>
        <v>0.356374087770134</v>
      </c>
      <c r="R25" s="247">
        <f>N25+2920143</f>
        <v>6122299.77</v>
      </c>
      <c r="S25" s="246">
        <f t="shared" si="19"/>
        <v>0.356374087770134</v>
      </c>
      <c r="T25" s="247">
        <f t="shared" si="14"/>
        <v>10636862.523694694</v>
      </c>
      <c r="U25" s="246">
        <f t="shared" si="4"/>
        <v>0.5263532356195609</v>
      </c>
      <c r="V25" s="247">
        <f>R25+2920143</f>
        <v>9042442.77</v>
      </c>
      <c r="W25" s="246">
        <f t="shared" si="15"/>
        <v>0.5263532356195609</v>
      </c>
      <c r="X25" s="247">
        <f t="shared" si="8"/>
        <v>14071903.300903771</v>
      </c>
      <c r="Y25" s="246">
        <f t="shared" si="5"/>
        <v>0.6963323834689878</v>
      </c>
      <c r="Z25" s="247">
        <f>V25+2920143</f>
        <v>11962585.77</v>
      </c>
      <c r="AA25" s="246">
        <f t="shared" si="16"/>
        <v>0.6963323834689878</v>
      </c>
      <c r="AB25" s="247">
        <f t="shared" si="9"/>
        <v>17506944.078112848</v>
      </c>
      <c r="AC25" s="244">
        <f t="shared" si="6"/>
        <v>0.8663115313184148</v>
      </c>
      <c r="AD25" s="247">
        <f>Z25+2920143</f>
        <v>14882728.77</v>
      </c>
      <c r="AE25" s="244">
        <f t="shared" si="17"/>
        <v>0.8663115313184148</v>
      </c>
      <c r="AF25" s="247">
        <f t="shared" si="10"/>
        <v>20676295.1099555</v>
      </c>
      <c r="AG25" s="244">
        <f t="shared" si="7"/>
        <v>1.023143319518036</v>
      </c>
      <c r="AH25" s="247">
        <f>AD25+2694279</f>
        <v>17577007.77</v>
      </c>
      <c r="AI25" s="246">
        <f t="shared" si="18"/>
        <v>1.023143319518036</v>
      </c>
      <c r="AJ25" s="287" t="s">
        <v>415</v>
      </c>
      <c r="AK25" s="285"/>
      <c r="AL25" s="285"/>
      <c r="AM25" s="282" t="s">
        <v>400</v>
      </c>
    </row>
    <row r="26" spans="3:39" s="88" customFormat="1" ht="134.25" customHeight="1">
      <c r="C26" s="218">
        <v>18</v>
      </c>
      <c r="D26" s="215" t="s">
        <v>14</v>
      </c>
      <c r="E26" s="215" t="s">
        <v>26</v>
      </c>
      <c r="F26" s="270">
        <v>183</v>
      </c>
      <c r="G26" s="19" t="s">
        <v>298</v>
      </c>
      <c r="H26" s="5">
        <v>35021574</v>
      </c>
      <c r="I26" s="5">
        <v>17510786.86</v>
      </c>
      <c r="J26" s="5">
        <v>7665769.56</v>
      </c>
      <c r="K26" s="230">
        <f t="shared" si="11"/>
        <v>7665769.56</v>
      </c>
      <c r="L26" s="5">
        <v>9617035.77</v>
      </c>
      <c r="M26" s="246">
        <f t="shared" si="2"/>
        <v>0.27460318516809096</v>
      </c>
      <c r="N26" s="5">
        <v>4210042.49</v>
      </c>
      <c r="O26" s="246">
        <f t="shared" si="12"/>
        <v>0.24042566011793717</v>
      </c>
      <c r="P26" s="247">
        <f t="shared" si="13"/>
        <v>16859993.114796855</v>
      </c>
      <c r="Q26" s="246">
        <f t="shared" si="3"/>
        <v>0.48141734334375874</v>
      </c>
      <c r="R26" s="247">
        <f>N26+4219954</f>
        <v>8429996.49</v>
      </c>
      <c r="S26" s="246">
        <f t="shared" si="19"/>
        <v>0.48141734334375885</v>
      </c>
      <c r="T26" s="247">
        <f t="shared" si="14"/>
        <v>25071123.180445433</v>
      </c>
      <c r="U26" s="246">
        <f t="shared" si="4"/>
        <v>0.7158765388570323</v>
      </c>
      <c r="V26" s="247">
        <f>R26+4105565</f>
        <v>12535561.49</v>
      </c>
      <c r="W26" s="246">
        <f t="shared" si="15"/>
        <v>0.7158765388570323</v>
      </c>
      <c r="X26" s="247">
        <f t="shared" si="8"/>
        <v>25071123.180445433</v>
      </c>
      <c r="Y26" s="246">
        <f t="shared" si="5"/>
        <v>0.7158765388570323</v>
      </c>
      <c r="Z26" s="247">
        <f>V26</f>
        <v>12535561.49</v>
      </c>
      <c r="AA26" s="246">
        <f t="shared" si="16"/>
        <v>0.7158765388570323</v>
      </c>
      <c r="AB26" s="247">
        <f t="shared" si="9"/>
        <v>25071123.180445433</v>
      </c>
      <c r="AC26" s="244">
        <f t="shared" si="6"/>
        <v>0.7158765388570323</v>
      </c>
      <c r="AD26" s="247">
        <f>Z26</f>
        <v>12535561.49</v>
      </c>
      <c r="AE26" s="244">
        <f t="shared" si="17"/>
        <v>0.7158765388570323</v>
      </c>
      <c r="AF26" s="247">
        <f t="shared" si="10"/>
        <v>36192801.26936405</v>
      </c>
      <c r="AG26" s="244">
        <f t="shared" si="7"/>
        <v>1.0334430219887905</v>
      </c>
      <c r="AH26" s="247">
        <f>AD26+5560839</f>
        <v>18096400.490000002</v>
      </c>
      <c r="AI26" s="246">
        <f t="shared" si="18"/>
        <v>1.0334430219887905</v>
      </c>
      <c r="AJ26" s="287" t="s">
        <v>416</v>
      </c>
      <c r="AK26" s="296">
        <v>8584903</v>
      </c>
      <c r="AL26" s="295">
        <v>4972661</v>
      </c>
      <c r="AM26" s="282" t="s">
        <v>401</v>
      </c>
    </row>
    <row r="27" spans="3:39" s="88" customFormat="1" ht="101.25" customHeight="1">
      <c r="C27" s="218">
        <v>19</v>
      </c>
      <c r="D27" s="215" t="s">
        <v>14</v>
      </c>
      <c r="E27" s="215" t="s">
        <v>27</v>
      </c>
      <c r="F27" s="270">
        <v>21</v>
      </c>
      <c r="G27" s="292" t="s">
        <v>380</v>
      </c>
      <c r="H27" s="5">
        <v>9796159</v>
      </c>
      <c r="I27" s="5">
        <f>11466808*0.702804</f>
        <v>8058918.529632</v>
      </c>
      <c r="J27" s="5">
        <v>4188439</v>
      </c>
      <c r="K27" s="5">
        <f>J27</f>
        <v>4188439</v>
      </c>
      <c r="L27" s="5">
        <v>2522089.47</v>
      </c>
      <c r="M27" s="231">
        <f>L27/J27</f>
        <v>0.6021549961692173</v>
      </c>
      <c r="N27" s="5">
        <v>2145396.35</v>
      </c>
      <c r="O27" s="231">
        <f>N27/K27</f>
        <v>0.5122185974297346</v>
      </c>
      <c r="P27" s="5">
        <f>R27*100/82</f>
        <v>5183091.890243902</v>
      </c>
      <c r="Q27" s="244">
        <f t="shared" si="3"/>
        <v>0.5290943001480378</v>
      </c>
      <c r="R27" s="5">
        <f>N27+2104739</f>
        <v>4250135.35</v>
      </c>
      <c r="S27" s="244">
        <f>R27/I27</f>
        <v>0.5273828410564756</v>
      </c>
      <c r="T27" s="5">
        <f>H27</f>
        <v>9796159</v>
      </c>
      <c r="U27" s="244">
        <f t="shared" si="4"/>
        <v>1</v>
      </c>
      <c r="V27" s="5">
        <f>I27</f>
        <v>8058918.529632</v>
      </c>
      <c r="W27" s="244">
        <f>V27/I27</f>
        <v>1</v>
      </c>
      <c r="X27" s="5">
        <v>9796159</v>
      </c>
      <c r="Y27" s="244">
        <v>1</v>
      </c>
      <c r="Z27" s="5">
        <v>8058919</v>
      </c>
      <c r="AA27" s="244">
        <v>1</v>
      </c>
      <c r="AB27" s="5">
        <v>9796159</v>
      </c>
      <c r="AC27" s="244">
        <v>1</v>
      </c>
      <c r="AD27" s="5">
        <v>8058919</v>
      </c>
      <c r="AE27" s="244">
        <v>1</v>
      </c>
      <c r="AF27" s="5">
        <v>9796159</v>
      </c>
      <c r="AG27" s="244">
        <v>1</v>
      </c>
      <c r="AH27" s="5">
        <v>8058919</v>
      </c>
      <c r="AI27" s="244">
        <v>1</v>
      </c>
      <c r="AJ27" s="287" t="s">
        <v>417</v>
      </c>
      <c r="AK27" s="285"/>
      <c r="AL27" s="285"/>
      <c r="AM27" s="446" t="s">
        <v>402</v>
      </c>
    </row>
    <row r="28" spans="3:39" s="88" customFormat="1" ht="98.25" customHeight="1">
      <c r="C28" s="218">
        <v>20</v>
      </c>
      <c r="D28" s="215" t="s">
        <v>14</v>
      </c>
      <c r="E28" s="215" t="s">
        <v>28</v>
      </c>
      <c r="F28" s="270">
        <v>8</v>
      </c>
      <c r="G28" s="216" t="s">
        <v>279</v>
      </c>
      <c r="H28" s="5">
        <v>6394062</v>
      </c>
      <c r="I28" s="5">
        <f>7687449*0.702804</f>
        <v>5402769.906996</v>
      </c>
      <c r="J28" s="5">
        <v>2611124</v>
      </c>
      <c r="K28" s="5">
        <f>J28</f>
        <v>2611124</v>
      </c>
      <c r="L28" s="5">
        <v>1018294.05</v>
      </c>
      <c r="M28" s="231">
        <f>L28/J28</f>
        <v>0.3899830302965313</v>
      </c>
      <c r="N28" s="5">
        <v>819266.06</v>
      </c>
      <c r="O28" s="231">
        <f>N28/K28</f>
        <v>0.313759921014858</v>
      </c>
      <c r="P28" s="5">
        <f>R28*100/84</f>
        <v>2918959.595238095</v>
      </c>
      <c r="Q28" s="244">
        <f t="shared" si="3"/>
        <v>0.45651099336198103</v>
      </c>
      <c r="R28" s="5">
        <f>N28+1632660</f>
        <v>2451926.06</v>
      </c>
      <c r="S28" s="244">
        <f>R28/I28</f>
        <v>0.45382759255118793</v>
      </c>
      <c r="T28" s="5">
        <f>H28</f>
        <v>6394062</v>
      </c>
      <c r="U28" s="244">
        <f t="shared" si="4"/>
        <v>1</v>
      </c>
      <c r="V28" s="5">
        <f>I28</f>
        <v>5402769.906996</v>
      </c>
      <c r="W28" s="244">
        <f>V28/I28</f>
        <v>1</v>
      </c>
      <c r="X28" s="5">
        <v>6394062</v>
      </c>
      <c r="Y28" s="244">
        <v>1</v>
      </c>
      <c r="Z28" s="5">
        <v>5402770</v>
      </c>
      <c r="AA28" s="244">
        <v>1</v>
      </c>
      <c r="AB28" s="5">
        <v>6394062</v>
      </c>
      <c r="AC28" s="244">
        <v>1</v>
      </c>
      <c r="AD28" s="5">
        <v>5402770</v>
      </c>
      <c r="AE28" s="244">
        <v>1</v>
      </c>
      <c r="AF28" s="5">
        <v>6394062</v>
      </c>
      <c r="AG28" s="244">
        <v>1</v>
      </c>
      <c r="AH28" s="5">
        <v>5402770</v>
      </c>
      <c r="AI28" s="244">
        <v>1</v>
      </c>
      <c r="AJ28" s="287" t="s">
        <v>282</v>
      </c>
      <c r="AK28" s="285"/>
      <c r="AL28" s="285"/>
      <c r="AM28" s="447"/>
    </row>
    <row r="29" spans="3:39" s="88" customFormat="1" ht="51" customHeight="1">
      <c r="C29" s="218">
        <v>21</v>
      </c>
      <c r="D29" s="215" t="s">
        <v>14</v>
      </c>
      <c r="E29" s="215" t="s">
        <v>237</v>
      </c>
      <c r="F29" s="270">
        <v>0</v>
      </c>
      <c r="G29" s="216" t="s">
        <v>41</v>
      </c>
      <c r="H29" s="5">
        <v>0</v>
      </c>
      <c r="I29" s="5">
        <v>0</v>
      </c>
      <c r="J29" s="5">
        <v>0</v>
      </c>
      <c r="K29" s="5">
        <v>0</v>
      </c>
      <c r="L29" s="5">
        <v>0</v>
      </c>
      <c r="M29" s="231">
        <v>0</v>
      </c>
      <c r="N29" s="5">
        <v>0</v>
      </c>
      <c r="O29" s="231">
        <v>0</v>
      </c>
      <c r="P29" s="5">
        <v>0</v>
      </c>
      <c r="Q29" s="244">
        <v>0</v>
      </c>
      <c r="R29" s="5">
        <v>0</v>
      </c>
      <c r="S29" s="244">
        <v>0</v>
      </c>
      <c r="T29" s="5">
        <v>0</v>
      </c>
      <c r="U29" s="244">
        <v>0</v>
      </c>
      <c r="V29" s="5">
        <v>0</v>
      </c>
      <c r="W29" s="244">
        <v>0</v>
      </c>
      <c r="X29" s="5">
        <v>0</v>
      </c>
      <c r="Y29" s="244">
        <v>0</v>
      </c>
      <c r="Z29" s="5">
        <v>0</v>
      </c>
      <c r="AA29" s="244">
        <v>0</v>
      </c>
      <c r="AB29" s="5">
        <v>0</v>
      </c>
      <c r="AC29" s="244">
        <v>0</v>
      </c>
      <c r="AD29" s="5">
        <v>0</v>
      </c>
      <c r="AE29" s="244">
        <v>0</v>
      </c>
      <c r="AF29" s="5">
        <v>0</v>
      </c>
      <c r="AG29" s="244">
        <v>0</v>
      </c>
      <c r="AH29" s="5">
        <v>0</v>
      </c>
      <c r="AI29" s="244">
        <v>0</v>
      </c>
      <c r="AJ29" s="291"/>
      <c r="AK29" s="285"/>
      <c r="AL29" s="285"/>
      <c r="AM29" s="282"/>
    </row>
    <row r="30" spans="3:39" s="87" customFormat="1" ht="58.5" customHeight="1">
      <c r="C30" s="218">
        <v>22</v>
      </c>
      <c r="D30" s="215" t="s">
        <v>14</v>
      </c>
      <c r="E30" s="215" t="s">
        <v>238</v>
      </c>
      <c r="F30" s="270">
        <v>0</v>
      </c>
      <c r="G30" s="216" t="s">
        <v>41</v>
      </c>
      <c r="H30" s="5">
        <v>0</v>
      </c>
      <c r="I30" s="5">
        <v>0</v>
      </c>
      <c r="J30" s="5">
        <v>0</v>
      </c>
      <c r="K30" s="5">
        <v>0</v>
      </c>
      <c r="L30" s="5">
        <v>0</v>
      </c>
      <c r="M30" s="231">
        <v>0</v>
      </c>
      <c r="N30" s="5">
        <v>0</v>
      </c>
      <c r="O30" s="231">
        <v>0</v>
      </c>
      <c r="P30" s="5">
        <v>0</v>
      </c>
      <c r="Q30" s="244">
        <v>0</v>
      </c>
      <c r="R30" s="5">
        <v>0</v>
      </c>
      <c r="S30" s="244">
        <v>0</v>
      </c>
      <c r="T30" s="5">
        <v>0</v>
      </c>
      <c r="U30" s="244">
        <v>0</v>
      </c>
      <c r="V30" s="5">
        <v>0</v>
      </c>
      <c r="W30" s="244">
        <v>0</v>
      </c>
      <c r="X30" s="5">
        <v>0</v>
      </c>
      <c r="Y30" s="244">
        <v>0</v>
      </c>
      <c r="Z30" s="5">
        <v>0</v>
      </c>
      <c r="AA30" s="244">
        <v>0</v>
      </c>
      <c r="AB30" s="5">
        <v>0</v>
      </c>
      <c r="AC30" s="244">
        <v>0</v>
      </c>
      <c r="AD30" s="5">
        <v>0</v>
      </c>
      <c r="AE30" s="244">
        <v>0</v>
      </c>
      <c r="AF30" s="5">
        <v>0</v>
      </c>
      <c r="AG30" s="244">
        <v>0</v>
      </c>
      <c r="AH30" s="5">
        <v>0</v>
      </c>
      <c r="AI30" s="244">
        <v>0</v>
      </c>
      <c r="AJ30" s="291"/>
      <c r="AK30" s="290"/>
      <c r="AL30" s="290"/>
      <c r="AM30" s="289"/>
    </row>
    <row r="31" spans="3:39" s="88" customFormat="1" ht="119.25" customHeight="1">
      <c r="C31" s="218">
        <v>23</v>
      </c>
      <c r="D31" s="215" t="s">
        <v>14</v>
      </c>
      <c r="E31" s="215" t="s">
        <v>228</v>
      </c>
      <c r="F31" s="270">
        <v>276</v>
      </c>
      <c r="G31" s="216" t="s">
        <v>280</v>
      </c>
      <c r="H31" s="217">
        <v>76443425</v>
      </c>
      <c r="I31" s="230">
        <v>44337187</v>
      </c>
      <c r="J31" s="230">
        <v>5542013</v>
      </c>
      <c r="K31" s="230">
        <f>J31</f>
        <v>5542013</v>
      </c>
      <c r="L31" s="230">
        <v>2364215.84</v>
      </c>
      <c r="M31" s="231">
        <f>L31/J31</f>
        <v>0.4265987539184769</v>
      </c>
      <c r="N31" s="230">
        <v>1182107.83</v>
      </c>
      <c r="O31" s="231">
        <f>N31/K31</f>
        <v>0.2132993607196519</v>
      </c>
      <c r="P31" s="230">
        <f>R31*100/58</f>
        <v>10678580.74137931</v>
      </c>
      <c r="Q31" s="244">
        <f>P31/H31</f>
        <v>0.13969259934885583</v>
      </c>
      <c r="R31" s="230">
        <f>N31+5011469</f>
        <v>6193576.83</v>
      </c>
      <c r="S31" s="244">
        <f>R31/I31</f>
        <v>0.13969259777351234</v>
      </c>
      <c r="T31" s="230">
        <f>H31</f>
        <v>76443425</v>
      </c>
      <c r="U31" s="245">
        <f>T31/H31</f>
        <v>1</v>
      </c>
      <c r="V31" s="230">
        <f>I31</f>
        <v>44337187</v>
      </c>
      <c r="W31" s="245">
        <f>V31/I31</f>
        <v>1</v>
      </c>
      <c r="X31" s="230">
        <v>76443425</v>
      </c>
      <c r="Y31" s="245">
        <v>1</v>
      </c>
      <c r="Z31" s="230">
        <v>44337187</v>
      </c>
      <c r="AA31" s="245">
        <v>1</v>
      </c>
      <c r="AB31" s="230">
        <v>76443425</v>
      </c>
      <c r="AC31" s="245">
        <v>1</v>
      </c>
      <c r="AD31" s="230">
        <v>44337187</v>
      </c>
      <c r="AE31" s="245">
        <v>1</v>
      </c>
      <c r="AF31" s="230">
        <v>76443425</v>
      </c>
      <c r="AG31" s="244">
        <v>1</v>
      </c>
      <c r="AH31" s="230">
        <v>44337187</v>
      </c>
      <c r="AI31" s="245">
        <v>1</v>
      </c>
      <c r="AJ31" s="299" t="s">
        <v>418</v>
      </c>
      <c r="AK31" s="285"/>
      <c r="AL31" s="285"/>
      <c r="AM31" s="446" t="s">
        <v>403</v>
      </c>
    </row>
    <row r="32" spans="3:39" ht="183.75" customHeight="1">
      <c r="C32" s="218">
        <v>24</v>
      </c>
      <c r="D32" s="215" t="s">
        <v>14</v>
      </c>
      <c r="E32" s="215" t="s">
        <v>34</v>
      </c>
      <c r="F32" s="270">
        <v>60</v>
      </c>
      <c r="G32" s="292" t="s">
        <v>381</v>
      </c>
      <c r="H32" s="217">
        <v>9229999.89</v>
      </c>
      <c r="I32" s="230">
        <v>6922499.92</v>
      </c>
      <c r="J32" s="5">
        <v>2964610</v>
      </c>
      <c r="K32" s="5">
        <f>J32</f>
        <v>2964610</v>
      </c>
      <c r="L32" s="5">
        <v>1347667.08</v>
      </c>
      <c r="M32" s="231">
        <f>L32/J32</f>
        <v>0.45458494709253494</v>
      </c>
      <c r="N32" s="5">
        <v>1014497.92</v>
      </c>
      <c r="O32" s="231">
        <f>N32/K32</f>
        <v>0.34220282600409496</v>
      </c>
      <c r="P32" s="5">
        <f>R32*100/75</f>
        <v>3809057.2266666666</v>
      </c>
      <c r="Q32" s="244">
        <f>P32/H32</f>
        <v>0.4126822613284632</v>
      </c>
      <c r="R32" s="5">
        <f>N32+1842295</f>
        <v>2856792.92</v>
      </c>
      <c r="S32" s="244">
        <f>R32/I32</f>
        <v>0.41268226117942663</v>
      </c>
      <c r="T32" s="230">
        <f>H32</f>
        <v>9229999.89</v>
      </c>
      <c r="U32" s="245">
        <f>T32/H32</f>
        <v>1</v>
      </c>
      <c r="V32" s="230">
        <f>I32</f>
        <v>6922499.92</v>
      </c>
      <c r="W32" s="245">
        <f>V32/I32</f>
        <v>1</v>
      </c>
      <c r="X32" s="5">
        <v>9229999.89</v>
      </c>
      <c r="Y32" s="244">
        <v>1</v>
      </c>
      <c r="Z32" s="5">
        <v>6922499.92</v>
      </c>
      <c r="AA32" s="244">
        <v>1</v>
      </c>
      <c r="AB32" s="5">
        <v>9229999.89</v>
      </c>
      <c r="AC32" s="244">
        <v>1</v>
      </c>
      <c r="AD32" s="5">
        <v>6922499.92</v>
      </c>
      <c r="AE32" s="244">
        <v>1</v>
      </c>
      <c r="AF32" s="5">
        <v>9229999.89</v>
      </c>
      <c r="AG32" s="244">
        <v>1</v>
      </c>
      <c r="AH32" s="5">
        <v>6922499.92</v>
      </c>
      <c r="AI32" s="244">
        <v>1</v>
      </c>
      <c r="AJ32" s="287" t="s">
        <v>419</v>
      </c>
      <c r="AK32" s="285"/>
      <c r="AL32" s="285"/>
      <c r="AM32" s="447"/>
    </row>
    <row r="33" spans="3:39" s="88" customFormat="1" ht="15.75">
      <c r="C33" s="221"/>
      <c r="D33" s="222"/>
      <c r="E33" s="227" t="s">
        <v>35</v>
      </c>
      <c r="F33" s="272">
        <f>F34+F35+F36+F37</f>
        <v>47</v>
      </c>
      <c r="G33" s="223"/>
      <c r="H33" s="224">
        <f>H34+H35+H36+H37</f>
        <v>153392199</v>
      </c>
      <c r="I33" s="224">
        <f>I34+I35+I36+I37</f>
        <v>76696099.88</v>
      </c>
      <c r="J33" s="224">
        <f>J34+J35+J36+J37</f>
        <v>17585282</v>
      </c>
      <c r="K33" s="224">
        <f>K34+K35+K36+K37</f>
        <v>17585282</v>
      </c>
      <c r="L33" s="224">
        <f>L34+L35+L36+L37</f>
        <v>10613155.08</v>
      </c>
      <c r="M33" s="243">
        <f>L33/H33</f>
        <v>0.0691896664184337</v>
      </c>
      <c r="N33" s="224">
        <f>N34+N35+N36+N37</f>
        <v>6586564.9</v>
      </c>
      <c r="O33" s="243">
        <f>N33/I33</f>
        <v>0.0858787462505323</v>
      </c>
      <c r="P33" s="224">
        <f>P34+P35+P36+P37</f>
        <v>37002217.8</v>
      </c>
      <c r="Q33" s="243">
        <f>P33/H33</f>
        <v>0.24122620342642065</v>
      </c>
      <c r="R33" s="224">
        <f>R34+R35+R36+R37</f>
        <v>18501108.9</v>
      </c>
      <c r="S33" s="243">
        <f>R33/I33</f>
        <v>0.24122620223123659</v>
      </c>
      <c r="T33" s="224">
        <f>T34+T35+T36+T37</f>
        <v>122323523.62</v>
      </c>
      <c r="U33" s="243">
        <f>T33/H33</f>
        <v>0.797455962020598</v>
      </c>
      <c r="V33" s="224">
        <f>V34+V35+V36+V37</f>
        <v>61161761.690000005</v>
      </c>
      <c r="W33" s="243">
        <f>V33/I33</f>
        <v>0.7974559565048904</v>
      </c>
      <c r="X33" s="224">
        <f>X34+X35+X36+X37</f>
        <v>153392199</v>
      </c>
      <c r="Y33" s="243">
        <f>X33/H33</f>
        <v>1</v>
      </c>
      <c r="Z33" s="224">
        <f>Z34+Z35+Z36+Z37</f>
        <v>76696099.88</v>
      </c>
      <c r="AA33" s="243">
        <f>Z33/I33</f>
        <v>1</v>
      </c>
      <c r="AB33" s="224">
        <f>AB34+AB35+AB36+AB37</f>
        <v>153392199</v>
      </c>
      <c r="AC33" s="243">
        <f>AB33/H33</f>
        <v>1</v>
      </c>
      <c r="AD33" s="224">
        <f>AD34+AD35+AD36+AD37</f>
        <v>76696099.88</v>
      </c>
      <c r="AE33" s="243">
        <f>AD33/I33</f>
        <v>1</v>
      </c>
      <c r="AF33" s="224">
        <f>AF34+AF35+AF36+AF37</f>
        <v>153392199</v>
      </c>
      <c r="AG33" s="243">
        <f>AF33/H33</f>
        <v>1</v>
      </c>
      <c r="AH33" s="224">
        <f>AH34+AH35+AH36+AH37</f>
        <v>76696099.88</v>
      </c>
      <c r="AI33" s="243">
        <f>AH33/I33</f>
        <v>1</v>
      </c>
      <c r="AJ33" s="224"/>
      <c r="AK33" s="300"/>
      <c r="AL33" s="300"/>
      <c r="AM33" s="300"/>
    </row>
    <row r="34" spans="3:39" s="88" customFormat="1" ht="137.25" customHeight="1">
      <c r="C34" s="218">
        <v>25</v>
      </c>
      <c r="D34" s="215" t="s">
        <v>36</v>
      </c>
      <c r="E34" s="215" t="s">
        <v>37</v>
      </c>
      <c r="F34" s="270">
        <v>37</v>
      </c>
      <c r="G34" s="292" t="s">
        <v>382</v>
      </c>
      <c r="H34" s="217">
        <v>84645714</v>
      </c>
      <c r="I34" s="230">
        <v>42322856.88</v>
      </c>
      <c r="J34" s="230">
        <v>7880659</v>
      </c>
      <c r="K34" s="217">
        <f>J34</f>
        <v>7880659</v>
      </c>
      <c r="L34" s="230">
        <v>7248570.27</v>
      </c>
      <c r="M34" s="231">
        <f>L34/J34</f>
        <v>0.9197924018790814</v>
      </c>
      <c r="N34" s="217">
        <v>3221980.09</v>
      </c>
      <c r="O34" s="231">
        <f>N34/K34</f>
        <v>0.40884653047416464</v>
      </c>
      <c r="P34" s="5">
        <f>R34*100/50</f>
        <v>17592972.18</v>
      </c>
      <c r="Q34" s="244">
        <f>P34/H34</f>
        <v>0.20784244527726473</v>
      </c>
      <c r="R34" s="5">
        <f>N34+5574506</f>
        <v>8796486.09</v>
      </c>
      <c r="S34" s="244">
        <f>R34/I34</f>
        <v>0.20784244586657022</v>
      </c>
      <c r="T34" s="5">
        <f>H34</f>
        <v>84645714</v>
      </c>
      <c r="U34" s="244">
        <f>T34/H34</f>
        <v>1</v>
      </c>
      <c r="V34" s="5">
        <f>I34</f>
        <v>42322856.88</v>
      </c>
      <c r="W34" s="244">
        <f>V34/I34</f>
        <v>1</v>
      </c>
      <c r="X34" s="5">
        <v>84645714</v>
      </c>
      <c r="Y34" s="244">
        <v>1</v>
      </c>
      <c r="Z34" s="5">
        <v>42322856.88</v>
      </c>
      <c r="AA34" s="244">
        <v>1</v>
      </c>
      <c r="AB34" s="5">
        <v>84645714</v>
      </c>
      <c r="AC34" s="244">
        <v>1</v>
      </c>
      <c r="AD34" s="5">
        <v>42322856.88</v>
      </c>
      <c r="AE34" s="244">
        <v>1</v>
      </c>
      <c r="AF34" s="5">
        <v>84645714</v>
      </c>
      <c r="AG34" s="244">
        <v>1</v>
      </c>
      <c r="AH34" s="5">
        <v>42322856.88</v>
      </c>
      <c r="AI34" s="244">
        <v>1</v>
      </c>
      <c r="AJ34" s="288" t="s">
        <v>420</v>
      </c>
      <c r="AK34" s="285"/>
      <c r="AL34" s="285"/>
      <c r="AM34" s="446" t="s">
        <v>404</v>
      </c>
    </row>
    <row r="35" spans="3:39" ht="38.25">
      <c r="C35" s="218">
        <v>26</v>
      </c>
      <c r="D35" s="215" t="s">
        <v>36</v>
      </c>
      <c r="E35" s="215" t="s">
        <v>38</v>
      </c>
      <c r="F35" s="270">
        <v>10</v>
      </c>
      <c r="G35" s="216" t="s">
        <v>281</v>
      </c>
      <c r="H35" s="217">
        <v>68746485</v>
      </c>
      <c r="I35" s="217">
        <v>34373243</v>
      </c>
      <c r="J35" s="230">
        <v>9704623</v>
      </c>
      <c r="K35" s="217">
        <f>J35</f>
        <v>9704623</v>
      </c>
      <c r="L35" s="230">
        <v>3364584.81</v>
      </c>
      <c r="M35" s="231">
        <f>L35/H35</f>
        <v>0.048941917684955094</v>
      </c>
      <c r="N35" s="230">
        <v>3364584.81</v>
      </c>
      <c r="O35" s="231">
        <f>N35/I35</f>
        <v>0.09788383394607253</v>
      </c>
      <c r="P35" s="5">
        <f>R35*100/50</f>
        <v>19409245.62</v>
      </c>
      <c r="Q35" s="244">
        <f>P35/H35</f>
        <v>0.28233073472774645</v>
      </c>
      <c r="R35" s="5">
        <f>N35+6340038</f>
        <v>9704622.81</v>
      </c>
      <c r="S35" s="244">
        <f>R35/I35</f>
        <v>0.2823307306209077</v>
      </c>
      <c r="T35" s="5">
        <f>V35*100/50</f>
        <v>37677809.620000005</v>
      </c>
      <c r="U35" s="244">
        <f>T35/H35</f>
        <v>0.5480688884675341</v>
      </c>
      <c r="V35" s="5">
        <f>R35+9134282</f>
        <v>18838904.810000002</v>
      </c>
      <c r="W35" s="244">
        <f>V35/I35</f>
        <v>0.5480688804952155</v>
      </c>
      <c r="X35" s="5">
        <f>H35</f>
        <v>68746485</v>
      </c>
      <c r="Y35" s="244">
        <f>X35/H35</f>
        <v>1</v>
      </c>
      <c r="Z35" s="5">
        <f>I35</f>
        <v>34373243</v>
      </c>
      <c r="AA35" s="244">
        <f>Z35/I35</f>
        <v>1</v>
      </c>
      <c r="AB35" s="5">
        <v>68746485</v>
      </c>
      <c r="AC35" s="244">
        <v>1</v>
      </c>
      <c r="AD35" s="5">
        <v>34373243</v>
      </c>
      <c r="AE35" s="244">
        <v>1</v>
      </c>
      <c r="AF35" s="5">
        <v>68746485</v>
      </c>
      <c r="AG35" s="244">
        <v>1</v>
      </c>
      <c r="AH35" s="5">
        <v>34373243</v>
      </c>
      <c r="AI35" s="244">
        <v>1</v>
      </c>
      <c r="AJ35" s="296"/>
      <c r="AK35" s="285"/>
      <c r="AL35" s="285"/>
      <c r="AM35" s="447"/>
    </row>
    <row r="36" spans="3:36" ht="38.25">
      <c r="C36" s="218">
        <v>27</v>
      </c>
      <c r="D36" s="215" t="s">
        <v>36</v>
      </c>
      <c r="E36" s="215" t="s">
        <v>239</v>
      </c>
      <c r="F36" s="270">
        <v>0</v>
      </c>
      <c r="G36" s="216" t="s">
        <v>41</v>
      </c>
      <c r="H36" s="217">
        <v>0</v>
      </c>
      <c r="I36" s="217">
        <v>0</v>
      </c>
      <c r="J36" s="230">
        <v>0</v>
      </c>
      <c r="K36" s="217">
        <v>0</v>
      </c>
      <c r="L36" s="230">
        <v>0</v>
      </c>
      <c r="M36" s="231">
        <v>0</v>
      </c>
      <c r="N36" s="217">
        <v>0</v>
      </c>
      <c r="O36" s="231">
        <v>0</v>
      </c>
      <c r="P36" s="5">
        <v>0</v>
      </c>
      <c r="Q36" s="244">
        <v>0</v>
      </c>
      <c r="R36" s="5">
        <v>0</v>
      </c>
      <c r="S36" s="244">
        <v>0</v>
      </c>
      <c r="T36" s="5">
        <v>0</v>
      </c>
      <c r="U36" s="244">
        <v>0</v>
      </c>
      <c r="V36" s="5">
        <v>0</v>
      </c>
      <c r="W36" s="244">
        <v>0</v>
      </c>
      <c r="X36" s="5">
        <v>0</v>
      </c>
      <c r="Y36" s="244">
        <v>0</v>
      </c>
      <c r="Z36" s="5">
        <v>0</v>
      </c>
      <c r="AA36" s="244">
        <v>0</v>
      </c>
      <c r="AB36" s="5">
        <v>0</v>
      </c>
      <c r="AC36" s="244">
        <v>0</v>
      </c>
      <c r="AD36" s="5">
        <v>0</v>
      </c>
      <c r="AE36" s="244">
        <v>0</v>
      </c>
      <c r="AF36" s="5">
        <v>0</v>
      </c>
      <c r="AG36" s="244">
        <v>0</v>
      </c>
      <c r="AH36" s="5">
        <v>0</v>
      </c>
      <c r="AI36" s="244">
        <v>0</v>
      </c>
      <c r="AJ36" s="5"/>
    </row>
    <row r="37" spans="3:36" ht="38.25" customHeight="1">
      <c r="C37" s="218">
        <v>28</v>
      </c>
      <c r="D37" s="215" t="s">
        <v>36</v>
      </c>
      <c r="E37" s="215" t="s">
        <v>240</v>
      </c>
      <c r="F37" s="270">
        <v>0</v>
      </c>
      <c r="G37" s="216" t="s">
        <v>41</v>
      </c>
      <c r="H37" s="217">
        <v>0</v>
      </c>
      <c r="I37" s="217">
        <v>0</v>
      </c>
      <c r="J37" s="230">
        <v>0</v>
      </c>
      <c r="K37" s="217">
        <v>0</v>
      </c>
      <c r="L37" s="230">
        <v>0</v>
      </c>
      <c r="M37" s="231">
        <v>0</v>
      </c>
      <c r="N37" s="217">
        <v>0</v>
      </c>
      <c r="O37" s="231">
        <v>0</v>
      </c>
      <c r="P37" s="5">
        <v>0</v>
      </c>
      <c r="Q37" s="244">
        <v>0</v>
      </c>
      <c r="R37" s="5">
        <v>0</v>
      </c>
      <c r="S37" s="244">
        <v>0</v>
      </c>
      <c r="T37" s="5">
        <v>0</v>
      </c>
      <c r="U37" s="244">
        <v>0</v>
      </c>
      <c r="V37" s="5">
        <v>0</v>
      </c>
      <c r="W37" s="244">
        <v>0</v>
      </c>
      <c r="X37" s="5">
        <v>0</v>
      </c>
      <c r="Y37" s="244">
        <v>0</v>
      </c>
      <c r="Z37" s="5">
        <v>0</v>
      </c>
      <c r="AA37" s="244">
        <v>0</v>
      </c>
      <c r="AB37" s="5">
        <v>0</v>
      </c>
      <c r="AC37" s="244">
        <v>0</v>
      </c>
      <c r="AD37" s="5">
        <v>0</v>
      </c>
      <c r="AE37" s="244">
        <v>0</v>
      </c>
      <c r="AF37" s="5">
        <v>0</v>
      </c>
      <c r="AG37" s="244">
        <v>0</v>
      </c>
      <c r="AH37" s="5">
        <v>0</v>
      </c>
      <c r="AI37" s="244">
        <v>0</v>
      </c>
      <c r="AJ37" s="5"/>
    </row>
    <row r="38" spans="3:9" ht="30" customHeight="1">
      <c r="C38" s="448" t="str">
        <f>KOPSAVILKUMS!B32</f>
        <v>2 Pieejamais finansējums atbilstoši  konceptuāli apstiprinātajiem MK protokollēmumiem</v>
      </c>
      <c r="D38" s="448"/>
      <c r="E38" s="448"/>
      <c r="F38" s="448"/>
      <c r="G38" s="448"/>
      <c r="H38" s="448"/>
      <c r="I38" s="448"/>
    </row>
    <row r="39" spans="3:9" ht="24" customHeight="1">
      <c r="C39" s="448" t="str">
        <f>KOPSAVILKUMS!B33</f>
        <v>3 2007.-2011.g. piešķirtais finansējums</v>
      </c>
      <c r="D39" s="448"/>
      <c r="E39" s="448"/>
      <c r="F39" s="448"/>
      <c r="G39" s="448"/>
      <c r="H39" s="448"/>
      <c r="I39" s="448"/>
    </row>
    <row r="40" spans="3:9" ht="35.25" customHeight="1">
      <c r="C40" s="448" t="str">
        <f>KOPSAVILKUMS!B34</f>
        <v>4 Kopējie veiktie maksājumi SF finansējuma saņēmējam, t.sk., starpposma maksājumi/ noslēguma maksājumi/ deklarējamie avansi un nedeklarējamie avansi</v>
      </c>
      <c r="D40" s="448"/>
      <c r="E40" s="448"/>
      <c r="F40" s="448"/>
      <c r="G40" s="448"/>
      <c r="H40" s="448"/>
      <c r="I40" s="448"/>
    </row>
    <row r="41" spans="3:9" ht="21" customHeight="1">
      <c r="C41" s="448" t="str">
        <f>KOPSAVILKUMS!B35</f>
        <v>5 DPP noteiktā finansējuma apguve sadalījumā pa gadiem, kumulatīvi</v>
      </c>
      <c r="D41" s="448"/>
      <c r="E41" s="448"/>
      <c r="F41" s="448"/>
      <c r="G41" s="448"/>
      <c r="H41" s="448"/>
      <c r="I41" s="448"/>
    </row>
  </sheetData>
  <sheetProtection/>
  <mergeCells count="31">
    <mergeCell ref="F4:F6"/>
    <mergeCell ref="L4:O4"/>
    <mergeCell ref="D4:D6"/>
    <mergeCell ref="O5:O6"/>
    <mergeCell ref="X5:AA5"/>
    <mergeCell ref="T5:W5"/>
    <mergeCell ref="C41:I41"/>
    <mergeCell ref="C39:I39"/>
    <mergeCell ref="C38:I38"/>
    <mergeCell ref="M5:M6"/>
    <mergeCell ref="G4:G6"/>
    <mergeCell ref="H5:H6"/>
    <mergeCell ref="J5:J6"/>
    <mergeCell ref="E4:E6"/>
    <mergeCell ref="C40:I40"/>
    <mergeCell ref="C4:C6"/>
    <mergeCell ref="AM34:AM35"/>
    <mergeCell ref="AF5:AI5"/>
    <mergeCell ref="P4:AI4"/>
    <mergeCell ref="K5:K6"/>
    <mergeCell ref="L5:L6"/>
    <mergeCell ref="AM31:AM32"/>
    <mergeCell ref="P5:S5"/>
    <mergeCell ref="J4:K4"/>
    <mergeCell ref="H4:I4"/>
    <mergeCell ref="I5:I6"/>
    <mergeCell ref="AM4:AM6"/>
    <mergeCell ref="AB5:AE5"/>
    <mergeCell ref="N5:N6"/>
    <mergeCell ref="AM27:AM28"/>
    <mergeCell ref="AJ4:AJ6"/>
  </mergeCells>
  <printOptions/>
  <pageMargins left="0.03937007874015748" right="0.03937007874015748" top="0.7480314960629921" bottom="0.7480314960629921" header="0.31496062992125984" footer="0.31496062992125984"/>
  <pageSetup fitToHeight="0" fitToWidth="1" horizontalDpi="600" verticalDpi="600" orientation="landscape" paperSize="8" scale="33" r:id="rId3"/>
  <headerFooter>
    <oddFooter>&amp;LFMp4_250211_vestules_projekta_pielikums_nr2; Informācija par 1.mērķa Eiropas Savienības struktūrfondu un Kohēzijas fonda projektiem (faktiskā apguve un turpmāk plānotais finansējums  2007.-2013.gada plānošanas periodam) &amp;R&amp;P</oddFooter>
  </headerFooter>
  <colBreaks count="1" manualBreakCount="1">
    <brk id="19" max="40"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K57"/>
  <sheetViews>
    <sheetView view="pageBreakPreview" zoomScale="84" zoomScaleSheetLayoutView="84" zoomScalePageLayoutView="0" workbookViewId="0" topLeftCell="A1">
      <pane xSplit="8" ySplit="6" topLeftCell="I7" activePane="bottomRight" state="frozen"/>
      <selection pane="topLeft" activeCell="A1" sqref="A1"/>
      <selection pane="topRight" activeCell="H1" sqref="H1"/>
      <selection pane="bottomLeft" activeCell="A7" sqref="A7"/>
      <selection pane="bottomRight" activeCell="C2" sqref="C2"/>
    </sheetView>
  </sheetViews>
  <sheetFormatPr defaultColWidth="9.00390625" defaultRowHeight="15.75"/>
  <cols>
    <col min="1" max="1" width="9.00390625" style="275" customWidth="1"/>
    <col min="2" max="2" width="5.00390625" style="275" bestFit="1" customWidth="1"/>
    <col min="3" max="3" width="5.875" style="275" bestFit="1" customWidth="1"/>
    <col min="4" max="4" width="16.625" style="275" customWidth="1"/>
    <col min="5" max="5" width="8.75390625" style="275" customWidth="1"/>
    <col min="6" max="6" width="12.375" style="275" customWidth="1"/>
    <col min="7" max="10" width="11.25390625" style="275" customWidth="1"/>
    <col min="11" max="11" width="11.25390625" style="275" hidden="1" customWidth="1"/>
    <col min="12" max="34" width="11.25390625" style="275" customWidth="1"/>
    <col min="35" max="35" width="11.25390625" style="336" customWidth="1"/>
    <col min="36" max="36" width="34.00390625" style="275" customWidth="1"/>
    <col min="37" max="37" width="0" style="275" hidden="1" customWidth="1"/>
    <col min="38" max="16384" width="9.00390625" style="275" customWidth="1"/>
  </cols>
  <sheetData>
    <row r="1" ht="15.75"/>
    <row r="2" spans="2:36" ht="79.5" customHeight="1">
      <c r="B2" s="332" t="s">
        <v>219</v>
      </c>
      <c r="C2" s="273"/>
      <c r="D2" s="273"/>
      <c r="E2" s="273"/>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333" t="s">
        <v>353</v>
      </c>
    </row>
    <row r="3" spans="9:34" ht="15.75">
      <c r="I3" s="449"/>
      <c r="J3" s="449"/>
      <c r="K3" s="334"/>
      <c r="AF3" s="335"/>
      <c r="AG3" s="335"/>
      <c r="AH3" s="335"/>
    </row>
    <row r="4" spans="2:36" s="337" customFormat="1" ht="33" customHeight="1">
      <c r="B4" s="450" t="s">
        <v>0</v>
      </c>
      <c r="C4" s="450" t="s">
        <v>1</v>
      </c>
      <c r="D4" s="450" t="s">
        <v>2</v>
      </c>
      <c r="E4" s="453" t="s">
        <v>256</v>
      </c>
      <c r="F4" s="453" t="s">
        <v>255</v>
      </c>
      <c r="G4" s="453" t="str">
        <f>KOPSAVILKUMS!E4</f>
        <v>2007.-2013.gadam plānotais fnansējums 2</v>
      </c>
      <c r="H4" s="453"/>
      <c r="I4" s="453" t="str">
        <f>KOPSAVILKUMS!G4</f>
        <v>2007.-2011. g.plānotais finansējums 3</v>
      </c>
      <c r="J4" s="453"/>
      <c r="K4" s="355"/>
      <c r="L4" s="453" t="str">
        <f>KOPSAVILKUMS!I4</f>
        <v>Apgūts līdz 1.05.2011.4</v>
      </c>
      <c r="M4" s="453"/>
      <c r="N4" s="453"/>
      <c r="O4" s="453"/>
      <c r="P4" s="450" t="str">
        <f>KOPSAVILKUMS!M4</f>
        <v>Plānotais attiecināmais finansējums pa gadiem (pieaugošā secībā no 2007.gada) 5</v>
      </c>
      <c r="Q4" s="450"/>
      <c r="R4" s="450"/>
      <c r="S4" s="450"/>
      <c r="T4" s="450"/>
      <c r="U4" s="450"/>
      <c r="V4" s="450"/>
      <c r="W4" s="450"/>
      <c r="X4" s="450"/>
      <c r="Y4" s="450"/>
      <c r="Z4" s="450"/>
      <c r="AA4" s="450"/>
      <c r="AB4" s="450"/>
      <c r="AC4" s="450"/>
      <c r="AD4" s="450"/>
      <c r="AE4" s="450"/>
      <c r="AF4" s="450"/>
      <c r="AG4" s="450"/>
      <c r="AH4" s="450"/>
      <c r="AI4" s="450"/>
      <c r="AJ4" s="457" t="s">
        <v>364</v>
      </c>
    </row>
    <row r="5" spans="2:36" s="337" customFormat="1" ht="15.75" customHeight="1">
      <c r="B5" s="451"/>
      <c r="C5" s="450"/>
      <c r="D5" s="451"/>
      <c r="E5" s="453"/>
      <c r="F5" s="453"/>
      <c r="G5" s="450" t="s">
        <v>4</v>
      </c>
      <c r="H5" s="450" t="s">
        <v>5</v>
      </c>
      <c r="I5" s="450" t="s">
        <v>4</v>
      </c>
      <c r="J5" s="450" t="s">
        <v>5</v>
      </c>
      <c r="K5" s="338"/>
      <c r="L5" s="450" t="s">
        <v>4</v>
      </c>
      <c r="M5" s="450" t="s">
        <v>6</v>
      </c>
      <c r="N5" s="450" t="s">
        <v>5</v>
      </c>
      <c r="O5" s="450" t="s">
        <v>6</v>
      </c>
      <c r="P5" s="456" t="s">
        <v>7</v>
      </c>
      <c r="Q5" s="456"/>
      <c r="R5" s="456"/>
      <c r="S5" s="456"/>
      <c r="T5" s="456" t="s">
        <v>8</v>
      </c>
      <c r="U5" s="456"/>
      <c r="V5" s="456"/>
      <c r="W5" s="456"/>
      <c r="X5" s="456" t="s">
        <v>9</v>
      </c>
      <c r="Y5" s="456"/>
      <c r="Z5" s="456"/>
      <c r="AA5" s="456"/>
      <c r="AB5" s="456" t="s">
        <v>10</v>
      </c>
      <c r="AC5" s="456"/>
      <c r="AD5" s="456"/>
      <c r="AE5" s="456"/>
      <c r="AF5" s="456" t="s">
        <v>11</v>
      </c>
      <c r="AG5" s="456"/>
      <c r="AH5" s="456"/>
      <c r="AI5" s="456"/>
      <c r="AJ5" s="458"/>
    </row>
    <row r="6" spans="2:36" s="337" customFormat="1" ht="74.25" customHeight="1">
      <c r="B6" s="451"/>
      <c r="C6" s="452"/>
      <c r="D6" s="451"/>
      <c r="E6" s="454"/>
      <c r="F6" s="454"/>
      <c r="G6" s="455"/>
      <c r="H6" s="455"/>
      <c r="I6" s="455"/>
      <c r="J6" s="455"/>
      <c r="K6" s="339"/>
      <c r="L6" s="455"/>
      <c r="M6" s="455"/>
      <c r="N6" s="455"/>
      <c r="O6" s="452"/>
      <c r="P6" s="338" t="s">
        <v>4</v>
      </c>
      <c r="Q6" s="338" t="s">
        <v>6</v>
      </c>
      <c r="R6" s="338" t="s">
        <v>5</v>
      </c>
      <c r="S6" s="338" t="s">
        <v>6</v>
      </c>
      <c r="T6" s="338" t="s">
        <v>4</v>
      </c>
      <c r="U6" s="338" t="s">
        <v>6</v>
      </c>
      <c r="V6" s="338" t="s">
        <v>5</v>
      </c>
      <c r="W6" s="338" t="s">
        <v>6</v>
      </c>
      <c r="X6" s="338" t="s">
        <v>4</v>
      </c>
      <c r="Y6" s="338" t="s">
        <v>6</v>
      </c>
      <c r="Z6" s="338" t="s">
        <v>5</v>
      </c>
      <c r="AA6" s="338" t="s">
        <v>6</v>
      </c>
      <c r="AB6" s="338" t="s">
        <v>4</v>
      </c>
      <c r="AC6" s="338" t="s">
        <v>6</v>
      </c>
      <c r="AD6" s="338" t="s">
        <v>5</v>
      </c>
      <c r="AE6" s="338" t="s">
        <v>6</v>
      </c>
      <c r="AF6" s="338" t="s">
        <v>4</v>
      </c>
      <c r="AG6" s="338" t="s">
        <v>6</v>
      </c>
      <c r="AH6" s="338" t="s">
        <v>5</v>
      </c>
      <c r="AI6" s="338" t="s">
        <v>6</v>
      </c>
      <c r="AJ6" s="459"/>
    </row>
    <row r="7" spans="2:36" ht="24.75" customHeight="1">
      <c r="B7" s="340"/>
      <c r="C7" s="341"/>
      <c r="D7" s="342" t="s">
        <v>40</v>
      </c>
      <c r="E7" s="276">
        <f>SUM(E10:E46)</f>
        <v>680</v>
      </c>
      <c r="F7" s="276" t="s">
        <v>41</v>
      </c>
      <c r="G7" s="343">
        <f>SUM(G10:G46)</f>
        <v>590089976.945128</v>
      </c>
      <c r="H7" s="343">
        <f>SUM(H10:H46)</f>
        <v>507852856.658164</v>
      </c>
      <c r="I7" s="343">
        <f>SUM(I10:I46)</f>
        <v>276247844.90000004</v>
      </c>
      <c r="J7" s="343">
        <f>SUM(J10:J46)</f>
        <v>244884055.69219404</v>
      </c>
      <c r="K7" s="343"/>
      <c r="L7" s="343">
        <f>SUM(L10:L46)</f>
        <v>145731171.31</v>
      </c>
      <c r="M7" s="344">
        <f>L7/G7</f>
        <v>0.24696432239782212</v>
      </c>
      <c r="N7" s="343">
        <f>SUM(N10:N46)</f>
        <v>131318355.93</v>
      </c>
      <c r="O7" s="344">
        <f>N7/H7</f>
        <v>0.258575597652669</v>
      </c>
      <c r="P7" s="343">
        <f>SUM(P10:P46)</f>
        <v>242077567.49192196</v>
      </c>
      <c r="Q7" s="345">
        <f>P7/G7</f>
        <v>0.41023839914236093</v>
      </c>
      <c r="R7" s="343">
        <f>SUM(R10:R46)</f>
        <v>212163394.66000003</v>
      </c>
      <c r="S7" s="345">
        <f>R7/H7</f>
        <v>0.4177654843887337</v>
      </c>
      <c r="T7" s="343">
        <f>SUM(T10:T46)</f>
        <v>390768742.7586452</v>
      </c>
      <c r="U7" s="345">
        <f>T7/G7</f>
        <v>0.6622189124133903</v>
      </c>
      <c r="V7" s="343">
        <f>SUM(V10:V46)</f>
        <v>342059015.43502</v>
      </c>
      <c r="W7" s="345">
        <f>V7/H7</f>
        <v>0.6735396108350732</v>
      </c>
      <c r="X7" s="343">
        <f>SUM(X10:X46)</f>
        <v>491791630.3548841</v>
      </c>
      <c r="Y7" s="345">
        <f>X7/G7</f>
        <v>0.8334180371964112</v>
      </c>
      <c r="Z7" s="343">
        <f>SUM(Z10:Z46)</f>
        <v>427395850.03502</v>
      </c>
      <c r="AA7" s="345">
        <f>Z7/H7</f>
        <v>0.8415741773068343</v>
      </c>
      <c r="AB7" s="343">
        <f>SUM(AB10:AB46)</f>
        <v>565721129.9102552</v>
      </c>
      <c r="AC7" s="345">
        <f>AB7/G7</f>
        <v>0.9587031673355488</v>
      </c>
      <c r="AD7" s="343">
        <f>SUM(AD10:AD46)</f>
        <v>487698844.3901481</v>
      </c>
      <c r="AE7" s="345">
        <f>AD7/H7</f>
        <v>0.9603152527276585</v>
      </c>
      <c r="AF7" s="343">
        <f>SUM(AF10:AF46)</f>
        <v>590089976.8698338</v>
      </c>
      <c r="AG7" s="345">
        <f>AF7/G7</f>
        <v>0.9999999998724023</v>
      </c>
      <c r="AH7" s="343">
        <f>SUM(AH10:AH46)</f>
        <v>507852855.95014805</v>
      </c>
      <c r="AI7" s="345">
        <f>AH7/H7</f>
        <v>0.999999998605864</v>
      </c>
      <c r="AJ7" s="276"/>
    </row>
    <row r="8" spans="2:36" ht="24.75" customHeight="1">
      <c r="B8" s="340"/>
      <c r="C8" s="341"/>
      <c r="D8" s="342" t="s">
        <v>42</v>
      </c>
      <c r="E8" s="276">
        <f>SUM(E10:E33)</f>
        <v>140</v>
      </c>
      <c r="F8" s="276" t="s">
        <v>41</v>
      </c>
      <c r="G8" s="343">
        <f>SUM(G10:G33)</f>
        <v>188834929</v>
      </c>
      <c r="H8" s="343">
        <f>SUM(H10:H33)</f>
        <v>166495473.00814</v>
      </c>
      <c r="I8" s="343">
        <f>SUM(I10:I33)</f>
        <v>127940818.88000001</v>
      </c>
      <c r="J8" s="343">
        <f>SUM(J10:J33)</f>
        <v>112016251.45939402</v>
      </c>
      <c r="K8" s="343"/>
      <c r="L8" s="343">
        <f>SUM(L10:L33)</f>
        <v>72430502.00999999</v>
      </c>
      <c r="M8" s="344">
        <f>L8/G8</f>
        <v>0.3835651719391384</v>
      </c>
      <c r="N8" s="343">
        <f>SUM(N10:N33)</f>
        <v>63458902.33</v>
      </c>
      <c r="O8" s="344">
        <f>N8/H8</f>
        <v>0.3811449115310029</v>
      </c>
      <c r="P8" s="343">
        <f>SUM(P10:P33)</f>
        <v>110303266.01699452</v>
      </c>
      <c r="Q8" s="345">
        <f>P8/G8</f>
        <v>0.5841253342330248</v>
      </c>
      <c r="R8" s="343">
        <f>SUM(R10:R33)</f>
        <v>96594927.48</v>
      </c>
      <c r="S8" s="345">
        <f>R8/H8</f>
        <v>0.5801654887954669</v>
      </c>
      <c r="T8" s="343">
        <f>SUM(T10:T33)</f>
        <v>158128082.1960076</v>
      </c>
      <c r="U8" s="345">
        <f>T8/G8</f>
        <v>0.8373878870471448</v>
      </c>
      <c r="V8" s="343">
        <f>SUM(V10:V33)</f>
        <v>139007919.19000003</v>
      </c>
      <c r="W8" s="345">
        <f>V8/H8</f>
        <v>0.8349050978893816</v>
      </c>
      <c r="X8" s="343">
        <f>SUM(X10:X33)</f>
        <v>181013793.63954008</v>
      </c>
      <c r="Y8" s="345">
        <f>X8/G8</f>
        <v>0.9585821574330673</v>
      </c>
      <c r="Z8" s="343">
        <f>SUM(Z10:Z33)</f>
        <v>159248593.55</v>
      </c>
      <c r="AA8" s="345">
        <f>Z8/H8</f>
        <v>0.9564740150154972</v>
      </c>
      <c r="AB8" s="343">
        <f>SUM(AB10:AB33)</f>
        <v>186317732.1028198</v>
      </c>
      <c r="AC8" s="345">
        <f>AB8/G8</f>
        <v>0.9866698554631267</v>
      </c>
      <c r="AD8" s="343">
        <f>SUM(AD10:AD33)</f>
        <v>164119814.96000004</v>
      </c>
      <c r="AE8" s="345">
        <f>AD8/H8</f>
        <v>0.9857313955435665</v>
      </c>
      <c r="AF8" s="343">
        <f>SUM(AF10:AF33)</f>
        <v>188834929.09470588</v>
      </c>
      <c r="AG8" s="345">
        <f>AF8/G8</f>
        <v>1.0000000005015273</v>
      </c>
      <c r="AH8" s="343">
        <f>SUM(AH10:AH33)</f>
        <v>166495472.78000003</v>
      </c>
      <c r="AI8" s="345">
        <f>AH8/H8</f>
        <v>0.9999999986297528</v>
      </c>
      <c r="AJ8" s="276"/>
    </row>
    <row r="9" spans="2:36" ht="24.75" customHeight="1">
      <c r="B9" s="340"/>
      <c r="C9" s="341"/>
      <c r="D9" s="342" t="s">
        <v>43</v>
      </c>
      <c r="E9" s="276">
        <f>SUM(E34:E46)</f>
        <v>540</v>
      </c>
      <c r="F9" s="276" t="s">
        <v>41</v>
      </c>
      <c r="G9" s="343">
        <f>SUM(G34:G46)</f>
        <v>401255047.945128</v>
      </c>
      <c r="H9" s="343">
        <f>SUM(H34:H46)</f>
        <v>341357383.650024</v>
      </c>
      <c r="I9" s="343">
        <f>SUM(I34:I46)</f>
        <v>148307026.02</v>
      </c>
      <c r="J9" s="343">
        <f>SUM(J34:J46)</f>
        <v>132867804.2328</v>
      </c>
      <c r="K9" s="343"/>
      <c r="L9" s="343">
        <f>SUM(L34:L46)</f>
        <v>73300669.3</v>
      </c>
      <c r="M9" s="344">
        <f>L9/G9</f>
        <v>0.182678497567522</v>
      </c>
      <c r="N9" s="343">
        <f>SUM(N34:N46)</f>
        <v>67859453.6</v>
      </c>
      <c r="O9" s="344">
        <f>N9/H9</f>
        <v>0.1987929860324122</v>
      </c>
      <c r="P9" s="343">
        <f>SUM(P34:P46)</f>
        <v>131774301.47492741</v>
      </c>
      <c r="Q9" s="345">
        <f>P9/G9</f>
        <v>0.32840534256144155</v>
      </c>
      <c r="R9" s="343">
        <f>SUM(R34:R46)</f>
        <v>115568467.17999999</v>
      </c>
      <c r="S9" s="345">
        <f>R9/H9</f>
        <v>0.33855563909080794</v>
      </c>
      <c r="T9" s="343">
        <f>SUM(T34:T46)</f>
        <v>232640660.56263757</v>
      </c>
      <c r="U9" s="345">
        <f>T9/G9</f>
        <v>0.579782514273693</v>
      </c>
      <c r="V9" s="343">
        <f>SUM(V34:V46)</f>
        <v>203051096.24502</v>
      </c>
      <c r="W9" s="345">
        <f>V9/H9</f>
        <v>0.5948343465545124</v>
      </c>
      <c r="X9" s="343">
        <f>SUM(X34:X46)</f>
        <v>310777836.715344</v>
      </c>
      <c r="Y9" s="345">
        <f>X9/G9</f>
        <v>0.7745144598351399</v>
      </c>
      <c r="Z9" s="343">
        <f>SUM(Z34:Z46)</f>
        <v>268147256.48501998</v>
      </c>
      <c r="AA9" s="345">
        <f>Z9/H9</f>
        <v>0.7855323169453907</v>
      </c>
      <c r="AB9" s="343">
        <f>SUM(AB34:AB46)</f>
        <v>379403397.80743545</v>
      </c>
      <c r="AC9" s="345">
        <f>AB9/G9</f>
        <v>0.9455417439616092</v>
      </c>
      <c r="AD9" s="343">
        <f>SUM(AD34:AD46)</f>
        <v>323579029.430148</v>
      </c>
      <c r="AE9" s="345">
        <f>AD9/H9</f>
        <v>0.947918647518979</v>
      </c>
      <c r="AF9" s="343">
        <f>SUM(AF34:AF46)</f>
        <v>401255047.775128</v>
      </c>
      <c r="AG9" s="345">
        <f>AF9/G9</f>
        <v>0.9999999995763292</v>
      </c>
      <c r="AH9" s="343">
        <f>SUM(AH34:AH46)</f>
        <v>341357383.170148</v>
      </c>
      <c r="AI9" s="345">
        <f>AH9/H9</f>
        <v>0.9999999985942124</v>
      </c>
      <c r="AJ9" s="276"/>
    </row>
    <row r="10" spans="2:37" ht="93" customHeight="1">
      <c r="B10" s="278">
        <v>1</v>
      </c>
      <c r="C10" s="277" t="s">
        <v>12</v>
      </c>
      <c r="D10" s="277" t="s">
        <v>44</v>
      </c>
      <c r="E10" s="277" t="s">
        <v>41</v>
      </c>
      <c r="F10" s="277" t="s">
        <v>45</v>
      </c>
      <c r="G10" s="346">
        <v>0</v>
      </c>
      <c r="H10" s="346">
        <v>0</v>
      </c>
      <c r="I10" s="347">
        <v>0</v>
      </c>
      <c r="J10" s="347">
        <v>0</v>
      </c>
      <c r="K10" s="347"/>
      <c r="L10" s="347">
        <v>0</v>
      </c>
      <c r="M10" s="344">
        <v>0</v>
      </c>
      <c r="N10" s="348">
        <v>0</v>
      </c>
      <c r="O10" s="344">
        <v>0</v>
      </c>
      <c r="P10" s="349">
        <v>0</v>
      </c>
      <c r="Q10" s="345">
        <v>0</v>
      </c>
      <c r="R10" s="349">
        <v>0</v>
      </c>
      <c r="S10" s="345">
        <v>0</v>
      </c>
      <c r="T10" s="349">
        <v>0</v>
      </c>
      <c r="U10" s="345">
        <v>0</v>
      </c>
      <c r="V10" s="349">
        <v>0</v>
      </c>
      <c r="W10" s="345">
        <v>0</v>
      </c>
      <c r="X10" s="349">
        <v>0</v>
      </c>
      <c r="Y10" s="345">
        <v>0</v>
      </c>
      <c r="Z10" s="349">
        <v>0</v>
      </c>
      <c r="AA10" s="345">
        <v>0</v>
      </c>
      <c r="AB10" s="349">
        <v>0</v>
      </c>
      <c r="AC10" s="345">
        <v>0</v>
      </c>
      <c r="AD10" s="349">
        <v>0</v>
      </c>
      <c r="AE10" s="345">
        <v>0</v>
      </c>
      <c r="AF10" s="349">
        <v>0</v>
      </c>
      <c r="AG10" s="345">
        <v>0</v>
      </c>
      <c r="AH10" s="349">
        <v>0</v>
      </c>
      <c r="AI10" s="345">
        <v>0</v>
      </c>
      <c r="AJ10" s="308" t="s">
        <v>320</v>
      </c>
      <c r="AK10" s="309">
        <f aca="true" t="shared" si="0" ref="AK10:AK46">G10-AF10</f>
        <v>0</v>
      </c>
    </row>
    <row r="11" spans="2:37" ht="149.25" customHeight="1">
      <c r="B11" s="278">
        <v>2</v>
      </c>
      <c r="C11" s="277" t="s">
        <v>12</v>
      </c>
      <c r="D11" s="277" t="s">
        <v>46</v>
      </c>
      <c r="E11" s="277">
        <v>35</v>
      </c>
      <c r="F11" s="277" t="s">
        <v>322</v>
      </c>
      <c r="G11" s="346">
        <v>39911371</v>
      </c>
      <c r="H11" s="346">
        <v>33895009</v>
      </c>
      <c r="I11" s="347">
        <v>29465761.07</v>
      </c>
      <c r="J11" s="347">
        <v>25045896.9095</v>
      </c>
      <c r="K11" s="310">
        <f aca="true" t="shared" si="1" ref="K11:K46">J11/I11</f>
        <v>0.85</v>
      </c>
      <c r="L11" s="301">
        <v>19928049.35</v>
      </c>
      <c r="M11" s="344">
        <f aca="true" t="shared" si="2" ref="M11:M46">L11/G11</f>
        <v>0.4993075619978076</v>
      </c>
      <c r="N11" s="348">
        <v>16751410.1</v>
      </c>
      <c r="O11" s="344">
        <f aca="true" t="shared" si="3" ref="O11:O46">N11/H11</f>
        <v>0.4942146526646445</v>
      </c>
      <c r="P11" s="349">
        <v>29262500</v>
      </c>
      <c r="Q11" s="345">
        <f>P11/G11</f>
        <v>0.7331870408561009</v>
      </c>
      <c r="R11" s="349">
        <v>24873125.32</v>
      </c>
      <c r="S11" s="345">
        <f>R11/H11</f>
        <v>0.7338285503921831</v>
      </c>
      <c r="T11" s="349">
        <v>37103863.20087597</v>
      </c>
      <c r="U11" s="345">
        <v>0.9206510103667427</v>
      </c>
      <c r="V11" s="349">
        <v>31510711.84</v>
      </c>
      <c r="W11" s="345">
        <v>0.92065099277447</v>
      </c>
      <c r="X11" s="349">
        <v>39911371</v>
      </c>
      <c r="Y11" s="345">
        <v>1.0000000524159862</v>
      </c>
      <c r="Z11" s="349">
        <v>33895009</v>
      </c>
      <c r="AA11" s="345">
        <v>1.0000000333074714</v>
      </c>
      <c r="AB11" s="349">
        <v>39911371</v>
      </c>
      <c r="AC11" s="345">
        <v>1.0000000524159862</v>
      </c>
      <c r="AD11" s="349">
        <v>33895009</v>
      </c>
      <c r="AE11" s="345">
        <v>1.0000000333074714</v>
      </c>
      <c r="AF11" s="349">
        <v>39911371</v>
      </c>
      <c r="AG11" s="345">
        <f>AF11/G11</f>
        <v>1</v>
      </c>
      <c r="AH11" s="349">
        <v>33895009</v>
      </c>
      <c r="AI11" s="345">
        <v>1.0000000333074714</v>
      </c>
      <c r="AJ11" s="308" t="s">
        <v>441</v>
      </c>
      <c r="AK11" s="309">
        <f t="shared" si="0"/>
        <v>0</v>
      </c>
    </row>
    <row r="12" spans="2:37" ht="69" customHeight="1">
      <c r="B12" s="278">
        <v>3</v>
      </c>
      <c r="C12" s="277" t="s">
        <v>12</v>
      </c>
      <c r="D12" s="277" t="s">
        <v>47</v>
      </c>
      <c r="E12" s="277" t="s">
        <v>41</v>
      </c>
      <c r="F12" s="277" t="s">
        <v>48</v>
      </c>
      <c r="G12" s="346">
        <v>0</v>
      </c>
      <c r="H12" s="346">
        <v>0</v>
      </c>
      <c r="I12" s="347">
        <v>0</v>
      </c>
      <c r="J12" s="347">
        <v>0</v>
      </c>
      <c r="K12" s="310" t="e">
        <f t="shared" si="1"/>
        <v>#DIV/0!</v>
      </c>
      <c r="L12" s="347">
        <v>0</v>
      </c>
      <c r="M12" s="344">
        <v>0</v>
      </c>
      <c r="N12" s="348">
        <v>0</v>
      </c>
      <c r="O12" s="344">
        <v>0</v>
      </c>
      <c r="P12" s="349">
        <v>0</v>
      </c>
      <c r="Q12" s="345">
        <v>0</v>
      </c>
      <c r="R12" s="349">
        <v>0</v>
      </c>
      <c r="S12" s="345">
        <v>0</v>
      </c>
      <c r="T12" s="349">
        <v>0</v>
      </c>
      <c r="U12" s="345">
        <v>0</v>
      </c>
      <c r="V12" s="349">
        <v>0</v>
      </c>
      <c r="W12" s="345">
        <v>0</v>
      </c>
      <c r="X12" s="349">
        <v>0</v>
      </c>
      <c r="Y12" s="345">
        <v>0</v>
      </c>
      <c r="Z12" s="349">
        <v>0</v>
      </c>
      <c r="AA12" s="345">
        <v>0</v>
      </c>
      <c r="AB12" s="349">
        <v>0</v>
      </c>
      <c r="AC12" s="345">
        <v>0</v>
      </c>
      <c r="AD12" s="349">
        <v>0</v>
      </c>
      <c r="AE12" s="345">
        <v>0</v>
      </c>
      <c r="AF12" s="349">
        <v>0</v>
      </c>
      <c r="AG12" s="345">
        <v>0</v>
      </c>
      <c r="AH12" s="349">
        <v>0</v>
      </c>
      <c r="AI12" s="345">
        <v>0</v>
      </c>
      <c r="AJ12" s="308" t="s">
        <v>320</v>
      </c>
      <c r="AK12" s="309">
        <f t="shared" si="0"/>
        <v>0</v>
      </c>
    </row>
    <row r="13" spans="2:37" ht="178.5" customHeight="1">
      <c r="B13" s="278">
        <v>4</v>
      </c>
      <c r="C13" s="277" t="s">
        <v>12</v>
      </c>
      <c r="D13" s="311" t="s">
        <v>49</v>
      </c>
      <c r="E13" s="277">
        <v>13</v>
      </c>
      <c r="F13" s="277" t="s">
        <v>304</v>
      </c>
      <c r="G13" s="346">
        <v>8717031</v>
      </c>
      <c r="H13" s="346">
        <v>7804604</v>
      </c>
      <c r="I13" s="346">
        <v>4741846.48</v>
      </c>
      <c r="J13" s="347">
        <v>4245375.153544</v>
      </c>
      <c r="K13" s="312">
        <f t="shared" si="1"/>
        <v>0.8953</v>
      </c>
      <c r="L13" s="347">
        <v>3834388.06</v>
      </c>
      <c r="M13" s="344">
        <f t="shared" si="2"/>
        <v>0.43987317011950516</v>
      </c>
      <c r="N13" s="347">
        <v>3432925.89</v>
      </c>
      <c r="O13" s="344">
        <f t="shared" si="3"/>
        <v>0.43985907420799314</v>
      </c>
      <c r="P13" s="349">
        <v>4671730.112811348</v>
      </c>
      <c r="Q13" s="345">
        <f>P13/G13</f>
        <v>0.5359313409360765</v>
      </c>
      <c r="R13" s="349">
        <v>4182599.97</v>
      </c>
      <c r="S13" s="345">
        <f>R13/H13</f>
        <v>0.5359144384519702</v>
      </c>
      <c r="T13" s="349">
        <f>V13/0.8953</f>
        <v>6027397.464537027</v>
      </c>
      <c r="U13" s="345">
        <f>T13/G13</f>
        <v>0.6914507318531995</v>
      </c>
      <c r="V13" s="349">
        <v>5396328.95</v>
      </c>
      <c r="W13" s="345">
        <f>V13/H13</f>
        <v>0.6914289245168621</v>
      </c>
      <c r="X13" s="349">
        <f>Z13/0.8953</f>
        <v>7305126.806656986</v>
      </c>
      <c r="Y13" s="345">
        <f>X13/G13</f>
        <v>0.8380292334232821</v>
      </c>
      <c r="Z13" s="349">
        <v>6540280.029999999</v>
      </c>
      <c r="AA13" s="345">
        <f>Z13/H13</f>
        <v>0.8380028032171779</v>
      </c>
      <c r="AB13" s="349">
        <f>AD13/0.8953</f>
        <v>8064926.873673628</v>
      </c>
      <c r="AC13" s="345">
        <f>AB13/G13</f>
        <v>0.9251919459359074</v>
      </c>
      <c r="AD13" s="349">
        <v>7220529.029999999</v>
      </c>
      <c r="AE13" s="345">
        <v>0.9251627667463973</v>
      </c>
      <c r="AF13" s="349">
        <f>G13</f>
        <v>8717031</v>
      </c>
      <c r="AG13" s="345">
        <f>AF13/G13</f>
        <v>1</v>
      </c>
      <c r="AH13" s="349">
        <v>7804604.029999999</v>
      </c>
      <c r="AI13" s="345">
        <v>1.000000003843885</v>
      </c>
      <c r="AJ13" s="308" t="s">
        <v>442</v>
      </c>
      <c r="AK13" s="309">
        <f t="shared" si="0"/>
        <v>0</v>
      </c>
    </row>
    <row r="14" spans="2:37" ht="114" customHeight="1">
      <c r="B14" s="278">
        <v>5</v>
      </c>
      <c r="C14" s="277" t="s">
        <v>12</v>
      </c>
      <c r="D14" s="311" t="s">
        <v>50</v>
      </c>
      <c r="E14" s="277">
        <v>17</v>
      </c>
      <c r="F14" s="277" t="s">
        <v>467</v>
      </c>
      <c r="G14" s="313">
        <v>37168220</v>
      </c>
      <c r="H14" s="313">
        <v>34695182</v>
      </c>
      <c r="I14" s="347">
        <v>25197811.1</v>
      </c>
      <c r="J14" s="347">
        <v>23522156.66185</v>
      </c>
      <c r="K14" s="310">
        <f t="shared" si="1"/>
        <v>0.9335</v>
      </c>
      <c r="L14" s="347">
        <v>19120536.06</v>
      </c>
      <c r="M14" s="344">
        <f t="shared" si="2"/>
        <v>0.5144323849783498</v>
      </c>
      <c r="N14" s="347">
        <v>17849016.2</v>
      </c>
      <c r="O14" s="344">
        <f t="shared" si="3"/>
        <v>0.5144523006104997</v>
      </c>
      <c r="P14" s="349">
        <v>25231764.57418318</v>
      </c>
      <c r="Q14" s="345">
        <f>P14/G14</f>
        <v>0.678853186248445</v>
      </c>
      <c r="R14" s="349">
        <v>23553852.23</v>
      </c>
      <c r="S14" s="345">
        <f>R14/H14</f>
        <v>0.678879627436455</v>
      </c>
      <c r="T14" s="349">
        <f>V14/0.9335</f>
        <v>31891469.823245846</v>
      </c>
      <c r="U14" s="345">
        <f>T14/G14</f>
        <v>0.8580305923513648</v>
      </c>
      <c r="V14" s="349">
        <v>29770687.08</v>
      </c>
      <c r="W14" s="345">
        <f>V14/H14</f>
        <v>0.858064012461442</v>
      </c>
      <c r="X14" s="349">
        <v>34476780.129839525</v>
      </c>
      <c r="Y14" s="345">
        <f>X14/G14</f>
        <v>0.9275876038680229</v>
      </c>
      <c r="Z14" s="349">
        <v>32182695.18</v>
      </c>
      <c r="AA14" s="345">
        <v>0.9365334675294547</v>
      </c>
      <c r="AB14" s="349">
        <f>AD14/0.9335</f>
        <v>36083127.13444028</v>
      </c>
      <c r="AC14" s="345">
        <f>AB14/G14</f>
        <v>0.9708058963932166</v>
      </c>
      <c r="AD14" s="349">
        <v>33683599.18</v>
      </c>
      <c r="AE14" s="345">
        <v>0.9802105685207467</v>
      </c>
      <c r="AF14" s="349">
        <v>37168220</v>
      </c>
      <c r="AG14" s="345">
        <f>AF14/G14</f>
        <v>1</v>
      </c>
      <c r="AH14" s="313">
        <v>34695182</v>
      </c>
      <c r="AI14" s="345">
        <v>1.0000000052380953</v>
      </c>
      <c r="AJ14" s="308" t="s">
        <v>443</v>
      </c>
      <c r="AK14" s="309">
        <f t="shared" si="0"/>
        <v>0</v>
      </c>
    </row>
    <row r="15" spans="2:37" ht="102.75" customHeight="1">
      <c r="B15" s="278">
        <v>6</v>
      </c>
      <c r="C15" s="277" t="s">
        <v>12</v>
      </c>
      <c r="D15" s="311" t="s">
        <v>51</v>
      </c>
      <c r="E15" s="277">
        <v>1</v>
      </c>
      <c r="F15" s="277" t="s">
        <v>468</v>
      </c>
      <c r="G15" s="313">
        <v>5614671</v>
      </c>
      <c r="H15" s="313">
        <v>5614670.935428</v>
      </c>
      <c r="I15" s="314">
        <v>1834800</v>
      </c>
      <c r="J15" s="314">
        <v>1834800</v>
      </c>
      <c r="K15" s="310">
        <f t="shared" si="1"/>
        <v>1</v>
      </c>
      <c r="L15" s="347">
        <v>0</v>
      </c>
      <c r="M15" s="344">
        <f t="shared" si="2"/>
        <v>0</v>
      </c>
      <c r="N15" s="348">
        <v>0</v>
      </c>
      <c r="O15" s="344">
        <f t="shared" si="3"/>
        <v>0</v>
      </c>
      <c r="P15" s="349">
        <v>35050</v>
      </c>
      <c r="Q15" s="345">
        <f>P15/G15</f>
        <v>0.006242574141922118</v>
      </c>
      <c r="R15" s="349">
        <v>35050</v>
      </c>
      <c r="S15" s="345">
        <f>R15/H15</f>
        <v>0.006242574213715372</v>
      </c>
      <c r="T15" s="349">
        <v>2084952</v>
      </c>
      <c r="U15" s="345">
        <f>T15/G15</f>
        <v>0.371340012620508</v>
      </c>
      <c r="V15" s="349">
        <v>2084952</v>
      </c>
      <c r="W15" s="345">
        <f>V15/H15</f>
        <v>0.3713400168911353</v>
      </c>
      <c r="X15" s="349">
        <v>3830717</v>
      </c>
      <c r="Y15" s="345">
        <v>0.6822691837153059</v>
      </c>
      <c r="Z15" s="349">
        <v>3830717</v>
      </c>
      <c r="AA15" s="345">
        <v>0.6822691915618005</v>
      </c>
      <c r="AB15" s="349">
        <v>4834671</v>
      </c>
      <c r="AC15" s="345">
        <v>0.8610782359286947</v>
      </c>
      <c r="AD15" s="349">
        <v>4834671</v>
      </c>
      <c r="AE15" s="345">
        <v>0.8610782458315981</v>
      </c>
      <c r="AF15" s="349">
        <v>5614671</v>
      </c>
      <c r="AG15" s="345">
        <f>AF15/G15</f>
        <v>1</v>
      </c>
      <c r="AH15" s="349">
        <v>5614671</v>
      </c>
      <c r="AI15" s="345">
        <v>1.000000011500585</v>
      </c>
      <c r="AJ15" s="277" t="s">
        <v>444</v>
      </c>
      <c r="AK15" s="309">
        <f t="shared" si="0"/>
        <v>0</v>
      </c>
    </row>
    <row r="16" spans="2:37" ht="100.5" customHeight="1">
      <c r="B16" s="278">
        <v>7</v>
      </c>
      <c r="C16" s="277" t="s">
        <v>12</v>
      </c>
      <c r="D16" s="311" t="s">
        <v>52</v>
      </c>
      <c r="E16" s="277" t="s">
        <v>41</v>
      </c>
      <c r="F16" s="277" t="s">
        <v>53</v>
      </c>
      <c r="G16" s="313">
        <v>0</v>
      </c>
      <c r="H16" s="313">
        <v>0</v>
      </c>
      <c r="I16" s="346">
        <v>0</v>
      </c>
      <c r="J16" s="347">
        <v>0</v>
      </c>
      <c r="K16" s="310" t="e">
        <f t="shared" si="1"/>
        <v>#DIV/0!</v>
      </c>
      <c r="L16" s="347">
        <v>0</v>
      </c>
      <c r="M16" s="344">
        <v>0</v>
      </c>
      <c r="N16" s="347">
        <v>0</v>
      </c>
      <c r="O16" s="344">
        <v>0</v>
      </c>
      <c r="P16" s="349">
        <v>0</v>
      </c>
      <c r="Q16" s="345">
        <v>0</v>
      </c>
      <c r="R16" s="349">
        <v>0</v>
      </c>
      <c r="S16" s="345">
        <v>0</v>
      </c>
      <c r="T16" s="349">
        <v>0</v>
      </c>
      <c r="U16" s="345">
        <v>0</v>
      </c>
      <c r="V16" s="349">
        <v>0</v>
      </c>
      <c r="W16" s="345">
        <v>0</v>
      </c>
      <c r="X16" s="349">
        <v>0</v>
      </c>
      <c r="Y16" s="345">
        <v>0</v>
      </c>
      <c r="Z16" s="349">
        <v>0</v>
      </c>
      <c r="AA16" s="345">
        <v>0</v>
      </c>
      <c r="AB16" s="349">
        <v>0</v>
      </c>
      <c r="AC16" s="345">
        <v>0</v>
      </c>
      <c r="AD16" s="349">
        <v>0</v>
      </c>
      <c r="AE16" s="345">
        <v>0</v>
      </c>
      <c r="AF16" s="349">
        <v>0</v>
      </c>
      <c r="AG16" s="345">
        <v>0</v>
      </c>
      <c r="AH16" s="349">
        <v>0</v>
      </c>
      <c r="AI16" s="345">
        <v>0</v>
      </c>
      <c r="AJ16" s="349" t="s">
        <v>319</v>
      </c>
      <c r="AK16" s="309">
        <f t="shared" si="0"/>
        <v>0</v>
      </c>
    </row>
    <row r="17" spans="2:37" ht="117" customHeight="1">
      <c r="B17" s="278">
        <v>8</v>
      </c>
      <c r="C17" s="277" t="s">
        <v>12</v>
      </c>
      <c r="D17" s="311" t="s">
        <v>54</v>
      </c>
      <c r="E17" s="277">
        <v>1</v>
      </c>
      <c r="F17" s="277" t="s">
        <v>469</v>
      </c>
      <c r="G17" s="346">
        <v>2550000</v>
      </c>
      <c r="H17" s="346">
        <v>2549999.917692</v>
      </c>
      <c r="I17" s="347">
        <v>509953</v>
      </c>
      <c r="J17" s="347">
        <v>509953</v>
      </c>
      <c r="K17" s="310">
        <f t="shared" si="1"/>
        <v>1</v>
      </c>
      <c r="L17" s="347">
        <v>0</v>
      </c>
      <c r="M17" s="344">
        <f t="shared" si="2"/>
        <v>0</v>
      </c>
      <c r="N17" s="348">
        <v>0</v>
      </c>
      <c r="O17" s="344">
        <f t="shared" si="3"/>
        <v>0</v>
      </c>
      <c r="P17" s="349">
        <v>213038</v>
      </c>
      <c r="Q17" s="345">
        <v>0.24402745098039216</v>
      </c>
      <c r="R17" s="349">
        <v>213038</v>
      </c>
      <c r="S17" s="345">
        <v>0.24402745885702434</v>
      </c>
      <c r="T17" s="349">
        <v>1690370</v>
      </c>
      <c r="U17" s="345">
        <f>T17/G17</f>
        <v>0.6628901960784314</v>
      </c>
      <c r="V17" s="349">
        <v>1690370</v>
      </c>
      <c r="W17" s="345">
        <v>0.6628902174749678</v>
      </c>
      <c r="X17" s="349">
        <v>2550000</v>
      </c>
      <c r="Y17" s="345">
        <v>1</v>
      </c>
      <c r="Z17" s="349">
        <v>2550000</v>
      </c>
      <c r="AA17" s="345">
        <v>1.000000032277648</v>
      </c>
      <c r="AB17" s="349">
        <v>2550000</v>
      </c>
      <c r="AC17" s="345">
        <v>1</v>
      </c>
      <c r="AD17" s="349">
        <v>2550000</v>
      </c>
      <c r="AE17" s="345">
        <v>1.000000032277648</v>
      </c>
      <c r="AF17" s="349">
        <v>2550000</v>
      </c>
      <c r="AG17" s="345">
        <f aca="true" t="shared" si="4" ref="AG17:AG23">AF17/G17</f>
        <v>1</v>
      </c>
      <c r="AH17" s="349">
        <v>2550000</v>
      </c>
      <c r="AI17" s="345">
        <v>1.000000032277648</v>
      </c>
      <c r="AJ17" s="277" t="s">
        <v>445</v>
      </c>
      <c r="AK17" s="309">
        <f t="shared" si="0"/>
        <v>0</v>
      </c>
    </row>
    <row r="18" spans="2:37" ht="146.25" customHeight="1">
      <c r="B18" s="278">
        <v>9</v>
      </c>
      <c r="C18" s="277" t="s">
        <v>12</v>
      </c>
      <c r="D18" s="311" t="s">
        <v>55</v>
      </c>
      <c r="E18" s="277">
        <v>6</v>
      </c>
      <c r="F18" s="277" t="s">
        <v>305</v>
      </c>
      <c r="G18" s="346">
        <v>7441454</v>
      </c>
      <c r="H18" s="346">
        <v>6325236</v>
      </c>
      <c r="I18" s="347">
        <v>4009452.13</v>
      </c>
      <c r="J18" s="347">
        <v>3408034.3104999997</v>
      </c>
      <c r="K18" s="310">
        <f t="shared" si="1"/>
        <v>0.85</v>
      </c>
      <c r="L18" s="347">
        <v>1103368.01</v>
      </c>
      <c r="M18" s="344">
        <f t="shared" si="2"/>
        <v>0.14827317483921826</v>
      </c>
      <c r="N18" s="348">
        <v>937861.64</v>
      </c>
      <c r="O18" s="344">
        <f t="shared" si="3"/>
        <v>0.1482729877588757</v>
      </c>
      <c r="P18" s="349">
        <v>2610456</v>
      </c>
      <c r="Q18" s="345">
        <v>0.40529359861503345</v>
      </c>
      <c r="R18" s="349">
        <v>2218888.15</v>
      </c>
      <c r="S18" s="345">
        <v>0.4052935922074686</v>
      </c>
      <c r="T18" s="349">
        <v>4898598.058823529</v>
      </c>
      <c r="U18" s="345">
        <f>T18/G18</f>
        <v>0.6582850688620165</v>
      </c>
      <c r="V18" s="349">
        <v>4163808.3499999996</v>
      </c>
      <c r="W18" s="345">
        <v>0.6582850584547358</v>
      </c>
      <c r="X18" s="349">
        <v>6288689.435294117</v>
      </c>
      <c r="Y18" s="345">
        <v>0.8450888005615727</v>
      </c>
      <c r="Z18" s="349">
        <v>5345386.02</v>
      </c>
      <c r="AA18" s="345">
        <v>0.8450887872009835</v>
      </c>
      <c r="AB18" s="349">
        <v>7441454</v>
      </c>
      <c r="AC18" s="345">
        <v>1.0000001770684948</v>
      </c>
      <c r="AD18" s="349">
        <v>6325236</v>
      </c>
      <c r="AE18" s="345">
        <v>1.0000001612588052</v>
      </c>
      <c r="AF18" s="349">
        <f>AB18</f>
        <v>7441454</v>
      </c>
      <c r="AG18" s="345">
        <f t="shared" si="4"/>
        <v>1</v>
      </c>
      <c r="AH18" s="349">
        <f>AD18</f>
        <v>6325236</v>
      </c>
      <c r="AI18" s="345">
        <v>1.0000001612588052</v>
      </c>
      <c r="AJ18" s="277" t="s">
        <v>446</v>
      </c>
      <c r="AK18" s="309">
        <f t="shared" si="0"/>
        <v>0</v>
      </c>
    </row>
    <row r="19" spans="2:37" ht="110.25" customHeight="1">
      <c r="B19" s="278">
        <v>10</v>
      </c>
      <c r="C19" s="277" t="s">
        <v>12</v>
      </c>
      <c r="D19" s="311" t="s">
        <v>56</v>
      </c>
      <c r="E19" s="277">
        <v>27</v>
      </c>
      <c r="F19" s="277" t="s">
        <v>323</v>
      </c>
      <c r="G19" s="346">
        <v>9533326</v>
      </c>
      <c r="H19" s="346">
        <v>8345584</v>
      </c>
      <c r="I19" s="347">
        <v>5069804.98</v>
      </c>
      <c r="J19" s="347">
        <v>4400199.95</v>
      </c>
      <c r="K19" s="310">
        <f t="shared" si="1"/>
        <v>0.8679229215637403</v>
      </c>
      <c r="L19" s="347">
        <v>259601</v>
      </c>
      <c r="M19" s="344">
        <f t="shared" si="2"/>
        <v>0.02723089507271649</v>
      </c>
      <c r="N19" s="348">
        <v>244199.86</v>
      </c>
      <c r="O19" s="344">
        <f t="shared" si="3"/>
        <v>0.029260967237283813</v>
      </c>
      <c r="P19" s="349">
        <v>2297696</v>
      </c>
      <c r="Q19" s="345">
        <v>0.24606298102023533</v>
      </c>
      <c r="R19" s="315">
        <v>1953042.03</v>
      </c>
      <c r="S19" s="345">
        <v>0.2458358959660582</v>
      </c>
      <c r="T19" s="349">
        <v>6572577.118525209</v>
      </c>
      <c r="U19" s="345">
        <f>T19/G19</f>
        <v>0.6894316966109424</v>
      </c>
      <c r="V19" s="349">
        <v>5753710.12</v>
      </c>
      <c r="W19" s="345">
        <v>0.6894316946543226</v>
      </c>
      <c r="X19" s="349">
        <v>8932877.173043564</v>
      </c>
      <c r="Y19" s="345">
        <f>X19/G19</f>
        <v>0.9370158088628842</v>
      </c>
      <c r="Z19" s="349">
        <v>7819944.12</v>
      </c>
      <c r="AA19" s="345">
        <v>0.9370158062036162</v>
      </c>
      <c r="AB19" s="346">
        <v>9533326</v>
      </c>
      <c r="AC19" s="345">
        <f>AB19/G19</f>
        <v>1</v>
      </c>
      <c r="AD19" s="349">
        <v>8345584.12</v>
      </c>
      <c r="AE19" s="345">
        <v>1.0000000143788619</v>
      </c>
      <c r="AF19" s="349">
        <f>AB19</f>
        <v>9533326</v>
      </c>
      <c r="AG19" s="345">
        <f t="shared" si="4"/>
        <v>1</v>
      </c>
      <c r="AH19" s="349">
        <v>8345584.12</v>
      </c>
      <c r="AI19" s="345">
        <v>1.0000000143788619</v>
      </c>
      <c r="AJ19" s="277" t="s">
        <v>447</v>
      </c>
      <c r="AK19" s="309">
        <f t="shared" si="0"/>
        <v>0</v>
      </c>
    </row>
    <row r="20" spans="2:37" ht="106.5" customHeight="1">
      <c r="B20" s="278">
        <v>11</v>
      </c>
      <c r="C20" s="277" t="s">
        <v>12</v>
      </c>
      <c r="D20" s="311" t="s">
        <v>57</v>
      </c>
      <c r="E20" s="277">
        <v>1</v>
      </c>
      <c r="F20" s="277" t="s">
        <v>306</v>
      </c>
      <c r="G20" s="346">
        <v>25850718</v>
      </c>
      <c r="H20" s="346">
        <v>21973111</v>
      </c>
      <c r="I20" s="316">
        <v>16219000.75</v>
      </c>
      <c r="J20" s="347">
        <v>13786150.6375</v>
      </c>
      <c r="K20" s="310">
        <f t="shared" si="1"/>
        <v>0.85</v>
      </c>
      <c r="L20" s="316">
        <v>8679282.72</v>
      </c>
      <c r="M20" s="344">
        <f t="shared" si="2"/>
        <v>0.3357462922306452</v>
      </c>
      <c r="N20" s="348">
        <v>7377390.3</v>
      </c>
      <c r="O20" s="344">
        <f t="shared" si="3"/>
        <v>0.33574628098861375</v>
      </c>
      <c r="P20" s="349">
        <v>14030759</v>
      </c>
      <c r="Q20" s="345">
        <v>0.4568217022057182</v>
      </c>
      <c r="R20" s="349">
        <v>11926145.3</v>
      </c>
      <c r="S20" s="345">
        <v>0.45682168765269515</v>
      </c>
      <c r="T20" s="349">
        <v>20376660.764705878</v>
      </c>
      <c r="U20" s="345">
        <v>0.788243512799369</v>
      </c>
      <c r="V20" s="349">
        <v>17320161.65</v>
      </c>
      <c r="W20" s="345">
        <v>0.7882434876882021</v>
      </c>
      <c r="X20" s="349">
        <v>25850718</v>
      </c>
      <c r="Y20" s="345">
        <v>1.0000000614387303</v>
      </c>
      <c r="Z20" s="349">
        <v>21973111</v>
      </c>
      <c r="AA20" s="345">
        <v>1.0000000295816098</v>
      </c>
      <c r="AB20" s="349">
        <v>25850718</v>
      </c>
      <c r="AC20" s="345">
        <v>1.0000000614387303</v>
      </c>
      <c r="AD20" s="349">
        <v>21973111</v>
      </c>
      <c r="AE20" s="345">
        <v>1.0000000295816098</v>
      </c>
      <c r="AF20" s="349">
        <v>25850718</v>
      </c>
      <c r="AG20" s="345">
        <f t="shared" si="4"/>
        <v>1</v>
      </c>
      <c r="AH20" s="349">
        <v>21973111</v>
      </c>
      <c r="AI20" s="345">
        <v>1.0000000295816098</v>
      </c>
      <c r="AJ20" s="308" t="s">
        <v>448</v>
      </c>
      <c r="AK20" s="309">
        <f t="shared" si="0"/>
        <v>0</v>
      </c>
    </row>
    <row r="21" spans="2:37" ht="222.75" customHeight="1">
      <c r="B21" s="278">
        <v>12</v>
      </c>
      <c r="C21" s="277" t="s">
        <v>12</v>
      </c>
      <c r="D21" s="311" t="s">
        <v>58</v>
      </c>
      <c r="E21" s="277">
        <v>2</v>
      </c>
      <c r="F21" s="277" t="s">
        <v>307</v>
      </c>
      <c r="G21" s="346">
        <v>5014020</v>
      </c>
      <c r="H21" s="346">
        <v>4261917.310248</v>
      </c>
      <c r="I21" s="346">
        <v>5180410.04</v>
      </c>
      <c r="J21" s="347">
        <v>4403348.534</v>
      </c>
      <c r="K21" s="310">
        <f t="shared" si="1"/>
        <v>0.85</v>
      </c>
      <c r="L21" s="316">
        <v>2002556.83</v>
      </c>
      <c r="M21" s="344">
        <f t="shared" si="2"/>
        <v>0.3993914723116382</v>
      </c>
      <c r="N21" s="348">
        <v>1702173.32</v>
      </c>
      <c r="O21" s="344">
        <f t="shared" si="3"/>
        <v>0.39939144663999854</v>
      </c>
      <c r="P21" s="349">
        <v>4133406</v>
      </c>
      <c r="Q21" s="345">
        <v>0.6132925652939745</v>
      </c>
      <c r="R21" s="349">
        <v>3513393.79</v>
      </c>
      <c r="S21" s="345">
        <v>0.6132925206490933</v>
      </c>
      <c r="T21" s="349">
        <v>4144975.305882353</v>
      </c>
      <c r="U21" s="345">
        <v>0.826677058703865</v>
      </c>
      <c r="V21" s="349">
        <v>3523229.01</v>
      </c>
      <c r="W21" s="345">
        <v>0.8266769985255731</v>
      </c>
      <c r="X21" s="349">
        <v>5014020.011764706</v>
      </c>
      <c r="Y21" s="345">
        <v>1.000000002346362</v>
      </c>
      <c r="Z21" s="349">
        <v>4261917.01</v>
      </c>
      <c r="AA21" s="345">
        <v>0.9999999295509561</v>
      </c>
      <c r="AB21" s="349">
        <v>5014020.011764706</v>
      </c>
      <c r="AC21" s="345">
        <v>1.000000002346362</v>
      </c>
      <c r="AD21" s="349">
        <v>4261917.01</v>
      </c>
      <c r="AE21" s="345">
        <v>0.9999999295509561</v>
      </c>
      <c r="AF21" s="349">
        <v>5014020.011764706</v>
      </c>
      <c r="AG21" s="345">
        <f t="shared" si="4"/>
        <v>1.000000002346362</v>
      </c>
      <c r="AH21" s="349">
        <v>4261917.01</v>
      </c>
      <c r="AI21" s="345">
        <v>0.9999999295509561</v>
      </c>
      <c r="AJ21" s="308" t="s">
        <v>449</v>
      </c>
      <c r="AK21" s="309">
        <f t="shared" si="0"/>
        <v>-0.0117647061124444</v>
      </c>
    </row>
    <row r="22" spans="2:37" ht="90" customHeight="1">
      <c r="B22" s="278">
        <v>13</v>
      </c>
      <c r="C22" s="277" t="s">
        <v>12</v>
      </c>
      <c r="D22" s="311" t="s">
        <v>59</v>
      </c>
      <c r="E22" s="277">
        <v>1</v>
      </c>
      <c r="F22" s="277" t="s">
        <v>324</v>
      </c>
      <c r="G22" s="346">
        <v>11244864</v>
      </c>
      <c r="H22" s="346">
        <v>9558134.4</v>
      </c>
      <c r="I22" s="316">
        <v>10929756.85</v>
      </c>
      <c r="J22" s="347">
        <v>9290293.3225</v>
      </c>
      <c r="K22" s="310">
        <f t="shared" si="1"/>
        <v>0.85</v>
      </c>
      <c r="L22" s="316">
        <v>8693359.68</v>
      </c>
      <c r="M22" s="344">
        <f t="shared" si="2"/>
        <v>0.773096026772756</v>
      </c>
      <c r="N22" s="348">
        <v>7389355.72</v>
      </c>
      <c r="O22" s="344">
        <f t="shared" si="3"/>
        <v>0.7730960259357725</v>
      </c>
      <c r="P22" s="349">
        <v>10403831</v>
      </c>
      <c r="Q22" s="345">
        <v>0.8907784943890306</v>
      </c>
      <c r="R22" s="349">
        <v>8843255.719999999</v>
      </c>
      <c r="S22" s="345">
        <v>0.8907784943890306</v>
      </c>
      <c r="T22" s="349">
        <v>11244863.023529412</v>
      </c>
      <c r="U22" s="345">
        <v>0.9999999131629704</v>
      </c>
      <c r="V22" s="349">
        <v>9558133.57</v>
      </c>
      <c r="W22" s="345">
        <v>0.9999999131629703</v>
      </c>
      <c r="X22" s="349">
        <v>11244864</v>
      </c>
      <c r="Y22" s="345">
        <v>0.9999999131629704</v>
      </c>
      <c r="Z22" s="349">
        <v>9558133.57</v>
      </c>
      <c r="AA22" s="345">
        <v>0.9999999131629703</v>
      </c>
      <c r="AB22" s="349">
        <v>11244864</v>
      </c>
      <c r="AC22" s="345">
        <v>0.9999999131629704</v>
      </c>
      <c r="AD22" s="349">
        <v>9558134</v>
      </c>
      <c r="AE22" s="345">
        <v>0.9999999131629703</v>
      </c>
      <c r="AF22" s="349">
        <v>11244864</v>
      </c>
      <c r="AG22" s="345">
        <f t="shared" si="4"/>
        <v>1</v>
      </c>
      <c r="AH22" s="349">
        <v>9558134</v>
      </c>
      <c r="AI22" s="345">
        <v>0.9999999131629703</v>
      </c>
      <c r="AJ22" s="308" t="s">
        <v>450</v>
      </c>
      <c r="AK22" s="309">
        <f t="shared" si="0"/>
        <v>0</v>
      </c>
    </row>
    <row r="23" spans="2:37" ht="79.5" customHeight="1">
      <c r="B23" s="278">
        <v>14</v>
      </c>
      <c r="C23" s="277" t="s">
        <v>12</v>
      </c>
      <c r="D23" s="311" t="s">
        <v>60</v>
      </c>
      <c r="E23" s="277">
        <v>3</v>
      </c>
      <c r="F23" s="277" t="s">
        <v>308</v>
      </c>
      <c r="G23" s="346">
        <v>4564706</v>
      </c>
      <c r="H23" s="346">
        <v>3880000</v>
      </c>
      <c r="I23" s="347">
        <v>2022077</v>
      </c>
      <c r="J23" s="347">
        <v>1718765.45</v>
      </c>
      <c r="K23" s="310">
        <f t="shared" si="1"/>
        <v>0.85</v>
      </c>
      <c r="L23" s="347">
        <v>370954.19</v>
      </c>
      <c r="M23" s="344">
        <f t="shared" si="2"/>
        <v>0.08126573540552229</v>
      </c>
      <c r="N23" s="348">
        <v>315311.04</v>
      </c>
      <c r="O23" s="344">
        <f t="shared" si="3"/>
        <v>0.08126573195876288</v>
      </c>
      <c r="P23" s="349">
        <v>1576606</v>
      </c>
      <c r="Q23" s="345">
        <v>0.2775128278991539</v>
      </c>
      <c r="R23" s="349">
        <v>1340115.19</v>
      </c>
      <c r="S23" s="345">
        <v>0.2775128350515464</v>
      </c>
      <c r="T23" s="349">
        <v>3524945.6470588236</v>
      </c>
      <c r="U23" s="345">
        <v>0.7722174543242925</v>
      </c>
      <c r="V23" s="349">
        <v>2996203.8</v>
      </c>
      <c r="W23" s="345">
        <v>0.7722174742268041</v>
      </c>
      <c r="X23" s="349">
        <v>4564705.647058823</v>
      </c>
      <c r="Y23" s="345">
        <v>0.9999999226804143</v>
      </c>
      <c r="Z23" s="349">
        <v>3879999.8</v>
      </c>
      <c r="AA23" s="345">
        <v>0.9999999484536082</v>
      </c>
      <c r="AB23" s="349">
        <v>4564705.647058823</v>
      </c>
      <c r="AC23" s="345">
        <v>0.9999999226804143</v>
      </c>
      <c r="AD23" s="349">
        <v>3879999.8</v>
      </c>
      <c r="AE23" s="345">
        <v>0.9999999484536082</v>
      </c>
      <c r="AF23" s="349">
        <v>4564705.647058823</v>
      </c>
      <c r="AG23" s="345">
        <f t="shared" si="4"/>
        <v>0.9999999226804143</v>
      </c>
      <c r="AH23" s="349">
        <v>3879999.8</v>
      </c>
      <c r="AI23" s="345">
        <v>0.9999999484536082</v>
      </c>
      <c r="AJ23" s="308" t="s">
        <v>451</v>
      </c>
      <c r="AK23" s="309">
        <f t="shared" si="0"/>
        <v>0.352941176854074</v>
      </c>
    </row>
    <row r="24" spans="2:37" ht="97.5" customHeight="1">
      <c r="B24" s="278">
        <v>15</v>
      </c>
      <c r="C24" s="277" t="s">
        <v>12</v>
      </c>
      <c r="D24" s="311" t="s">
        <v>61</v>
      </c>
      <c r="E24" s="277" t="s">
        <v>41</v>
      </c>
      <c r="F24" s="277" t="s">
        <v>62</v>
      </c>
      <c r="G24" s="346">
        <v>0</v>
      </c>
      <c r="H24" s="346">
        <v>0</v>
      </c>
      <c r="I24" s="346">
        <v>0</v>
      </c>
      <c r="J24" s="347">
        <v>0</v>
      </c>
      <c r="K24" s="310" t="e">
        <f>J24/I24</f>
        <v>#DIV/0!</v>
      </c>
      <c r="L24" s="347">
        <v>0</v>
      </c>
      <c r="M24" s="344">
        <v>0</v>
      </c>
      <c r="N24" s="347">
        <v>0</v>
      </c>
      <c r="O24" s="344">
        <v>0</v>
      </c>
      <c r="P24" s="349">
        <v>0</v>
      </c>
      <c r="Q24" s="345">
        <v>0</v>
      </c>
      <c r="R24" s="349">
        <v>0</v>
      </c>
      <c r="S24" s="345">
        <v>0</v>
      </c>
      <c r="T24" s="349">
        <v>0</v>
      </c>
      <c r="U24" s="345">
        <v>0</v>
      </c>
      <c r="V24" s="349">
        <v>0</v>
      </c>
      <c r="W24" s="345">
        <v>0</v>
      </c>
      <c r="X24" s="349">
        <v>0</v>
      </c>
      <c r="Y24" s="345">
        <v>0</v>
      </c>
      <c r="Z24" s="349">
        <v>0</v>
      </c>
      <c r="AA24" s="345">
        <v>0</v>
      </c>
      <c r="AB24" s="349">
        <v>0</v>
      </c>
      <c r="AC24" s="345">
        <v>0</v>
      </c>
      <c r="AD24" s="349">
        <v>0</v>
      </c>
      <c r="AE24" s="345">
        <v>0</v>
      </c>
      <c r="AF24" s="349">
        <v>0</v>
      </c>
      <c r="AG24" s="345">
        <v>0</v>
      </c>
      <c r="AH24" s="349">
        <v>0</v>
      </c>
      <c r="AI24" s="345">
        <v>0</v>
      </c>
      <c r="AJ24" s="349" t="s">
        <v>320</v>
      </c>
      <c r="AK24" s="309">
        <f t="shared" si="0"/>
        <v>0</v>
      </c>
    </row>
    <row r="25" spans="2:37" ht="63" customHeight="1">
      <c r="B25" s="278">
        <v>16</v>
      </c>
      <c r="C25" s="277" t="s">
        <v>12</v>
      </c>
      <c r="D25" s="311" t="s">
        <v>63</v>
      </c>
      <c r="E25" s="277" t="s">
        <v>41</v>
      </c>
      <c r="F25" s="277" t="s">
        <v>62</v>
      </c>
      <c r="G25" s="313">
        <v>0</v>
      </c>
      <c r="H25" s="313">
        <v>0</v>
      </c>
      <c r="I25" s="347">
        <v>0</v>
      </c>
      <c r="J25" s="347">
        <v>0</v>
      </c>
      <c r="K25" s="310" t="e">
        <f t="shared" si="1"/>
        <v>#DIV/0!</v>
      </c>
      <c r="L25" s="347">
        <v>0</v>
      </c>
      <c r="M25" s="344">
        <v>0</v>
      </c>
      <c r="N25" s="348">
        <v>0</v>
      </c>
      <c r="O25" s="344">
        <v>0</v>
      </c>
      <c r="P25" s="349">
        <v>0</v>
      </c>
      <c r="Q25" s="345">
        <v>0</v>
      </c>
      <c r="R25" s="349">
        <v>0</v>
      </c>
      <c r="S25" s="345">
        <v>0</v>
      </c>
      <c r="T25" s="349">
        <v>0</v>
      </c>
      <c r="U25" s="345">
        <v>0</v>
      </c>
      <c r="V25" s="349">
        <v>0</v>
      </c>
      <c r="W25" s="345">
        <v>0</v>
      </c>
      <c r="X25" s="349">
        <v>0</v>
      </c>
      <c r="Y25" s="345">
        <v>0</v>
      </c>
      <c r="Z25" s="349">
        <v>0</v>
      </c>
      <c r="AA25" s="345">
        <v>0</v>
      </c>
      <c r="AB25" s="349">
        <v>0</v>
      </c>
      <c r="AC25" s="345">
        <v>0</v>
      </c>
      <c r="AD25" s="349">
        <v>0</v>
      </c>
      <c r="AE25" s="345">
        <v>0</v>
      </c>
      <c r="AF25" s="349">
        <v>0</v>
      </c>
      <c r="AG25" s="345">
        <v>0</v>
      </c>
      <c r="AH25" s="349">
        <v>0</v>
      </c>
      <c r="AI25" s="345">
        <v>0</v>
      </c>
      <c r="AJ25" s="308" t="s">
        <v>320</v>
      </c>
      <c r="AK25" s="309">
        <f t="shared" si="0"/>
        <v>0</v>
      </c>
    </row>
    <row r="26" spans="2:37" ht="78.75" customHeight="1">
      <c r="B26" s="278">
        <v>17</v>
      </c>
      <c r="C26" s="277" t="s">
        <v>12</v>
      </c>
      <c r="D26" s="311" t="s">
        <v>64</v>
      </c>
      <c r="E26" s="277" t="s">
        <v>41</v>
      </c>
      <c r="F26" s="277" t="s">
        <v>62</v>
      </c>
      <c r="G26" s="313">
        <v>0</v>
      </c>
      <c r="H26" s="313">
        <v>0</v>
      </c>
      <c r="I26" s="346">
        <v>0</v>
      </c>
      <c r="J26" s="347">
        <v>0</v>
      </c>
      <c r="K26" s="310" t="e">
        <f t="shared" si="1"/>
        <v>#DIV/0!</v>
      </c>
      <c r="L26" s="347">
        <v>0</v>
      </c>
      <c r="M26" s="344">
        <v>0</v>
      </c>
      <c r="N26" s="347">
        <v>0</v>
      </c>
      <c r="O26" s="344">
        <v>0</v>
      </c>
      <c r="P26" s="349">
        <v>0</v>
      </c>
      <c r="Q26" s="345">
        <v>0</v>
      </c>
      <c r="R26" s="349">
        <v>0</v>
      </c>
      <c r="S26" s="345">
        <v>0</v>
      </c>
      <c r="T26" s="349">
        <v>0</v>
      </c>
      <c r="U26" s="345">
        <v>0</v>
      </c>
      <c r="V26" s="349">
        <v>0</v>
      </c>
      <c r="W26" s="345">
        <v>0</v>
      </c>
      <c r="X26" s="349">
        <v>0</v>
      </c>
      <c r="Y26" s="345">
        <v>0</v>
      </c>
      <c r="Z26" s="349">
        <v>0</v>
      </c>
      <c r="AA26" s="345">
        <v>0</v>
      </c>
      <c r="AB26" s="349">
        <v>0</v>
      </c>
      <c r="AC26" s="345">
        <v>0</v>
      </c>
      <c r="AD26" s="349">
        <v>0</v>
      </c>
      <c r="AE26" s="345">
        <v>0</v>
      </c>
      <c r="AF26" s="349">
        <v>0</v>
      </c>
      <c r="AG26" s="345">
        <v>0</v>
      </c>
      <c r="AH26" s="349">
        <v>0</v>
      </c>
      <c r="AI26" s="345">
        <v>0</v>
      </c>
      <c r="AJ26" s="349" t="s">
        <v>320</v>
      </c>
      <c r="AK26" s="309">
        <f t="shared" si="0"/>
        <v>0</v>
      </c>
    </row>
    <row r="27" spans="2:37" ht="90.75" customHeight="1">
      <c r="B27" s="278">
        <v>18</v>
      </c>
      <c r="C27" s="277" t="s">
        <v>12</v>
      </c>
      <c r="D27" s="311" t="s">
        <v>65</v>
      </c>
      <c r="E27" s="277">
        <v>1</v>
      </c>
      <c r="F27" s="277" t="s">
        <v>306</v>
      </c>
      <c r="G27" s="346">
        <v>20000000</v>
      </c>
      <c r="H27" s="346">
        <v>17000000</v>
      </c>
      <c r="I27" s="347">
        <v>17936104</v>
      </c>
      <c r="J27" s="347">
        <v>15245688.4</v>
      </c>
      <c r="K27" s="310">
        <f>J27/I27</f>
        <v>0.85</v>
      </c>
      <c r="L27" s="347">
        <v>6397412.3</v>
      </c>
      <c r="M27" s="344">
        <f t="shared" si="2"/>
        <v>0.31987061499999997</v>
      </c>
      <c r="N27" s="348">
        <v>5437800.45</v>
      </c>
      <c r="O27" s="344">
        <f t="shared" si="3"/>
        <v>0.31987061470588235</v>
      </c>
      <c r="P27" s="349">
        <v>12285468</v>
      </c>
      <c r="Q27" s="345">
        <v>0.5854722435294117</v>
      </c>
      <c r="R27" s="349">
        <v>10442648.45</v>
      </c>
      <c r="S27" s="345">
        <v>0.5854722435294119</v>
      </c>
      <c r="T27" s="349">
        <v>20000000.164705884</v>
      </c>
      <c r="U27" s="345">
        <v>1.0000000082352942</v>
      </c>
      <c r="V27" s="349">
        <v>17000000.14</v>
      </c>
      <c r="W27" s="345">
        <v>1.0000000082352942</v>
      </c>
      <c r="X27" s="349">
        <v>20000000.164705884</v>
      </c>
      <c r="Y27" s="345">
        <v>1.0000000082352942</v>
      </c>
      <c r="Z27" s="349">
        <v>17000000.14</v>
      </c>
      <c r="AA27" s="345">
        <v>1.0000000082352942</v>
      </c>
      <c r="AB27" s="349">
        <v>20000000.164705884</v>
      </c>
      <c r="AC27" s="345">
        <v>1.0000000082352942</v>
      </c>
      <c r="AD27" s="349">
        <v>17000000.14</v>
      </c>
      <c r="AE27" s="345">
        <v>1.0000000082352942</v>
      </c>
      <c r="AF27" s="349">
        <v>20000000.164705884</v>
      </c>
      <c r="AG27" s="345">
        <f>AF27/G27</f>
        <v>1.0000000082352942</v>
      </c>
      <c r="AH27" s="349">
        <v>17000000.14</v>
      </c>
      <c r="AI27" s="345">
        <v>1.0000000082352942</v>
      </c>
      <c r="AJ27" s="308" t="s">
        <v>452</v>
      </c>
      <c r="AK27" s="309">
        <f t="shared" si="0"/>
        <v>-0.16470588371157646</v>
      </c>
    </row>
    <row r="28" spans="2:37" ht="79.5" customHeight="1">
      <c r="B28" s="278">
        <v>19</v>
      </c>
      <c r="C28" s="277" t="s">
        <v>12</v>
      </c>
      <c r="D28" s="311" t="s">
        <v>66</v>
      </c>
      <c r="E28" s="277" t="s">
        <v>41</v>
      </c>
      <c r="F28" s="277" t="s">
        <v>62</v>
      </c>
      <c r="G28" s="346">
        <v>0</v>
      </c>
      <c r="H28" s="346">
        <v>0</v>
      </c>
      <c r="I28" s="346">
        <v>0</v>
      </c>
      <c r="J28" s="347">
        <v>0</v>
      </c>
      <c r="K28" s="310" t="e">
        <f t="shared" si="1"/>
        <v>#DIV/0!</v>
      </c>
      <c r="L28" s="347">
        <v>0</v>
      </c>
      <c r="M28" s="344">
        <v>0</v>
      </c>
      <c r="N28" s="347">
        <v>0</v>
      </c>
      <c r="O28" s="344">
        <v>0</v>
      </c>
      <c r="P28" s="349">
        <v>0</v>
      </c>
      <c r="Q28" s="345">
        <v>0</v>
      </c>
      <c r="R28" s="349">
        <v>0</v>
      </c>
      <c r="S28" s="345">
        <v>0</v>
      </c>
      <c r="T28" s="349">
        <v>0</v>
      </c>
      <c r="U28" s="345">
        <v>0</v>
      </c>
      <c r="V28" s="349">
        <v>0</v>
      </c>
      <c r="W28" s="345">
        <v>0</v>
      </c>
      <c r="X28" s="349">
        <v>0</v>
      </c>
      <c r="Y28" s="345">
        <v>0</v>
      </c>
      <c r="Z28" s="349">
        <v>0</v>
      </c>
      <c r="AA28" s="345">
        <v>0</v>
      </c>
      <c r="AB28" s="349">
        <v>0</v>
      </c>
      <c r="AC28" s="345">
        <v>0</v>
      </c>
      <c r="AD28" s="349">
        <v>0</v>
      </c>
      <c r="AE28" s="345">
        <v>0</v>
      </c>
      <c r="AF28" s="349">
        <v>0</v>
      </c>
      <c r="AG28" s="345">
        <v>0</v>
      </c>
      <c r="AH28" s="349">
        <v>0</v>
      </c>
      <c r="AI28" s="345">
        <v>0</v>
      </c>
      <c r="AJ28" s="349" t="s">
        <v>320</v>
      </c>
      <c r="AK28" s="309">
        <f t="shared" si="0"/>
        <v>0</v>
      </c>
    </row>
    <row r="29" spans="2:37" ht="125.25" customHeight="1">
      <c r="B29" s="278">
        <v>20</v>
      </c>
      <c r="C29" s="277" t="s">
        <v>12</v>
      </c>
      <c r="D29" s="311" t="s">
        <v>67</v>
      </c>
      <c r="E29" s="277" t="s">
        <v>41</v>
      </c>
      <c r="F29" s="277" t="s">
        <v>62</v>
      </c>
      <c r="G29" s="346">
        <v>0</v>
      </c>
      <c r="H29" s="313">
        <v>0</v>
      </c>
      <c r="I29" s="346">
        <v>0</v>
      </c>
      <c r="J29" s="347">
        <v>0</v>
      </c>
      <c r="K29" s="310" t="e">
        <f>J29/I29</f>
        <v>#DIV/0!</v>
      </c>
      <c r="L29" s="347">
        <v>0</v>
      </c>
      <c r="M29" s="344">
        <v>0</v>
      </c>
      <c r="N29" s="347">
        <v>0</v>
      </c>
      <c r="O29" s="344">
        <v>0</v>
      </c>
      <c r="P29" s="349">
        <v>0</v>
      </c>
      <c r="Q29" s="345">
        <v>0</v>
      </c>
      <c r="R29" s="349">
        <v>0</v>
      </c>
      <c r="S29" s="345">
        <v>0</v>
      </c>
      <c r="T29" s="349">
        <v>0</v>
      </c>
      <c r="U29" s="345">
        <v>0</v>
      </c>
      <c r="V29" s="349">
        <v>0</v>
      </c>
      <c r="W29" s="345">
        <v>0</v>
      </c>
      <c r="X29" s="349">
        <v>0</v>
      </c>
      <c r="Y29" s="345">
        <v>0</v>
      </c>
      <c r="Z29" s="349">
        <v>0</v>
      </c>
      <c r="AA29" s="345">
        <v>0</v>
      </c>
      <c r="AB29" s="349">
        <v>0</v>
      </c>
      <c r="AC29" s="345">
        <v>0</v>
      </c>
      <c r="AD29" s="349">
        <v>0</v>
      </c>
      <c r="AE29" s="345">
        <v>0</v>
      </c>
      <c r="AF29" s="349">
        <v>0</v>
      </c>
      <c r="AG29" s="345">
        <v>0</v>
      </c>
      <c r="AH29" s="349">
        <v>0</v>
      </c>
      <c r="AI29" s="345">
        <v>0</v>
      </c>
      <c r="AJ29" s="349" t="s">
        <v>320</v>
      </c>
      <c r="AK29" s="309">
        <f t="shared" si="0"/>
        <v>0</v>
      </c>
    </row>
    <row r="30" spans="2:37" ht="117.75" customHeight="1">
      <c r="B30" s="278">
        <v>21</v>
      </c>
      <c r="C30" s="277" t="s">
        <v>12</v>
      </c>
      <c r="D30" s="311" t="s">
        <v>68</v>
      </c>
      <c r="E30" s="277" t="s">
        <v>41</v>
      </c>
      <c r="F30" s="277" t="s">
        <v>62</v>
      </c>
      <c r="G30" s="346">
        <v>0</v>
      </c>
      <c r="H30" s="313">
        <v>0</v>
      </c>
      <c r="I30" s="346">
        <v>0</v>
      </c>
      <c r="J30" s="347">
        <v>0</v>
      </c>
      <c r="K30" s="310" t="e">
        <f t="shared" si="1"/>
        <v>#DIV/0!</v>
      </c>
      <c r="L30" s="347">
        <v>0</v>
      </c>
      <c r="M30" s="344">
        <v>0</v>
      </c>
      <c r="N30" s="347">
        <v>0</v>
      </c>
      <c r="O30" s="344">
        <v>0</v>
      </c>
      <c r="P30" s="349">
        <v>0</v>
      </c>
      <c r="Q30" s="345">
        <v>0</v>
      </c>
      <c r="R30" s="349">
        <v>0</v>
      </c>
      <c r="S30" s="345">
        <v>0</v>
      </c>
      <c r="T30" s="349">
        <v>0</v>
      </c>
      <c r="U30" s="345">
        <v>0</v>
      </c>
      <c r="V30" s="349">
        <v>0</v>
      </c>
      <c r="W30" s="345">
        <v>0</v>
      </c>
      <c r="X30" s="349">
        <v>0</v>
      </c>
      <c r="Y30" s="345">
        <v>0</v>
      </c>
      <c r="Z30" s="349">
        <v>0</v>
      </c>
      <c r="AA30" s="345">
        <v>0</v>
      </c>
      <c r="AB30" s="349">
        <v>0</v>
      </c>
      <c r="AC30" s="345">
        <v>0</v>
      </c>
      <c r="AD30" s="349">
        <v>0</v>
      </c>
      <c r="AE30" s="345">
        <v>0</v>
      </c>
      <c r="AF30" s="349">
        <v>0</v>
      </c>
      <c r="AG30" s="345">
        <v>0</v>
      </c>
      <c r="AH30" s="349">
        <v>0</v>
      </c>
      <c r="AI30" s="345">
        <v>0</v>
      </c>
      <c r="AJ30" s="349" t="s">
        <v>320</v>
      </c>
      <c r="AK30" s="309">
        <f t="shared" si="0"/>
        <v>0</v>
      </c>
    </row>
    <row r="31" spans="2:37" ht="38.25">
      <c r="B31" s="278">
        <v>22</v>
      </c>
      <c r="C31" s="277" t="s">
        <v>12</v>
      </c>
      <c r="D31" s="311" t="s">
        <v>69</v>
      </c>
      <c r="E31" s="277">
        <v>1</v>
      </c>
      <c r="F31" s="277" t="s">
        <v>470</v>
      </c>
      <c r="G31" s="346">
        <v>998750</v>
      </c>
      <c r="H31" s="346">
        <v>998749.844772</v>
      </c>
      <c r="I31" s="347">
        <v>0</v>
      </c>
      <c r="J31" s="347">
        <v>0</v>
      </c>
      <c r="K31" s="310" t="e">
        <f t="shared" si="1"/>
        <v>#DIV/0!</v>
      </c>
      <c r="L31" s="347">
        <v>0</v>
      </c>
      <c r="M31" s="344">
        <f t="shared" si="2"/>
        <v>0</v>
      </c>
      <c r="N31" s="348">
        <v>0</v>
      </c>
      <c r="O31" s="344">
        <f t="shared" si="3"/>
        <v>0</v>
      </c>
      <c r="P31" s="349">
        <v>73564</v>
      </c>
      <c r="Q31" s="345">
        <v>0.07365607008760951</v>
      </c>
      <c r="R31" s="349">
        <v>73564</v>
      </c>
      <c r="S31" s="345">
        <v>0.07365608153540548</v>
      </c>
      <c r="T31" s="349">
        <v>373189</v>
      </c>
      <c r="U31" s="345">
        <f>T31/G31</f>
        <v>0.37365607008760954</v>
      </c>
      <c r="V31" s="349">
        <v>373189</v>
      </c>
      <c r="W31" s="345">
        <v>0.3736561281620961</v>
      </c>
      <c r="X31" s="349">
        <v>818126</v>
      </c>
      <c r="Y31" s="345">
        <v>0.8191499374217772</v>
      </c>
      <c r="Z31" s="349">
        <v>818126</v>
      </c>
      <c r="AA31" s="345">
        <v>0.8191500647359462</v>
      </c>
      <c r="AB31" s="349">
        <v>998750</v>
      </c>
      <c r="AC31" s="345">
        <v>1</v>
      </c>
      <c r="AD31" s="349">
        <v>998750</v>
      </c>
      <c r="AE31" s="345">
        <v>1.000000155422302</v>
      </c>
      <c r="AF31" s="349">
        <v>998750</v>
      </c>
      <c r="AG31" s="345">
        <f aca="true" t="shared" si="5" ref="AG31:AG46">AF31/G31</f>
        <v>1</v>
      </c>
      <c r="AH31" s="349">
        <v>998750</v>
      </c>
      <c r="AI31" s="345">
        <v>1.000000155422302</v>
      </c>
      <c r="AJ31" s="308" t="s">
        <v>453</v>
      </c>
      <c r="AK31" s="309">
        <f t="shared" si="0"/>
        <v>0</v>
      </c>
    </row>
    <row r="32" spans="2:37" ht="153">
      <c r="B32" s="278">
        <v>23</v>
      </c>
      <c r="C32" s="277" t="s">
        <v>12</v>
      </c>
      <c r="D32" s="311" t="s">
        <v>70</v>
      </c>
      <c r="E32" s="277">
        <v>3</v>
      </c>
      <c r="F32" s="277" t="s">
        <v>325</v>
      </c>
      <c r="G32" s="313">
        <v>4216824</v>
      </c>
      <c r="H32" s="313">
        <v>3584300.4</v>
      </c>
      <c r="I32" s="347">
        <v>1456349</v>
      </c>
      <c r="J32" s="347">
        <v>1237896.65</v>
      </c>
      <c r="K32" s="310">
        <f t="shared" si="1"/>
        <v>0.85</v>
      </c>
      <c r="L32" s="347">
        <v>130240</v>
      </c>
      <c r="M32" s="344">
        <f t="shared" si="2"/>
        <v>0.030885804102803435</v>
      </c>
      <c r="N32" s="348">
        <v>110704</v>
      </c>
      <c r="O32" s="344">
        <f t="shared" si="3"/>
        <v>0.03088580410280344</v>
      </c>
      <c r="P32" s="349">
        <v>341257</v>
      </c>
      <c r="Q32" s="345">
        <v>0.19930426311366095</v>
      </c>
      <c r="R32" s="349">
        <v>290069</v>
      </c>
      <c r="S32" s="345">
        <v>0.19930426311366092</v>
      </c>
      <c r="T32" s="349">
        <v>2185246.294117647</v>
      </c>
      <c r="U32" s="345">
        <v>0.5182208918649788</v>
      </c>
      <c r="V32" s="349">
        <v>1857459.35</v>
      </c>
      <c r="W32" s="345">
        <v>0.5182208918649788</v>
      </c>
      <c r="X32" s="349">
        <v>4216823.94117647</v>
      </c>
      <c r="Y32" s="345">
        <v>0.9999999860502763</v>
      </c>
      <c r="Z32" s="349">
        <v>3584300.35</v>
      </c>
      <c r="AA32" s="345">
        <v>0.9999999860502764</v>
      </c>
      <c r="AB32" s="349">
        <v>4216823.94117647</v>
      </c>
      <c r="AC32" s="345">
        <v>0.9999999860502763</v>
      </c>
      <c r="AD32" s="349">
        <v>3584300.35</v>
      </c>
      <c r="AE32" s="345">
        <v>0.9999999860502764</v>
      </c>
      <c r="AF32" s="349">
        <v>4216823.94117647</v>
      </c>
      <c r="AG32" s="345">
        <f t="shared" si="5"/>
        <v>0.9999999860502763</v>
      </c>
      <c r="AH32" s="349">
        <v>3584300.35</v>
      </c>
      <c r="AI32" s="345">
        <v>0.9999999860502764</v>
      </c>
      <c r="AJ32" s="308" t="s">
        <v>41</v>
      </c>
      <c r="AK32" s="309">
        <f t="shared" si="0"/>
        <v>0.05882352963089943</v>
      </c>
    </row>
    <row r="33" spans="2:37" ht="127.5">
      <c r="B33" s="278">
        <v>24</v>
      </c>
      <c r="C33" s="277" t="s">
        <v>12</v>
      </c>
      <c r="D33" s="311" t="s">
        <v>71</v>
      </c>
      <c r="E33" s="277">
        <v>28</v>
      </c>
      <c r="F33" s="277" t="s">
        <v>471</v>
      </c>
      <c r="G33" s="313">
        <v>6008974</v>
      </c>
      <c r="H33" s="313">
        <v>6008974.2</v>
      </c>
      <c r="I33" s="347">
        <v>3367692.48</v>
      </c>
      <c r="J33" s="347">
        <v>3367692.48</v>
      </c>
      <c r="K33" s="310">
        <f t="shared" si="1"/>
        <v>1</v>
      </c>
      <c r="L33" s="347">
        <v>1910753.81</v>
      </c>
      <c r="M33" s="344">
        <f t="shared" si="2"/>
        <v>0.3179833712044685</v>
      </c>
      <c r="N33" s="348">
        <v>1910753.81</v>
      </c>
      <c r="O33" s="344">
        <f t="shared" si="3"/>
        <v>0.31798336062085275</v>
      </c>
      <c r="P33" s="349">
        <v>3136140.33</v>
      </c>
      <c r="Q33" s="345">
        <v>0.5522272737409082</v>
      </c>
      <c r="R33" s="349">
        <v>3136140.33</v>
      </c>
      <c r="S33" s="345">
        <v>0.5522272553608235</v>
      </c>
      <c r="T33" s="349">
        <v>6008974.33</v>
      </c>
      <c r="U33" s="345">
        <v>1.0000000549178611</v>
      </c>
      <c r="V33" s="349">
        <v>6008974.33</v>
      </c>
      <c r="W33" s="345">
        <v>1.0000000216343081</v>
      </c>
      <c r="X33" s="349">
        <v>6008974.33</v>
      </c>
      <c r="Y33" s="345">
        <v>1.0000000549178611</v>
      </c>
      <c r="Z33" s="349">
        <v>6008974.33</v>
      </c>
      <c r="AA33" s="345">
        <v>1.0000000216343081</v>
      </c>
      <c r="AB33" s="349">
        <v>6008974.33</v>
      </c>
      <c r="AC33" s="345">
        <v>1.0000000549178611</v>
      </c>
      <c r="AD33" s="349">
        <v>6008974.33</v>
      </c>
      <c r="AE33" s="345">
        <v>1.0000000216343081</v>
      </c>
      <c r="AF33" s="349">
        <v>6008974.33</v>
      </c>
      <c r="AG33" s="345">
        <f t="shared" si="5"/>
        <v>1.0000000549178611</v>
      </c>
      <c r="AH33" s="349">
        <v>6008974.33</v>
      </c>
      <c r="AI33" s="345">
        <v>1.0000000216343081</v>
      </c>
      <c r="AJ33" s="308" t="s">
        <v>454</v>
      </c>
      <c r="AK33" s="309">
        <f t="shared" si="0"/>
        <v>-0.3300000000745058</v>
      </c>
    </row>
    <row r="34" spans="2:37" ht="191.25">
      <c r="B34" s="278">
        <v>25</v>
      </c>
      <c r="C34" s="277" t="s">
        <v>14</v>
      </c>
      <c r="D34" s="311" t="s">
        <v>72</v>
      </c>
      <c r="E34" s="277">
        <v>123</v>
      </c>
      <c r="F34" s="277" t="s">
        <v>472</v>
      </c>
      <c r="G34" s="313">
        <v>38747603</v>
      </c>
      <c r="H34" s="313">
        <v>35843004</v>
      </c>
      <c r="I34" s="347">
        <v>14849623.59</v>
      </c>
      <c r="J34" s="347">
        <v>14849623.59</v>
      </c>
      <c r="K34" s="310">
        <f t="shared" si="1"/>
        <v>1</v>
      </c>
      <c r="L34" s="347">
        <v>7148220.75</v>
      </c>
      <c r="M34" s="344">
        <f t="shared" si="2"/>
        <v>0.18448162457946107</v>
      </c>
      <c r="N34" s="348">
        <v>7137450.18</v>
      </c>
      <c r="O34" s="344">
        <f t="shared" si="3"/>
        <v>0.19913091491996596</v>
      </c>
      <c r="P34" s="317">
        <v>15635798.65771812</v>
      </c>
      <c r="Q34" s="345">
        <f aca="true" t="shared" si="6" ref="Q34:Q46">P34/G34</f>
        <v>0.4035294430398216</v>
      </c>
      <c r="R34" s="349">
        <v>13978404</v>
      </c>
      <c r="S34" s="345">
        <f aca="true" t="shared" si="7" ref="S34:S46">R34/H34</f>
        <v>0.3899897452791624</v>
      </c>
      <c r="T34" s="349">
        <f>V34*100/92.50379</f>
        <v>24547615.832821555</v>
      </c>
      <c r="U34" s="345">
        <f aca="true" t="shared" si="8" ref="U34:U46">T34/G34</f>
        <v>0.6335260488970519</v>
      </c>
      <c r="V34" s="349">
        <f>R34+8729071</f>
        <v>22707475</v>
      </c>
      <c r="W34" s="345">
        <f aca="true" t="shared" si="9" ref="W34:W46">V34/H34</f>
        <v>0.6335260013362719</v>
      </c>
      <c r="X34" s="349">
        <f>Z34*100/92.50379</f>
        <v>34079682.57300593</v>
      </c>
      <c r="Y34" s="345">
        <f aca="true" t="shared" si="10" ref="Y34:Y46">X34/G34</f>
        <v>0.8795300853321412</v>
      </c>
      <c r="Z34" s="349">
        <f>V34+8817523</f>
        <v>31524998</v>
      </c>
      <c r="AA34" s="345">
        <f aca="true" t="shared" si="11" ref="AA34:AA46">Z34/H34</f>
        <v>0.8795300193030696</v>
      </c>
      <c r="AB34" s="349">
        <f>G34</f>
        <v>38747603</v>
      </c>
      <c r="AC34" s="345">
        <f aca="true" t="shared" si="12" ref="AC34:AC46">AB34/G34</f>
        <v>1</v>
      </c>
      <c r="AD34" s="349">
        <v>35843004</v>
      </c>
      <c r="AE34" s="345">
        <f aca="true" t="shared" si="13" ref="AE34:AE46">AD34/H34</f>
        <v>1</v>
      </c>
      <c r="AF34" s="349">
        <f>G34</f>
        <v>38747603</v>
      </c>
      <c r="AG34" s="345">
        <f t="shared" si="5"/>
        <v>1</v>
      </c>
      <c r="AH34" s="349">
        <f>AD34</f>
        <v>35843004</v>
      </c>
      <c r="AI34" s="345">
        <f aca="true" t="shared" si="14" ref="AI34:AI46">AH34/H34</f>
        <v>1</v>
      </c>
      <c r="AJ34" s="308" t="s">
        <v>455</v>
      </c>
      <c r="AK34" s="309">
        <f t="shared" si="0"/>
        <v>0</v>
      </c>
    </row>
    <row r="35" spans="2:37" ht="127.5">
      <c r="B35" s="278">
        <v>26</v>
      </c>
      <c r="C35" s="277" t="s">
        <v>14</v>
      </c>
      <c r="D35" s="311" t="s">
        <v>73</v>
      </c>
      <c r="E35" s="277">
        <v>20</v>
      </c>
      <c r="F35" s="277" t="s">
        <v>473</v>
      </c>
      <c r="G35" s="313">
        <v>4919628</v>
      </c>
      <c r="H35" s="313">
        <v>4919628</v>
      </c>
      <c r="I35" s="347">
        <v>2538767.83</v>
      </c>
      <c r="J35" s="347">
        <v>2538767.83</v>
      </c>
      <c r="K35" s="310">
        <f t="shared" si="1"/>
        <v>1</v>
      </c>
      <c r="L35" s="347">
        <v>1096090.71</v>
      </c>
      <c r="M35" s="344">
        <f t="shared" si="2"/>
        <v>0.22279951045079016</v>
      </c>
      <c r="N35" s="348">
        <v>1096090.71</v>
      </c>
      <c r="O35" s="344">
        <f t="shared" si="3"/>
        <v>0.22279951045079016</v>
      </c>
      <c r="P35" s="349">
        <v>2440200.83</v>
      </c>
      <c r="Q35" s="345">
        <f t="shared" si="6"/>
        <v>0.4960132818985501</v>
      </c>
      <c r="R35" s="349">
        <v>2440200.83</v>
      </c>
      <c r="S35" s="345">
        <f t="shared" si="7"/>
        <v>0.4960132818985501</v>
      </c>
      <c r="T35" s="349">
        <f>V35</f>
        <v>4494861.83</v>
      </c>
      <c r="U35" s="345">
        <f t="shared" si="8"/>
        <v>0.9136588843709321</v>
      </c>
      <c r="V35" s="349">
        <f>R35+2054661</f>
        <v>4494861.83</v>
      </c>
      <c r="W35" s="345">
        <f t="shared" si="9"/>
        <v>0.9136588843709321</v>
      </c>
      <c r="X35" s="349">
        <v>4892997.83</v>
      </c>
      <c r="Y35" s="345">
        <f t="shared" si="10"/>
        <v>0.9945869545420915</v>
      </c>
      <c r="Z35" s="349">
        <v>4892997.83</v>
      </c>
      <c r="AA35" s="345">
        <f t="shared" si="11"/>
        <v>0.9945869545420915</v>
      </c>
      <c r="AB35" s="349">
        <f>AD35</f>
        <v>4919627.83</v>
      </c>
      <c r="AC35" s="345">
        <f t="shared" si="12"/>
        <v>0.9999999654445417</v>
      </c>
      <c r="AD35" s="349">
        <f>Z35+26630</f>
        <v>4919627.83</v>
      </c>
      <c r="AE35" s="345">
        <f t="shared" si="13"/>
        <v>0.9999999654445417</v>
      </c>
      <c r="AF35" s="349">
        <f>AH35</f>
        <v>4919627.83</v>
      </c>
      <c r="AG35" s="345">
        <f t="shared" si="5"/>
        <v>0.9999999654445417</v>
      </c>
      <c r="AH35" s="349">
        <f>AD35</f>
        <v>4919627.83</v>
      </c>
      <c r="AI35" s="345">
        <f t="shared" si="14"/>
        <v>0.9999999654445417</v>
      </c>
      <c r="AJ35" s="308" t="s">
        <v>456</v>
      </c>
      <c r="AK35" s="309">
        <f t="shared" si="0"/>
        <v>0.1699999999254942</v>
      </c>
    </row>
    <row r="36" spans="2:37" ht="55.5" customHeight="1">
      <c r="B36" s="278">
        <v>27</v>
      </c>
      <c r="C36" s="277" t="s">
        <v>14</v>
      </c>
      <c r="D36" s="311" t="s">
        <v>289</v>
      </c>
      <c r="E36" s="277" t="s">
        <v>41</v>
      </c>
      <c r="F36" s="277" t="s">
        <v>474</v>
      </c>
      <c r="G36" s="313">
        <v>131464291</v>
      </c>
      <c r="H36" s="313">
        <v>102696235.112712</v>
      </c>
      <c r="I36" s="347">
        <v>0</v>
      </c>
      <c r="J36" s="347">
        <f>I36*0.98997639624</f>
        <v>0</v>
      </c>
      <c r="K36" s="310" t="e">
        <f t="shared" si="1"/>
        <v>#DIV/0!</v>
      </c>
      <c r="L36" s="347">
        <v>0</v>
      </c>
      <c r="M36" s="344">
        <f t="shared" si="2"/>
        <v>0</v>
      </c>
      <c r="N36" s="348">
        <v>0</v>
      </c>
      <c r="O36" s="344">
        <f t="shared" si="3"/>
        <v>0</v>
      </c>
      <c r="P36" s="348">
        <v>0</v>
      </c>
      <c r="Q36" s="345">
        <f t="shared" si="6"/>
        <v>0</v>
      </c>
      <c r="R36" s="348">
        <v>0</v>
      </c>
      <c r="S36" s="345">
        <f t="shared" si="7"/>
        <v>0</v>
      </c>
      <c r="T36" s="349">
        <v>26932922.030265383</v>
      </c>
      <c r="U36" s="345">
        <f t="shared" si="8"/>
        <v>0.20486872766282505</v>
      </c>
      <c r="V36" s="349">
        <v>21039247</v>
      </c>
      <c r="W36" s="345">
        <f t="shared" si="9"/>
        <v>0.20486872743590684</v>
      </c>
      <c r="X36" s="349">
        <v>66372208.690599866</v>
      </c>
      <c r="Y36" s="345">
        <f t="shared" si="10"/>
        <v>0.5048687227971272</v>
      </c>
      <c r="Z36" s="349">
        <v>51848117</v>
      </c>
      <c r="AA36" s="345">
        <f t="shared" si="11"/>
        <v>0.5048687222379208</v>
      </c>
      <c r="AB36" s="349">
        <v>118957925.09113096</v>
      </c>
      <c r="AC36" s="345">
        <f t="shared" si="12"/>
        <v>0.904868722801167</v>
      </c>
      <c r="AD36" s="349">
        <v>92926611</v>
      </c>
      <c r="AE36" s="345">
        <f t="shared" si="13"/>
        <v>0.9048687217989095</v>
      </c>
      <c r="AF36" s="349">
        <v>131464291</v>
      </c>
      <c r="AG36" s="345">
        <f t="shared" si="5"/>
        <v>1</v>
      </c>
      <c r="AH36" s="349">
        <v>102696235</v>
      </c>
      <c r="AI36" s="345">
        <f t="shared" si="14"/>
        <v>0.9999999989024719</v>
      </c>
      <c r="AJ36" s="308" t="s">
        <v>457</v>
      </c>
      <c r="AK36" s="309">
        <f t="shared" si="0"/>
        <v>0</v>
      </c>
    </row>
    <row r="37" spans="2:37" ht="99.75" customHeight="1">
      <c r="B37" s="278">
        <v>28</v>
      </c>
      <c r="C37" s="277" t="s">
        <v>14</v>
      </c>
      <c r="D37" s="311" t="s">
        <v>74</v>
      </c>
      <c r="E37" s="277">
        <v>1</v>
      </c>
      <c r="F37" s="277" t="s">
        <v>326</v>
      </c>
      <c r="G37" s="313">
        <v>10514363</v>
      </c>
      <c r="H37" s="313">
        <v>10514363.197164</v>
      </c>
      <c r="I37" s="347">
        <v>3328251.74</v>
      </c>
      <c r="J37" s="347">
        <f>I37</f>
        <v>3328251.74</v>
      </c>
      <c r="K37" s="310">
        <f t="shared" si="1"/>
        <v>1</v>
      </c>
      <c r="L37" s="347">
        <v>0</v>
      </c>
      <c r="M37" s="344">
        <f t="shared" si="2"/>
        <v>0</v>
      </c>
      <c r="N37" s="348">
        <v>0</v>
      </c>
      <c r="O37" s="344">
        <f t="shared" si="3"/>
        <v>0</v>
      </c>
      <c r="P37" s="349">
        <f>R37</f>
        <v>492800</v>
      </c>
      <c r="Q37" s="345">
        <f t="shared" si="6"/>
        <v>0.04686922070314673</v>
      </c>
      <c r="R37" s="349">
        <f>N37+492800</f>
        <v>492800</v>
      </c>
      <c r="S37" s="345">
        <f t="shared" si="7"/>
        <v>0.04686921982426108</v>
      </c>
      <c r="T37" s="349">
        <f>V37</f>
        <v>6459298</v>
      </c>
      <c r="U37" s="345">
        <f t="shared" si="8"/>
        <v>0.6143308919427644</v>
      </c>
      <c r="V37" s="349">
        <f>R37+5966498</f>
        <v>6459298</v>
      </c>
      <c r="W37" s="345">
        <f t="shared" si="9"/>
        <v>0.6143308804229097</v>
      </c>
      <c r="X37" s="349">
        <f>Z37</f>
        <v>8405138</v>
      </c>
      <c r="Y37" s="345">
        <f t="shared" si="10"/>
        <v>0.7993958359626732</v>
      </c>
      <c r="Z37" s="349">
        <f>V37+1945840</f>
        <v>8405138</v>
      </c>
      <c r="AA37" s="345">
        <f t="shared" si="11"/>
        <v>0.7993958209725043</v>
      </c>
      <c r="AB37" s="349">
        <f>AD37</f>
        <v>10079438</v>
      </c>
      <c r="AC37" s="345">
        <f t="shared" si="12"/>
        <v>0.9586351545975729</v>
      </c>
      <c r="AD37" s="349">
        <f>Z37+1674300</f>
        <v>10079438</v>
      </c>
      <c r="AE37" s="345">
        <f t="shared" si="13"/>
        <v>0.9586351366213686</v>
      </c>
      <c r="AF37" s="349">
        <f>AH37</f>
        <v>10514363</v>
      </c>
      <c r="AG37" s="345">
        <f t="shared" si="5"/>
        <v>1</v>
      </c>
      <c r="AH37" s="349">
        <f>AD37+434925</f>
        <v>10514363</v>
      </c>
      <c r="AI37" s="345">
        <f t="shared" si="14"/>
        <v>0.9999999812481274</v>
      </c>
      <c r="AJ37" s="308" t="s">
        <v>458</v>
      </c>
      <c r="AK37" s="309">
        <f t="shared" si="0"/>
        <v>0</v>
      </c>
    </row>
    <row r="38" spans="2:37" ht="129.75" customHeight="1">
      <c r="B38" s="278">
        <v>29</v>
      </c>
      <c r="C38" s="277" t="s">
        <v>14</v>
      </c>
      <c r="D38" s="311" t="s">
        <v>75</v>
      </c>
      <c r="E38" s="277">
        <v>57</v>
      </c>
      <c r="F38" s="277" t="s">
        <v>475</v>
      </c>
      <c r="G38" s="314">
        <v>65785114</v>
      </c>
      <c r="H38" s="314">
        <v>56773939</v>
      </c>
      <c r="I38" s="346">
        <v>38583069.93</v>
      </c>
      <c r="J38" s="347">
        <v>33181440.1398</v>
      </c>
      <c r="K38" s="310">
        <f t="shared" si="1"/>
        <v>0.86</v>
      </c>
      <c r="L38" s="347">
        <v>2549732.13</v>
      </c>
      <c r="M38" s="344">
        <f t="shared" si="2"/>
        <v>0.038758496793058685</v>
      </c>
      <c r="N38" s="348">
        <v>2361539.72</v>
      </c>
      <c r="O38" s="344">
        <f t="shared" si="3"/>
        <v>0.041595488380681146</v>
      </c>
      <c r="P38" s="349">
        <v>22100448.837209303</v>
      </c>
      <c r="Q38" s="345">
        <f t="shared" si="6"/>
        <v>0.33594908473076907</v>
      </c>
      <c r="R38" s="349">
        <v>19006386</v>
      </c>
      <c r="S38" s="345">
        <f t="shared" si="7"/>
        <v>0.33477307255358835</v>
      </c>
      <c r="T38" s="349">
        <v>45730039.16366826</v>
      </c>
      <c r="U38" s="345">
        <f t="shared" si="8"/>
        <v>0.6951426604454658</v>
      </c>
      <c r="V38" s="349">
        <f>R38+20459601</f>
        <v>39465987</v>
      </c>
      <c r="W38" s="345">
        <f t="shared" si="9"/>
        <v>0.6951426604379167</v>
      </c>
      <c r="X38" s="349">
        <v>60961112.38644409</v>
      </c>
      <c r="Y38" s="345">
        <f t="shared" si="10"/>
        <v>0.9266703161211226</v>
      </c>
      <c r="Z38" s="349">
        <f>V38+13144737</f>
        <v>52610724</v>
      </c>
      <c r="AA38" s="345">
        <f t="shared" si="11"/>
        <v>0.9266703161110593</v>
      </c>
      <c r="AB38" s="349">
        <f>G38</f>
        <v>65785114</v>
      </c>
      <c r="AC38" s="345">
        <f t="shared" si="12"/>
        <v>1</v>
      </c>
      <c r="AD38" s="349">
        <f>H38</f>
        <v>56773939</v>
      </c>
      <c r="AE38" s="345">
        <f t="shared" si="13"/>
        <v>1</v>
      </c>
      <c r="AF38" s="349">
        <f>G38</f>
        <v>65785114</v>
      </c>
      <c r="AG38" s="345">
        <f t="shared" si="5"/>
        <v>1</v>
      </c>
      <c r="AH38" s="349">
        <f>H38</f>
        <v>56773939</v>
      </c>
      <c r="AI38" s="345">
        <f t="shared" si="14"/>
        <v>1</v>
      </c>
      <c r="AJ38" s="308" t="s">
        <v>459</v>
      </c>
      <c r="AK38" s="309">
        <f t="shared" si="0"/>
        <v>0</v>
      </c>
    </row>
    <row r="39" spans="2:37" ht="102" customHeight="1">
      <c r="B39" s="278">
        <v>30</v>
      </c>
      <c r="C39" s="277" t="s">
        <v>14</v>
      </c>
      <c r="D39" s="311" t="s">
        <v>76</v>
      </c>
      <c r="E39" s="277">
        <v>1</v>
      </c>
      <c r="F39" s="277" t="s">
        <v>278</v>
      </c>
      <c r="G39" s="313">
        <v>2315330</v>
      </c>
      <c r="H39" s="313">
        <f>2800255*0.702804</f>
        <v>1968030.41502</v>
      </c>
      <c r="I39" s="347">
        <v>2073682</v>
      </c>
      <c r="J39" s="347">
        <f>I39*0.85</f>
        <v>1762629.7</v>
      </c>
      <c r="K39" s="310">
        <f t="shared" si="1"/>
        <v>0.85</v>
      </c>
      <c r="L39" s="347">
        <v>34352.08</v>
      </c>
      <c r="M39" s="344">
        <f t="shared" si="2"/>
        <v>0.014836796482574839</v>
      </c>
      <c r="N39" s="348">
        <v>29199.26</v>
      </c>
      <c r="O39" s="344">
        <f t="shared" si="3"/>
        <v>0.01483679305825325</v>
      </c>
      <c r="P39" s="349">
        <v>44376.388235294115</v>
      </c>
      <c r="Q39" s="345">
        <f t="shared" si="6"/>
        <v>0.019166334058339035</v>
      </c>
      <c r="R39" s="349">
        <v>37719.93</v>
      </c>
      <c r="S39" s="345">
        <f t="shared" si="7"/>
        <v>0.019166334885945692</v>
      </c>
      <c r="T39" s="349">
        <f>G39</f>
        <v>2315330</v>
      </c>
      <c r="U39" s="345">
        <f t="shared" si="8"/>
        <v>1</v>
      </c>
      <c r="V39" s="349">
        <f>H39</f>
        <v>1968030.41502</v>
      </c>
      <c r="W39" s="345">
        <f t="shared" si="9"/>
        <v>1</v>
      </c>
      <c r="X39" s="349">
        <v>2315330</v>
      </c>
      <c r="Y39" s="345">
        <f t="shared" si="10"/>
        <v>1</v>
      </c>
      <c r="Z39" s="349">
        <v>1968030.41502</v>
      </c>
      <c r="AA39" s="345">
        <f t="shared" si="11"/>
        <v>1</v>
      </c>
      <c r="AB39" s="349">
        <v>2315330</v>
      </c>
      <c r="AC39" s="345">
        <f t="shared" si="12"/>
        <v>1</v>
      </c>
      <c r="AD39" s="349">
        <v>1968030.41502</v>
      </c>
      <c r="AE39" s="345">
        <f t="shared" si="13"/>
        <v>1</v>
      </c>
      <c r="AF39" s="349">
        <f aca="true" t="shared" si="15" ref="AF39:AF46">G39</f>
        <v>2315330</v>
      </c>
      <c r="AG39" s="345">
        <f t="shared" si="5"/>
        <v>1</v>
      </c>
      <c r="AH39" s="349">
        <f aca="true" t="shared" si="16" ref="AH39:AH46">H39</f>
        <v>1968030.41502</v>
      </c>
      <c r="AI39" s="345">
        <f t="shared" si="14"/>
        <v>1</v>
      </c>
      <c r="AJ39" s="308" t="s">
        <v>460</v>
      </c>
      <c r="AK39" s="309">
        <f t="shared" si="0"/>
        <v>0</v>
      </c>
    </row>
    <row r="40" spans="2:37" ht="165.75" customHeight="1">
      <c r="B40" s="278">
        <v>31</v>
      </c>
      <c r="C40" s="277" t="s">
        <v>14</v>
      </c>
      <c r="D40" s="311" t="s">
        <v>77</v>
      </c>
      <c r="E40" s="277">
        <v>31</v>
      </c>
      <c r="F40" s="277" t="s">
        <v>476</v>
      </c>
      <c r="G40" s="313">
        <v>100646752</v>
      </c>
      <c r="H40" s="313">
        <v>85549738.98</v>
      </c>
      <c r="I40" s="347">
        <v>47495333</v>
      </c>
      <c r="J40" s="347">
        <v>40371033.05</v>
      </c>
      <c r="K40" s="310">
        <f t="shared" si="1"/>
        <v>0.85</v>
      </c>
      <c r="L40" s="347">
        <v>32328765.25</v>
      </c>
      <c r="M40" s="344">
        <f t="shared" si="2"/>
        <v>0.3212102189845133</v>
      </c>
      <c r="N40" s="348">
        <v>29652077.93</v>
      </c>
      <c r="O40" s="344">
        <f t="shared" si="3"/>
        <v>0.34660629340940624</v>
      </c>
      <c r="P40" s="349">
        <v>52111748.23529412</v>
      </c>
      <c r="Q40" s="345">
        <f t="shared" si="6"/>
        <v>0.5177688022688911</v>
      </c>
      <c r="R40" s="349">
        <v>44294986</v>
      </c>
      <c r="S40" s="345">
        <f t="shared" si="7"/>
        <v>0.517768803600387</v>
      </c>
      <c r="T40" s="349">
        <f>V40*100/85</f>
        <v>76499164.70588236</v>
      </c>
      <c r="U40" s="345">
        <f t="shared" si="8"/>
        <v>0.7600758413533539</v>
      </c>
      <c r="V40" s="349">
        <f>R40+20729304</f>
        <v>65024290</v>
      </c>
      <c r="W40" s="345">
        <f t="shared" si="9"/>
        <v>0.7600758433079675</v>
      </c>
      <c r="X40" s="349">
        <v>87230628.23529412</v>
      </c>
      <c r="Y40" s="345">
        <f t="shared" si="10"/>
        <v>0.8667008770963033</v>
      </c>
      <c r="Z40" s="349">
        <v>74146034</v>
      </c>
      <c r="AA40" s="345">
        <f t="shared" si="11"/>
        <v>0.8667008793251142</v>
      </c>
      <c r="AB40" s="349">
        <v>91736392.94117647</v>
      </c>
      <c r="AC40" s="345">
        <f t="shared" si="12"/>
        <v>0.9114689855185438</v>
      </c>
      <c r="AD40" s="349">
        <v>77975934</v>
      </c>
      <c r="AE40" s="345">
        <f t="shared" si="13"/>
        <v>0.9114689878624805</v>
      </c>
      <c r="AF40" s="349">
        <f t="shared" si="15"/>
        <v>100646752</v>
      </c>
      <c r="AG40" s="345">
        <f t="shared" si="5"/>
        <v>1</v>
      </c>
      <c r="AH40" s="349">
        <f t="shared" si="16"/>
        <v>85549738.98</v>
      </c>
      <c r="AI40" s="345">
        <f t="shared" si="14"/>
        <v>1</v>
      </c>
      <c r="AJ40" s="308" t="s">
        <v>461</v>
      </c>
      <c r="AK40" s="309">
        <f t="shared" si="0"/>
        <v>0</v>
      </c>
    </row>
    <row r="41" spans="2:37" ht="71.25" customHeight="1">
      <c r="B41" s="278">
        <v>32</v>
      </c>
      <c r="C41" s="277" t="s">
        <v>14</v>
      </c>
      <c r="D41" s="311" t="s">
        <v>78</v>
      </c>
      <c r="E41" s="277">
        <v>0</v>
      </c>
      <c r="F41" s="277" t="s">
        <v>477</v>
      </c>
      <c r="G41" s="313">
        <f>2418882*0.702804</f>
        <v>1699999.9451279999</v>
      </c>
      <c r="H41" s="313">
        <f>2418882*0.702804</f>
        <v>1699999.9451279999</v>
      </c>
      <c r="I41" s="347">
        <v>4453374</v>
      </c>
      <c r="J41" s="347">
        <v>4453374</v>
      </c>
      <c r="K41" s="310">
        <f t="shared" si="1"/>
        <v>1</v>
      </c>
      <c r="L41" s="347">
        <v>0</v>
      </c>
      <c r="M41" s="344">
        <f t="shared" si="2"/>
        <v>0</v>
      </c>
      <c r="N41" s="348">
        <v>0</v>
      </c>
      <c r="O41" s="344">
        <f t="shared" si="3"/>
        <v>0</v>
      </c>
      <c r="P41" s="349">
        <f>R41</f>
        <v>153000</v>
      </c>
      <c r="Q41" s="345">
        <f t="shared" si="6"/>
        <v>0.09000000290498833</v>
      </c>
      <c r="R41" s="349">
        <f>N41+153000</f>
        <v>153000</v>
      </c>
      <c r="S41" s="345">
        <f t="shared" si="7"/>
        <v>0.09000000290498833</v>
      </c>
      <c r="T41" s="349">
        <f>V41</f>
        <v>833000</v>
      </c>
      <c r="U41" s="345">
        <f t="shared" si="8"/>
        <v>0.49000001581604763</v>
      </c>
      <c r="V41" s="349">
        <f>R41+680000</f>
        <v>833000</v>
      </c>
      <c r="W41" s="345">
        <f t="shared" si="9"/>
        <v>0.49000001581604763</v>
      </c>
      <c r="X41" s="349">
        <f>Z41</f>
        <v>1598000</v>
      </c>
      <c r="Y41" s="345">
        <f t="shared" si="10"/>
        <v>0.9400000303409893</v>
      </c>
      <c r="Z41" s="349">
        <f>V41+765000</f>
        <v>1598000</v>
      </c>
      <c r="AA41" s="345">
        <f t="shared" si="11"/>
        <v>0.9400000303409893</v>
      </c>
      <c r="AB41" s="349">
        <f>G41</f>
        <v>1699999.9451279999</v>
      </c>
      <c r="AC41" s="345">
        <f t="shared" si="12"/>
        <v>1</v>
      </c>
      <c r="AD41" s="349">
        <f>H41</f>
        <v>1699999.9451279999</v>
      </c>
      <c r="AE41" s="345">
        <f t="shared" si="13"/>
        <v>1</v>
      </c>
      <c r="AF41" s="349">
        <f t="shared" si="15"/>
        <v>1699999.9451279999</v>
      </c>
      <c r="AG41" s="345">
        <f t="shared" si="5"/>
        <v>1</v>
      </c>
      <c r="AH41" s="349">
        <f t="shared" si="16"/>
        <v>1699999.9451279999</v>
      </c>
      <c r="AI41" s="345">
        <f t="shared" si="14"/>
        <v>1</v>
      </c>
      <c r="AJ41" s="308" t="s">
        <v>41</v>
      </c>
      <c r="AK41" s="309">
        <f t="shared" si="0"/>
        <v>0</v>
      </c>
    </row>
    <row r="42" spans="2:37" ht="131.25" customHeight="1">
      <c r="B42" s="278">
        <v>33</v>
      </c>
      <c r="C42" s="277" t="s">
        <v>14</v>
      </c>
      <c r="D42" s="311" t="s">
        <v>79</v>
      </c>
      <c r="E42" s="277">
        <v>114</v>
      </c>
      <c r="F42" s="277" t="s">
        <v>478</v>
      </c>
      <c r="G42" s="313">
        <v>21607075</v>
      </c>
      <c r="H42" s="313">
        <v>18365985</v>
      </c>
      <c r="I42" s="347">
        <v>14602664.36</v>
      </c>
      <c r="J42" s="347">
        <v>12412264.705999998</v>
      </c>
      <c r="K42" s="310">
        <f t="shared" si="1"/>
        <v>0.85</v>
      </c>
      <c r="L42" s="347">
        <v>14337094.05</v>
      </c>
      <c r="M42" s="344">
        <f t="shared" si="2"/>
        <v>0.6635370150749235</v>
      </c>
      <c r="N42" s="348">
        <v>12542493.27</v>
      </c>
      <c r="O42" s="344">
        <f t="shared" si="3"/>
        <v>0.682919716530314</v>
      </c>
      <c r="P42" s="349">
        <f>R42*100/85</f>
        <v>21284312.08235294</v>
      </c>
      <c r="Q42" s="345">
        <f t="shared" si="6"/>
        <v>0.98506216516363</v>
      </c>
      <c r="R42" s="349">
        <f>N42+5549172</f>
        <v>18091665.27</v>
      </c>
      <c r="S42" s="345">
        <f t="shared" si="7"/>
        <v>0.9850637071738869</v>
      </c>
      <c r="T42" s="349">
        <f>G42</f>
        <v>21607075</v>
      </c>
      <c r="U42" s="345">
        <f t="shared" si="8"/>
        <v>1</v>
      </c>
      <c r="V42" s="349">
        <f>H42</f>
        <v>18365985</v>
      </c>
      <c r="W42" s="345">
        <f t="shared" si="9"/>
        <v>1</v>
      </c>
      <c r="X42" s="349">
        <v>21607075</v>
      </c>
      <c r="Y42" s="345">
        <f t="shared" si="10"/>
        <v>1</v>
      </c>
      <c r="Z42" s="349">
        <v>18365985</v>
      </c>
      <c r="AA42" s="345">
        <f t="shared" si="11"/>
        <v>1</v>
      </c>
      <c r="AB42" s="349">
        <v>21607075</v>
      </c>
      <c r="AC42" s="345">
        <f t="shared" si="12"/>
        <v>1</v>
      </c>
      <c r="AD42" s="349">
        <v>18365985</v>
      </c>
      <c r="AE42" s="345">
        <f t="shared" si="13"/>
        <v>1</v>
      </c>
      <c r="AF42" s="349">
        <f t="shared" si="15"/>
        <v>21607075</v>
      </c>
      <c r="AG42" s="345">
        <f t="shared" si="5"/>
        <v>1</v>
      </c>
      <c r="AH42" s="349">
        <f t="shared" si="16"/>
        <v>18365985</v>
      </c>
      <c r="AI42" s="345">
        <f t="shared" si="14"/>
        <v>1</v>
      </c>
      <c r="AJ42" s="308" t="s">
        <v>462</v>
      </c>
      <c r="AK42" s="309">
        <f t="shared" si="0"/>
        <v>0</v>
      </c>
    </row>
    <row r="43" spans="2:37" ht="69" customHeight="1">
      <c r="B43" s="278">
        <v>34</v>
      </c>
      <c r="C43" s="277" t="s">
        <v>14</v>
      </c>
      <c r="D43" s="311" t="s">
        <v>80</v>
      </c>
      <c r="E43" s="277">
        <v>4</v>
      </c>
      <c r="F43" s="277" t="s">
        <v>327</v>
      </c>
      <c r="G43" s="313">
        <v>2229232</v>
      </c>
      <c r="H43" s="313">
        <v>2229232</v>
      </c>
      <c r="I43" s="347">
        <v>1311621</v>
      </c>
      <c r="J43" s="347">
        <v>1311621</v>
      </c>
      <c r="K43" s="310">
        <f t="shared" si="1"/>
        <v>1</v>
      </c>
      <c r="L43" s="347">
        <v>578549.68</v>
      </c>
      <c r="M43" s="344">
        <f t="shared" si="2"/>
        <v>0.25952869867290623</v>
      </c>
      <c r="N43" s="348">
        <v>578549.68</v>
      </c>
      <c r="O43" s="344">
        <f t="shared" si="3"/>
        <v>0.25952869867290623</v>
      </c>
      <c r="P43" s="349">
        <v>1157099</v>
      </c>
      <c r="Q43" s="345">
        <f t="shared" si="6"/>
        <v>0.5190572358552183</v>
      </c>
      <c r="R43" s="349">
        <v>1157099</v>
      </c>
      <c r="S43" s="345">
        <f t="shared" si="7"/>
        <v>0.5190572358552183</v>
      </c>
      <c r="T43" s="349">
        <f>V43</f>
        <v>1895694</v>
      </c>
      <c r="U43" s="345">
        <f t="shared" si="8"/>
        <v>0.8503798617640514</v>
      </c>
      <c r="V43" s="349">
        <f>R43+738595</f>
        <v>1895694</v>
      </c>
      <c r="W43" s="345">
        <f t="shared" si="9"/>
        <v>0.8503798617640514</v>
      </c>
      <c r="X43" s="349">
        <f>Z43</f>
        <v>1990004</v>
      </c>
      <c r="Y43" s="345">
        <f t="shared" si="10"/>
        <v>0.8926859115605733</v>
      </c>
      <c r="Z43" s="349">
        <f>V43+94310</f>
        <v>1990004</v>
      </c>
      <c r="AA43" s="345">
        <f t="shared" si="11"/>
        <v>0.8926859115605733</v>
      </c>
      <c r="AB43" s="349">
        <f>G43</f>
        <v>2229232</v>
      </c>
      <c r="AC43" s="345">
        <f t="shared" si="12"/>
        <v>1</v>
      </c>
      <c r="AD43" s="349">
        <f>H43</f>
        <v>2229232</v>
      </c>
      <c r="AE43" s="345">
        <f t="shared" si="13"/>
        <v>1</v>
      </c>
      <c r="AF43" s="349">
        <f t="shared" si="15"/>
        <v>2229232</v>
      </c>
      <c r="AG43" s="345">
        <f t="shared" si="5"/>
        <v>1</v>
      </c>
      <c r="AH43" s="349">
        <f t="shared" si="16"/>
        <v>2229232</v>
      </c>
      <c r="AI43" s="345">
        <f t="shared" si="14"/>
        <v>1</v>
      </c>
      <c r="AJ43" s="308" t="s">
        <v>463</v>
      </c>
      <c r="AK43" s="309">
        <f t="shared" si="0"/>
        <v>0</v>
      </c>
    </row>
    <row r="44" spans="2:37" ht="212.25" customHeight="1">
      <c r="B44" s="278">
        <v>35</v>
      </c>
      <c r="C44" s="277" t="s">
        <v>14</v>
      </c>
      <c r="D44" s="311" t="s">
        <v>81</v>
      </c>
      <c r="E44" s="277">
        <v>44</v>
      </c>
      <c r="F44" s="277" t="s">
        <v>479</v>
      </c>
      <c r="G44" s="313">
        <v>5602836</v>
      </c>
      <c r="H44" s="313">
        <v>5602836</v>
      </c>
      <c r="I44" s="347">
        <v>4554543.8</v>
      </c>
      <c r="J44" s="347">
        <v>4554543.8</v>
      </c>
      <c r="K44" s="310">
        <f t="shared" si="1"/>
        <v>1</v>
      </c>
      <c r="L44" s="347">
        <v>3274119.59</v>
      </c>
      <c r="M44" s="344">
        <f t="shared" si="2"/>
        <v>0.5843682717109692</v>
      </c>
      <c r="N44" s="348">
        <v>2898219.56</v>
      </c>
      <c r="O44" s="344">
        <f t="shared" si="3"/>
        <v>0.5172772431675673</v>
      </c>
      <c r="P44" s="349">
        <v>4139829</v>
      </c>
      <c r="Q44" s="345">
        <f t="shared" si="6"/>
        <v>0.7388809881281551</v>
      </c>
      <c r="R44" s="349">
        <v>4139829</v>
      </c>
      <c r="S44" s="345">
        <f t="shared" si="7"/>
        <v>0.7388809881281551</v>
      </c>
      <c r="T44" s="349">
        <v>5602836</v>
      </c>
      <c r="U44" s="345">
        <f t="shared" si="8"/>
        <v>1</v>
      </c>
      <c r="V44" s="349">
        <v>5602836</v>
      </c>
      <c r="W44" s="345">
        <f t="shared" si="9"/>
        <v>1</v>
      </c>
      <c r="X44" s="349">
        <f>G44</f>
        <v>5602836</v>
      </c>
      <c r="Y44" s="345">
        <f t="shared" si="10"/>
        <v>1</v>
      </c>
      <c r="Z44" s="349">
        <f>H44</f>
        <v>5602836</v>
      </c>
      <c r="AA44" s="345">
        <f t="shared" si="11"/>
        <v>1</v>
      </c>
      <c r="AB44" s="349">
        <v>5602836</v>
      </c>
      <c r="AC44" s="345">
        <f t="shared" si="12"/>
        <v>1</v>
      </c>
      <c r="AD44" s="349">
        <v>5602836</v>
      </c>
      <c r="AE44" s="345">
        <f t="shared" si="13"/>
        <v>1</v>
      </c>
      <c r="AF44" s="349">
        <f t="shared" si="15"/>
        <v>5602836</v>
      </c>
      <c r="AG44" s="345">
        <f t="shared" si="5"/>
        <v>1</v>
      </c>
      <c r="AH44" s="349">
        <f t="shared" si="16"/>
        <v>5602836</v>
      </c>
      <c r="AI44" s="345">
        <f t="shared" si="14"/>
        <v>1</v>
      </c>
      <c r="AJ44" s="318" t="s">
        <v>464</v>
      </c>
      <c r="AK44" s="309">
        <f t="shared" si="0"/>
        <v>0</v>
      </c>
    </row>
    <row r="45" spans="2:37" ht="212.25" customHeight="1">
      <c r="B45" s="278">
        <v>36</v>
      </c>
      <c r="C45" s="277" t="s">
        <v>14</v>
      </c>
      <c r="D45" s="311" t="s">
        <v>82</v>
      </c>
      <c r="E45" s="277">
        <v>31</v>
      </c>
      <c r="F45" s="277" t="s">
        <v>480</v>
      </c>
      <c r="G45" s="313">
        <v>3522823</v>
      </c>
      <c r="H45" s="313">
        <v>2994391</v>
      </c>
      <c r="I45" s="347">
        <v>2745600.62</v>
      </c>
      <c r="J45" s="347">
        <v>2333760.5270000002</v>
      </c>
      <c r="K45" s="310">
        <f t="shared" si="1"/>
        <v>0.8500000000000001</v>
      </c>
      <c r="L45" s="347">
        <v>2661131.91</v>
      </c>
      <c r="M45" s="344">
        <f t="shared" si="2"/>
        <v>0.7553975632610551</v>
      </c>
      <c r="N45" s="348">
        <v>2271220.14</v>
      </c>
      <c r="O45" s="344">
        <f t="shared" si="3"/>
        <v>0.7584915062862533</v>
      </c>
      <c r="P45" s="349">
        <v>2922075.294117647</v>
      </c>
      <c r="Q45" s="345">
        <f t="shared" si="6"/>
        <v>0.8294698013830519</v>
      </c>
      <c r="R45" s="349">
        <v>2483764</v>
      </c>
      <c r="S45" s="345">
        <f t="shared" si="7"/>
        <v>0.8294721698001363</v>
      </c>
      <c r="T45" s="349">
        <f>G45</f>
        <v>3522823</v>
      </c>
      <c r="U45" s="345">
        <f t="shared" si="8"/>
        <v>1</v>
      </c>
      <c r="V45" s="349">
        <f>H45</f>
        <v>2994391</v>
      </c>
      <c r="W45" s="345">
        <f t="shared" si="9"/>
        <v>1</v>
      </c>
      <c r="X45" s="349">
        <v>3522823</v>
      </c>
      <c r="Y45" s="345">
        <f t="shared" si="10"/>
        <v>1</v>
      </c>
      <c r="Z45" s="349">
        <v>2994391.24</v>
      </c>
      <c r="AA45" s="345">
        <f t="shared" si="11"/>
        <v>1.0000000801498536</v>
      </c>
      <c r="AB45" s="349">
        <v>3522823</v>
      </c>
      <c r="AC45" s="345">
        <f t="shared" si="12"/>
        <v>1</v>
      </c>
      <c r="AD45" s="349">
        <v>2994391.24</v>
      </c>
      <c r="AE45" s="345">
        <f t="shared" si="13"/>
        <v>1.0000000801498536</v>
      </c>
      <c r="AF45" s="349">
        <f t="shared" si="15"/>
        <v>3522823</v>
      </c>
      <c r="AG45" s="345">
        <f t="shared" si="5"/>
        <v>1</v>
      </c>
      <c r="AH45" s="349">
        <f t="shared" si="16"/>
        <v>2994391</v>
      </c>
      <c r="AI45" s="345">
        <f t="shared" si="14"/>
        <v>1</v>
      </c>
      <c r="AJ45" s="319" t="s">
        <v>465</v>
      </c>
      <c r="AK45" s="309">
        <f t="shared" si="0"/>
        <v>0</v>
      </c>
    </row>
    <row r="46" spans="2:37" ht="122.25" customHeight="1">
      <c r="B46" s="278">
        <v>37</v>
      </c>
      <c r="C46" s="277" t="s">
        <v>14</v>
      </c>
      <c r="D46" s="311" t="s">
        <v>83</v>
      </c>
      <c r="E46" s="278">
        <v>114</v>
      </c>
      <c r="F46" s="277" t="s">
        <v>481</v>
      </c>
      <c r="G46" s="313">
        <v>12200001</v>
      </c>
      <c r="H46" s="313">
        <v>12200001</v>
      </c>
      <c r="I46" s="301">
        <v>11770494.15</v>
      </c>
      <c r="J46" s="347">
        <v>11770494.15</v>
      </c>
      <c r="K46" s="310">
        <f t="shared" si="1"/>
        <v>1</v>
      </c>
      <c r="L46" s="301">
        <v>9292613.15</v>
      </c>
      <c r="M46" s="344">
        <f t="shared" si="2"/>
        <v>0.7616895400254475</v>
      </c>
      <c r="N46" s="301">
        <v>9292613.15</v>
      </c>
      <c r="O46" s="344">
        <f t="shared" si="3"/>
        <v>0.7616895400254475</v>
      </c>
      <c r="P46" s="301">
        <f>L46</f>
        <v>9292613.15</v>
      </c>
      <c r="Q46" s="345">
        <f t="shared" si="6"/>
        <v>0.7616895400254475</v>
      </c>
      <c r="R46" s="301">
        <f>N46</f>
        <v>9292613.15</v>
      </c>
      <c r="S46" s="345">
        <f t="shared" si="7"/>
        <v>0.7616895400254475</v>
      </c>
      <c r="T46" s="301">
        <f>G46</f>
        <v>12200001</v>
      </c>
      <c r="U46" s="345">
        <f t="shared" si="8"/>
        <v>1</v>
      </c>
      <c r="V46" s="349">
        <v>12200001</v>
      </c>
      <c r="W46" s="345">
        <f t="shared" si="9"/>
        <v>1</v>
      </c>
      <c r="X46" s="349">
        <v>12200001</v>
      </c>
      <c r="Y46" s="345">
        <f t="shared" si="10"/>
        <v>1</v>
      </c>
      <c r="Z46" s="349">
        <v>12200001</v>
      </c>
      <c r="AA46" s="345">
        <f t="shared" si="11"/>
        <v>1</v>
      </c>
      <c r="AB46" s="349">
        <v>12200001</v>
      </c>
      <c r="AC46" s="345">
        <f t="shared" si="12"/>
        <v>1</v>
      </c>
      <c r="AD46" s="349">
        <v>12200001</v>
      </c>
      <c r="AE46" s="345">
        <f t="shared" si="13"/>
        <v>1</v>
      </c>
      <c r="AF46" s="349">
        <f t="shared" si="15"/>
        <v>12200001</v>
      </c>
      <c r="AG46" s="345">
        <f t="shared" si="5"/>
        <v>1</v>
      </c>
      <c r="AH46" s="349">
        <f t="shared" si="16"/>
        <v>12200001</v>
      </c>
      <c r="AI46" s="345">
        <f t="shared" si="14"/>
        <v>1</v>
      </c>
      <c r="AJ46" s="320" t="s">
        <v>466</v>
      </c>
      <c r="AK46" s="309">
        <f t="shared" si="0"/>
        <v>0</v>
      </c>
    </row>
    <row r="47" spans="2:36" ht="14.25" customHeight="1">
      <c r="B47" s="460" t="str">
        <f>KOPSAVILKUMS!B31</f>
        <v>1 VIS dati uz 02.05.2011.; pieteikto, apstiprināto, noslēgto līgumu un pabeigto projektu skaits</v>
      </c>
      <c r="C47" s="460"/>
      <c r="D47" s="460"/>
      <c r="E47" s="460"/>
      <c r="F47" s="460"/>
      <c r="G47" s="460"/>
      <c r="H47" s="460"/>
      <c r="I47" s="460"/>
      <c r="J47" s="321"/>
      <c r="K47" s="321"/>
      <c r="L47" s="321"/>
      <c r="M47" s="321"/>
      <c r="N47" s="322"/>
      <c r="O47" s="321"/>
      <c r="P47" s="321"/>
      <c r="Q47" s="321"/>
      <c r="R47" s="321"/>
      <c r="S47" s="321"/>
      <c r="T47" s="321"/>
      <c r="U47" s="321"/>
      <c r="V47" s="321"/>
      <c r="W47" s="321"/>
      <c r="X47" s="321"/>
      <c r="Y47" s="321"/>
      <c r="Z47" s="321"/>
      <c r="AA47" s="321"/>
      <c r="AB47" s="321"/>
      <c r="AC47" s="321"/>
      <c r="AD47" s="321"/>
      <c r="AE47" s="321"/>
      <c r="AF47" s="321"/>
      <c r="AG47" s="321"/>
      <c r="AH47" s="321"/>
      <c r="AI47" s="323"/>
      <c r="AJ47" s="322"/>
    </row>
    <row r="48" spans="2:34" ht="16.5" customHeight="1">
      <c r="B48" s="460" t="str">
        <f>KOPSAVILKUMS!B32</f>
        <v>2 Pieejamais finansējums atbilstoši  konceptuāli apstiprinātajiem MK protokollēmumiem</v>
      </c>
      <c r="C48" s="460"/>
      <c r="D48" s="460"/>
      <c r="E48" s="460"/>
      <c r="F48" s="460"/>
      <c r="G48" s="460"/>
      <c r="H48" s="460"/>
      <c r="I48" s="460"/>
      <c r="J48" s="324"/>
      <c r="K48" s="324"/>
      <c r="L48" s="324"/>
      <c r="M48" s="324"/>
      <c r="O48" s="324"/>
      <c r="P48" s="324"/>
      <c r="Q48" s="324"/>
      <c r="R48" s="324"/>
      <c r="S48" s="324"/>
      <c r="T48" s="324"/>
      <c r="U48" s="324"/>
      <c r="V48" s="324"/>
      <c r="W48" s="324"/>
      <c r="X48" s="324"/>
      <c r="Y48" s="324"/>
      <c r="Z48" s="324"/>
      <c r="AA48" s="324"/>
      <c r="AB48" s="324"/>
      <c r="AC48" s="324"/>
      <c r="AD48" s="324"/>
      <c r="AE48" s="324"/>
      <c r="AF48" s="324"/>
      <c r="AG48" s="324"/>
      <c r="AH48" s="324"/>
    </row>
    <row r="49" spans="2:34" ht="15.75">
      <c r="B49" s="460" t="str">
        <f>KOPSAVILKUMS!B33</f>
        <v>3 2007.-2011.g. piešķirtais finansējums</v>
      </c>
      <c r="C49" s="460"/>
      <c r="D49" s="460"/>
      <c r="E49" s="460"/>
      <c r="F49" s="460"/>
      <c r="G49" s="460"/>
      <c r="H49" s="460"/>
      <c r="I49" s="460"/>
      <c r="J49" s="324"/>
      <c r="K49" s="324"/>
      <c r="L49" s="324"/>
      <c r="M49" s="324"/>
      <c r="O49" s="324"/>
      <c r="P49" s="324"/>
      <c r="Q49" s="324"/>
      <c r="R49" s="324"/>
      <c r="S49" s="324"/>
      <c r="T49" s="324"/>
      <c r="U49" s="324"/>
      <c r="V49" s="324"/>
      <c r="W49" s="324"/>
      <c r="X49" s="324"/>
      <c r="Y49" s="324"/>
      <c r="Z49" s="324"/>
      <c r="AA49" s="324"/>
      <c r="AB49" s="324"/>
      <c r="AC49" s="324"/>
      <c r="AD49" s="324"/>
      <c r="AE49" s="324"/>
      <c r="AF49" s="324"/>
      <c r="AG49" s="324"/>
      <c r="AH49" s="324"/>
    </row>
    <row r="50" spans="2:33" ht="15.75">
      <c r="B50" s="407" t="str">
        <f>KOPSAVILKUMS!B34</f>
        <v>4 Kopējie veiktie maksājumi SF finansējuma saņēmējam, t.sk., starpposma maksājumi/ noslēguma maksājumi/ deklarējamie avansi un nedeklarējamie avansi</v>
      </c>
      <c r="C50" s="407"/>
      <c r="D50" s="407"/>
      <c r="E50" s="407"/>
      <c r="F50" s="407"/>
      <c r="G50" s="407"/>
      <c r="H50" s="407"/>
      <c r="I50" s="407"/>
      <c r="O50" s="325"/>
      <c r="P50" s="325"/>
      <c r="Q50" s="325"/>
      <c r="R50" s="325"/>
      <c r="S50" s="325"/>
      <c r="T50" s="325"/>
      <c r="U50" s="325"/>
      <c r="V50" s="325"/>
      <c r="W50" s="325"/>
      <c r="X50" s="325"/>
      <c r="Y50" s="325"/>
      <c r="Z50" s="325"/>
      <c r="AA50" s="325"/>
      <c r="AB50" s="325"/>
      <c r="AC50" s="325"/>
      <c r="AD50" s="325"/>
      <c r="AE50" s="325"/>
      <c r="AG50" s="309"/>
    </row>
    <row r="51" spans="2:34" ht="15.75">
      <c r="B51" s="460" t="str">
        <f>KOPSAVILKUMS!B35</f>
        <v>5 DPP noteiktā finansējuma apguve sadalījumā pa gadiem, kumulatīvi</v>
      </c>
      <c r="C51" s="460"/>
      <c r="D51" s="460"/>
      <c r="E51" s="460"/>
      <c r="F51" s="460"/>
      <c r="G51" s="460"/>
      <c r="H51" s="460"/>
      <c r="I51" s="460"/>
      <c r="AH51" s="309"/>
    </row>
    <row r="52" ht="15.75">
      <c r="AH52" s="309"/>
    </row>
    <row r="57" spans="7:11" ht="15.75">
      <c r="G57" s="335"/>
      <c r="H57" s="326"/>
      <c r="I57" s="326"/>
      <c r="J57" s="326"/>
      <c r="K57" s="326"/>
    </row>
  </sheetData>
  <sheetProtection/>
  <mergeCells count="28">
    <mergeCell ref="M5:M6"/>
    <mergeCell ref="L4:O4"/>
    <mergeCell ref="B49:I49"/>
    <mergeCell ref="B51:I51"/>
    <mergeCell ref="B47:I47"/>
    <mergeCell ref="B48:I48"/>
    <mergeCell ref="L5:L6"/>
    <mergeCell ref="F4:F6"/>
    <mergeCell ref="I4:J4"/>
    <mergeCell ref="P4:AI4"/>
    <mergeCell ref="O5:O6"/>
    <mergeCell ref="AF5:AI5"/>
    <mergeCell ref="AB5:AE5"/>
    <mergeCell ref="N5:N6"/>
    <mergeCell ref="AJ4:AJ6"/>
    <mergeCell ref="X5:AA5"/>
    <mergeCell ref="T5:W5"/>
    <mergeCell ref="P5:S5"/>
    <mergeCell ref="I3:J3"/>
    <mergeCell ref="B4:B6"/>
    <mergeCell ref="C4:C6"/>
    <mergeCell ref="D4:D6"/>
    <mergeCell ref="E4:E6"/>
    <mergeCell ref="G5:G6"/>
    <mergeCell ref="H5:H6"/>
    <mergeCell ref="I5:I6"/>
    <mergeCell ref="J5:J6"/>
    <mergeCell ref="G4:H4"/>
  </mergeCells>
  <printOptions/>
  <pageMargins left="0.03937007874015748" right="0.03937007874015748" top="0.7480314960629921" bottom="0.7480314960629921" header="0.31496062992125984" footer="0.31496062992125984"/>
  <pageSetup fitToHeight="0" fitToWidth="1" horizontalDpi="600" verticalDpi="600" orientation="landscape" paperSize="8" scale="47" r:id="rId3"/>
  <headerFooter>
    <oddFooter>&amp;LFMp4_250211_vestules_projekta_pielikums_nr2; Informācija par 1.mērķa Eiropas Savienības struktūrfondu un Kohēzijas fonda projektiem (faktiskā apguve un turpmāk plānotais finansējums  2007.-2013.gada plānošanas periodam) &amp;R&amp;P</oddFooter>
  </headerFooter>
  <colBreaks count="1" manualBreakCount="1">
    <brk id="19"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P33"/>
  <sheetViews>
    <sheetView view="pageBreakPreview" zoomScale="84" zoomScaleSheetLayoutView="84" workbookViewId="0" topLeftCell="A1">
      <pane xSplit="9" ySplit="6" topLeftCell="AI7" activePane="bottomRight" state="frozen"/>
      <selection pane="topLeft" activeCell="A1" sqref="A1"/>
      <selection pane="topRight" activeCell="I1" sqref="I1"/>
      <selection pane="bottomLeft" activeCell="A7" sqref="A7"/>
      <selection pane="bottomRight" activeCell="A12" sqref="A12:IV12"/>
    </sheetView>
  </sheetViews>
  <sheetFormatPr defaultColWidth="9.00390625" defaultRowHeight="15.75"/>
  <cols>
    <col min="1" max="1" width="9.00390625" style="23" customWidth="1"/>
    <col min="2" max="2" width="6.125" style="23" customWidth="1"/>
    <col min="3" max="3" width="7.50390625" style="23" customWidth="1"/>
    <col min="4" max="4" width="8.125" style="23" customWidth="1"/>
    <col min="5" max="5" width="17.125" style="23" customWidth="1"/>
    <col min="6" max="6" width="8.875" style="23" customWidth="1"/>
    <col min="7" max="7" width="22.25390625" style="23" customWidth="1"/>
    <col min="8" max="8" width="13.50390625" style="23" customWidth="1"/>
    <col min="9" max="9" width="17.875" style="23" customWidth="1"/>
    <col min="10" max="11" width="13.00390625" style="23" customWidth="1"/>
    <col min="12" max="12" width="13.125" style="23" customWidth="1"/>
    <col min="13" max="13" width="13.25390625" style="23" customWidth="1"/>
    <col min="14" max="14" width="13.00390625" style="23" customWidth="1"/>
    <col min="15" max="15" width="11.25390625" style="23" customWidth="1"/>
    <col min="16" max="16" width="12.00390625" style="23" customWidth="1"/>
    <col min="17" max="17" width="10.625" style="23" customWidth="1"/>
    <col min="18" max="18" width="11.50390625" style="23" customWidth="1"/>
    <col min="19" max="19" width="10.875" style="23" customWidth="1"/>
    <col min="20" max="20" width="12.875" style="23" customWidth="1"/>
    <col min="21" max="21" width="10.25390625" style="23" customWidth="1"/>
    <col min="22" max="22" width="11.625" style="23" customWidth="1"/>
    <col min="23" max="23" width="10.50390625" style="23" customWidth="1"/>
    <col min="24" max="24" width="12.25390625" style="23" customWidth="1"/>
    <col min="25" max="25" width="10.75390625" style="23" customWidth="1"/>
    <col min="26" max="26" width="12.375" style="23" customWidth="1"/>
    <col min="27" max="27" width="11.25390625" style="23" customWidth="1"/>
    <col min="28" max="28" width="11.75390625" style="23" customWidth="1"/>
    <col min="29" max="29" width="11.50390625" style="23" customWidth="1"/>
    <col min="30" max="30" width="11.875" style="23" customWidth="1"/>
    <col min="31" max="31" width="11.25390625" style="23" customWidth="1"/>
    <col min="32" max="32" width="12.50390625" style="23" customWidth="1"/>
    <col min="33" max="33" width="11.25390625" style="23" customWidth="1"/>
    <col min="34" max="34" width="11.375" style="23" customWidth="1"/>
    <col min="35" max="35" width="16.75390625" style="94" customWidth="1"/>
    <col min="36" max="36" width="74.50390625" style="23" customWidth="1"/>
    <col min="37" max="37" width="16.125" style="23" customWidth="1"/>
    <col min="38" max="38" width="15.25390625" style="23" customWidth="1"/>
    <col min="39" max="39" width="9.875" style="23" customWidth="1"/>
    <col min="40" max="40" width="10.125" style="23" customWidth="1"/>
    <col min="41" max="42" width="9.875" style="23" bestFit="1" customWidth="1"/>
    <col min="43" max="16384" width="9.00390625" style="23" customWidth="1"/>
  </cols>
  <sheetData>
    <row r="1" spans="8:36" ht="15.75">
      <c r="H1" s="97"/>
      <c r="AJ1" s="256" t="s">
        <v>354</v>
      </c>
    </row>
    <row r="2" spans="2:35" ht="15.75" customHeight="1">
      <c r="B2" s="467" t="s">
        <v>146</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32:34" ht="15.75">
      <c r="AF3" s="93"/>
      <c r="AG3" s="93"/>
      <c r="AH3" s="93"/>
    </row>
    <row r="4" spans="2:36" ht="33" customHeight="1">
      <c r="B4" s="461" t="s">
        <v>0</v>
      </c>
      <c r="C4" s="461" t="s">
        <v>1</v>
      </c>
      <c r="D4" s="461" t="s">
        <v>85</v>
      </c>
      <c r="E4" s="461" t="s">
        <v>2</v>
      </c>
      <c r="F4" s="436" t="s">
        <v>256</v>
      </c>
      <c r="G4" s="436" t="s">
        <v>255</v>
      </c>
      <c r="H4" s="436" t="str">
        <f>KOPSAVILKUMS!E4</f>
        <v>2007.-2013.gadam plānotais fnansējums 2</v>
      </c>
      <c r="I4" s="436"/>
      <c r="J4" s="436" t="str">
        <f>KOPSAVILKUMS!G4</f>
        <v>2007.-2011. g.plānotais finansējums 3</v>
      </c>
      <c r="K4" s="436"/>
      <c r="L4" s="436" t="str">
        <f>KOPSAVILKUMS!I4</f>
        <v>Apgūts līdz 1.05.2011.4</v>
      </c>
      <c r="M4" s="436"/>
      <c r="N4" s="436"/>
      <c r="O4" s="436"/>
      <c r="P4" s="461" t="str">
        <f>KOPSAVILKUMS!M4</f>
        <v>Plānotais attiecināmais finansējums pa gadiem (pieaugošā secībā no 2007.gada) 5</v>
      </c>
      <c r="Q4" s="461"/>
      <c r="R4" s="461"/>
      <c r="S4" s="461"/>
      <c r="T4" s="461"/>
      <c r="U4" s="461"/>
      <c r="V4" s="461"/>
      <c r="W4" s="461"/>
      <c r="X4" s="461"/>
      <c r="Y4" s="461"/>
      <c r="Z4" s="461"/>
      <c r="AA4" s="461"/>
      <c r="AB4" s="461"/>
      <c r="AC4" s="461"/>
      <c r="AD4" s="461"/>
      <c r="AE4" s="461"/>
      <c r="AF4" s="461"/>
      <c r="AG4" s="461"/>
      <c r="AH4" s="461"/>
      <c r="AI4" s="461"/>
      <c r="AJ4" s="461" t="s">
        <v>364</v>
      </c>
    </row>
    <row r="5" spans="2:36" ht="15.75" customHeight="1">
      <c r="B5" s="462"/>
      <c r="C5" s="461"/>
      <c r="D5" s="461"/>
      <c r="E5" s="462"/>
      <c r="F5" s="436"/>
      <c r="G5" s="436"/>
      <c r="H5" s="463" t="s">
        <v>4</v>
      </c>
      <c r="I5" s="463" t="s">
        <v>5</v>
      </c>
      <c r="J5" s="463" t="s">
        <v>4</v>
      </c>
      <c r="K5" s="463" t="s">
        <v>5</v>
      </c>
      <c r="L5" s="463" t="s">
        <v>4</v>
      </c>
      <c r="M5" s="461" t="s">
        <v>6</v>
      </c>
      <c r="N5" s="463" t="s">
        <v>5</v>
      </c>
      <c r="O5" s="461" t="s">
        <v>6</v>
      </c>
      <c r="P5" s="466" t="s">
        <v>7</v>
      </c>
      <c r="Q5" s="466"/>
      <c r="R5" s="466"/>
      <c r="S5" s="466"/>
      <c r="T5" s="466" t="s">
        <v>8</v>
      </c>
      <c r="U5" s="466"/>
      <c r="V5" s="466"/>
      <c r="W5" s="466"/>
      <c r="X5" s="466" t="s">
        <v>9</v>
      </c>
      <c r="Y5" s="466"/>
      <c r="Z5" s="466"/>
      <c r="AA5" s="466"/>
      <c r="AB5" s="466" t="s">
        <v>10</v>
      </c>
      <c r="AC5" s="466"/>
      <c r="AD5" s="466"/>
      <c r="AE5" s="466"/>
      <c r="AF5" s="466" t="s">
        <v>11</v>
      </c>
      <c r="AG5" s="466"/>
      <c r="AH5" s="466"/>
      <c r="AI5" s="466"/>
      <c r="AJ5" s="461"/>
    </row>
    <row r="6" spans="2:36" ht="74.25" customHeight="1">
      <c r="B6" s="462"/>
      <c r="C6" s="465"/>
      <c r="D6" s="461"/>
      <c r="E6" s="462"/>
      <c r="F6" s="434"/>
      <c r="G6" s="434"/>
      <c r="H6" s="464"/>
      <c r="I6" s="464"/>
      <c r="J6" s="464"/>
      <c r="K6" s="464"/>
      <c r="L6" s="464"/>
      <c r="M6" s="464"/>
      <c r="N6" s="464"/>
      <c r="O6" s="465"/>
      <c r="P6" s="96" t="s">
        <v>4</v>
      </c>
      <c r="Q6" s="95" t="s">
        <v>6</v>
      </c>
      <c r="R6" s="96" t="s">
        <v>5</v>
      </c>
      <c r="S6" s="95" t="s">
        <v>6</v>
      </c>
      <c r="T6" s="96" t="s">
        <v>4</v>
      </c>
      <c r="U6" s="95" t="s">
        <v>6</v>
      </c>
      <c r="V6" s="96" t="s">
        <v>5</v>
      </c>
      <c r="W6" s="95" t="s">
        <v>6</v>
      </c>
      <c r="X6" s="96" t="s">
        <v>4</v>
      </c>
      <c r="Y6" s="95" t="s">
        <v>6</v>
      </c>
      <c r="Z6" s="96" t="s">
        <v>5</v>
      </c>
      <c r="AA6" s="95" t="s">
        <v>6</v>
      </c>
      <c r="AB6" s="96" t="s">
        <v>4</v>
      </c>
      <c r="AC6" s="95" t="s">
        <v>6</v>
      </c>
      <c r="AD6" s="96" t="s">
        <v>5</v>
      </c>
      <c r="AE6" s="95" t="s">
        <v>6</v>
      </c>
      <c r="AF6" s="96" t="s">
        <v>4</v>
      </c>
      <c r="AG6" s="95" t="s">
        <v>6</v>
      </c>
      <c r="AH6" s="96" t="s">
        <v>5</v>
      </c>
      <c r="AI6" s="95" t="s">
        <v>6</v>
      </c>
      <c r="AJ6" s="462"/>
    </row>
    <row r="7" spans="2:42" ht="47.25">
      <c r="B7" s="232" t="s">
        <v>86</v>
      </c>
      <c r="C7" s="233" t="s">
        <v>12</v>
      </c>
      <c r="D7" s="234" t="s">
        <v>87</v>
      </c>
      <c r="E7" s="235" t="s">
        <v>88</v>
      </c>
      <c r="F7" s="233" t="s">
        <v>89</v>
      </c>
      <c r="G7" s="233" t="s">
        <v>98</v>
      </c>
      <c r="H7" s="236">
        <v>5441400</v>
      </c>
      <c r="I7" s="236">
        <v>5441400</v>
      </c>
      <c r="J7" s="301">
        <v>2839536</v>
      </c>
      <c r="K7" s="301">
        <v>2839536</v>
      </c>
      <c r="L7" s="229">
        <v>1485525.9</v>
      </c>
      <c r="M7" s="237">
        <f>L7/H7</f>
        <v>0.2730043554967471</v>
      </c>
      <c r="N7" s="236">
        <v>1485525.9</v>
      </c>
      <c r="O7" s="237">
        <f>N7/I7</f>
        <v>0.2730043554967471</v>
      </c>
      <c r="P7" s="229">
        <v>1655874.95</v>
      </c>
      <c r="Q7" s="238">
        <f>P7/H7</f>
        <v>0.3043104623810049</v>
      </c>
      <c r="R7" s="229">
        <v>1655874.95</v>
      </c>
      <c r="S7" s="238">
        <f aca="true" t="shared" si="0" ref="S7:S23">R7/I7</f>
        <v>0.3043104623810049</v>
      </c>
      <c r="T7" s="229">
        <v>3598458.95</v>
      </c>
      <c r="U7" s="238">
        <f aca="true" t="shared" si="1" ref="U7:U23">T7/H7</f>
        <v>0.661311234241188</v>
      </c>
      <c r="V7" s="229">
        <v>3598458.95</v>
      </c>
      <c r="W7" s="249">
        <f aca="true" t="shared" si="2" ref="W7:W23">V7/I7</f>
        <v>0.661311234241188</v>
      </c>
      <c r="X7" s="229">
        <v>5181608.95</v>
      </c>
      <c r="Y7" s="238">
        <f aca="true" t="shared" si="3" ref="Y7:Y23">X7/H7</f>
        <v>0.9522565791891793</v>
      </c>
      <c r="Z7" s="229">
        <v>5181608.95</v>
      </c>
      <c r="AA7" s="249">
        <f aca="true" t="shared" si="4" ref="AA7:AA23">Z7/I7</f>
        <v>0.9522565791891793</v>
      </c>
      <c r="AB7" s="229">
        <v>5441400.95</v>
      </c>
      <c r="AC7" s="238">
        <f aca="true" t="shared" si="5" ref="AC7:AC23">AB7/H7</f>
        <v>1.0000001745874223</v>
      </c>
      <c r="AD7" s="229">
        <v>5441400</v>
      </c>
      <c r="AE7" s="249">
        <f aca="true" t="shared" si="6" ref="AE7:AE23">AD7/I7</f>
        <v>1</v>
      </c>
      <c r="AF7" s="229">
        <f aca="true" t="shared" si="7" ref="AF7:AF19">H7</f>
        <v>5441400</v>
      </c>
      <c r="AG7" s="238">
        <f aca="true" t="shared" si="8" ref="AG7:AG23">AF7/H7</f>
        <v>1</v>
      </c>
      <c r="AH7" s="229">
        <v>5441400</v>
      </c>
      <c r="AI7" s="249">
        <f aca="true" t="shared" si="9" ref="AI7:AI23">AH7/I7</f>
        <v>1</v>
      </c>
      <c r="AJ7" s="305" t="s">
        <v>421</v>
      </c>
      <c r="AO7" s="97"/>
      <c r="AP7" s="97"/>
    </row>
    <row r="8" spans="2:42" ht="234.75" customHeight="1">
      <c r="B8" s="232" t="s">
        <v>90</v>
      </c>
      <c r="C8" s="233" t="s">
        <v>12</v>
      </c>
      <c r="D8" s="234" t="s">
        <v>91</v>
      </c>
      <c r="E8" s="235" t="s">
        <v>92</v>
      </c>
      <c r="F8" s="233" t="s">
        <v>309</v>
      </c>
      <c r="G8" s="233" t="s">
        <v>310</v>
      </c>
      <c r="H8" s="301">
        <v>52496172</v>
      </c>
      <c r="I8" s="301">
        <v>47031488</v>
      </c>
      <c r="J8" s="301">
        <v>51309755.62</v>
      </c>
      <c r="K8" s="301">
        <v>45958777.94</v>
      </c>
      <c r="L8" s="236">
        <v>38300293.57</v>
      </c>
      <c r="M8" s="237">
        <f aca="true" t="shared" si="10" ref="M8:M26">L8/H8</f>
        <v>0.7295825983273599</v>
      </c>
      <c r="N8" s="236">
        <v>34141107.9</v>
      </c>
      <c r="O8" s="237">
        <f aca="true" t="shared" si="11" ref="O8:O26">N8/I8</f>
        <v>0.7259202154097272</v>
      </c>
      <c r="P8" s="236">
        <v>44981249.26666667</v>
      </c>
      <c r="Q8" s="238">
        <f aca="true" t="shared" si="12" ref="Q8:Q26">P8/H8</f>
        <v>0.8568481767902367</v>
      </c>
      <c r="R8" s="236">
        <v>40483124.34</v>
      </c>
      <c r="S8" s="238">
        <f t="shared" si="0"/>
        <v>0.8607663942080677</v>
      </c>
      <c r="T8" s="236">
        <v>51257248.155555554</v>
      </c>
      <c r="U8" s="238">
        <f t="shared" si="1"/>
        <v>0.9763997297851652</v>
      </c>
      <c r="V8" s="236">
        <v>46131523.34</v>
      </c>
      <c r="W8" s="249">
        <f t="shared" si="2"/>
        <v>0.9808646356245416</v>
      </c>
      <c r="X8" s="236">
        <v>52257207.04444444</v>
      </c>
      <c r="Y8" s="238">
        <f t="shared" si="3"/>
        <v>0.9954479546517114</v>
      </c>
      <c r="Z8" s="236">
        <f>I8</f>
        <v>47031488</v>
      </c>
      <c r="AA8" s="249">
        <f t="shared" si="4"/>
        <v>1</v>
      </c>
      <c r="AB8" s="236">
        <v>52257207.04444444</v>
      </c>
      <c r="AC8" s="238">
        <f t="shared" si="5"/>
        <v>0.9954479546517114</v>
      </c>
      <c r="AD8" s="236">
        <f>I8</f>
        <v>47031488</v>
      </c>
      <c r="AE8" s="249">
        <f t="shared" si="6"/>
        <v>1</v>
      </c>
      <c r="AF8" s="229">
        <f t="shared" si="7"/>
        <v>52496172</v>
      </c>
      <c r="AG8" s="238">
        <f t="shared" si="8"/>
        <v>1</v>
      </c>
      <c r="AH8" s="236">
        <f>I8</f>
        <v>47031488</v>
      </c>
      <c r="AI8" s="249">
        <f t="shared" si="9"/>
        <v>1</v>
      </c>
      <c r="AJ8" s="303" t="s">
        <v>422</v>
      </c>
      <c r="AL8" s="98"/>
      <c r="AO8" s="97"/>
      <c r="AP8" s="97"/>
    </row>
    <row r="9" spans="2:42" ht="62.25" customHeight="1">
      <c r="B9" s="239" t="s">
        <v>95</v>
      </c>
      <c r="C9" s="233" t="s">
        <v>12</v>
      </c>
      <c r="D9" s="234" t="s">
        <v>96</v>
      </c>
      <c r="E9" s="235" t="s">
        <v>97</v>
      </c>
      <c r="F9" s="209" t="s">
        <v>89</v>
      </c>
      <c r="G9" s="233" t="s">
        <v>328</v>
      </c>
      <c r="H9" s="301">
        <v>4009918</v>
      </c>
      <c r="I9" s="301">
        <v>3072399</v>
      </c>
      <c r="J9" s="301">
        <v>4009917.11</v>
      </c>
      <c r="K9" s="301">
        <v>3072398.49</v>
      </c>
      <c r="L9" s="229">
        <v>4007760.76</v>
      </c>
      <c r="M9" s="237">
        <f t="shared" si="10"/>
        <v>0.9994620239117109</v>
      </c>
      <c r="N9" s="236">
        <v>3070746.28</v>
      </c>
      <c r="O9" s="237">
        <f t="shared" si="11"/>
        <v>0.9994620750755354</v>
      </c>
      <c r="P9" s="229">
        <v>4009918</v>
      </c>
      <c r="Q9" s="238">
        <f t="shared" si="12"/>
        <v>1</v>
      </c>
      <c r="R9" s="236">
        <v>3072399</v>
      </c>
      <c r="S9" s="238">
        <f t="shared" si="0"/>
        <v>1</v>
      </c>
      <c r="T9" s="229">
        <v>4009918</v>
      </c>
      <c r="U9" s="238">
        <f t="shared" si="1"/>
        <v>1</v>
      </c>
      <c r="V9" s="236">
        <v>3072399</v>
      </c>
      <c r="W9" s="249">
        <f t="shared" si="2"/>
        <v>1</v>
      </c>
      <c r="X9" s="229">
        <v>4009918</v>
      </c>
      <c r="Y9" s="238">
        <f t="shared" si="3"/>
        <v>1</v>
      </c>
      <c r="Z9" s="236">
        <v>3072399</v>
      </c>
      <c r="AA9" s="249">
        <f t="shared" si="4"/>
        <v>1</v>
      </c>
      <c r="AB9" s="229">
        <v>4009918</v>
      </c>
      <c r="AC9" s="238">
        <f t="shared" si="5"/>
        <v>1</v>
      </c>
      <c r="AD9" s="236">
        <v>3072399</v>
      </c>
      <c r="AE9" s="249">
        <f t="shared" si="6"/>
        <v>1</v>
      </c>
      <c r="AF9" s="229">
        <v>4009918</v>
      </c>
      <c r="AG9" s="238">
        <f t="shared" si="8"/>
        <v>1</v>
      </c>
      <c r="AH9" s="236">
        <v>3072399</v>
      </c>
      <c r="AI9" s="249">
        <f t="shared" si="9"/>
        <v>1</v>
      </c>
      <c r="AJ9" s="304" t="s">
        <v>423</v>
      </c>
      <c r="AL9" s="98"/>
      <c r="AO9" s="97"/>
      <c r="AP9" s="97"/>
    </row>
    <row r="10" spans="2:42" ht="87" customHeight="1">
      <c r="B10" s="239" t="s">
        <v>99</v>
      </c>
      <c r="C10" s="233" t="s">
        <v>12</v>
      </c>
      <c r="D10" s="234" t="s">
        <v>100</v>
      </c>
      <c r="E10" s="235" t="s">
        <v>101</v>
      </c>
      <c r="F10" s="209" t="s">
        <v>89</v>
      </c>
      <c r="G10" s="233" t="s">
        <v>334</v>
      </c>
      <c r="H10" s="301">
        <v>631177</v>
      </c>
      <c r="I10" s="301">
        <v>536500</v>
      </c>
      <c r="J10" s="301">
        <v>631176</v>
      </c>
      <c r="K10" s="301">
        <v>536500</v>
      </c>
      <c r="L10" s="229">
        <v>631176.01</v>
      </c>
      <c r="M10" s="237">
        <f t="shared" si="10"/>
        <v>0.9999984315017816</v>
      </c>
      <c r="N10" s="236">
        <v>536499.61</v>
      </c>
      <c r="O10" s="237">
        <f t="shared" si="11"/>
        <v>0.9999992730661696</v>
      </c>
      <c r="P10" s="229">
        <v>631176.0117647059</v>
      </c>
      <c r="Q10" s="238">
        <f t="shared" si="12"/>
        <v>0.9999984342976785</v>
      </c>
      <c r="R10" s="236">
        <v>536499.61</v>
      </c>
      <c r="S10" s="238">
        <f t="shared" si="0"/>
        <v>0.9999992730661696</v>
      </c>
      <c r="T10" s="229">
        <v>631176.0117647059</v>
      </c>
      <c r="U10" s="238">
        <f t="shared" si="1"/>
        <v>0.9999984342976785</v>
      </c>
      <c r="V10" s="236">
        <v>536499.61</v>
      </c>
      <c r="W10" s="249">
        <f t="shared" si="2"/>
        <v>0.9999992730661696</v>
      </c>
      <c r="X10" s="229">
        <v>631176.0117647059</v>
      </c>
      <c r="Y10" s="238">
        <f t="shared" si="3"/>
        <v>0.9999984342976785</v>
      </c>
      <c r="Z10" s="236">
        <v>536499.61</v>
      </c>
      <c r="AA10" s="249">
        <f t="shared" si="4"/>
        <v>0.9999992730661696</v>
      </c>
      <c r="AB10" s="229">
        <v>631176.0117647059</v>
      </c>
      <c r="AC10" s="238">
        <f t="shared" si="5"/>
        <v>0.9999984342976785</v>
      </c>
      <c r="AD10" s="236">
        <v>536499.61</v>
      </c>
      <c r="AE10" s="249">
        <f t="shared" si="6"/>
        <v>0.9999992730661696</v>
      </c>
      <c r="AF10" s="229">
        <f t="shared" si="7"/>
        <v>631177</v>
      </c>
      <c r="AG10" s="238">
        <f t="shared" si="8"/>
        <v>1</v>
      </c>
      <c r="AH10" s="236">
        <v>536499.61</v>
      </c>
      <c r="AI10" s="249">
        <f t="shared" si="9"/>
        <v>0.9999992730661696</v>
      </c>
      <c r="AJ10" s="305" t="s">
        <v>424</v>
      </c>
      <c r="AO10" s="97"/>
      <c r="AP10" s="97"/>
    </row>
    <row r="11" spans="2:42" ht="156" customHeight="1">
      <c r="B11" s="239" t="s">
        <v>102</v>
      </c>
      <c r="C11" s="233" t="s">
        <v>12</v>
      </c>
      <c r="D11" s="234" t="s">
        <v>103</v>
      </c>
      <c r="E11" s="235" t="s">
        <v>104</v>
      </c>
      <c r="F11" s="233" t="s">
        <v>93</v>
      </c>
      <c r="G11" s="233" t="s">
        <v>94</v>
      </c>
      <c r="H11" s="301">
        <v>6788647</v>
      </c>
      <c r="I11" s="301">
        <v>5770350</v>
      </c>
      <c r="J11" s="301">
        <v>4993365.31</v>
      </c>
      <c r="K11" s="301">
        <v>4244360.51</v>
      </c>
      <c r="L11" s="229">
        <v>5163314.32</v>
      </c>
      <c r="M11" s="237">
        <f t="shared" si="10"/>
        <v>0.7605807637368683</v>
      </c>
      <c r="N11" s="236">
        <v>4388817.19</v>
      </c>
      <c r="O11" s="237">
        <f t="shared" si="11"/>
        <v>0.7605807602658419</v>
      </c>
      <c r="P11" s="229">
        <v>5653024.705882353</v>
      </c>
      <c r="Q11" s="238">
        <f t="shared" si="12"/>
        <v>0.8327174333681443</v>
      </c>
      <c r="R11" s="236">
        <v>4805071</v>
      </c>
      <c r="S11" s="238">
        <f t="shared" si="0"/>
        <v>0.8327174261526598</v>
      </c>
      <c r="T11" s="229">
        <v>6486762.352941177</v>
      </c>
      <c r="U11" s="238">
        <f t="shared" si="1"/>
        <v>0.9555309552759448</v>
      </c>
      <c r="V11" s="236">
        <v>5513748</v>
      </c>
      <c r="W11" s="249">
        <f t="shared" si="2"/>
        <v>0.9555309469962827</v>
      </c>
      <c r="X11" s="229">
        <v>6652437.647058823</v>
      </c>
      <c r="Y11" s="238">
        <f t="shared" si="3"/>
        <v>0.9799357142975358</v>
      </c>
      <c r="Z11" s="236">
        <v>5654572</v>
      </c>
      <c r="AA11" s="249">
        <f t="shared" si="4"/>
        <v>0.9799357058064069</v>
      </c>
      <c r="AB11" s="229">
        <v>6940061</v>
      </c>
      <c r="AC11" s="238">
        <f t="shared" si="5"/>
        <v>1.02230400255014</v>
      </c>
      <c r="AD11" s="236">
        <v>5899052</v>
      </c>
      <c r="AE11" s="249">
        <f t="shared" si="6"/>
        <v>1.0223040196868474</v>
      </c>
      <c r="AF11" s="229">
        <f t="shared" si="7"/>
        <v>6788647</v>
      </c>
      <c r="AG11" s="238">
        <f t="shared" si="8"/>
        <v>1</v>
      </c>
      <c r="AH11" s="236">
        <f>I11</f>
        <v>5770350</v>
      </c>
      <c r="AI11" s="249">
        <f t="shared" si="9"/>
        <v>1</v>
      </c>
      <c r="AJ11" s="305" t="s">
        <v>425</v>
      </c>
      <c r="AO11" s="97"/>
      <c r="AP11" s="97"/>
    </row>
    <row r="12" spans="2:42" ht="59.25" customHeight="1">
      <c r="B12" s="239" t="s">
        <v>105</v>
      </c>
      <c r="C12" s="233" t="s">
        <v>12</v>
      </c>
      <c r="D12" s="234" t="s">
        <v>106</v>
      </c>
      <c r="E12" s="235" t="s">
        <v>107</v>
      </c>
      <c r="F12" s="209" t="s">
        <v>89</v>
      </c>
      <c r="G12" s="233" t="s">
        <v>98</v>
      </c>
      <c r="H12" s="301">
        <v>2527645</v>
      </c>
      <c r="I12" s="301">
        <v>2148498</v>
      </c>
      <c r="J12" s="301">
        <v>1646632.63</v>
      </c>
      <c r="K12" s="301">
        <v>1399637.73</v>
      </c>
      <c r="L12" s="229">
        <v>870580.85</v>
      </c>
      <c r="M12" s="237">
        <f t="shared" si="10"/>
        <v>0.34442370269559214</v>
      </c>
      <c r="N12" s="236">
        <v>739993.73</v>
      </c>
      <c r="O12" s="237">
        <f t="shared" si="11"/>
        <v>0.34442374626366884</v>
      </c>
      <c r="P12" s="229">
        <v>1280608.5529411766</v>
      </c>
      <c r="Q12" s="238">
        <f t="shared" si="12"/>
        <v>0.5066409851625432</v>
      </c>
      <c r="R12" s="236">
        <v>1088517.27</v>
      </c>
      <c r="S12" s="238">
        <f t="shared" si="0"/>
        <v>0.5066410441154704</v>
      </c>
      <c r="T12" s="229">
        <v>1829145.0235294118</v>
      </c>
      <c r="U12" s="238">
        <f t="shared" si="1"/>
        <v>0.7236558233175195</v>
      </c>
      <c r="V12" s="236">
        <v>1554773.27</v>
      </c>
      <c r="W12" s="249">
        <f t="shared" si="2"/>
        <v>0.7236559075223714</v>
      </c>
      <c r="X12" s="229">
        <v>2254821.494117647</v>
      </c>
      <c r="Y12" s="238">
        <f t="shared" si="3"/>
        <v>0.8920641522514621</v>
      </c>
      <c r="Z12" s="236">
        <v>1916598.27</v>
      </c>
      <c r="AA12" s="249">
        <f t="shared" si="4"/>
        <v>0.8920642560523677</v>
      </c>
      <c r="AB12" s="229">
        <v>2376229.7294117645</v>
      </c>
      <c r="AC12" s="238">
        <f t="shared" si="5"/>
        <v>0.9400963068040664</v>
      </c>
      <c r="AD12" s="236">
        <f>I12</f>
        <v>2148498</v>
      </c>
      <c r="AE12" s="249">
        <f t="shared" si="6"/>
        <v>1</v>
      </c>
      <c r="AF12" s="229">
        <f t="shared" si="7"/>
        <v>2527645</v>
      </c>
      <c r="AG12" s="238">
        <f t="shared" si="8"/>
        <v>1</v>
      </c>
      <c r="AH12" s="236">
        <f>I12</f>
        <v>2148498</v>
      </c>
      <c r="AI12" s="249">
        <f t="shared" si="9"/>
        <v>1</v>
      </c>
      <c r="AJ12" s="305" t="s">
        <v>426</v>
      </c>
      <c r="AO12" s="97"/>
      <c r="AP12" s="97"/>
    </row>
    <row r="13" spans="2:42" ht="113.25" customHeight="1">
      <c r="B13" s="239" t="s">
        <v>108</v>
      </c>
      <c r="C13" s="233" t="s">
        <v>12</v>
      </c>
      <c r="D13" s="234" t="s">
        <v>109</v>
      </c>
      <c r="E13" s="235" t="s">
        <v>110</v>
      </c>
      <c r="F13" s="209" t="s">
        <v>311</v>
      </c>
      <c r="G13" s="233" t="s">
        <v>98</v>
      </c>
      <c r="H13" s="301">
        <v>53575665</v>
      </c>
      <c r="I13" s="301">
        <v>48452234</v>
      </c>
      <c r="J13" s="301">
        <v>53574442.05</v>
      </c>
      <c r="K13" s="301">
        <v>48451518.06</v>
      </c>
      <c r="L13" s="229">
        <v>35359532.28</v>
      </c>
      <c r="M13" s="237">
        <f t="shared" si="10"/>
        <v>0.6599924103601887</v>
      </c>
      <c r="N13" s="236">
        <v>18594137.66</v>
      </c>
      <c r="O13" s="237">
        <f t="shared" si="11"/>
        <v>0.3837622360199119</v>
      </c>
      <c r="P13" s="229">
        <v>41871593</v>
      </c>
      <c r="Q13" s="238">
        <f t="shared" si="12"/>
        <v>0.7815412650500931</v>
      </c>
      <c r="R13" s="236">
        <v>25124154</v>
      </c>
      <c r="S13" s="238">
        <f t="shared" si="0"/>
        <v>0.518534480783693</v>
      </c>
      <c r="T13" s="229">
        <v>53575665</v>
      </c>
      <c r="U13" s="238">
        <f t="shared" si="1"/>
        <v>1</v>
      </c>
      <c r="V13" s="236">
        <v>48452234</v>
      </c>
      <c r="W13" s="249">
        <f t="shared" si="2"/>
        <v>1</v>
      </c>
      <c r="X13" s="229">
        <v>53575665</v>
      </c>
      <c r="Y13" s="238">
        <f t="shared" si="3"/>
        <v>1</v>
      </c>
      <c r="Z13" s="236">
        <v>48452234</v>
      </c>
      <c r="AA13" s="249">
        <f t="shared" si="4"/>
        <v>1</v>
      </c>
      <c r="AB13" s="229">
        <v>53575665</v>
      </c>
      <c r="AC13" s="238">
        <f t="shared" si="5"/>
        <v>1</v>
      </c>
      <c r="AD13" s="236">
        <v>48452234</v>
      </c>
      <c r="AE13" s="249">
        <f t="shared" si="6"/>
        <v>1</v>
      </c>
      <c r="AF13" s="229">
        <f t="shared" si="7"/>
        <v>53575665</v>
      </c>
      <c r="AG13" s="238">
        <f t="shared" si="8"/>
        <v>1</v>
      </c>
      <c r="AH13" s="236">
        <v>48452234</v>
      </c>
      <c r="AI13" s="249">
        <f t="shared" si="9"/>
        <v>1</v>
      </c>
      <c r="AJ13" s="305" t="s">
        <v>427</v>
      </c>
      <c r="AL13" s="98"/>
      <c r="AO13" s="97"/>
      <c r="AP13" s="97"/>
    </row>
    <row r="14" spans="2:42" ht="84" customHeight="1">
      <c r="B14" s="239" t="s">
        <v>111</v>
      </c>
      <c r="C14" s="233" t="s">
        <v>12</v>
      </c>
      <c r="D14" s="234" t="s">
        <v>112</v>
      </c>
      <c r="E14" s="235" t="s">
        <v>113</v>
      </c>
      <c r="F14" s="209" t="s">
        <v>114</v>
      </c>
      <c r="G14" s="209" t="s">
        <v>94</v>
      </c>
      <c r="H14" s="301">
        <v>1000000</v>
      </c>
      <c r="I14" s="301">
        <v>850000</v>
      </c>
      <c r="J14" s="301">
        <v>268956.56</v>
      </c>
      <c r="K14" s="301">
        <v>228613.08</v>
      </c>
      <c r="L14" s="229">
        <v>10478.66</v>
      </c>
      <c r="M14" s="237">
        <f t="shared" si="10"/>
        <v>0.010478659999999999</v>
      </c>
      <c r="N14" s="236">
        <v>8906.87</v>
      </c>
      <c r="O14" s="237">
        <f t="shared" si="11"/>
        <v>0.010478670588235295</v>
      </c>
      <c r="P14" s="229">
        <v>286896.23529411765</v>
      </c>
      <c r="Q14" s="238">
        <f t="shared" si="12"/>
        <v>0.2868962352941177</v>
      </c>
      <c r="R14" s="236">
        <v>243861.8</v>
      </c>
      <c r="S14" s="238">
        <f t="shared" si="0"/>
        <v>0.2868962352941176</v>
      </c>
      <c r="T14" s="229">
        <v>651997.411764706</v>
      </c>
      <c r="U14" s="238">
        <f t="shared" si="1"/>
        <v>0.651997411764706</v>
      </c>
      <c r="V14" s="236">
        <v>554197.8</v>
      </c>
      <c r="W14" s="249">
        <f t="shared" si="2"/>
        <v>0.6519974117647059</v>
      </c>
      <c r="X14" s="229">
        <v>993588</v>
      </c>
      <c r="Y14" s="238">
        <f t="shared" si="3"/>
        <v>0.993588</v>
      </c>
      <c r="Z14" s="236">
        <v>844549.8</v>
      </c>
      <c r="AA14" s="249">
        <f t="shared" si="4"/>
        <v>0.993588</v>
      </c>
      <c r="AB14" s="229">
        <v>1000000.9411764706</v>
      </c>
      <c r="AC14" s="238">
        <f t="shared" si="5"/>
        <v>1.0000009411764705</v>
      </c>
      <c r="AD14" s="236">
        <v>850000.8</v>
      </c>
      <c r="AE14" s="249">
        <f t="shared" si="6"/>
        <v>1.0000009411764705</v>
      </c>
      <c r="AF14" s="229">
        <f t="shared" si="7"/>
        <v>1000000</v>
      </c>
      <c r="AG14" s="238">
        <f t="shared" si="8"/>
        <v>1</v>
      </c>
      <c r="AH14" s="236">
        <v>850000</v>
      </c>
      <c r="AI14" s="249">
        <f t="shared" si="9"/>
        <v>1</v>
      </c>
      <c r="AJ14" s="305" t="s">
        <v>428</v>
      </c>
      <c r="AL14" s="99"/>
      <c r="AO14" s="97"/>
      <c r="AP14" s="97"/>
    </row>
    <row r="15" spans="2:42" ht="150" customHeight="1">
      <c r="B15" s="239" t="s">
        <v>115</v>
      </c>
      <c r="C15" s="233" t="s">
        <v>12</v>
      </c>
      <c r="D15" s="234" t="s">
        <v>116</v>
      </c>
      <c r="E15" s="235" t="s">
        <v>117</v>
      </c>
      <c r="F15" s="209" t="s">
        <v>312</v>
      </c>
      <c r="G15" s="233" t="s">
        <v>98</v>
      </c>
      <c r="H15" s="301">
        <v>13572487</v>
      </c>
      <c r="I15" s="301">
        <v>12430692</v>
      </c>
      <c r="J15" s="301">
        <v>9344808.42</v>
      </c>
      <c r="K15" s="301">
        <v>8320690.3</v>
      </c>
      <c r="L15" s="229">
        <v>5429023.7</v>
      </c>
      <c r="M15" s="237">
        <f t="shared" si="10"/>
        <v>0.40000212930762064</v>
      </c>
      <c r="N15" s="236">
        <v>4737362.55</v>
      </c>
      <c r="O15" s="237">
        <f t="shared" si="11"/>
        <v>0.38110207782479044</v>
      </c>
      <c r="P15" s="229">
        <v>7277194.282608695</v>
      </c>
      <c r="Q15" s="238">
        <f t="shared" si="12"/>
        <v>0.5361724997495813</v>
      </c>
      <c r="R15" s="236">
        <v>6695018.74</v>
      </c>
      <c r="S15" s="238">
        <f t="shared" si="0"/>
        <v>0.538587774518104</v>
      </c>
      <c r="T15" s="229">
        <v>11441916.197802197</v>
      </c>
      <c r="U15" s="238">
        <f t="shared" si="1"/>
        <v>0.8430228150376712</v>
      </c>
      <c r="V15" s="236">
        <v>10412143.74</v>
      </c>
      <c r="W15" s="249">
        <f t="shared" si="2"/>
        <v>0.8376157771425758</v>
      </c>
      <c r="X15" s="229">
        <v>13511588.847826088</v>
      </c>
      <c r="Y15" s="238">
        <f t="shared" si="3"/>
        <v>0.9955131176641457</v>
      </c>
      <c r="Z15" s="236">
        <v>12430661.74</v>
      </c>
      <c r="AA15" s="249">
        <f t="shared" si="4"/>
        <v>0.9999975657026978</v>
      </c>
      <c r="AB15" s="229">
        <v>13511588.847826088</v>
      </c>
      <c r="AC15" s="238">
        <f t="shared" si="5"/>
        <v>0.9955131176641457</v>
      </c>
      <c r="AD15" s="236">
        <f>I15</f>
        <v>12430692</v>
      </c>
      <c r="AE15" s="249">
        <f t="shared" si="6"/>
        <v>1</v>
      </c>
      <c r="AF15" s="229">
        <f t="shared" si="7"/>
        <v>13572487</v>
      </c>
      <c r="AG15" s="238">
        <f t="shared" si="8"/>
        <v>1</v>
      </c>
      <c r="AH15" s="236">
        <f>I15</f>
        <v>12430692</v>
      </c>
      <c r="AI15" s="249">
        <f t="shared" si="9"/>
        <v>1</v>
      </c>
      <c r="AJ15" s="306" t="s">
        <v>429</v>
      </c>
      <c r="AL15" s="98"/>
      <c r="AO15" s="97"/>
      <c r="AP15" s="97"/>
    </row>
    <row r="16" spans="2:42" ht="175.5" customHeight="1">
      <c r="B16" s="239" t="s">
        <v>118</v>
      </c>
      <c r="C16" s="233" t="s">
        <v>12</v>
      </c>
      <c r="D16" s="234" t="s">
        <v>119</v>
      </c>
      <c r="E16" s="235" t="s">
        <v>120</v>
      </c>
      <c r="F16" s="209" t="s">
        <v>89</v>
      </c>
      <c r="G16" s="233" t="s">
        <v>98</v>
      </c>
      <c r="H16" s="301">
        <v>7684406</v>
      </c>
      <c r="I16" s="301">
        <v>7199460</v>
      </c>
      <c r="J16" s="301">
        <v>5191021.54</v>
      </c>
      <c r="K16" s="301">
        <v>4863408.1</v>
      </c>
      <c r="L16" s="229">
        <v>2541494.87</v>
      </c>
      <c r="M16" s="237">
        <f t="shared" si="10"/>
        <v>0.3307340697511298</v>
      </c>
      <c r="N16" s="236">
        <v>2381100.64</v>
      </c>
      <c r="O16" s="237">
        <f t="shared" si="11"/>
        <v>0.3307332272142633</v>
      </c>
      <c r="P16" s="229">
        <v>3666605.840425532</v>
      </c>
      <c r="Q16" s="238">
        <f t="shared" si="12"/>
        <v>0.47714889614441663</v>
      </c>
      <c r="R16" s="236">
        <v>3446609.49</v>
      </c>
      <c r="S16" s="238">
        <f t="shared" si="0"/>
        <v>0.4787316673750532</v>
      </c>
      <c r="T16" s="229">
        <v>6357013.287234043</v>
      </c>
      <c r="U16" s="238">
        <f t="shared" si="1"/>
        <v>0.8272615069055491</v>
      </c>
      <c r="V16" s="236">
        <v>5975592.49</v>
      </c>
      <c r="W16" s="249">
        <f t="shared" si="2"/>
        <v>0.8300056518127749</v>
      </c>
      <c r="X16" s="229">
        <v>7451327.117021277</v>
      </c>
      <c r="Y16" s="238">
        <f t="shared" si="3"/>
        <v>0.9696685881799161</v>
      </c>
      <c r="Z16" s="236">
        <v>7004247.49</v>
      </c>
      <c r="AA16" s="249">
        <f t="shared" si="4"/>
        <v>0.9728851177727219</v>
      </c>
      <c r="AB16" s="229">
        <v>7659000.521276596</v>
      </c>
      <c r="AC16" s="238">
        <f t="shared" si="5"/>
        <v>0.9966938916653539</v>
      </c>
      <c r="AD16" s="236">
        <v>7199460.49</v>
      </c>
      <c r="AE16" s="249">
        <f t="shared" si="6"/>
        <v>1.0000000680606602</v>
      </c>
      <c r="AF16" s="229">
        <f t="shared" si="7"/>
        <v>7684406</v>
      </c>
      <c r="AG16" s="238">
        <f t="shared" si="8"/>
        <v>1</v>
      </c>
      <c r="AH16" s="236">
        <v>7199460.49</v>
      </c>
      <c r="AI16" s="249">
        <f t="shared" si="9"/>
        <v>1.0000000680606602</v>
      </c>
      <c r="AJ16" s="305" t="s">
        <v>430</v>
      </c>
      <c r="AO16" s="97"/>
      <c r="AP16" s="97"/>
    </row>
    <row r="17" spans="2:42" ht="47.25">
      <c r="B17" s="239" t="s">
        <v>121</v>
      </c>
      <c r="C17" s="233" t="s">
        <v>12</v>
      </c>
      <c r="D17" s="234" t="s">
        <v>122</v>
      </c>
      <c r="E17" s="235" t="s">
        <v>123</v>
      </c>
      <c r="F17" s="209" t="s">
        <v>89</v>
      </c>
      <c r="G17" s="209" t="s">
        <v>98</v>
      </c>
      <c r="H17" s="301">
        <v>1502373</v>
      </c>
      <c r="I17" s="301">
        <v>1277018</v>
      </c>
      <c r="J17" s="301">
        <v>743384.66</v>
      </c>
      <c r="K17" s="301">
        <v>631876.96</v>
      </c>
      <c r="L17" s="229">
        <v>337802.27</v>
      </c>
      <c r="M17" s="237">
        <f t="shared" si="10"/>
        <v>0.22484580726623815</v>
      </c>
      <c r="N17" s="236">
        <v>287131.92</v>
      </c>
      <c r="O17" s="237">
        <f t="shared" si="11"/>
        <v>0.2248456325596037</v>
      </c>
      <c r="P17" s="229">
        <v>413480.87058823527</v>
      </c>
      <c r="Q17" s="238">
        <f t="shared" si="12"/>
        <v>0.2752185180299668</v>
      </c>
      <c r="R17" s="236">
        <v>351458.74</v>
      </c>
      <c r="S17" s="238">
        <f t="shared" si="0"/>
        <v>0.275218313289241</v>
      </c>
      <c r="T17" s="229">
        <v>1285043.2235294117</v>
      </c>
      <c r="U17" s="238">
        <f t="shared" si="1"/>
        <v>0.8553423307856383</v>
      </c>
      <c r="V17" s="236">
        <v>1092286.74</v>
      </c>
      <c r="W17" s="249">
        <f t="shared" si="2"/>
        <v>0.8553416944788562</v>
      </c>
      <c r="X17" s="229">
        <v>1599130.282352941</v>
      </c>
      <c r="Y17" s="238">
        <f t="shared" si="3"/>
        <v>1.064402969404363</v>
      </c>
      <c r="Z17" s="236">
        <v>1359262</v>
      </c>
      <c r="AA17" s="249">
        <f t="shared" si="4"/>
        <v>1.064403164246706</v>
      </c>
      <c r="AB17" s="229">
        <v>1599130.282352941</v>
      </c>
      <c r="AC17" s="238">
        <f t="shared" si="5"/>
        <v>1.064402969404363</v>
      </c>
      <c r="AD17" s="236">
        <v>1359262</v>
      </c>
      <c r="AE17" s="249">
        <f t="shared" si="6"/>
        <v>1.064403164246706</v>
      </c>
      <c r="AF17" s="229">
        <f t="shared" si="7"/>
        <v>1502373</v>
      </c>
      <c r="AG17" s="238">
        <f t="shared" si="8"/>
        <v>1</v>
      </c>
      <c r="AH17" s="236">
        <v>1359262</v>
      </c>
      <c r="AI17" s="249">
        <f t="shared" si="9"/>
        <v>1.064403164246706</v>
      </c>
      <c r="AJ17" s="305" t="s">
        <v>431</v>
      </c>
      <c r="AO17" s="97"/>
      <c r="AP17" s="97"/>
    </row>
    <row r="18" spans="2:42" ht="63" customHeight="1">
      <c r="B18" s="239" t="s">
        <v>124</v>
      </c>
      <c r="C18" s="233" t="s">
        <v>12</v>
      </c>
      <c r="D18" s="234" t="s">
        <v>125</v>
      </c>
      <c r="E18" s="235" t="s">
        <v>126</v>
      </c>
      <c r="F18" s="209" t="s">
        <v>114</v>
      </c>
      <c r="G18" s="233" t="s">
        <v>94</v>
      </c>
      <c r="H18" s="301">
        <v>3782518</v>
      </c>
      <c r="I18" s="301">
        <v>3215141</v>
      </c>
      <c r="J18" s="301">
        <v>2004718.53</v>
      </c>
      <c r="K18" s="301">
        <v>1704010.75</v>
      </c>
      <c r="L18" s="229">
        <v>1524986.95</v>
      </c>
      <c r="M18" s="237">
        <f t="shared" si="10"/>
        <v>0.40316713628329065</v>
      </c>
      <c r="N18" s="236">
        <v>1296238.91</v>
      </c>
      <c r="O18" s="237">
        <f t="shared" si="11"/>
        <v>0.4031670492833751</v>
      </c>
      <c r="P18" s="229">
        <v>2029315.7294117648</v>
      </c>
      <c r="Q18" s="238">
        <f t="shared" si="12"/>
        <v>0.5364986311794854</v>
      </c>
      <c r="R18" s="236">
        <v>1724918.37</v>
      </c>
      <c r="S18" s="238">
        <f t="shared" si="0"/>
        <v>0.5364985143730866</v>
      </c>
      <c r="T18" s="229">
        <v>3042900.435294118</v>
      </c>
      <c r="U18" s="238">
        <f t="shared" si="1"/>
        <v>0.8044642313120831</v>
      </c>
      <c r="V18" s="236">
        <v>2586465.37</v>
      </c>
      <c r="W18" s="249">
        <f t="shared" si="2"/>
        <v>0.8044640561642553</v>
      </c>
      <c r="X18" s="229">
        <v>3752279.2588235294</v>
      </c>
      <c r="Y18" s="238">
        <f t="shared" si="3"/>
        <v>0.9920056583533851</v>
      </c>
      <c r="Z18" s="236">
        <v>3189437.37</v>
      </c>
      <c r="AA18" s="249">
        <f t="shared" si="4"/>
        <v>0.992005442374067</v>
      </c>
      <c r="AB18" s="229">
        <v>3782518.0823529414</v>
      </c>
      <c r="AC18" s="238">
        <f t="shared" si="5"/>
        <v>1.0000000217719893</v>
      </c>
      <c r="AD18" s="236">
        <v>3215141</v>
      </c>
      <c r="AE18" s="249">
        <f t="shared" si="6"/>
        <v>1</v>
      </c>
      <c r="AF18" s="229">
        <f t="shared" si="7"/>
        <v>3782518</v>
      </c>
      <c r="AG18" s="238">
        <f t="shared" si="8"/>
        <v>1</v>
      </c>
      <c r="AH18" s="236">
        <v>3215141</v>
      </c>
      <c r="AI18" s="249">
        <f t="shared" si="9"/>
        <v>1</v>
      </c>
      <c r="AJ18" s="305" t="s">
        <v>432</v>
      </c>
      <c r="AL18" s="98"/>
      <c r="AO18" s="97"/>
      <c r="AP18" s="97"/>
    </row>
    <row r="19" spans="2:42" ht="131.25" customHeight="1">
      <c r="B19" s="239" t="s">
        <v>127</v>
      </c>
      <c r="C19" s="233" t="s">
        <v>12</v>
      </c>
      <c r="D19" s="234" t="s">
        <v>128</v>
      </c>
      <c r="E19" s="235" t="s">
        <v>129</v>
      </c>
      <c r="F19" s="209" t="s">
        <v>313</v>
      </c>
      <c r="G19" s="302" t="s">
        <v>440</v>
      </c>
      <c r="H19" s="301">
        <v>9716844</v>
      </c>
      <c r="I19" s="301">
        <v>9622697</v>
      </c>
      <c r="J19" s="301">
        <v>2175043.05</v>
      </c>
      <c r="K19" s="301">
        <v>2080896.34</v>
      </c>
      <c r="L19" s="229">
        <v>1273988.16</v>
      </c>
      <c r="M19" s="237">
        <f t="shared" si="10"/>
        <v>0.131111311450508</v>
      </c>
      <c r="N19" s="236">
        <v>1179841.45</v>
      </c>
      <c r="O19" s="237">
        <f t="shared" si="11"/>
        <v>0.12261026716314563</v>
      </c>
      <c r="P19" s="229">
        <v>2029036.4545454546</v>
      </c>
      <c r="Q19" s="238">
        <f t="shared" si="12"/>
        <v>0.20881640731758733</v>
      </c>
      <c r="R19" s="236">
        <v>2008746.0899999999</v>
      </c>
      <c r="S19" s="238">
        <f t="shared" si="0"/>
        <v>0.20875084085054324</v>
      </c>
      <c r="T19" s="229">
        <v>5611720.292929293</v>
      </c>
      <c r="U19" s="238">
        <f t="shared" si="1"/>
        <v>0.577524996071697</v>
      </c>
      <c r="V19" s="236">
        <v>5555603.09</v>
      </c>
      <c r="W19" s="249">
        <f t="shared" si="2"/>
        <v>0.5773436584358834</v>
      </c>
      <c r="X19" s="229">
        <v>11497972.818181818</v>
      </c>
      <c r="Y19" s="238">
        <f t="shared" si="3"/>
        <v>1.18330322254652</v>
      </c>
      <c r="Z19" s="236">
        <v>11382993.09</v>
      </c>
      <c r="AA19" s="249">
        <f t="shared" si="4"/>
        <v>1.1829316760155704</v>
      </c>
      <c r="AB19" s="229">
        <v>13930521.303030303</v>
      </c>
      <c r="AC19" s="238">
        <f t="shared" si="5"/>
        <v>1.433646696708345</v>
      </c>
      <c r="AD19" s="236">
        <v>13791216.09</v>
      </c>
      <c r="AE19" s="249">
        <f t="shared" si="6"/>
        <v>1.4331965445862007</v>
      </c>
      <c r="AF19" s="229">
        <f t="shared" si="7"/>
        <v>9716844</v>
      </c>
      <c r="AG19" s="238">
        <f t="shared" si="8"/>
        <v>1</v>
      </c>
      <c r="AH19" s="236">
        <f>I19</f>
        <v>9622697</v>
      </c>
      <c r="AI19" s="249">
        <f t="shared" si="9"/>
        <v>1</v>
      </c>
      <c r="AJ19" s="305" t="s">
        <v>433</v>
      </c>
      <c r="AL19" s="98"/>
      <c r="AO19" s="97"/>
      <c r="AP19" s="97"/>
    </row>
    <row r="20" spans="2:42" ht="15.75">
      <c r="B20" s="468" t="s">
        <v>130</v>
      </c>
      <c r="C20" s="468"/>
      <c r="D20" s="468"/>
      <c r="E20" s="468"/>
      <c r="F20" s="468"/>
      <c r="G20" s="468"/>
      <c r="H20" s="210">
        <f>SUM(H7:H19)</f>
        <v>162729252</v>
      </c>
      <c r="I20" s="210">
        <f>SUM(I7:I19)</f>
        <v>147047877</v>
      </c>
      <c r="J20" s="210">
        <f>SUM(J7:J19)</f>
        <v>138732757.48000002</v>
      </c>
      <c r="K20" s="210">
        <f>SUM(K7:K19)</f>
        <v>124332224.25999998</v>
      </c>
      <c r="L20" s="210">
        <f>SUM(L7:L19)</f>
        <v>96935958.3</v>
      </c>
      <c r="M20" s="211">
        <f t="shared" si="10"/>
        <v>0.5956885876916586</v>
      </c>
      <c r="N20" s="210">
        <f aca="true" t="shared" si="13" ref="N20:AF20">SUM(N7:N19)</f>
        <v>72847410.61</v>
      </c>
      <c r="O20" s="211">
        <f t="shared" si="11"/>
        <v>0.4953992678860641</v>
      </c>
      <c r="P20" s="210">
        <f t="shared" si="13"/>
        <v>115785973.90012872</v>
      </c>
      <c r="Q20" s="212">
        <f t="shared" si="12"/>
        <v>0.7115252634488157</v>
      </c>
      <c r="R20" s="210">
        <f t="shared" si="13"/>
        <v>91236253.4</v>
      </c>
      <c r="S20" s="212">
        <f t="shared" si="0"/>
        <v>0.6204527073859081</v>
      </c>
      <c r="T20" s="210">
        <f t="shared" si="13"/>
        <v>149778964.3423446</v>
      </c>
      <c r="U20" s="212">
        <f t="shared" si="1"/>
        <v>0.9204181946485234</v>
      </c>
      <c r="V20" s="210">
        <f t="shared" si="13"/>
        <v>135035925.4</v>
      </c>
      <c r="W20" s="213">
        <f t="shared" si="2"/>
        <v>0.9183126486076368</v>
      </c>
      <c r="X20" s="210">
        <f t="shared" si="13"/>
        <v>163368720.4715913</v>
      </c>
      <c r="Y20" s="212">
        <f t="shared" si="3"/>
        <v>1.0039296467213608</v>
      </c>
      <c r="Z20" s="210">
        <f t="shared" si="13"/>
        <v>148056551.32</v>
      </c>
      <c r="AA20" s="213">
        <f t="shared" si="4"/>
        <v>1.006859495972186</v>
      </c>
      <c r="AB20" s="210">
        <f t="shared" si="13"/>
        <v>166714417.71363628</v>
      </c>
      <c r="AC20" s="212">
        <f t="shared" si="5"/>
        <v>1.0244895472980868</v>
      </c>
      <c r="AD20" s="210">
        <f t="shared" si="13"/>
        <v>151427342.98999998</v>
      </c>
      <c r="AE20" s="213">
        <f t="shared" si="6"/>
        <v>1.0297825856404577</v>
      </c>
      <c r="AF20" s="210">
        <f t="shared" si="13"/>
        <v>162729252</v>
      </c>
      <c r="AG20" s="212">
        <f t="shared" si="8"/>
        <v>1</v>
      </c>
      <c r="AH20" s="210">
        <f>SUM(AH7:AH19)</f>
        <v>147130121.1</v>
      </c>
      <c r="AI20" s="213">
        <f t="shared" si="9"/>
        <v>1.000559301512391</v>
      </c>
      <c r="AJ20" s="214"/>
      <c r="AO20" s="97"/>
      <c r="AP20" s="97"/>
    </row>
    <row r="21" spans="2:42" ht="63.75" customHeight="1">
      <c r="B21" s="239" t="s">
        <v>131</v>
      </c>
      <c r="C21" s="239" t="s">
        <v>14</v>
      </c>
      <c r="D21" s="234" t="s">
        <v>132</v>
      </c>
      <c r="E21" s="235" t="s">
        <v>133</v>
      </c>
      <c r="F21" s="209">
        <v>1</v>
      </c>
      <c r="G21" s="209" t="s">
        <v>329</v>
      </c>
      <c r="H21" s="236">
        <v>526201</v>
      </c>
      <c r="I21" s="236">
        <v>447270</v>
      </c>
      <c r="J21" s="236">
        <v>384600</v>
      </c>
      <c r="K21" s="236">
        <f>J21*0.85</f>
        <v>326910</v>
      </c>
      <c r="L21" s="229">
        <v>19486.65</v>
      </c>
      <c r="M21" s="237">
        <f t="shared" si="10"/>
        <v>0.037032711834451094</v>
      </c>
      <c r="N21" s="236">
        <v>19486.65</v>
      </c>
      <c r="O21" s="237">
        <f t="shared" si="11"/>
        <v>0.043567979073043134</v>
      </c>
      <c r="P21" s="229">
        <f>R21*100/85</f>
        <v>268603.1176470588</v>
      </c>
      <c r="Q21" s="238">
        <f t="shared" si="12"/>
        <v>0.5104572542565651</v>
      </c>
      <c r="R21" s="236">
        <f>N21+208826</f>
        <v>228312.65</v>
      </c>
      <c r="S21" s="238">
        <f t="shared" si="0"/>
        <v>0.5104582243387663</v>
      </c>
      <c r="T21" s="229">
        <f>V21*100/85</f>
        <v>511196.0588235294</v>
      </c>
      <c r="U21" s="238">
        <f t="shared" si="1"/>
        <v>0.9714843925107124</v>
      </c>
      <c r="V21" s="236">
        <f>R21+206204</f>
        <v>434516.65</v>
      </c>
      <c r="W21" s="249">
        <f t="shared" si="2"/>
        <v>0.9714862387372282</v>
      </c>
      <c r="X21" s="229">
        <f>H21</f>
        <v>526201</v>
      </c>
      <c r="Y21" s="238">
        <f t="shared" si="3"/>
        <v>1</v>
      </c>
      <c r="Z21" s="236">
        <f>I21</f>
        <v>447270</v>
      </c>
      <c r="AA21" s="249">
        <f t="shared" si="4"/>
        <v>1</v>
      </c>
      <c r="AB21" s="229">
        <v>526201</v>
      </c>
      <c r="AC21" s="238">
        <f t="shared" si="5"/>
        <v>1</v>
      </c>
      <c r="AD21" s="236">
        <v>447270</v>
      </c>
      <c r="AE21" s="249">
        <f t="shared" si="6"/>
        <v>1</v>
      </c>
      <c r="AF21" s="229">
        <v>526201</v>
      </c>
      <c r="AG21" s="238">
        <f t="shared" si="8"/>
        <v>1</v>
      </c>
      <c r="AH21" s="236">
        <v>447270</v>
      </c>
      <c r="AI21" s="249">
        <f t="shared" si="9"/>
        <v>1</v>
      </c>
      <c r="AJ21" s="305" t="s">
        <v>434</v>
      </c>
      <c r="AL21" s="206"/>
      <c r="AO21" s="97"/>
      <c r="AP21" s="97"/>
    </row>
    <row r="22" spans="2:42" ht="100.5" customHeight="1">
      <c r="B22" s="239" t="s">
        <v>134</v>
      </c>
      <c r="C22" s="239" t="s">
        <v>14</v>
      </c>
      <c r="D22" s="234" t="s">
        <v>135</v>
      </c>
      <c r="E22" s="235" t="s">
        <v>136</v>
      </c>
      <c r="F22" s="209">
        <v>1</v>
      </c>
      <c r="G22" s="209" t="s">
        <v>330</v>
      </c>
      <c r="H22" s="236">
        <v>2525471</v>
      </c>
      <c r="I22" s="236">
        <v>2146650</v>
      </c>
      <c r="J22" s="236">
        <v>2525470.24</v>
      </c>
      <c r="K22" s="236">
        <v>2146649.64</v>
      </c>
      <c r="L22" s="229">
        <v>2146582.14</v>
      </c>
      <c r="M22" s="237">
        <f t="shared" si="10"/>
        <v>0.8499729911766954</v>
      </c>
      <c r="N22" s="236">
        <v>2146582.14</v>
      </c>
      <c r="O22" s="237">
        <f t="shared" si="11"/>
        <v>0.9999683879533227</v>
      </c>
      <c r="P22" s="229">
        <f>L22</f>
        <v>2146582.14</v>
      </c>
      <c r="Q22" s="238">
        <f t="shared" si="12"/>
        <v>0.8499729911766954</v>
      </c>
      <c r="R22" s="236">
        <f>N22</f>
        <v>2146582.14</v>
      </c>
      <c r="S22" s="238">
        <f t="shared" si="0"/>
        <v>0.9999683879533227</v>
      </c>
      <c r="T22" s="229">
        <v>2525471</v>
      </c>
      <c r="U22" s="238">
        <f t="shared" si="1"/>
        <v>1</v>
      </c>
      <c r="V22" s="236">
        <v>2146582</v>
      </c>
      <c r="W22" s="249">
        <f t="shared" si="2"/>
        <v>0.999968322735425</v>
      </c>
      <c r="X22" s="229">
        <v>2525471</v>
      </c>
      <c r="Y22" s="238">
        <f t="shared" si="3"/>
        <v>1</v>
      </c>
      <c r="Z22" s="236">
        <v>2146582</v>
      </c>
      <c r="AA22" s="249">
        <f t="shared" si="4"/>
        <v>0.999968322735425</v>
      </c>
      <c r="AB22" s="229">
        <v>2525471</v>
      </c>
      <c r="AC22" s="238">
        <f t="shared" si="5"/>
        <v>1</v>
      </c>
      <c r="AD22" s="236">
        <v>2146582</v>
      </c>
      <c r="AE22" s="249">
        <f t="shared" si="6"/>
        <v>0.999968322735425</v>
      </c>
      <c r="AF22" s="229">
        <v>2525471</v>
      </c>
      <c r="AG22" s="238">
        <f t="shared" si="8"/>
        <v>1</v>
      </c>
      <c r="AH22" s="236">
        <f>I22</f>
        <v>2146650</v>
      </c>
      <c r="AI22" s="249">
        <f t="shared" si="9"/>
        <v>1</v>
      </c>
      <c r="AJ22" s="305" t="s">
        <v>435</v>
      </c>
      <c r="AO22" s="97"/>
      <c r="AP22" s="97"/>
    </row>
    <row r="23" spans="2:42" ht="81" customHeight="1">
      <c r="B23" s="239" t="s">
        <v>137</v>
      </c>
      <c r="C23" s="239" t="s">
        <v>14</v>
      </c>
      <c r="D23" s="234" t="s">
        <v>138</v>
      </c>
      <c r="E23" s="240" t="s">
        <v>139</v>
      </c>
      <c r="F23" s="209">
        <v>1</v>
      </c>
      <c r="G23" s="209" t="s">
        <v>331</v>
      </c>
      <c r="H23" s="236">
        <v>610841</v>
      </c>
      <c r="I23" s="236">
        <v>519215</v>
      </c>
      <c r="J23" s="236">
        <v>610841</v>
      </c>
      <c r="K23" s="236">
        <f>J23*0.85</f>
        <v>519214.85</v>
      </c>
      <c r="L23" s="229">
        <v>339075.41</v>
      </c>
      <c r="M23" s="237">
        <f t="shared" si="10"/>
        <v>0.5550960233514122</v>
      </c>
      <c r="N23" s="236">
        <v>288214.11</v>
      </c>
      <c r="O23" s="237">
        <f t="shared" si="11"/>
        <v>0.5550958851342892</v>
      </c>
      <c r="P23" s="229">
        <f>R23*100/85</f>
        <v>626626.0117647059</v>
      </c>
      <c r="Q23" s="238">
        <f t="shared" si="12"/>
        <v>1.0258414411683332</v>
      </c>
      <c r="R23" s="236">
        <f>N23+244418</f>
        <v>532632.11</v>
      </c>
      <c r="S23" s="238">
        <f t="shared" si="0"/>
        <v>1.0258411448051385</v>
      </c>
      <c r="T23" s="229">
        <f>H23</f>
        <v>610841</v>
      </c>
      <c r="U23" s="238">
        <f t="shared" si="1"/>
        <v>1</v>
      </c>
      <c r="V23" s="236">
        <f>I23</f>
        <v>519215</v>
      </c>
      <c r="W23" s="249">
        <f t="shared" si="2"/>
        <v>1</v>
      </c>
      <c r="X23" s="229">
        <v>610841</v>
      </c>
      <c r="Y23" s="238">
        <f t="shared" si="3"/>
        <v>1</v>
      </c>
      <c r="Z23" s="229">
        <v>519215</v>
      </c>
      <c r="AA23" s="249">
        <f t="shared" si="4"/>
        <v>1</v>
      </c>
      <c r="AB23" s="229">
        <v>610841</v>
      </c>
      <c r="AC23" s="238">
        <f t="shared" si="5"/>
        <v>1</v>
      </c>
      <c r="AD23" s="229">
        <v>519215</v>
      </c>
      <c r="AE23" s="249">
        <f t="shared" si="6"/>
        <v>1</v>
      </c>
      <c r="AF23" s="229">
        <v>610841</v>
      </c>
      <c r="AG23" s="238">
        <f t="shared" si="8"/>
        <v>1</v>
      </c>
      <c r="AH23" s="236">
        <v>519215</v>
      </c>
      <c r="AI23" s="249">
        <f t="shared" si="9"/>
        <v>1</v>
      </c>
      <c r="AJ23" s="305" t="s">
        <v>436</v>
      </c>
      <c r="AL23" s="99"/>
      <c r="AO23" s="97"/>
      <c r="AP23" s="97"/>
    </row>
    <row r="24" spans="2:42" ht="72.75" customHeight="1">
      <c r="B24" s="239">
        <v>18</v>
      </c>
      <c r="C24" s="239" t="s">
        <v>14</v>
      </c>
      <c r="D24" s="234" t="s">
        <v>241</v>
      </c>
      <c r="E24" s="240" t="s">
        <v>242</v>
      </c>
      <c r="F24" s="209">
        <v>0</v>
      </c>
      <c r="G24" s="233" t="s">
        <v>41</v>
      </c>
      <c r="H24" s="236">
        <v>0</v>
      </c>
      <c r="I24" s="236">
        <v>0</v>
      </c>
      <c r="J24" s="236">
        <v>0</v>
      </c>
      <c r="K24" s="236">
        <v>0</v>
      </c>
      <c r="L24" s="229">
        <v>0</v>
      </c>
      <c r="M24" s="237">
        <v>0</v>
      </c>
      <c r="N24" s="236">
        <v>0</v>
      </c>
      <c r="O24" s="237">
        <v>0</v>
      </c>
      <c r="P24" s="229">
        <v>0</v>
      </c>
      <c r="Q24" s="238">
        <v>0</v>
      </c>
      <c r="R24" s="236">
        <v>0</v>
      </c>
      <c r="S24" s="238">
        <v>0</v>
      </c>
      <c r="T24" s="229">
        <v>0</v>
      </c>
      <c r="U24" s="238">
        <v>0</v>
      </c>
      <c r="V24" s="236">
        <v>0</v>
      </c>
      <c r="W24" s="249">
        <v>0</v>
      </c>
      <c r="X24" s="229">
        <v>0</v>
      </c>
      <c r="Y24" s="238">
        <v>0</v>
      </c>
      <c r="Z24" s="229">
        <v>0</v>
      </c>
      <c r="AA24" s="249">
        <v>0</v>
      </c>
      <c r="AB24" s="229">
        <v>0</v>
      </c>
      <c r="AC24" s="238">
        <v>0</v>
      </c>
      <c r="AD24" s="229">
        <v>0</v>
      </c>
      <c r="AE24" s="249">
        <v>0</v>
      </c>
      <c r="AF24" s="229">
        <v>0</v>
      </c>
      <c r="AG24" s="238">
        <v>0</v>
      </c>
      <c r="AH24" s="236">
        <v>0</v>
      </c>
      <c r="AI24" s="249">
        <v>0</v>
      </c>
      <c r="AJ24" s="305" t="s">
        <v>437</v>
      </c>
      <c r="AL24" s="99"/>
      <c r="AO24" s="97"/>
      <c r="AP24" s="97"/>
    </row>
    <row r="25" spans="2:42" ht="196.5" customHeight="1">
      <c r="B25" s="239">
        <v>19</v>
      </c>
      <c r="C25" s="239" t="s">
        <v>14</v>
      </c>
      <c r="D25" s="234" t="s">
        <v>140</v>
      </c>
      <c r="E25" s="240" t="s">
        <v>141</v>
      </c>
      <c r="F25" s="209">
        <v>6</v>
      </c>
      <c r="G25" s="233" t="s">
        <v>332</v>
      </c>
      <c r="H25" s="236">
        <v>5892153</v>
      </c>
      <c r="I25" s="236">
        <v>5008332</v>
      </c>
      <c r="J25" s="236">
        <v>3769556.21</v>
      </c>
      <c r="K25" s="236">
        <f>J25*0.85</f>
        <v>3204122.7785</v>
      </c>
      <c r="L25" s="229">
        <v>851449.8</v>
      </c>
      <c r="M25" s="237">
        <f t="shared" si="10"/>
        <v>0.14450571802870701</v>
      </c>
      <c r="N25" s="229">
        <v>793414.08</v>
      </c>
      <c r="O25" s="237">
        <f t="shared" si="11"/>
        <v>0.15841882686690897</v>
      </c>
      <c r="P25" s="229">
        <f>R25*100/85</f>
        <v>2774676.564705882</v>
      </c>
      <c r="Q25" s="238">
        <f t="shared" si="12"/>
        <v>0.4709104744404774</v>
      </c>
      <c r="R25" s="236">
        <f>N25+1565061</f>
        <v>2358475.08</v>
      </c>
      <c r="S25" s="238">
        <f>R25/I25</f>
        <v>0.4709102910909261</v>
      </c>
      <c r="T25" s="229">
        <f>V25*100/85</f>
        <v>5631561.270588235</v>
      </c>
      <c r="U25" s="238">
        <f>T25/H25</f>
        <v>0.9557730884768666</v>
      </c>
      <c r="V25" s="236">
        <f>R25+2428352</f>
        <v>4786827.08</v>
      </c>
      <c r="W25" s="249">
        <f>V25/I25</f>
        <v>0.9557727163454819</v>
      </c>
      <c r="X25" s="229">
        <f>H25</f>
        <v>5892153</v>
      </c>
      <c r="Y25" s="238">
        <f>X25/H25</f>
        <v>1</v>
      </c>
      <c r="Z25" s="236">
        <f>I25</f>
        <v>5008332</v>
      </c>
      <c r="AA25" s="249">
        <f>Z25/I25</f>
        <v>1</v>
      </c>
      <c r="AB25" s="229">
        <f>L25</f>
        <v>851449.8</v>
      </c>
      <c r="AC25" s="238">
        <f>AB25/H25</f>
        <v>0.14450571802870701</v>
      </c>
      <c r="AD25" s="236">
        <v>5008332</v>
      </c>
      <c r="AE25" s="249">
        <f>AD25/I25</f>
        <v>1</v>
      </c>
      <c r="AF25" s="229">
        <f>H25</f>
        <v>5892153</v>
      </c>
      <c r="AG25" s="238">
        <f>AF25/H25</f>
        <v>1</v>
      </c>
      <c r="AH25" s="236">
        <v>5008332</v>
      </c>
      <c r="AI25" s="249">
        <f>AH25/I25</f>
        <v>1</v>
      </c>
      <c r="AJ25" s="305" t="s">
        <v>438</v>
      </c>
      <c r="AO25" s="97"/>
      <c r="AP25" s="97"/>
    </row>
    <row r="26" spans="2:42" ht="147" customHeight="1">
      <c r="B26" s="239">
        <v>20</v>
      </c>
      <c r="C26" s="239" t="s">
        <v>14</v>
      </c>
      <c r="D26" s="241" t="s">
        <v>142</v>
      </c>
      <c r="E26" s="242" t="s">
        <v>143</v>
      </c>
      <c r="F26" s="209">
        <v>2</v>
      </c>
      <c r="G26" s="233" t="s">
        <v>333</v>
      </c>
      <c r="H26" s="236">
        <v>2467707</v>
      </c>
      <c r="I26" s="236">
        <v>2097551</v>
      </c>
      <c r="J26" s="301">
        <v>2466544.76</v>
      </c>
      <c r="K26" s="236">
        <v>2096563.04</v>
      </c>
      <c r="L26" s="229">
        <v>1638748.77</v>
      </c>
      <c r="M26" s="237">
        <f t="shared" si="10"/>
        <v>0.664077530274056</v>
      </c>
      <c r="N26" s="236">
        <v>1638748.77</v>
      </c>
      <c r="O26" s="237">
        <f t="shared" si="11"/>
        <v>0.7812676640520302</v>
      </c>
      <c r="P26" s="229">
        <f>H26</f>
        <v>2467707</v>
      </c>
      <c r="Q26" s="238">
        <f t="shared" si="12"/>
        <v>1</v>
      </c>
      <c r="R26" s="236">
        <f>I26</f>
        <v>2097551</v>
      </c>
      <c r="S26" s="238">
        <f>R26/I26</f>
        <v>1</v>
      </c>
      <c r="T26" s="229">
        <v>2467707</v>
      </c>
      <c r="U26" s="238">
        <f>T26/H26</f>
        <v>1</v>
      </c>
      <c r="V26" s="236">
        <v>2097551</v>
      </c>
      <c r="W26" s="249">
        <f>V26/I26</f>
        <v>1</v>
      </c>
      <c r="X26" s="229">
        <v>2467707</v>
      </c>
      <c r="Y26" s="238">
        <f>X26/H26</f>
        <v>1</v>
      </c>
      <c r="Z26" s="236">
        <v>2097551</v>
      </c>
      <c r="AA26" s="249">
        <f>Z26/I26</f>
        <v>1</v>
      </c>
      <c r="AB26" s="229">
        <v>2467707</v>
      </c>
      <c r="AC26" s="238">
        <f>AB26/H26</f>
        <v>1</v>
      </c>
      <c r="AD26" s="236">
        <v>2097551</v>
      </c>
      <c r="AE26" s="249">
        <f>AD26/I26</f>
        <v>1</v>
      </c>
      <c r="AF26" s="229">
        <v>2467707</v>
      </c>
      <c r="AG26" s="238">
        <f>AF26/H26</f>
        <v>1</v>
      </c>
      <c r="AH26" s="236">
        <v>2097551</v>
      </c>
      <c r="AI26" s="249">
        <f>AH26/I26</f>
        <v>1</v>
      </c>
      <c r="AJ26" s="307" t="s">
        <v>439</v>
      </c>
      <c r="AO26" s="97"/>
      <c r="AP26" s="97"/>
    </row>
    <row r="27" spans="2:42" s="191" customFormat="1" ht="15.75">
      <c r="B27" s="469" t="s">
        <v>144</v>
      </c>
      <c r="C27" s="469"/>
      <c r="D27" s="469"/>
      <c r="E27" s="469"/>
      <c r="F27" s="469"/>
      <c r="G27" s="469"/>
      <c r="H27" s="193">
        <f>SUM(H21:H26)</f>
        <v>12022373</v>
      </c>
      <c r="I27" s="193">
        <f>SUM(I21:I26)</f>
        <v>10219018</v>
      </c>
      <c r="J27" s="193">
        <f>SUM(J21:J26)</f>
        <v>9757012.21</v>
      </c>
      <c r="K27" s="193">
        <f>SUM(K21:K26)</f>
        <v>8293460.3085</v>
      </c>
      <c r="L27" s="194">
        <f>SUM(L21:L26)</f>
        <v>4995342.77</v>
      </c>
      <c r="M27" s="195">
        <f>L27/H27</f>
        <v>0.4155038917857564</v>
      </c>
      <c r="N27" s="193">
        <f>SUM(N21:N26)</f>
        <v>4886445.75</v>
      </c>
      <c r="O27" s="195">
        <f>N27/I27</f>
        <v>0.47817175290228475</v>
      </c>
      <c r="P27" s="193">
        <f>SUM(P21:P26)</f>
        <v>8284194.834117647</v>
      </c>
      <c r="Q27" s="196">
        <f>P27/H27</f>
        <v>0.6890648654901697</v>
      </c>
      <c r="R27" s="193">
        <f>SUM(R21:R26)</f>
        <v>7363552.98</v>
      </c>
      <c r="S27" s="196">
        <f>R27/I27</f>
        <v>0.7205734425754021</v>
      </c>
      <c r="T27" s="193">
        <f>SUM(T21:T26)</f>
        <v>11746776.329411764</v>
      </c>
      <c r="U27" s="196">
        <f>T27/H27</f>
        <v>0.9770763500193983</v>
      </c>
      <c r="V27" s="193">
        <f aca="true" t="shared" si="14" ref="V27:AH27">SUM(V21:V26)</f>
        <v>9984691.73</v>
      </c>
      <c r="W27" s="207">
        <f>V27/I27</f>
        <v>0.9770695902482999</v>
      </c>
      <c r="X27" s="193">
        <f t="shared" si="14"/>
        <v>12022373</v>
      </c>
      <c r="Y27" s="196">
        <f>X27/H27</f>
        <v>1</v>
      </c>
      <c r="Z27" s="193">
        <f t="shared" si="14"/>
        <v>10218950</v>
      </c>
      <c r="AA27" s="207">
        <f>Z27/I27</f>
        <v>0.9999933457402659</v>
      </c>
      <c r="AB27" s="193">
        <f t="shared" si="14"/>
        <v>6981669.8</v>
      </c>
      <c r="AC27" s="196">
        <f>AB27/H27</f>
        <v>0.5807231068275789</v>
      </c>
      <c r="AD27" s="193">
        <f t="shared" si="14"/>
        <v>10218950</v>
      </c>
      <c r="AE27" s="207">
        <f>AD27/I27</f>
        <v>0.9999933457402659</v>
      </c>
      <c r="AF27" s="193">
        <f t="shared" si="14"/>
        <v>12022373</v>
      </c>
      <c r="AG27" s="196">
        <f>AF27/H27</f>
        <v>1</v>
      </c>
      <c r="AH27" s="193">
        <f t="shared" si="14"/>
        <v>10219018</v>
      </c>
      <c r="AI27" s="207">
        <f>AH27/I27</f>
        <v>1</v>
      </c>
      <c r="AJ27" s="190"/>
      <c r="AO27" s="192"/>
      <c r="AP27" s="192"/>
    </row>
    <row r="28" spans="2:36" s="191" customFormat="1" ht="15.75">
      <c r="B28" s="469" t="s">
        <v>145</v>
      </c>
      <c r="C28" s="469"/>
      <c r="D28" s="469"/>
      <c r="E28" s="469"/>
      <c r="F28" s="469"/>
      <c r="G28" s="469"/>
      <c r="H28" s="193">
        <f>SUM(H27,H20)</f>
        <v>174751625</v>
      </c>
      <c r="I28" s="193">
        <f>SUM(I27,I20)</f>
        <v>157266895</v>
      </c>
      <c r="J28" s="193">
        <f>SUM(J27,J20)</f>
        <v>148489769.69000003</v>
      </c>
      <c r="K28" s="193">
        <f>SUM(K27,K20)</f>
        <v>132625684.56849998</v>
      </c>
      <c r="L28" s="193">
        <f>L27+L20</f>
        <v>101931301.07</v>
      </c>
      <c r="M28" s="195">
        <f>L28/H28</f>
        <v>0.5832924361647567</v>
      </c>
      <c r="N28" s="193">
        <f>N27+N20</f>
        <v>77733856.36</v>
      </c>
      <c r="O28" s="195">
        <f>N28/I28</f>
        <v>0.4942798442100609</v>
      </c>
      <c r="P28" s="193">
        <f>P27+P20</f>
        <v>124070168.73424637</v>
      </c>
      <c r="Q28" s="196">
        <f>P28/H28</f>
        <v>0.709980057319904</v>
      </c>
      <c r="R28" s="193">
        <f>R27+R20</f>
        <v>98599806.38000001</v>
      </c>
      <c r="S28" s="196">
        <f>R28/I28</f>
        <v>0.6269584350857821</v>
      </c>
      <c r="T28" s="193">
        <f>T27+T20</f>
        <v>161525740.6717564</v>
      </c>
      <c r="U28" s="196">
        <f>T28/H28</f>
        <v>0.9243161010477379</v>
      </c>
      <c r="V28" s="193">
        <f aca="true" t="shared" si="15" ref="V28:AH28">V27+V20</f>
        <v>145020617.13</v>
      </c>
      <c r="W28" s="207">
        <f>V28/I28</f>
        <v>0.922130605617921</v>
      </c>
      <c r="X28" s="193">
        <f t="shared" si="15"/>
        <v>175391093.4715913</v>
      </c>
      <c r="Y28" s="196">
        <f>X28/H28</f>
        <v>1.003659299142948</v>
      </c>
      <c r="Z28" s="193">
        <f t="shared" si="15"/>
        <v>158275501.32</v>
      </c>
      <c r="AA28" s="207">
        <f>Z28/I28</f>
        <v>1.0064133415999597</v>
      </c>
      <c r="AB28" s="193">
        <f t="shared" si="15"/>
        <v>173696087.5136363</v>
      </c>
      <c r="AC28" s="196">
        <f>AB28/H28</f>
        <v>0.9939597844291078</v>
      </c>
      <c r="AD28" s="193">
        <f t="shared" si="15"/>
        <v>161646292.98999998</v>
      </c>
      <c r="AE28" s="207">
        <f>AD28/I28</f>
        <v>1.0278469158432866</v>
      </c>
      <c r="AF28" s="193">
        <f t="shared" si="15"/>
        <v>174751625</v>
      </c>
      <c r="AG28" s="196">
        <f>AF28/H28</f>
        <v>1</v>
      </c>
      <c r="AH28" s="193">
        <f t="shared" si="15"/>
        <v>157349139.1</v>
      </c>
      <c r="AI28" s="207">
        <f>AH28/I28</f>
        <v>1.0005229587574676</v>
      </c>
      <c r="AJ28" s="190"/>
    </row>
    <row r="29" spans="2:34" ht="15.75">
      <c r="B29" s="448" t="str">
        <f>KOPSAVILKUMS!B31</f>
        <v>1 VIS dati uz 02.05.2011.; pieteikto, apstiprināto, noslēgto līgumu un pabeigto projektu skaits</v>
      </c>
      <c r="C29" s="448"/>
      <c r="D29" s="448"/>
      <c r="E29" s="448"/>
      <c r="F29" s="448"/>
      <c r="G29" s="448"/>
      <c r="H29" s="448"/>
      <c r="I29" s="448"/>
      <c r="AH29" s="97"/>
    </row>
    <row r="30" spans="2:34" s="32" customFormat="1" ht="16.5" customHeight="1">
      <c r="B30" s="448" t="str">
        <f>KOPSAVILKUMS!B32</f>
        <v>2 Pieejamais finansējums atbilstoši  konceptuāli apstiprinātajiem MK protokollēmumiem</v>
      </c>
      <c r="C30" s="448"/>
      <c r="D30" s="448"/>
      <c r="E30" s="448"/>
      <c r="F30" s="448"/>
      <c r="G30" s="448"/>
      <c r="H30" s="448"/>
      <c r="I30" s="448"/>
      <c r="J30" s="105"/>
      <c r="K30" s="105"/>
      <c r="L30" s="105"/>
      <c r="N30" s="105"/>
      <c r="O30" s="105"/>
      <c r="P30" s="105"/>
      <c r="Q30" s="105"/>
      <c r="R30" s="105"/>
      <c r="S30" s="105"/>
      <c r="T30" s="105"/>
      <c r="U30" s="105"/>
      <c r="V30" s="105"/>
      <c r="W30" s="105"/>
      <c r="X30" s="105"/>
      <c r="Y30" s="105"/>
      <c r="Z30" s="105"/>
      <c r="AA30" s="105"/>
      <c r="AB30" s="105"/>
      <c r="AC30" s="105"/>
      <c r="AD30" s="105"/>
      <c r="AE30" s="105"/>
      <c r="AF30" s="105"/>
      <c r="AG30" s="105"/>
      <c r="AH30" s="100"/>
    </row>
    <row r="31" spans="2:34" ht="15.75">
      <c r="B31" s="448" t="str">
        <f>KOPSAVILKUMS!B33</f>
        <v>3 2007.-2011.g. piešķirtais finansējums</v>
      </c>
      <c r="C31" s="448"/>
      <c r="D31" s="448"/>
      <c r="E31" s="448"/>
      <c r="F31" s="448"/>
      <c r="G31" s="448"/>
      <c r="H31" s="448"/>
      <c r="I31" s="448"/>
      <c r="AH31" s="97"/>
    </row>
    <row r="32" spans="2:9" ht="15.75">
      <c r="B32" s="408" t="str">
        <f>KOPSAVILKUMS!B34</f>
        <v>4 Kopējie veiktie maksājumi SF finansējuma saņēmējam, t.sk., starpposma maksājumi/ noslēguma maksājumi/ deklarējamie avansi un nedeklarējamie avansi</v>
      </c>
      <c r="C32" s="408"/>
      <c r="D32" s="408"/>
      <c r="E32" s="408"/>
      <c r="F32" s="408"/>
      <c r="G32" s="408"/>
      <c r="H32" s="408"/>
      <c r="I32" s="408"/>
    </row>
    <row r="33" spans="2:9" ht="15.75">
      <c r="B33" s="448" t="str">
        <f>KOPSAVILKUMS!B35</f>
        <v>5 DPP noteiktā finansējuma apguve sadalījumā pa gadiem, kumulatīvi</v>
      </c>
      <c r="C33" s="448"/>
      <c r="D33" s="448"/>
      <c r="E33" s="448"/>
      <c r="F33" s="448"/>
      <c r="G33" s="448"/>
      <c r="H33" s="448"/>
      <c r="I33" s="448"/>
    </row>
  </sheetData>
  <sheetProtection/>
  <mergeCells count="32">
    <mergeCell ref="B31:I31"/>
    <mergeCell ref="B33:I33"/>
    <mergeCell ref="B29:I29"/>
    <mergeCell ref="B30:I30"/>
    <mergeCell ref="B27:G27"/>
    <mergeCell ref="B28:G28"/>
    <mergeCell ref="P4:AI4"/>
    <mergeCell ref="F4:F6"/>
    <mergeCell ref="G4:G6"/>
    <mergeCell ref="B20:G20"/>
    <mergeCell ref="L5:L6"/>
    <mergeCell ref="J4:K4"/>
    <mergeCell ref="B2:AI2"/>
    <mergeCell ref="B4:B6"/>
    <mergeCell ref="C4:C6"/>
    <mergeCell ref="D4:D6"/>
    <mergeCell ref="E4:E6"/>
    <mergeCell ref="T5:W5"/>
    <mergeCell ref="X5:AA5"/>
    <mergeCell ref="AB5:AE5"/>
    <mergeCell ref="AF5:AI5"/>
    <mergeCell ref="H4:I4"/>
    <mergeCell ref="AJ4:AJ6"/>
    <mergeCell ref="H5:H6"/>
    <mergeCell ref="I5:I6"/>
    <mergeCell ref="J5:J6"/>
    <mergeCell ref="K5:K6"/>
    <mergeCell ref="N5:N6"/>
    <mergeCell ref="O5:O6"/>
    <mergeCell ref="M5:M6"/>
    <mergeCell ref="P5:S5"/>
    <mergeCell ref="L4:O4"/>
  </mergeCells>
  <printOptions horizontalCentered="1"/>
  <pageMargins left="0.25" right="0.25" top="0.75" bottom="0.75" header="0.3" footer="0.3"/>
  <pageSetup fitToHeight="0" fitToWidth="1" horizontalDpi="600" verticalDpi="600" orientation="landscape" paperSize="8" scale="32" r:id="rId1"/>
  <headerFooter>
    <oddFooter>&amp;L&amp;10FMp4_250211_vestules_projekta_pielikums_nr2; Informācija par 1.mērķa Eiropas Savienības struktūrfondu un Kohēzijas fonda projektiem (faktiskā apguve un turpmāk plānotais finansējums  2007.-2013.gada plānošanas periodam) &amp;R&amp;P</oddFooter>
  </headerFooter>
  <colBreaks count="1" manualBreakCount="1">
    <brk id="19" max="33" man="1"/>
  </colBreaks>
</worksheet>
</file>

<file path=xl/worksheets/sheet5.xml><?xml version="1.0" encoding="utf-8"?>
<worksheet xmlns="http://schemas.openxmlformats.org/spreadsheetml/2006/main" xmlns:r="http://schemas.openxmlformats.org/officeDocument/2006/relationships">
  <sheetPr>
    <pageSetUpPr fitToPage="1"/>
  </sheetPr>
  <dimension ref="A1:AL39"/>
  <sheetViews>
    <sheetView view="pageBreakPreview" zoomScale="57" zoomScaleNormal="83" zoomScaleSheetLayoutView="57" workbookViewId="0" topLeftCell="A1">
      <selection activeCell="B3" sqref="B3:AI3"/>
    </sheetView>
  </sheetViews>
  <sheetFormatPr defaultColWidth="9.00390625" defaultRowHeight="15.75"/>
  <cols>
    <col min="1" max="1" width="9.00390625" style="15" customWidth="1"/>
    <col min="2" max="2" width="6.125" style="15" customWidth="1"/>
    <col min="3" max="3" width="5.875" style="15" bestFit="1" customWidth="1"/>
    <col min="4" max="4" width="17.125" style="15" customWidth="1"/>
    <col min="5" max="5" width="9.375" style="15" customWidth="1"/>
    <col min="6" max="6" width="24.125" style="15" customWidth="1"/>
    <col min="7" max="7" width="16.625" style="15" customWidth="1"/>
    <col min="8" max="8" width="14.375" style="23" customWidth="1"/>
    <col min="9" max="9" width="15.50390625" style="15" customWidth="1"/>
    <col min="10" max="10" width="15.00390625" style="15" customWidth="1"/>
    <col min="11" max="11" width="14.75390625" style="15" customWidth="1"/>
    <col min="12" max="12" width="13.25390625" style="31" customWidth="1"/>
    <col min="13" max="13" width="14.75390625" style="15" customWidth="1"/>
    <col min="14" max="14" width="11.25390625" style="31" customWidth="1"/>
    <col min="15" max="15" width="15.625" style="32" customWidth="1"/>
    <col min="16" max="16" width="12.50390625" style="31" customWidth="1"/>
    <col min="17" max="17" width="15.375" style="15" customWidth="1"/>
    <col min="18" max="18" width="12.125" style="31" customWidth="1"/>
    <col min="19" max="19" width="15.50390625" style="15" customWidth="1"/>
    <col min="20" max="20" width="10.25390625" style="31" customWidth="1"/>
    <col min="21" max="21" width="15.625" style="15" customWidth="1"/>
    <col min="22" max="22" width="10.50390625" style="31" customWidth="1"/>
    <col min="23" max="23" width="16.875" style="15" customWidth="1"/>
    <col min="24" max="24" width="10.75390625" style="31" customWidth="1"/>
    <col min="25" max="25" width="15.25390625" style="15" customWidth="1"/>
    <col min="26" max="26" width="11.25390625" style="31" customWidth="1"/>
    <col min="27" max="27" width="16.00390625" style="15" customWidth="1"/>
    <col min="28" max="28" width="11.50390625" style="31" customWidth="1"/>
    <col min="29" max="29" width="15.00390625" style="15" customWidth="1"/>
    <col min="30" max="30" width="11.25390625" style="31" customWidth="1"/>
    <col min="31" max="31" width="17.75390625" style="15" customWidth="1"/>
    <col min="32" max="32" width="11.25390625" style="31" customWidth="1"/>
    <col min="33" max="33" width="15.75390625" style="15" customWidth="1"/>
    <col min="34" max="34" width="11.00390625" style="31" customWidth="1"/>
    <col min="35" max="35" width="69.50390625" style="39" customWidth="1"/>
    <col min="36" max="16384" width="9.00390625" style="15" customWidth="1"/>
  </cols>
  <sheetData>
    <row r="1" spans="12:21" ht="15.75">
      <c r="L1" s="30"/>
      <c r="M1" s="30"/>
      <c r="N1" s="155"/>
      <c r="Q1" s="20"/>
      <c r="U1" s="20"/>
    </row>
    <row r="2" ht="15.75">
      <c r="AI2" s="256" t="s">
        <v>355</v>
      </c>
    </row>
    <row r="3" spans="2:35" ht="15.75" customHeight="1">
      <c r="B3" s="473" t="s">
        <v>544</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row>
    <row r="4" spans="31:33" ht="16.5" customHeight="1">
      <c r="AE4" s="16"/>
      <c r="AF4" s="33"/>
      <c r="AG4" s="16"/>
    </row>
    <row r="5" spans="2:35" ht="33" customHeight="1">
      <c r="B5" s="478" t="s">
        <v>0</v>
      </c>
      <c r="C5" s="478" t="s">
        <v>1</v>
      </c>
      <c r="D5" s="478" t="s">
        <v>2</v>
      </c>
      <c r="E5" s="436" t="s">
        <v>256</v>
      </c>
      <c r="F5" s="436" t="s">
        <v>255</v>
      </c>
      <c r="G5" s="436" t="str">
        <f>KOPSAVILKUMS!E4</f>
        <v>2007.-2013.gadam plānotais fnansējums 2</v>
      </c>
      <c r="H5" s="436"/>
      <c r="I5" s="436" t="str">
        <f>KOPSAVILKUMS!G4</f>
        <v>2007.-2011. g.plānotais finansējums 3</v>
      </c>
      <c r="J5" s="436"/>
      <c r="K5" s="436" t="str">
        <f>KOPSAVILKUMS!I4</f>
        <v>Apgūts līdz 1.05.2011.4</v>
      </c>
      <c r="L5" s="436"/>
      <c r="M5" s="436"/>
      <c r="N5" s="436"/>
      <c r="O5" s="478" t="str">
        <f>KOPSAVILKUMS!M4</f>
        <v>Plānotais attiecināmais finansējums pa gadiem (pieaugošā secībā no 2007.gada) 5</v>
      </c>
      <c r="P5" s="484"/>
      <c r="Q5" s="478"/>
      <c r="R5" s="484"/>
      <c r="S5" s="478"/>
      <c r="T5" s="484"/>
      <c r="U5" s="478"/>
      <c r="V5" s="484"/>
      <c r="W5" s="478"/>
      <c r="X5" s="484"/>
      <c r="Y5" s="478"/>
      <c r="Z5" s="484"/>
      <c r="AA5" s="478"/>
      <c r="AB5" s="484"/>
      <c r="AC5" s="478"/>
      <c r="AD5" s="484"/>
      <c r="AE5" s="478"/>
      <c r="AF5" s="484"/>
      <c r="AG5" s="478"/>
      <c r="AH5" s="484"/>
      <c r="AI5" s="478" t="s">
        <v>364</v>
      </c>
    </row>
    <row r="6" spans="2:35" ht="15.75" customHeight="1">
      <c r="B6" s="479"/>
      <c r="C6" s="478"/>
      <c r="D6" s="479"/>
      <c r="E6" s="436"/>
      <c r="F6" s="436"/>
      <c r="G6" s="480" t="s">
        <v>4</v>
      </c>
      <c r="H6" s="463" t="s">
        <v>5</v>
      </c>
      <c r="I6" s="480" t="s">
        <v>4</v>
      </c>
      <c r="J6" s="480" t="s">
        <v>5</v>
      </c>
      <c r="K6" s="480" t="s">
        <v>4</v>
      </c>
      <c r="L6" s="474" t="s">
        <v>6</v>
      </c>
      <c r="M6" s="480" t="s">
        <v>5</v>
      </c>
      <c r="N6" s="474" t="s">
        <v>6</v>
      </c>
      <c r="O6" s="476" t="s">
        <v>7</v>
      </c>
      <c r="P6" s="477"/>
      <c r="Q6" s="476"/>
      <c r="R6" s="477"/>
      <c r="S6" s="476" t="s">
        <v>8</v>
      </c>
      <c r="T6" s="477"/>
      <c r="U6" s="476"/>
      <c r="V6" s="477"/>
      <c r="W6" s="476" t="s">
        <v>9</v>
      </c>
      <c r="X6" s="477"/>
      <c r="Y6" s="476"/>
      <c r="Z6" s="477"/>
      <c r="AA6" s="476" t="s">
        <v>10</v>
      </c>
      <c r="AB6" s="477"/>
      <c r="AC6" s="476"/>
      <c r="AD6" s="477"/>
      <c r="AE6" s="476" t="s">
        <v>11</v>
      </c>
      <c r="AF6" s="477"/>
      <c r="AG6" s="476"/>
      <c r="AH6" s="477"/>
      <c r="AI6" s="478"/>
    </row>
    <row r="7" spans="2:35" ht="86.25" customHeight="1">
      <c r="B7" s="479"/>
      <c r="C7" s="482"/>
      <c r="D7" s="479"/>
      <c r="E7" s="434"/>
      <c r="F7" s="434"/>
      <c r="G7" s="481"/>
      <c r="H7" s="464"/>
      <c r="I7" s="481"/>
      <c r="J7" s="481"/>
      <c r="K7" s="481"/>
      <c r="L7" s="475"/>
      <c r="M7" s="481"/>
      <c r="N7" s="483"/>
      <c r="O7" s="158" t="s">
        <v>4</v>
      </c>
      <c r="P7" s="157" t="s">
        <v>6</v>
      </c>
      <c r="Q7" s="26" t="s">
        <v>5</v>
      </c>
      <c r="R7" s="157" t="s">
        <v>6</v>
      </c>
      <c r="S7" s="26" t="s">
        <v>4</v>
      </c>
      <c r="T7" s="157" t="s">
        <v>6</v>
      </c>
      <c r="U7" s="26" t="s">
        <v>5</v>
      </c>
      <c r="V7" s="157" t="s">
        <v>6</v>
      </c>
      <c r="W7" s="26" t="s">
        <v>4</v>
      </c>
      <c r="X7" s="157" t="s">
        <v>6</v>
      </c>
      <c r="Y7" s="26" t="s">
        <v>5</v>
      </c>
      <c r="Z7" s="157" t="s">
        <v>6</v>
      </c>
      <c r="AA7" s="26" t="s">
        <v>4</v>
      </c>
      <c r="AB7" s="157" t="s">
        <v>6</v>
      </c>
      <c r="AC7" s="26" t="s">
        <v>5</v>
      </c>
      <c r="AD7" s="157" t="s">
        <v>6</v>
      </c>
      <c r="AE7" s="26" t="s">
        <v>4</v>
      </c>
      <c r="AF7" s="157" t="s">
        <v>6</v>
      </c>
      <c r="AG7" s="26" t="s">
        <v>5</v>
      </c>
      <c r="AH7" s="157" t="s">
        <v>6</v>
      </c>
      <c r="AI7" s="482"/>
    </row>
    <row r="8" spans="2:35" s="133" customFormat="1" ht="151.5" customHeight="1">
      <c r="B8" s="399">
        <v>1</v>
      </c>
      <c r="C8" s="399" t="s">
        <v>12</v>
      </c>
      <c r="D8" s="399" t="s">
        <v>220</v>
      </c>
      <c r="E8" s="348">
        <v>126</v>
      </c>
      <c r="F8" s="386" t="s">
        <v>503</v>
      </c>
      <c r="G8" s="301">
        <v>2550000</v>
      </c>
      <c r="H8" s="301">
        <v>2550000</v>
      </c>
      <c r="I8" s="301">
        <v>1890734</v>
      </c>
      <c r="J8" s="301">
        <f>I8</f>
        <v>1890734</v>
      </c>
      <c r="K8" s="301">
        <v>1125674.46</v>
      </c>
      <c r="L8" s="387">
        <f>K8/G8</f>
        <v>0.44144096470588234</v>
      </c>
      <c r="M8" s="301">
        <f>K8</f>
        <v>1125674.46</v>
      </c>
      <c r="N8" s="387">
        <f>M8/H8</f>
        <v>0.44144096470588234</v>
      </c>
      <c r="O8" s="301">
        <v>1801325</v>
      </c>
      <c r="P8" s="387">
        <f>O8/G8</f>
        <v>0.7064019607843137</v>
      </c>
      <c r="Q8" s="301">
        <v>1801325</v>
      </c>
      <c r="R8" s="387">
        <f aca="true" t="shared" si="0" ref="R8:R32">Q8/H8</f>
        <v>0.7064019607843137</v>
      </c>
      <c r="S8" s="301">
        <v>2374637</v>
      </c>
      <c r="T8" s="387">
        <f aca="true" t="shared" si="1" ref="T8:T32">S8/G8</f>
        <v>0.9312301960784314</v>
      </c>
      <c r="U8" s="301">
        <v>2374637</v>
      </c>
      <c r="V8" s="387">
        <f aca="true" t="shared" si="2" ref="V8:V32">U8/H8</f>
        <v>0.9312301960784314</v>
      </c>
      <c r="W8" s="301">
        <v>2469312</v>
      </c>
      <c r="X8" s="387">
        <f>W8/G8</f>
        <v>0.9683576470588235</v>
      </c>
      <c r="Y8" s="301">
        <v>2469312</v>
      </c>
      <c r="Z8" s="387">
        <f>Y8/H8</f>
        <v>0.9683576470588235</v>
      </c>
      <c r="AA8" s="301">
        <v>2550000</v>
      </c>
      <c r="AB8" s="387">
        <f>AA8/G8</f>
        <v>1</v>
      </c>
      <c r="AC8" s="301">
        <v>2550000</v>
      </c>
      <c r="AD8" s="387">
        <f>AC8/H8</f>
        <v>1</v>
      </c>
      <c r="AE8" s="301">
        <v>2550000</v>
      </c>
      <c r="AF8" s="387">
        <f>AE8/G8</f>
        <v>1</v>
      </c>
      <c r="AG8" s="301">
        <v>2550000</v>
      </c>
      <c r="AH8" s="387">
        <f>AG8/H8</f>
        <v>1</v>
      </c>
      <c r="AI8" s="388" t="s">
        <v>512</v>
      </c>
    </row>
    <row r="9" spans="2:35" s="133" customFormat="1" ht="156" customHeight="1">
      <c r="B9" s="399">
        <v>2</v>
      </c>
      <c r="C9" s="399" t="s">
        <v>12</v>
      </c>
      <c r="D9" s="399" t="s">
        <v>221</v>
      </c>
      <c r="E9" s="348">
        <v>72</v>
      </c>
      <c r="F9" s="386" t="s">
        <v>504</v>
      </c>
      <c r="G9" s="301">
        <v>2550000</v>
      </c>
      <c r="H9" s="301">
        <v>2550000</v>
      </c>
      <c r="I9" s="301">
        <v>1088030</v>
      </c>
      <c r="J9" s="301">
        <f>I9</f>
        <v>1088030</v>
      </c>
      <c r="K9" s="301">
        <v>1088030</v>
      </c>
      <c r="L9" s="387">
        <f aca="true" t="shared" si="3" ref="L9:L32">K9/G9</f>
        <v>0.426678431372549</v>
      </c>
      <c r="M9" s="301">
        <f>K9</f>
        <v>1088030</v>
      </c>
      <c r="N9" s="387">
        <f>M9/H9</f>
        <v>0.426678431372549</v>
      </c>
      <c r="O9" s="301">
        <v>1403456</v>
      </c>
      <c r="P9" s="387">
        <f aca="true" t="shared" si="4" ref="P9:P32">O9/G9</f>
        <v>0.5503749019607843</v>
      </c>
      <c r="Q9" s="301">
        <v>1403456</v>
      </c>
      <c r="R9" s="387">
        <f t="shared" si="0"/>
        <v>0.5503749019607843</v>
      </c>
      <c r="S9" s="301">
        <v>2201225</v>
      </c>
      <c r="T9" s="387">
        <f t="shared" si="1"/>
        <v>0.8632254901960784</v>
      </c>
      <c r="U9" s="301">
        <v>2201225</v>
      </c>
      <c r="V9" s="387">
        <f t="shared" si="2"/>
        <v>0.8632254901960784</v>
      </c>
      <c r="W9" s="301">
        <v>2420004</v>
      </c>
      <c r="X9" s="387">
        <f>W9/G9</f>
        <v>0.9490211764705883</v>
      </c>
      <c r="Y9" s="301">
        <v>2420004</v>
      </c>
      <c r="Z9" s="387">
        <f>Y9/H9</f>
        <v>0.9490211764705883</v>
      </c>
      <c r="AA9" s="301">
        <v>2550000</v>
      </c>
      <c r="AB9" s="387">
        <f>AA9/G9</f>
        <v>1</v>
      </c>
      <c r="AC9" s="301">
        <v>2550000</v>
      </c>
      <c r="AD9" s="387">
        <f>AC9/H9</f>
        <v>1</v>
      </c>
      <c r="AE9" s="301">
        <v>2550000</v>
      </c>
      <c r="AF9" s="387">
        <f>AE9/G9</f>
        <v>1</v>
      </c>
      <c r="AG9" s="301">
        <v>2550000</v>
      </c>
      <c r="AH9" s="387">
        <f>AG9/H9</f>
        <v>1</v>
      </c>
      <c r="AI9" s="388" t="s">
        <v>513</v>
      </c>
    </row>
    <row r="10" spans="2:35" s="134" customFormat="1" ht="176.25" customHeight="1">
      <c r="B10" s="399">
        <v>3</v>
      </c>
      <c r="C10" s="399" t="s">
        <v>14</v>
      </c>
      <c r="D10" s="399" t="s">
        <v>222</v>
      </c>
      <c r="E10" s="402">
        <v>41</v>
      </c>
      <c r="F10" s="386" t="s">
        <v>505</v>
      </c>
      <c r="G10" s="301">
        <v>24738700</v>
      </c>
      <c r="H10" s="389">
        <v>21027896</v>
      </c>
      <c r="I10" s="301">
        <v>20979635</v>
      </c>
      <c r="J10" s="301">
        <f>I10</f>
        <v>20979635</v>
      </c>
      <c r="K10" s="301">
        <v>20936095.4</v>
      </c>
      <c r="L10" s="387">
        <f>K10/G10</f>
        <v>0.8462892310428599</v>
      </c>
      <c r="M10" s="301">
        <v>18164008.42</v>
      </c>
      <c r="N10" s="387">
        <f aca="true" t="shared" si="5" ref="N10:N32">M10/H10</f>
        <v>0.8638053193719429</v>
      </c>
      <c r="O10" s="301">
        <v>24151507.05882353</v>
      </c>
      <c r="P10" s="387">
        <f t="shared" si="4"/>
        <v>0.9762641957266764</v>
      </c>
      <c r="Q10" s="301">
        <v>20528781</v>
      </c>
      <c r="R10" s="387">
        <f t="shared" si="0"/>
        <v>0.976264149299578</v>
      </c>
      <c r="S10" s="301">
        <f>G10</f>
        <v>24738700</v>
      </c>
      <c r="T10" s="387">
        <f t="shared" si="1"/>
        <v>1</v>
      </c>
      <c r="U10" s="301">
        <f>H10</f>
        <v>21027896</v>
      </c>
      <c r="V10" s="387">
        <f t="shared" si="2"/>
        <v>1</v>
      </c>
      <c r="W10" s="301">
        <v>24738700</v>
      </c>
      <c r="X10" s="387">
        <v>1</v>
      </c>
      <c r="Y10" s="301">
        <v>21027896</v>
      </c>
      <c r="Z10" s="387">
        <v>1</v>
      </c>
      <c r="AA10" s="301">
        <v>24738700</v>
      </c>
      <c r="AB10" s="387">
        <v>1</v>
      </c>
      <c r="AC10" s="301">
        <v>21027896</v>
      </c>
      <c r="AD10" s="387">
        <v>1</v>
      </c>
      <c r="AE10" s="301">
        <v>24738700</v>
      </c>
      <c r="AF10" s="387">
        <v>1</v>
      </c>
      <c r="AG10" s="301">
        <v>21027896</v>
      </c>
      <c r="AH10" s="387">
        <v>1</v>
      </c>
      <c r="AI10" s="388" t="s">
        <v>514</v>
      </c>
    </row>
    <row r="11" spans="2:35" s="134" customFormat="1" ht="141" customHeight="1" thickBot="1">
      <c r="B11" s="399">
        <v>4</v>
      </c>
      <c r="C11" s="399" t="s">
        <v>14</v>
      </c>
      <c r="D11" s="399" t="s">
        <v>223</v>
      </c>
      <c r="E11" s="402">
        <v>23</v>
      </c>
      <c r="F11" s="386" t="s">
        <v>533</v>
      </c>
      <c r="G11" s="301">
        <v>2997841</v>
      </c>
      <c r="H11" s="389">
        <v>2548164</v>
      </c>
      <c r="I11" s="301">
        <v>2166206</v>
      </c>
      <c r="J11" s="301">
        <f>I11</f>
        <v>2166206</v>
      </c>
      <c r="K11" s="301">
        <v>1783423.82</v>
      </c>
      <c r="L11" s="387">
        <f t="shared" si="3"/>
        <v>0.5949027383373569</v>
      </c>
      <c r="M11" s="301">
        <v>1473386.6</v>
      </c>
      <c r="N11" s="387">
        <f>M11/H11</f>
        <v>0.5782149814533131</v>
      </c>
      <c r="O11" s="301">
        <v>2371720</v>
      </c>
      <c r="P11" s="387">
        <f t="shared" si="4"/>
        <v>0.7911426923576</v>
      </c>
      <c r="Q11" s="301">
        <v>2015962</v>
      </c>
      <c r="R11" s="387">
        <f t="shared" si="0"/>
        <v>0.7911429562618418</v>
      </c>
      <c r="S11" s="301">
        <f>G11</f>
        <v>2997841</v>
      </c>
      <c r="T11" s="387">
        <f t="shared" si="1"/>
        <v>1</v>
      </c>
      <c r="U11" s="301">
        <f>H11</f>
        <v>2548164</v>
      </c>
      <c r="V11" s="387">
        <f t="shared" si="2"/>
        <v>1</v>
      </c>
      <c r="W11" s="301">
        <v>2997841</v>
      </c>
      <c r="X11" s="387">
        <v>1</v>
      </c>
      <c r="Y11" s="301">
        <v>2548164</v>
      </c>
      <c r="Z11" s="387">
        <v>1</v>
      </c>
      <c r="AA11" s="301">
        <v>2997841</v>
      </c>
      <c r="AB11" s="387">
        <v>1</v>
      </c>
      <c r="AC11" s="301">
        <v>2548164</v>
      </c>
      <c r="AD11" s="387">
        <v>1</v>
      </c>
      <c r="AE11" s="301">
        <v>2997841</v>
      </c>
      <c r="AF11" s="387">
        <v>1</v>
      </c>
      <c r="AG11" s="301">
        <v>2548164</v>
      </c>
      <c r="AH11" s="387">
        <v>1</v>
      </c>
      <c r="AI11" s="388" t="s">
        <v>515</v>
      </c>
    </row>
    <row r="12" spans="2:35" s="135" customFormat="1" ht="94.5" customHeight="1" thickBot="1">
      <c r="B12" s="399">
        <v>5</v>
      </c>
      <c r="C12" s="399" t="s">
        <v>14</v>
      </c>
      <c r="D12" s="399" t="s">
        <v>148</v>
      </c>
      <c r="E12" s="402">
        <v>47</v>
      </c>
      <c r="F12" s="390" t="s">
        <v>506</v>
      </c>
      <c r="G12" s="301">
        <v>96944798</v>
      </c>
      <c r="H12" s="301">
        <v>96944798</v>
      </c>
      <c r="I12" s="301">
        <v>35268308</v>
      </c>
      <c r="J12" s="301">
        <f>I12</f>
        <v>35268308</v>
      </c>
      <c r="K12" s="348">
        <v>12572786.64</v>
      </c>
      <c r="L12" s="387">
        <f>K12/G12</f>
        <v>0.12969016284917115</v>
      </c>
      <c r="M12" s="348">
        <f>K12</f>
        <v>12572786.64</v>
      </c>
      <c r="N12" s="387">
        <f>M12/H12</f>
        <v>0.12969016284917115</v>
      </c>
      <c r="O12" s="348">
        <f>Q12</f>
        <v>38318539.64</v>
      </c>
      <c r="P12" s="387">
        <f t="shared" si="4"/>
        <v>0.39526143156232063</v>
      </c>
      <c r="Q12" s="348">
        <f>M12+25745753</f>
        <v>38318539.64</v>
      </c>
      <c r="R12" s="387">
        <f t="shared" si="0"/>
        <v>0.39526143156232063</v>
      </c>
      <c r="S12" s="348">
        <f>U12</f>
        <v>65825730.64</v>
      </c>
      <c r="T12" s="387">
        <f t="shared" si="1"/>
        <v>0.6790021950429975</v>
      </c>
      <c r="U12" s="348">
        <f>Q12+27507191</f>
        <v>65825730.64</v>
      </c>
      <c r="V12" s="387">
        <f t="shared" si="2"/>
        <v>0.6790021950429975</v>
      </c>
      <c r="W12" s="348">
        <f>Y12</f>
        <v>78579960.64</v>
      </c>
      <c r="X12" s="387">
        <f aca="true" t="shared" si="6" ref="X12:X32">W12/G12</f>
        <v>0.81056397311798</v>
      </c>
      <c r="Y12" s="348">
        <f>U12+12754230</f>
        <v>78579960.64</v>
      </c>
      <c r="Z12" s="387">
        <f aca="true" t="shared" si="7" ref="Z12:Z32">Y12/H12</f>
        <v>0.81056397311798</v>
      </c>
      <c r="AA12" s="348">
        <f>AC12</f>
        <v>82664278.64</v>
      </c>
      <c r="AB12" s="387">
        <f>AA12/G12</f>
        <v>0.8526943203285647</v>
      </c>
      <c r="AC12" s="348">
        <f>Y12+4084318</f>
        <v>82664278.64</v>
      </c>
      <c r="AD12" s="387">
        <f>AC12/H12</f>
        <v>0.8526943203285647</v>
      </c>
      <c r="AE12" s="301">
        <f>G12</f>
        <v>96944798</v>
      </c>
      <c r="AF12" s="387">
        <f>AE12/G12</f>
        <v>1</v>
      </c>
      <c r="AG12" s="301">
        <f>H12</f>
        <v>96944798</v>
      </c>
      <c r="AH12" s="387">
        <f>AG12/H12</f>
        <v>1</v>
      </c>
      <c r="AI12" s="391" t="s">
        <v>516</v>
      </c>
    </row>
    <row r="13" spans="2:35" s="134" customFormat="1" ht="69" customHeight="1">
      <c r="B13" s="399">
        <v>6</v>
      </c>
      <c r="C13" s="399" t="s">
        <v>14</v>
      </c>
      <c r="D13" s="399" t="s">
        <v>224</v>
      </c>
      <c r="E13" s="402">
        <v>0</v>
      </c>
      <c r="F13" s="348" t="s">
        <v>41</v>
      </c>
      <c r="G13" s="301">
        <v>3000000</v>
      </c>
      <c r="H13" s="301">
        <v>2550001</v>
      </c>
      <c r="I13" s="301">
        <v>0</v>
      </c>
      <c r="J13" s="301">
        <v>0</v>
      </c>
      <c r="K13" s="301">
        <v>0</v>
      </c>
      <c r="L13" s="387">
        <f t="shared" si="3"/>
        <v>0</v>
      </c>
      <c r="M13" s="301">
        <v>0</v>
      </c>
      <c r="N13" s="387">
        <f t="shared" si="5"/>
        <v>0</v>
      </c>
      <c r="O13" s="301">
        <v>0</v>
      </c>
      <c r="P13" s="387">
        <f t="shared" si="4"/>
        <v>0</v>
      </c>
      <c r="Q13" s="301">
        <v>0</v>
      </c>
      <c r="R13" s="387">
        <f t="shared" si="0"/>
        <v>0</v>
      </c>
      <c r="S13" s="301">
        <v>900000</v>
      </c>
      <c r="T13" s="387">
        <f t="shared" si="1"/>
        <v>0.3</v>
      </c>
      <c r="U13" s="301">
        <v>765000</v>
      </c>
      <c r="V13" s="387">
        <f t="shared" si="2"/>
        <v>0.2999998823529873</v>
      </c>
      <c r="W13" s="301">
        <v>3000000</v>
      </c>
      <c r="X13" s="404">
        <f t="shared" si="6"/>
        <v>1</v>
      </c>
      <c r="Y13" s="301">
        <v>2550001</v>
      </c>
      <c r="Z13" s="404">
        <f t="shared" si="7"/>
        <v>1</v>
      </c>
      <c r="AA13" s="301">
        <v>2550001</v>
      </c>
      <c r="AB13" s="387">
        <v>1.0000003921568628</v>
      </c>
      <c r="AC13" s="301">
        <v>2550001</v>
      </c>
      <c r="AD13" s="387">
        <v>1</v>
      </c>
      <c r="AE13" s="301">
        <v>3000001.1764705884</v>
      </c>
      <c r="AF13" s="387">
        <v>1.0000003921568628</v>
      </c>
      <c r="AG13" s="301">
        <v>2550001</v>
      </c>
      <c r="AH13" s="387">
        <v>1</v>
      </c>
      <c r="AI13" s="392" t="s">
        <v>517</v>
      </c>
    </row>
    <row r="14" spans="2:37" s="131" customFormat="1" ht="115.5" customHeight="1">
      <c r="B14" s="399">
        <v>7</v>
      </c>
      <c r="C14" s="402" t="s">
        <v>14</v>
      </c>
      <c r="D14" s="393" t="s">
        <v>186</v>
      </c>
      <c r="E14" s="394">
        <v>244</v>
      </c>
      <c r="F14" s="402" t="s">
        <v>507</v>
      </c>
      <c r="G14" s="395">
        <v>118644711.16686</v>
      </c>
      <c r="H14" s="403">
        <v>100848003.261924</v>
      </c>
      <c r="I14" s="403">
        <v>34507357</v>
      </c>
      <c r="J14" s="403">
        <v>32777956</v>
      </c>
      <c r="K14" s="403">
        <v>22807634.65</v>
      </c>
      <c r="L14" s="404">
        <f>K14/G14</f>
        <v>0.19223473533450397</v>
      </c>
      <c r="M14" s="395">
        <v>21515045.57</v>
      </c>
      <c r="N14" s="404">
        <f t="shared" si="5"/>
        <v>0.21334131439489973</v>
      </c>
      <c r="O14" s="395">
        <f>Q14*100/85</f>
        <v>44318278.31764706</v>
      </c>
      <c r="P14" s="404">
        <f t="shared" si="4"/>
        <v>0.373537748811395</v>
      </c>
      <c r="Q14" s="395">
        <f>M14+16155491</f>
        <v>37670536.57</v>
      </c>
      <c r="R14" s="404">
        <f t="shared" si="0"/>
        <v>0.3735377533669308</v>
      </c>
      <c r="S14" s="395">
        <f>U14*100/85</f>
        <v>59124451.25882353</v>
      </c>
      <c r="T14" s="404">
        <f t="shared" si="1"/>
        <v>0.4983319583093077</v>
      </c>
      <c r="U14" s="395">
        <f>Q14+12585247</f>
        <v>50255783.57</v>
      </c>
      <c r="V14" s="404">
        <f t="shared" si="2"/>
        <v>0.49833196438679006</v>
      </c>
      <c r="W14" s="395">
        <f>Y14*100/85</f>
        <v>83935973.6117647</v>
      </c>
      <c r="X14" s="404">
        <f t="shared" si="6"/>
        <v>0.7074565126945987</v>
      </c>
      <c r="Y14" s="395">
        <f>U14+21089794</f>
        <v>71345577.57</v>
      </c>
      <c r="Z14" s="404">
        <f t="shared" si="7"/>
        <v>0.7074565213224911</v>
      </c>
      <c r="AA14" s="395">
        <f>AC14*100/85</f>
        <v>108747495.96470588</v>
      </c>
      <c r="AB14" s="404">
        <f aca="true" t="shared" si="8" ref="AB14:AB25">AA14/G14</f>
        <v>0.9165810670798901</v>
      </c>
      <c r="AC14" s="395">
        <f>Y14+21089794</f>
        <v>92435371.57</v>
      </c>
      <c r="AD14" s="404">
        <f aca="true" t="shared" si="9" ref="AD14:AD25">AC14/H14</f>
        <v>0.9165810782581923</v>
      </c>
      <c r="AE14" s="395">
        <f>G14</f>
        <v>118644711.16686</v>
      </c>
      <c r="AF14" s="404">
        <f aca="true" t="shared" si="10" ref="AF14:AF25">AE14/G14</f>
        <v>1</v>
      </c>
      <c r="AG14" s="395">
        <f>H14</f>
        <v>100848003.261924</v>
      </c>
      <c r="AH14" s="404">
        <f aca="true" t="shared" si="11" ref="AH14:AH25">AG14/H14</f>
        <v>1</v>
      </c>
      <c r="AI14" s="405" t="s">
        <v>518</v>
      </c>
      <c r="AJ14" s="132"/>
      <c r="AK14" s="132"/>
    </row>
    <row r="15" spans="2:37" s="131" customFormat="1" ht="60.75" customHeight="1">
      <c r="B15" s="399">
        <v>8</v>
      </c>
      <c r="C15" s="400" t="s">
        <v>14</v>
      </c>
      <c r="D15" s="319" t="s">
        <v>187</v>
      </c>
      <c r="E15" s="401">
        <v>0</v>
      </c>
      <c r="F15" s="402" t="s">
        <v>41</v>
      </c>
      <c r="G15" s="403">
        <v>2125000</v>
      </c>
      <c r="H15" s="403">
        <v>2125000</v>
      </c>
      <c r="I15" s="403">
        <v>0</v>
      </c>
      <c r="J15" s="403">
        <v>0</v>
      </c>
      <c r="K15" s="403">
        <v>0</v>
      </c>
      <c r="L15" s="404">
        <f t="shared" si="3"/>
        <v>0</v>
      </c>
      <c r="M15" s="403">
        <v>0</v>
      </c>
      <c r="N15" s="404">
        <f t="shared" si="5"/>
        <v>0</v>
      </c>
      <c r="O15" s="403">
        <v>0</v>
      </c>
      <c r="P15" s="404">
        <f t="shared" si="4"/>
        <v>0</v>
      </c>
      <c r="Q15" s="403">
        <v>0</v>
      </c>
      <c r="R15" s="404">
        <f t="shared" si="0"/>
        <v>0</v>
      </c>
      <c r="S15" s="403">
        <f>U15</f>
        <v>637500</v>
      </c>
      <c r="T15" s="404">
        <f t="shared" si="1"/>
        <v>0.3</v>
      </c>
      <c r="U15" s="403">
        <v>637500</v>
      </c>
      <c r="V15" s="404">
        <f t="shared" si="2"/>
        <v>0.3</v>
      </c>
      <c r="W15" s="403">
        <f>Y15</f>
        <v>1806250</v>
      </c>
      <c r="X15" s="404">
        <f t="shared" si="6"/>
        <v>0.85</v>
      </c>
      <c r="Y15" s="403">
        <f>U15+1168750</f>
        <v>1806250</v>
      </c>
      <c r="Z15" s="404">
        <f t="shared" si="7"/>
        <v>0.85</v>
      </c>
      <c r="AA15" s="403">
        <f>G15</f>
        <v>2125000</v>
      </c>
      <c r="AB15" s="404">
        <f t="shared" si="8"/>
        <v>1</v>
      </c>
      <c r="AC15" s="403">
        <f>H15</f>
        <v>2125000</v>
      </c>
      <c r="AD15" s="404">
        <f t="shared" si="9"/>
        <v>1</v>
      </c>
      <c r="AE15" s="403">
        <v>2125000</v>
      </c>
      <c r="AF15" s="404">
        <f t="shared" si="10"/>
        <v>1</v>
      </c>
      <c r="AG15" s="403">
        <v>2125000</v>
      </c>
      <c r="AH15" s="404">
        <f t="shared" si="11"/>
        <v>1</v>
      </c>
      <c r="AI15" s="405" t="s">
        <v>338</v>
      </c>
      <c r="AJ15" s="132"/>
      <c r="AK15" s="132"/>
    </row>
    <row r="16" spans="2:37" s="131" customFormat="1" ht="68.25" customHeight="1">
      <c r="B16" s="399">
        <v>9</v>
      </c>
      <c r="C16" s="400" t="s">
        <v>14</v>
      </c>
      <c r="D16" s="319" t="s">
        <v>188</v>
      </c>
      <c r="E16" s="401">
        <v>2</v>
      </c>
      <c r="F16" s="402" t="s">
        <v>259</v>
      </c>
      <c r="G16" s="403">
        <v>33383190</v>
      </c>
      <c r="H16" s="403">
        <v>23368233</v>
      </c>
      <c r="I16" s="403">
        <v>9006138</v>
      </c>
      <c r="J16" s="403">
        <f>I16*0.7</f>
        <v>6304296.6</v>
      </c>
      <c r="K16" s="403">
        <v>0</v>
      </c>
      <c r="L16" s="404">
        <f t="shared" si="3"/>
        <v>0</v>
      </c>
      <c r="M16" s="403">
        <v>0</v>
      </c>
      <c r="N16" s="404">
        <f t="shared" si="5"/>
        <v>0</v>
      </c>
      <c r="O16" s="403">
        <f>Q16*100/70</f>
        <v>7508568.571428572</v>
      </c>
      <c r="P16" s="404">
        <f t="shared" si="4"/>
        <v>0.22492064333661857</v>
      </c>
      <c r="Q16" s="403">
        <v>5255998</v>
      </c>
      <c r="R16" s="404">
        <f t="shared" si="0"/>
        <v>0.22492064333661857</v>
      </c>
      <c r="S16" s="403">
        <f>U16*100/70</f>
        <v>22149591.42857143</v>
      </c>
      <c r="T16" s="404">
        <f t="shared" si="1"/>
        <v>0.6634953528578733</v>
      </c>
      <c r="U16" s="403">
        <f>Q16+10248716</f>
        <v>15504714</v>
      </c>
      <c r="V16" s="404">
        <f t="shared" si="2"/>
        <v>0.6634953528578733</v>
      </c>
      <c r="W16" s="403">
        <f>Y16*100/70</f>
        <v>31367440</v>
      </c>
      <c r="X16" s="404">
        <f t="shared" si="6"/>
        <v>0.9396178136361444</v>
      </c>
      <c r="Y16" s="403">
        <f>U16+6452494</f>
        <v>21957208</v>
      </c>
      <c r="Z16" s="404">
        <f t="shared" si="7"/>
        <v>0.9396178136361444</v>
      </c>
      <c r="AA16" s="403">
        <f>G16</f>
        <v>33383190</v>
      </c>
      <c r="AB16" s="404">
        <f t="shared" si="8"/>
        <v>1</v>
      </c>
      <c r="AC16" s="403">
        <f>H16</f>
        <v>23368233</v>
      </c>
      <c r="AD16" s="404">
        <f t="shared" si="9"/>
        <v>1</v>
      </c>
      <c r="AE16" s="403">
        <v>33383190</v>
      </c>
      <c r="AF16" s="404">
        <f t="shared" si="10"/>
        <v>1</v>
      </c>
      <c r="AG16" s="403">
        <v>23368233</v>
      </c>
      <c r="AH16" s="404">
        <f t="shared" si="11"/>
        <v>1</v>
      </c>
      <c r="AI16" s="405" t="s">
        <v>339</v>
      </c>
      <c r="AJ16" s="132"/>
      <c r="AK16" s="132"/>
    </row>
    <row r="17" spans="2:37" s="131" customFormat="1" ht="84" customHeight="1">
      <c r="B17" s="399">
        <v>10</v>
      </c>
      <c r="C17" s="400" t="s">
        <v>14</v>
      </c>
      <c r="D17" s="319" t="s">
        <v>189</v>
      </c>
      <c r="E17" s="401">
        <v>3</v>
      </c>
      <c r="F17" s="402" t="s">
        <v>378</v>
      </c>
      <c r="G17" s="403">
        <v>7606694</v>
      </c>
      <c r="H17" s="403">
        <v>7028040</v>
      </c>
      <c r="I17" s="403">
        <v>719190</v>
      </c>
      <c r="J17" s="403">
        <f>I17</f>
        <v>719190</v>
      </c>
      <c r="K17" s="403">
        <v>846105.86</v>
      </c>
      <c r="L17" s="404">
        <f t="shared" si="3"/>
        <v>0.11123174666944667</v>
      </c>
      <c r="M17" s="403">
        <v>719189.99</v>
      </c>
      <c r="N17" s="404">
        <f t="shared" si="5"/>
        <v>0.10233151632603116</v>
      </c>
      <c r="O17" s="403">
        <f>Q17*100/92</f>
        <v>2772466.293478261</v>
      </c>
      <c r="P17" s="404">
        <f t="shared" si="4"/>
        <v>0.36447716885657044</v>
      </c>
      <c r="Q17" s="403">
        <f>M17+1831479</f>
        <v>2550668.99</v>
      </c>
      <c r="R17" s="404">
        <f t="shared" si="0"/>
        <v>0.36292750041263283</v>
      </c>
      <c r="S17" s="403">
        <f>U17*100/92</f>
        <v>3957631.5108695654</v>
      </c>
      <c r="T17" s="404">
        <f t="shared" si="1"/>
        <v>0.5202827287215136</v>
      </c>
      <c r="U17" s="403">
        <f>Q17+1090352</f>
        <v>3641020.99</v>
      </c>
      <c r="V17" s="404">
        <f t="shared" si="2"/>
        <v>0.5180706128593463</v>
      </c>
      <c r="W17" s="403">
        <f>Y17*100/92</f>
        <v>6737683.684782608</v>
      </c>
      <c r="X17" s="404">
        <f t="shared" si="6"/>
        <v>0.8857571613611128</v>
      </c>
      <c r="Y17" s="403">
        <f>U17+2557648</f>
        <v>6198668.99</v>
      </c>
      <c r="Z17" s="404">
        <f t="shared" si="7"/>
        <v>0.8819911369314916</v>
      </c>
      <c r="AA17" s="403">
        <f>G17</f>
        <v>7606694</v>
      </c>
      <c r="AB17" s="404">
        <f t="shared" si="8"/>
        <v>1</v>
      </c>
      <c r="AC17" s="403">
        <f>H17</f>
        <v>7028040</v>
      </c>
      <c r="AD17" s="404">
        <f t="shared" si="9"/>
        <v>1</v>
      </c>
      <c r="AE17" s="403">
        <f aca="true" t="shared" si="12" ref="AE17:AE25">G17</f>
        <v>7606694</v>
      </c>
      <c r="AF17" s="404">
        <f t="shared" si="10"/>
        <v>1</v>
      </c>
      <c r="AG17" s="403">
        <f aca="true" t="shared" si="13" ref="AG17:AG25">H17</f>
        <v>7028040</v>
      </c>
      <c r="AH17" s="404">
        <f t="shared" si="11"/>
        <v>1</v>
      </c>
      <c r="AI17" s="405" t="s">
        <v>340</v>
      </c>
      <c r="AJ17" s="132"/>
      <c r="AK17" s="132"/>
    </row>
    <row r="18" spans="2:37" s="131" customFormat="1" ht="75.75" customHeight="1">
      <c r="B18" s="399">
        <v>11</v>
      </c>
      <c r="C18" s="400" t="s">
        <v>14</v>
      </c>
      <c r="D18" s="319" t="s">
        <v>190</v>
      </c>
      <c r="E18" s="401">
        <v>1</v>
      </c>
      <c r="F18" s="402" t="s">
        <v>260</v>
      </c>
      <c r="G18" s="403">
        <v>3514020</v>
      </c>
      <c r="H18" s="403">
        <v>3514020</v>
      </c>
      <c r="I18" s="403">
        <v>1351544</v>
      </c>
      <c r="J18" s="403">
        <f>I18</f>
        <v>1351544</v>
      </c>
      <c r="K18" s="403">
        <v>0</v>
      </c>
      <c r="L18" s="404">
        <f t="shared" si="3"/>
        <v>0</v>
      </c>
      <c r="M18" s="403">
        <v>0</v>
      </c>
      <c r="N18" s="404">
        <f t="shared" si="5"/>
        <v>0</v>
      </c>
      <c r="O18" s="403">
        <f>Q18</f>
        <v>1242874</v>
      </c>
      <c r="P18" s="404">
        <f t="shared" si="4"/>
        <v>0.3536900757536952</v>
      </c>
      <c r="Q18" s="403">
        <v>1242874</v>
      </c>
      <c r="R18" s="404">
        <f t="shared" si="0"/>
        <v>0.3536900757536952</v>
      </c>
      <c r="S18" s="403">
        <f>U18</f>
        <v>2216535</v>
      </c>
      <c r="T18" s="404">
        <f t="shared" si="1"/>
        <v>0.6307690337562109</v>
      </c>
      <c r="U18" s="403">
        <f>Q18+973661</f>
        <v>2216535</v>
      </c>
      <c r="V18" s="404">
        <f t="shared" si="2"/>
        <v>0.6307690337562109</v>
      </c>
      <c r="W18" s="403">
        <f>Y18</f>
        <v>3297773</v>
      </c>
      <c r="X18" s="404">
        <f t="shared" si="6"/>
        <v>0.9384616479132162</v>
      </c>
      <c r="Y18" s="403">
        <f>U18+1081238</f>
        <v>3297773</v>
      </c>
      <c r="Z18" s="404">
        <f t="shared" si="7"/>
        <v>0.9384616479132162</v>
      </c>
      <c r="AA18" s="403">
        <f>G18</f>
        <v>3514020</v>
      </c>
      <c r="AB18" s="404">
        <f t="shared" si="8"/>
        <v>1</v>
      </c>
      <c r="AC18" s="403">
        <f>H18</f>
        <v>3514020</v>
      </c>
      <c r="AD18" s="404">
        <f t="shared" si="9"/>
        <v>1</v>
      </c>
      <c r="AE18" s="403">
        <f t="shared" si="12"/>
        <v>3514020</v>
      </c>
      <c r="AF18" s="404">
        <f t="shared" si="10"/>
        <v>1</v>
      </c>
      <c r="AG18" s="403">
        <f t="shared" si="13"/>
        <v>3514020</v>
      </c>
      <c r="AH18" s="404">
        <f t="shared" si="11"/>
        <v>1</v>
      </c>
      <c r="AI18" s="405" t="s">
        <v>519</v>
      </c>
      <c r="AJ18" s="132"/>
      <c r="AK18" s="132"/>
    </row>
    <row r="19" spans="1:37" s="198" customFormat="1" ht="39.75" customHeight="1">
      <c r="A19" s="425"/>
      <c r="B19" s="399">
        <v>12</v>
      </c>
      <c r="C19" s="400" t="s">
        <v>36</v>
      </c>
      <c r="D19" s="319" t="s">
        <v>287</v>
      </c>
      <c r="E19" s="402">
        <v>0</v>
      </c>
      <c r="F19" s="402" t="s">
        <v>41</v>
      </c>
      <c r="G19" s="403">
        <v>13022545</v>
      </c>
      <c r="H19" s="403">
        <v>11069163</v>
      </c>
      <c r="I19" s="403">
        <v>0</v>
      </c>
      <c r="J19" s="403">
        <v>0</v>
      </c>
      <c r="K19" s="403">
        <v>0</v>
      </c>
      <c r="L19" s="404">
        <v>0</v>
      </c>
      <c r="M19" s="403">
        <v>0</v>
      </c>
      <c r="N19" s="404">
        <v>0</v>
      </c>
      <c r="O19" s="403">
        <v>0</v>
      </c>
      <c r="P19" s="404">
        <f t="shared" si="4"/>
        <v>0</v>
      </c>
      <c r="Q19" s="403">
        <v>0</v>
      </c>
      <c r="R19" s="404">
        <f t="shared" si="0"/>
        <v>0</v>
      </c>
      <c r="S19" s="403">
        <f>U19*100/85</f>
        <v>4557890.588235294</v>
      </c>
      <c r="T19" s="404">
        <f t="shared" si="1"/>
        <v>0.3499999875781035</v>
      </c>
      <c r="U19" s="403">
        <v>3874207</v>
      </c>
      <c r="V19" s="404">
        <f t="shared" si="2"/>
        <v>0.34999999548294664</v>
      </c>
      <c r="W19" s="403">
        <f>Y19*100/85</f>
        <v>8464654.11764706</v>
      </c>
      <c r="X19" s="404">
        <f t="shared" si="6"/>
        <v>0.6499999898366302</v>
      </c>
      <c r="Y19" s="403">
        <f>U19+3320749</f>
        <v>7194956</v>
      </c>
      <c r="Z19" s="404">
        <f t="shared" si="7"/>
        <v>0.6500000045170534</v>
      </c>
      <c r="AA19" s="403">
        <f>AC19*100/85</f>
        <v>10418035.294117646</v>
      </c>
      <c r="AB19" s="404">
        <f t="shared" si="8"/>
        <v>0.7999999457953607</v>
      </c>
      <c r="AC19" s="403">
        <f>Y19+1660374</f>
        <v>8855330</v>
      </c>
      <c r="AD19" s="404">
        <f t="shared" si="9"/>
        <v>0.7999999638635731</v>
      </c>
      <c r="AE19" s="403">
        <f t="shared" si="12"/>
        <v>13022545</v>
      </c>
      <c r="AF19" s="404">
        <f t="shared" si="10"/>
        <v>1</v>
      </c>
      <c r="AG19" s="403">
        <f t="shared" si="13"/>
        <v>11069163</v>
      </c>
      <c r="AH19" s="404">
        <f t="shared" si="11"/>
        <v>1</v>
      </c>
      <c r="AI19" s="405" t="s">
        <v>341</v>
      </c>
      <c r="AJ19" s="426"/>
      <c r="AK19" s="426"/>
    </row>
    <row r="20" spans="2:38" s="131" customFormat="1" ht="76.5">
      <c r="B20" s="399">
        <v>13</v>
      </c>
      <c r="C20" s="400" t="s">
        <v>36</v>
      </c>
      <c r="D20" s="406" t="s">
        <v>191</v>
      </c>
      <c r="E20" s="401">
        <v>84</v>
      </c>
      <c r="F20" s="402" t="s">
        <v>344</v>
      </c>
      <c r="G20" s="403">
        <v>335718511</v>
      </c>
      <c r="H20" s="403">
        <v>301861418</v>
      </c>
      <c r="I20" s="403">
        <v>216610184</v>
      </c>
      <c r="J20" s="403">
        <f>I20*0.96</f>
        <v>207945776.64</v>
      </c>
      <c r="K20" s="403">
        <v>196481186.95</v>
      </c>
      <c r="L20" s="404">
        <f aca="true" t="shared" si="14" ref="L20:L25">K20/G20</f>
        <v>0.5852557440599395</v>
      </c>
      <c r="M20" s="403">
        <v>176981393.38</v>
      </c>
      <c r="N20" s="404">
        <f aca="true" t="shared" si="15" ref="N20:N25">M20/H20</f>
        <v>0.586300145784116</v>
      </c>
      <c r="O20" s="403">
        <f>Q20*100/90</f>
        <v>231989015.97777778</v>
      </c>
      <c r="P20" s="404">
        <f t="shared" si="4"/>
        <v>0.6910224142444674</v>
      </c>
      <c r="Q20" s="403">
        <f>M20+31808721</f>
        <v>208790114.38</v>
      </c>
      <c r="R20" s="404">
        <f t="shared" si="0"/>
        <v>0.6916753911889462</v>
      </c>
      <c r="S20" s="403">
        <f>U20*100/90</f>
        <v>286969773.75555557</v>
      </c>
      <c r="T20" s="404">
        <f t="shared" si="1"/>
        <v>0.854792823013431</v>
      </c>
      <c r="U20" s="403">
        <f>Q20+49482682</f>
        <v>258272796.38</v>
      </c>
      <c r="V20" s="404">
        <f t="shared" si="2"/>
        <v>0.8556005536951397</v>
      </c>
      <c r="W20" s="403">
        <f>Y20*100/90</f>
        <v>314589644.8666667</v>
      </c>
      <c r="X20" s="404">
        <f t="shared" si="6"/>
        <v>0.9370637440563016</v>
      </c>
      <c r="Y20" s="403">
        <f>U20+24857884</f>
        <v>283130680.38</v>
      </c>
      <c r="Z20" s="404">
        <f t="shared" si="7"/>
        <v>0.9379492160869661</v>
      </c>
      <c r="AA20" s="403">
        <f>AC20*100/90</f>
        <v>331985697.0888889</v>
      </c>
      <c r="AB20" s="404">
        <f t="shared" si="8"/>
        <v>0.9888811197809968</v>
      </c>
      <c r="AC20" s="403">
        <f>Y20+15656447</f>
        <v>298787127.38</v>
      </c>
      <c r="AD20" s="404">
        <f t="shared" si="9"/>
        <v>0.9898155562894758</v>
      </c>
      <c r="AE20" s="403">
        <f t="shared" si="12"/>
        <v>335718511</v>
      </c>
      <c r="AF20" s="404">
        <f t="shared" si="10"/>
        <v>1</v>
      </c>
      <c r="AG20" s="403">
        <f t="shared" si="13"/>
        <v>301861418</v>
      </c>
      <c r="AH20" s="404">
        <f t="shared" si="11"/>
        <v>1</v>
      </c>
      <c r="AI20" s="405" t="s">
        <v>345</v>
      </c>
      <c r="AJ20" s="132"/>
      <c r="AK20" s="132"/>
      <c r="AL20" s="132"/>
    </row>
    <row r="21" spans="2:37" s="131" customFormat="1" ht="73.5" customHeight="1">
      <c r="B21" s="399">
        <v>14</v>
      </c>
      <c r="C21" s="400" t="s">
        <v>36</v>
      </c>
      <c r="D21" s="406" t="s">
        <v>192</v>
      </c>
      <c r="E21" s="401">
        <v>50</v>
      </c>
      <c r="F21" s="396" t="s">
        <v>346</v>
      </c>
      <c r="G21" s="403">
        <v>20257291</v>
      </c>
      <c r="H21" s="403">
        <v>13774958.4</v>
      </c>
      <c r="I21" s="403">
        <v>2940145</v>
      </c>
      <c r="J21" s="403">
        <f>I21</f>
        <v>2940145</v>
      </c>
      <c r="K21" s="403">
        <v>2339408.46</v>
      </c>
      <c r="L21" s="404">
        <f t="shared" si="14"/>
        <v>0.1154847634858975</v>
      </c>
      <c r="M21" s="403">
        <v>2075313.52</v>
      </c>
      <c r="N21" s="404">
        <f t="shared" si="15"/>
        <v>0.15065842376700025</v>
      </c>
      <c r="O21" s="403">
        <f>Q21*100/68</f>
        <v>5542886.05882353</v>
      </c>
      <c r="P21" s="404">
        <f t="shared" si="4"/>
        <v>0.2736242500946217</v>
      </c>
      <c r="Q21" s="403">
        <f>M21+1693849</f>
        <v>3769162.52</v>
      </c>
      <c r="R21" s="404">
        <f t="shared" si="0"/>
        <v>0.27362423976539924</v>
      </c>
      <c r="S21" s="403">
        <f>U21*100/68</f>
        <v>17239402.23529412</v>
      </c>
      <c r="T21" s="404">
        <f t="shared" si="1"/>
        <v>0.8510220954664727</v>
      </c>
      <c r="U21" s="403">
        <f>Q21+7953631</f>
        <v>11722793.52</v>
      </c>
      <c r="V21" s="404">
        <f t="shared" si="2"/>
        <v>0.8510220633406776</v>
      </c>
      <c r="W21" s="403">
        <f>G21</f>
        <v>20257291</v>
      </c>
      <c r="X21" s="404">
        <f t="shared" si="6"/>
        <v>1</v>
      </c>
      <c r="Y21" s="403">
        <f>H21</f>
        <v>13774958.4</v>
      </c>
      <c r="Z21" s="404">
        <f t="shared" si="7"/>
        <v>1</v>
      </c>
      <c r="AA21" s="403">
        <f>G21</f>
        <v>20257291</v>
      </c>
      <c r="AB21" s="404">
        <f t="shared" si="8"/>
        <v>1</v>
      </c>
      <c r="AC21" s="403">
        <f>H21</f>
        <v>13774958.4</v>
      </c>
      <c r="AD21" s="404">
        <f t="shared" si="9"/>
        <v>1</v>
      </c>
      <c r="AE21" s="403">
        <f t="shared" si="12"/>
        <v>20257291</v>
      </c>
      <c r="AF21" s="404">
        <f t="shared" si="10"/>
        <v>1</v>
      </c>
      <c r="AG21" s="403">
        <f t="shared" si="13"/>
        <v>13774958.4</v>
      </c>
      <c r="AH21" s="404">
        <f t="shared" si="11"/>
        <v>1</v>
      </c>
      <c r="AI21" s="405" t="s">
        <v>520</v>
      </c>
      <c r="AJ21" s="132"/>
      <c r="AK21" s="132"/>
    </row>
    <row r="22" spans="2:37" s="131" customFormat="1" ht="51">
      <c r="B22" s="399">
        <v>15</v>
      </c>
      <c r="C22" s="400" t="s">
        <v>36</v>
      </c>
      <c r="D22" s="406" t="s">
        <v>193</v>
      </c>
      <c r="E22" s="401">
        <v>8</v>
      </c>
      <c r="F22" s="402" t="s">
        <v>264</v>
      </c>
      <c r="G22" s="403">
        <v>33155813</v>
      </c>
      <c r="H22" s="403">
        <v>28182440.4</v>
      </c>
      <c r="I22" s="403">
        <v>15467491</v>
      </c>
      <c r="J22" s="403">
        <f>I22</f>
        <v>15467491</v>
      </c>
      <c r="K22" s="403">
        <v>14500474.73</v>
      </c>
      <c r="L22" s="404">
        <f t="shared" si="14"/>
        <v>0.43734336208254043</v>
      </c>
      <c r="M22" s="403">
        <v>13306304.7</v>
      </c>
      <c r="N22" s="404">
        <f t="shared" si="15"/>
        <v>0.4721487745965392</v>
      </c>
      <c r="O22" s="403">
        <f>Q22*100/85</f>
        <v>21315336.11764706</v>
      </c>
      <c r="P22" s="404">
        <f t="shared" si="4"/>
        <v>0.6428838320944523</v>
      </c>
      <c r="Q22" s="403">
        <f>M22+4811731</f>
        <v>18118035.7</v>
      </c>
      <c r="R22" s="404">
        <f t="shared" si="0"/>
        <v>0.6428838469219295</v>
      </c>
      <c r="S22" s="403">
        <f>U22*100/85</f>
        <v>29385349.05882353</v>
      </c>
      <c r="T22" s="404">
        <f t="shared" si="1"/>
        <v>0.8862804558230416</v>
      </c>
      <c r="U22" s="403">
        <f>Q22+6859511</f>
        <v>24977546.7</v>
      </c>
      <c r="V22" s="404">
        <f t="shared" si="2"/>
        <v>0.8862804762642202</v>
      </c>
      <c r="W22" s="403">
        <f>Y22*100/85</f>
        <v>33333456.11764706</v>
      </c>
      <c r="X22" s="404">
        <f t="shared" si="6"/>
        <v>1.0053578272276738</v>
      </c>
      <c r="Y22" s="403">
        <f>U22+3355891</f>
        <v>28333437.7</v>
      </c>
      <c r="Z22" s="404">
        <f t="shared" si="7"/>
        <v>1.0053578504152536</v>
      </c>
      <c r="AA22" s="403">
        <f>G22</f>
        <v>33155813</v>
      </c>
      <c r="AB22" s="404">
        <f t="shared" si="8"/>
        <v>1</v>
      </c>
      <c r="AC22" s="403">
        <f>H22</f>
        <v>28182440.4</v>
      </c>
      <c r="AD22" s="404">
        <f t="shared" si="9"/>
        <v>1</v>
      </c>
      <c r="AE22" s="403">
        <f t="shared" si="12"/>
        <v>33155813</v>
      </c>
      <c r="AF22" s="404">
        <f t="shared" si="10"/>
        <v>1</v>
      </c>
      <c r="AG22" s="403">
        <f t="shared" si="13"/>
        <v>28182440.4</v>
      </c>
      <c r="AH22" s="404">
        <f t="shared" si="11"/>
        <v>1</v>
      </c>
      <c r="AI22" s="405" t="s">
        <v>521</v>
      </c>
      <c r="AJ22" s="132"/>
      <c r="AK22" s="132"/>
    </row>
    <row r="23" spans="2:37" s="131" customFormat="1" ht="93.75" customHeight="1">
      <c r="B23" s="399">
        <v>16</v>
      </c>
      <c r="C23" s="400" t="s">
        <v>36</v>
      </c>
      <c r="D23" s="406" t="s">
        <v>194</v>
      </c>
      <c r="E23" s="401">
        <v>5</v>
      </c>
      <c r="F23" s="402" t="s">
        <v>508</v>
      </c>
      <c r="G23" s="403">
        <v>78111439</v>
      </c>
      <c r="H23" s="403">
        <v>39055719</v>
      </c>
      <c r="I23" s="403">
        <v>1923474</v>
      </c>
      <c r="J23" s="403">
        <f>I23</f>
        <v>1923474</v>
      </c>
      <c r="K23" s="403">
        <v>631238.19</v>
      </c>
      <c r="L23" s="404">
        <f t="shared" si="14"/>
        <v>0.008081251582114623</v>
      </c>
      <c r="M23" s="403">
        <v>479778.54</v>
      </c>
      <c r="N23" s="404">
        <f t="shared" si="15"/>
        <v>0.012284463128178488</v>
      </c>
      <c r="O23" s="403">
        <f>Q23*100/50</f>
        <v>4806505.08</v>
      </c>
      <c r="P23" s="404">
        <f t="shared" si="4"/>
        <v>0.06153394613559737</v>
      </c>
      <c r="Q23" s="403">
        <f>M23+1923474</f>
        <v>2403252.54</v>
      </c>
      <c r="R23" s="404">
        <f t="shared" si="0"/>
        <v>0.06153394692336864</v>
      </c>
      <c r="S23" s="403">
        <f>U23*100/50</f>
        <v>11960195.08</v>
      </c>
      <c r="T23" s="404">
        <f t="shared" si="1"/>
        <v>0.15311707520840834</v>
      </c>
      <c r="U23" s="403">
        <f>Q23+3576845</f>
        <v>5980097.54</v>
      </c>
      <c r="V23" s="404">
        <f t="shared" si="2"/>
        <v>0.1531170771686472</v>
      </c>
      <c r="W23" s="403">
        <f>Y23*100/50</f>
        <v>35690859.08</v>
      </c>
      <c r="X23" s="404">
        <f t="shared" si="6"/>
        <v>0.4569223091639625</v>
      </c>
      <c r="Y23" s="403">
        <f>U23+11865332</f>
        <v>17845429.54</v>
      </c>
      <c r="Z23" s="404">
        <f t="shared" si="7"/>
        <v>0.45692231501358355</v>
      </c>
      <c r="AA23" s="403">
        <f>AC23*100/50</f>
        <v>61468909.08</v>
      </c>
      <c r="AB23" s="404">
        <f t="shared" si="8"/>
        <v>0.7869386336615819</v>
      </c>
      <c r="AC23" s="403">
        <f>Y23+12889025</f>
        <v>30734454.54</v>
      </c>
      <c r="AD23" s="404">
        <f t="shared" si="9"/>
        <v>0.7869386437361453</v>
      </c>
      <c r="AE23" s="403">
        <f t="shared" si="12"/>
        <v>78111439</v>
      </c>
      <c r="AF23" s="404">
        <f t="shared" si="10"/>
        <v>1</v>
      </c>
      <c r="AG23" s="403">
        <f t="shared" si="13"/>
        <v>39055719</v>
      </c>
      <c r="AH23" s="404">
        <f t="shared" si="11"/>
        <v>1</v>
      </c>
      <c r="AI23" s="405" t="s">
        <v>522</v>
      </c>
      <c r="AJ23" s="132"/>
      <c r="AK23" s="132"/>
    </row>
    <row r="24" spans="2:37" s="131" customFormat="1" ht="92.25" customHeight="1">
      <c r="B24" s="399">
        <v>17</v>
      </c>
      <c r="C24" s="400" t="s">
        <v>36</v>
      </c>
      <c r="D24" s="397" t="s">
        <v>263</v>
      </c>
      <c r="E24" s="401">
        <v>1</v>
      </c>
      <c r="F24" s="402" t="s">
        <v>260</v>
      </c>
      <c r="G24" s="403">
        <v>4568226</v>
      </c>
      <c r="H24" s="403">
        <v>4568226</v>
      </c>
      <c r="I24" s="403">
        <v>1397630</v>
      </c>
      <c r="J24" s="403">
        <f>I24</f>
        <v>1397630</v>
      </c>
      <c r="K24" s="403">
        <v>158954.52</v>
      </c>
      <c r="L24" s="404">
        <f t="shared" si="14"/>
        <v>0.03479567779702668</v>
      </c>
      <c r="M24" s="403">
        <f>K24</f>
        <v>158954.52</v>
      </c>
      <c r="N24" s="404">
        <f t="shared" si="15"/>
        <v>0.03479567779702668</v>
      </c>
      <c r="O24" s="403">
        <f>Q24</f>
        <v>1030886</v>
      </c>
      <c r="P24" s="404">
        <f t="shared" si="4"/>
        <v>0.22566440451939113</v>
      </c>
      <c r="Q24" s="403">
        <v>1030886</v>
      </c>
      <c r="R24" s="404">
        <f t="shared" si="0"/>
        <v>0.22566440451939113</v>
      </c>
      <c r="S24" s="403">
        <f>U24</f>
        <v>2307738</v>
      </c>
      <c r="T24" s="404">
        <f t="shared" si="1"/>
        <v>0.5051715917732617</v>
      </c>
      <c r="U24" s="403">
        <f>Q24+1276852</f>
        <v>2307738</v>
      </c>
      <c r="V24" s="404">
        <f t="shared" si="2"/>
        <v>0.5051715917732617</v>
      </c>
      <c r="W24" s="403">
        <f>Y24</f>
        <v>3980408</v>
      </c>
      <c r="X24" s="404">
        <f t="shared" si="6"/>
        <v>0.8713246673872965</v>
      </c>
      <c r="Y24" s="403">
        <f>U24+1672670</f>
        <v>3980408</v>
      </c>
      <c r="Z24" s="404">
        <f t="shared" si="7"/>
        <v>0.8713246673872965</v>
      </c>
      <c r="AA24" s="403">
        <f>G24</f>
        <v>4568226</v>
      </c>
      <c r="AB24" s="404">
        <f t="shared" si="8"/>
        <v>1</v>
      </c>
      <c r="AC24" s="403">
        <f>H24</f>
        <v>4568226</v>
      </c>
      <c r="AD24" s="404">
        <f t="shared" si="9"/>
        <v>1</v>
      </c>
      <c r="AE24" s="403">
        <f t="shared" si="12"/>
        <v>4568226</v>
      </c>
      <c r="AF24" s="404">
        <f t="shared" si="10"/>
        <v>1</v>
      </c>
      <c r="AG24" s="403">
        <f t="shared" si="13"/>
        <v>4568226</v>
      </c>
      <c r="AH24" s="404">
        <f t="shared" si="11"/>
        <v>1</v>
      </c>
      <c r="AI24" s="405" t="s">
        <v>342</v>
      </c>
      <c r="AJ24" s="132"/>
      <c r="AK24" s="132"/>
    </row>
    <row r="25" spans="2:37" s="131" customFormat="1" ht="66.75" customHeight="1">
      <c r="B25" s="399">
        <v>18</v>
      </c>
      <c r="C25" s="400" t="s">
        <v>36</v>
      </c>
      <c r="D25" s="406" t="s">
        <v>261</v>
      </c>
      <c r="E25" s="401">
        <v>9</v>
      </c>
      <c r="F25" s="402" t="s">
        <v>262</v>
      </c>
      <c r="G25" s="403">
        <v>7967465</v>
      </c>
      <c r="H25" s="403">
        <v>7168601</v>
      </c>
      <c r="I25" s="403">
        <f>3729797+111182</f>
        <v>3840979</v>
      </c>
      <c r="J25" s="403">
        <f>I25*0.9</f>
        <v>3456881.1</v>
      </c>
      <c r="K25" s="403">
        <f>1311128.27</f>
        <v>1311128.27</v>
      </c>
      <c r="L25" s="404">
        <f t="shared" si="14"/>
        <v>0.16456027983806643</v>
      </c>
      <c r="M25" s="403">
        <v>1114459.02</v>
      </c>
      <c r="N25" s="404">
        <f t="shared" si="15"/>
        <v>0.15546394896298454</v>
      </c>
      <c r="O25" s="403">
        <f>Q25*100/90</f>
        <v>4253842.244444445</v>
      </c>
      <c r="P25" s="404">
        <f t="shared" si="4"/>
        <v>0.5339015915908567</v>
      </c>
      <c r="Q25" s="403">
        <f>M25+2713999</f>
        <v>3828458.02</v>
      </c>
      <c r="R25" s="404">
        <f t="shared" si="0"/>
        <v>0.534059298320551</v>
      </c>
      <c r="S25" s="403">
        <f>U25*100/90</f>
        <v>4727947.799999999</v>
      </c>
      <c r="T25" s="404">
        <f t="shared" si="1"/>
        <v>0.5934067862237234</v>
      </c>
      <c r="U25" s="403">
        <f>Q25+426695</f>
        <v>4255153.02</v>
      </c>
      <c r="V25" s="404">
        <f t="shared" si="2"/>
        <v>0.5935820699185238</v>
      </c>
      <c r="W25" s="403">
        <f>Y25*100/90</f>
        <v>7401654.466666667</v>
      </c>
      <c r="X25" s="404">
        <f t="shared" si="6"/>
        <v>0.9289848736915276</v>
      </c>
      <c r="Y25" s="403">
        <f>U25+2406336</f>
        <v>6661489.02</v>
      </c>
      <c r="Z25" s="404">
        <f t="shared" si="7"/>
        <v>0.9292592822504697</v>
      </c>
      <c r="AA25" s="403">
        <f>G25</f>
        <v>7967465</v>
      </c>
      <c r="AB25" s="404">
        <f t="shared" si="8"/>
        <v>1</v>
      </c>
      <c r="AC25" s="403">
        <f>H25</f>
        <v>7168601</v>
      </c>
      <c r="AD25" s="404">
        <f t="shared" si="9"/>
        <v>1</v>
      </c>
      <c r="AE25" s="403">
        <f t="shared" si="12"/>
        <v>7967465</v>
      </c>
      <c r="AF25" s="404">
        <f t="shared" si="10"/>
        <v>1</v>
      </c>
      <c r="AG25" s="403">
        <f t="shared" si="13"/>
        <v>7168601</v>
      </c>
      <c r="AH25" s="404">
        <f t="shared" si="11"/>
        <v>1</v>
      </c>
      <c r="AI25" s="405" t="s">
        <v>343</v>
      </c>
      <c r="AJ25" s="132"/>
      <c r="AK25" s="132"/>
    </row>
    <row r="26" spans="2:35" s="134" customFormat="1" ht="195.75" customHeight="1">
      <c r="B26" s="399">
        <v>19</v>
      </c>
      <c r="C26" s="399" t="s">
        <v>14</v>
      </c>
      <c r="D26" s="399" t="s">
        <v>225</v>
      </c>
      <c r="E26" s="402">
        <v>63</v>
      </c>
      <c r="F26" s="386" t="s">
        <v>509</v>
      </c>
      <c r="G26" s="301">
        <v>209216720</v>
      </c>
      <c r="H26" s="389">
        <v>177834211</v>
      </c>
      <c r="I26" s="301">
        <v>118652508</v>
      </c>
      <c r="J26" s="301">
        <f>I26</f>
        <v>118652508</v>
      </c>
      <c r="K26" s="301">
        <v>103777059.55</v>
      </c>
      <c r="L26" s="387">
        <f t="shared" si="3"/>
        <v>0.4960266060475472</v>
      </c>
      <c r="M26" s="301">
        <v>96375610.9</v>
      </c>
      <c r="N26" s="387">
        <f t="shared" si="5"/>
        <v>0.541940779325076</v>
      </c>
      <c r="O26" s="301">
        <f>Q26*100/85</f>
        <v>153728156.3529412</v>
      </c>
      <c r="P26" s="387">
        <f t="shared" si="4"/>
        <v>0.7347794973219214</v>
      </c>
      <c r="Q26" s="301">
        <f>M26+34293322</f>
        <v>130668932.9</v>
      </c>
      <c r="R26" s="387">
        <f t="shared" si="0"/>
        <v>0.7347795014537445</v>
      </c>
      <c r="S26" s="301">
        <f>U26*100/85</f>
        <v>196940797.52941176</v>
      </c>
      <c r="T26" s="387">
        <f t="shared" si="1"/>
        <v>0.9413243718255967</v>
      </c>
      <c r="U26" s="301">
        <f>Q26+36730745</f>
        <v>167399677.9</v>
      </c>
      <c r="V26" s="387">
        <f t="shared" si="2"/>
        <v>0.9413243771188661</v>
      </c>
      <c r="W26" s="301">
        <f>G26</f>
        <v>209216720</v>
      </c>
      <c r="X26" s="387">
        <f t="shared" si="6"/>
        <v>1</v>
      </c>
      <c r="Y26" s="301">
        <f>H26</f>
        <v>177834211</v>
      </c>
      <c r="Z26" s="387">
        <f t="shared" si="7"/>
        <v>1</v>
      </c>
      <c r="AA26" s="301">
        <v>209216720</v>
      </c>
      <c r="AB26" s="387">
        <v>1</v>
      </c>
      <c r="AC26" s="301">
        <v>177834211</v>
      </c>
      <c r="AD26" s="387">
        <v>1</v>
      </c>
      <c r="AE26" s="301">
        <v>209216720</v>
      </c>
      <c r="AF26" s="387">
        <v>1</v>
      </c>
      <c r="AG26" s="301">
        <v>177834211</v>
      </c>
      <c r="AH26" s="387">
        <v>1</v>
      </c>
      <c r="AI26" s="470" t="s">
        <v>523</v>
      </c>
    </row>
    <row r="27" spans="2:35" s="135" customFormat="1" ht="87.75" customHeight="1">
      <c r="B27" s="399">
        <v>20</v>
      </c>
      <c r="C27" s="399" t="s">
        <v>14</v>
      </c>
      <c r="D27" s="399" t="s">
        <v>226</v>
      </c>
      <c r="E27" s="402">
        <v>2</v>
      </c>
      <c r="F27" s="386" t="s">
        <v>510</v>
      </c>
      <c r="G27" s="301">
        <v>8268282</v>
      </c>
      <c r="H27" s="389">
        <v>7028040</v>
      </c>
      <c r="I27" s="301">
        <v>711674</v>
      </c>
      <c r="J27" s="301">
        <f>I27</f>
        <v>711674</v>
      </c>
      <c r="K27" s="301">
        <v>500000</v>
      </c>
      <c r="L27" s="387">
        <f t="shared" si="3"/>
        <v>0.060472054533215004</v>
      </c>
      <c r="M27" s="301">
        <v>487100</v>
      </c>
      <c r="N27" s="387">
        <f t="shared" si="5"/>
        <v>0.06930808589592546</v>
      </c>
      <c r="O27" s="301">
        <f>Q27*100/85</f>
        <v>812125.8823529412</v>
      </c>
      <c r="P27" s="387">
        <f t="shared" si="4"/>
        <v>0.09822184129096483</v>
      </c>
      <c r="Q27" s="301">
        <f>M27+203207</f>
        <v>690307</v>
      </c>
      <c r="R27" s="387">
        <f t="shared" si="0"/>
        <v>0.09822183709825215</v>
      </c>
      <c r="S27" s="301">
        <f>U27*100/85</f>
        <v>5199118.823529412</v>
      </c>
      <c r="T27" s="387">
        <f t="shared" si="1"/>
        <v>0.6288027940422705</v>
      </c>
      <c r="U27" s="301">
        <f>Q27+3728944</f>
        <v>4419251</v>
      </c>
      <c r="V27" s="387">
        <f t="shared" si="2"/>
        <v>0.6288027672010973</v>
      </c>
      <c r="W27" s="301">
        <f>G27</f>
        <v>8268282</v>
      </c>
      <c r="X27" s="387">
        <f t="shared" si="6"/>
        <v>1</v>
      </c>
      <c r="Y27" s="301">
        <f>H27</f>
        <v>7028040</v>
      </c>
      <c r="Z27" s="387">
        <f t="shared" si="7"/>
        <v>1</v>
      </c>
      <c r="AA27" s="301">
        <v>8268282</v>
      </c>
      <c r="AB27" s="387">
        <v>1</v>
      </c>
      <c r="AC27" s="301">
        <v>7028040</v>
      </c>
      <c r="AD27" s="387">
        <v>1</v>
      </c>
      <c r="AE27" s="301">
        <v>8268282</v>
      </c>
      <c r="AF27" s="387">
        <v>1</v>
      </c>
      <c r="AG27" s="301">
        <v>7028040</v>
      </c>
      <c r="AH27" s="387">
        <v>1</v>
      </c>
      <c r="AI27" s="471"/>
    </row>
    <row r="28" spans="2:35" s="135" customFormat="1" ht="87.75" customHeight="1">
      <c r="B28" s="399">
        <v>21</v>
      </c>
      <c r="C28" s="399" t="s">
        <v>14</v>
      </c>
      <c r="D28" s="399" t="s">
        <v>283</v>
      </c>
      <c r="E28" s="402">
        <v>0</v>
      </c>
      <c r="F28" s="386" t="s">
        <v>511</v>
      </c>
      <c r="G28" s="301">
        <v>9484400</v>
      </c>
      <c r="H28" s="389">
        <v>8061739</v>
      </c>
      <c r="I28" s="301">
        <v>0</v>
      </c>
      <c r="J28" s="400">
        <v>0</v>
      </c>
      <c r="K28" s="301">
        <v>0</v>
      </c>
      <c r="L28" s="387">
        <f t="shared" si="3"/>
        <v>0</v>
      </c>
      <c r="M28" s="301">
        <v>0</v>
      </c>
      <c r="N28" s="387">
        <f t="shared" si="5"/>
        <v>0</v>
      </c>
      <c r="O28" s="301">
        <f>Q28*100/85</f>
        <v>2352941.1764705884</v>
      </c>
      <c r="P28" s="387">
        <f t="shared" si="4"/>
        <v>0.24808540091841216</v>
      </c>
      <c r="Q28" s="301">
        <f>M28+2000000</f>
        <v>2000000</v>
      </c>
      <c r="R28" s="387">
        <f t="shared" si="0"/>
        <v>0.24808543169159905</v>
      </c>
      <c r="S28" s="301">
        <f>U28*100/85</f>
        <v>8307928.235294118</v>
      </c>
      <c r="T28" s="387">
        <f t="shared" si="1"/>
        <v>0.8759571754980935</v>
      </c>
      <c r="U28" s="301">
        <f>Q28+5061739</f>
        <v>7061739</v>
      </c>
      <c r="V28" s="387">
        <f t="shared" si="2"/>
        <v>0.8759572841542005</v>
      </c>
      <c r="W28" s="301">
        <f>G28</f>
        <v>9484400</v>
      </c>
      <c r="X28" s="387">
        <f t="shared" si="6"/>
        <v>1</v>
      </c>
      <c r="Y28" s="301">
        <f>H28</f>
        <v>8061739</v>
      </c>
      <c r="Z28" s="387">
        <f t="shared" si="7"/>
        <v>1</v>
      </c>
      <c r="AA28" s="301">
        <v>9484400</v>
      </c>
      <c r="AB28" s="387">
        <v>1</v>
      </c>
      <c r="AC28" s="301">
        <v>8061739</v>
      </c>
      <c r="AD28" s="387">
        <v>1</v>
      </c>
      <c r="AE28" s="301">
        <v>9484400</v>
      </c>
      <c r="AF28" s="387">
        <v>1</v>
      </c>
      <c r="AG28" s="301">
        <v>8061739</v>
      </c>
      <c r="AH28" s="387">
        <v>1</v>
      </c>
      <c r="AI28" s="472"/>
    </row>
    <row r="29" spans="2:35" s="204" customFormat="1" ht="23.25" customHeight="1">
      <c r="B29" s="84" t="s">
        <v>243</v>
      </c>
      <c r="C29" s="202"/>
      <c r="D29" s="203"/>
      <c r="E29" s="254">
        <f>SUM(E8:E28)</f>
        <v>781</v>
      </c>
      <c r="F29" s="251"/>
      <c r="G29" s="254">
        <f>SUM(G8:G28)</f>
        <v>1017825646.16686</v>
      </c>
      <c r="H29" s="254">
        <f>SUM(H8:H28)</f>
        <v>863658671.061924</v>
      </c>
      <c r="I29" s="254">
        <f>SUM(I8:I28)</f>
        <v>468521227</v>
      </c>
      <c r="J29" s="254">
        <f>SUM(J8:J28)</f>
        <v>455041479.34000003</v>
      </c>
      <c r="K29" s="254">
        <f>SUM(K8:K28)</f>
        <v>380859201.49999994</v>
      </c>
      <c r="L29" s="252">
        <f t="shared" si="3"/>
        <v>0.3741890400721567</v>
      </c>
      <c r="M29" s="254">
        <f>SUM(M8:M28)</f>
        <v>347637036.26</v>
      </c>
      <c r="N29" s="252">
        <f t="shared" si="5"/>
        <v>0.4025166977511589</v>
      </c>
      <c r="O29" s="254">
        <f>SUM(O8:O28)</f>
        <v>549720429.771835</v>
      </c>
      <c r="P29" s="252">
        <f t="shared" si="4"/>
        <v>0.5400929244041813</v>
      </c>
      <c r="Q29" s="254">
        <f>SUM(Q8:Q28)</f>
        <v>482087290.26</v>
      </c>
      <c r="R29" s="252">
        <f t="shared" si="0"/>
        <v>0.5581919181882845</v>
      </c>
      <c r="S29" s="254">
        <f>SUM(S8:S28)</f>
        <v>754719983.9444082</v>
      </c>
      <c r="T29" s="252">
        <f t="shared" si="1"/>
        <v>0.7415022276032148</v>
      </c>
      <c r="U29" s="254">
        <f>SUM(U8:U28)</f>
        <v>657269206.26</v>
      </c>
      <c r="V29" s="252">
        <f t="shared" si="2"/>
        <v>0.7610288975062859</v>
      </c>
      <c r="W29" s="254">
        <f>SUM(W8:W28)</f>
        <v>892038307.5851748</v>
      </c>
      <c r="X29" s="252">
        <f t="shared" si="6"/>
        <v>0.8764156326229336</v>
      </c>
      <c r="Y29" s="254">
        <f>SUM(Y8:Y28)</f>
        <v>768046164.2399999</v>
      </c>
      <c r="Z29" s="252">
        <f t="shared" si="7"/>
        <v>0.8892936410811897</v>
      </c>
      <c r="AA29" s="254">
        <f>SUM(AA8:AA28)</f>
        <v>970218059.0677124</v>
      </c>
      <c r="AB29" s="252">
        <v>1</v>
      </c>
      <c r="AC29" s="254">
        <f>SUM(AC8:AC28)</f>
        <v>827356131.9299998</v>
      </c>
      <c r="AD29" s="252">
        <v>1</v>
      </c>
      <c r="AE29" s="254">
        <f>SUM(AE8:AE28)</f>
        <v>1017825647.3433306</v>
      </c>
      <c r="AF29" s="252">
        <v>1</v>
      </c>
      <c r="AG29" s="254">
        <f>SUM(AG8:AG28)</f>
        <v>863658671.061924</v>
      </c>
      <c r="AH29" s="252">
        <v>1</v>
      </c>
      <c r="AI29" s="253"/>
    </row>
    <row r="30" spans="2:35" s="85" customFormat="1" ht="18.75">
      <c r="B30" s="84" t="s">
        <v>149</v>
      </c>
      <c r="C30" s="84"/>
      <c r="D30" s="84"/>
      <c r="E30" s="254">
        <f>E8+E9</f>
        <v>198</v>
      </c>
      <c r="F30" s="254"/>
      <c r="G30" s="254">
        <f>G8+G9</f>
        <v>5100000</v>
      </c>
      <c r="H30" s="254">
        <f>H8+H9</f>
        <v>5100000</v>
      </c>
      <c r="I30" s="254">
        <f>I8+I9</f>
        <v>2978764</v>
      </c>
      <c r="J30" s="254">
        <f>J8+J9</f>
        <v>2978764</v>
      </c>
      <c r="K30" s="254">
        <f>K8+K9</f>
        <v>2213704.46</v>
      </c>
      <c r="L30" s="252">
        <f t="shared" si="3"/>
        <v>0.4340596980392157</v>
      </c>
      <c r="M30" s="254">
        <f>M8+M9</f>
        <v>2213704.46</v>
      </c>
      <c r="N30" s="252">
        <f t="shared" si="5"/>
        <v>0.4340596980392157</v>
      </c>
      <c r="O30" s="254">
        <f>O8+O9</f>
        <v>3204781</v>
      </c>
      <c r="P30" s="252">
        <f t="shared" si="4"/>
        <v>0.6283884313725491</v>
      </c>
      <c r="Q30" s="254">
        <f>Q8+Q9</f>
        <v>3204781</v>
      </c>
      <c r="R30" s="252">
        <f t="shared" si="0"/>
        <v>0.6283884313725491</v>
      </c>
      <c r="S30" s="254">
        <f>S8+S9</f>
        <v>4575862</v>
      </c>
      <c r="T30" s="252">
        <f t="shared" si="1"/>
        <v>0.8972278431372549</v>
      </c>
      <c r="U30" s="254">
        <f>U8+U9</f>
        <v>4575862</v>
      </c>
      <c r="V30" s="252">
        <f t="shared" si="2"/>
        <v>0.8972278431372549</v>
      </c>
      <c r="W30" s="254">
        <f>W8+W9</f>
        <v>4889316</v>
      </c>
      <c r="X30" s="252">
        <f t="shared" si="6"/>
        <v>0.9586894117647059</v>
      </c>
      <c r="Y30" s="254">
        <f>Y8+Y9</f>
        <v>4889316</v>
      </c>
      <c r="Z30" s="252">
        <f t="shared" si="7"/>
        <v>0.9586894117647059</v>
      </c>
      <c r="AA30" s="254">
        <f>AA8+AA9</f>
        <v>5100000</v>
      </c>
      <c r="AB30" s="252">
        <v>1</v>
      </c>
      <c r="AC30" s="254">
        <f>AC8+AC9</f>
        <v>5100000</v>
      </c>
      <c r="AD30" s="252">
        <v>1</v>
      </c>
      <c r="AE30" s="254">
        <f>AE8+AE9</f>
        <v>5100000</v>
      </c>
      <c r="AF30" s="252">
        <v>1</v>
      </c>
      <c r="AG30" s="254">
        <f>AG8+AG9</f>
        <v>5100000</v>
      </c>
      <c r="AH30" s="252">
        <v>1</v>
      </c>
      <c r="AI30" s="255"/>
    </row>
    <row r="31" spans="2:35" s="85" customFormat="1" ht="18.75">
      <c r="B31" s="84" t="s">
        <v>150</v>
      </c>
      <c r="C31" s="84"/>
      <c r="D31" s="84"/>
      <c r="E31" s="254">
        <f>E10+E11+E12+E13+E14+E15+E16+E17+E18+E26+E27+E28</f>
        <v>426</v>
      </c>
      <c r="F31" s="254"/>
      <c r="G31" s="254">
        <f>G10+G11+G12+G13+G14+G15+G16+G17+G18+G26+G27+G28</f>
        <v>519924356.16686</v>
      </c>
      <c r="H31" s="254">
        <f>H10+H11+H12+H13+H14+H15+H16+H17+H18+H26+H27+H28</f>
        <v>452878145.261924</v>
      </c>
      <c r="I31" s="254">
        <f>I10+I11+I12+I13+I14+I15+I16+I17+I18+I26+I27+I28</f>
        <v>223362560</v>
      </c>
      <c r="J31" s="254">
        <f>J10+J11+J12+J13+J14+J15+J16+J17+J18+J26+J27+J28</f>
        <v>218931317.6</v>
      </c>
      <c r="K31" s="254">
        <f>K10+K11+K12+K13+K14+K15+K16+K17+K18+K26+K27+K28</f>
        <v>163223105.92</v>
      </c>
      <c r="L31" s="252">
        <f t="shared" si="3"/>
        <v>0.3139362562726655</v>
      </c>
      <c r="M31" s="254">
        <f>M10+M11+M12+M13+M14+M15+M16+M17+M18+M26+M27+M28</f>
        <v>151307128.12</v>
      </c>
      <c r="N31" s="252">
        <f t="shared" si="5"/>
        <v>0.3341011919055862</v>
      </c>
      <c r="O31" s="254">
        <f>O10+O11+O12+O13+O14+O15+O16+O17+O18+O26+O27+O28</f>
        <v>277577177.29314214</v>
      </c>
      <c r="P31" s="252">
        <f t="shared" si="4"/>
        <v>0.533879926956257</v>
      </c>
      <c r="Q31" s="254">
        <f>Q10+Q11+Q12+Q13+Q14+Q15+Q16+Q17+Q18+Q26+Q27+Q28</f>
        <v>240942600.10000002</v>
      </c>
      <c r="R31" s="252">
        <f t="shared" si="0"/>
        <v>0.5320252315568238</v>
      </c>
      <c r="S31" s="254">
        <f>S10+S11+S12+S13+S14+S15+S16+S17+S18+S26+S27+S28</f>
        <v>392995825.4264998</v>
      </c>
      <c r="T31" s="252">
        <f t="shared" si="1"/>
        <v>0.7558711584967086</v>
      </c>
      <c r="U31" s="254">
        <f>U10+U11+U12+U13+U14+U15+U16+U17+U18+U26+U27+U28</f>
        <v>341303012.1</v>
      </c>
      <c r="V31" s="252">
        <f t="shared" si="2"/>
        <v>0.7536310057589685</v>
      </c>
      <c r="W31" s="254">
        <f>W10+W11+W12+W13+W14+W15+W16+W17+W18+W26+W27+W28</f>
        <v>463431023.9365473</v>
      </c>
      <c r="X31" s="252">
        <f t="shared" si="6"/>
        <v>0.8913431702895984</v>
      </c>
      <c r="Y31" s="254">
        <f>Y10+Y11+Y12+Y13+Y14+Y15+Y16+Y17+Y18+Y26+Y27+Y28</f>
        <v>402235489.2</v>
      </c>
      <c r="Z31" s="252">
        <f t="shared" si="7"/>
        <v>0.8881759771546612</v>
      </c>
      <c r="AA31" s="254">
        <f>AA10+AA11+AA12+AA13+AA14+AA15+AA16+AA17+AA18+AA26+AA27+AA28</f>
        <v>495296622.60470587</v>
      </c>
      <c r="AB31" s="252">
        <v>1</v>
      </c>
      <c r="AC31" s="254">
        <f>AC10+AC11+AC12+AC13+AC14+AC15+AC16+AC17+AC18+AC26+AC27+AC28</f>
        <v>430184994.21</v>
      </c>
      <c r="AD31" s="252">
        <v>1</v>
      </c>
      <c r="AE31" s="254">
        <f>AE10+AE11+AE12+AE13+AE14+AE15+AE16+AE17+AE18+AE26+AE27+AE28</f>
        <v>519924357.3433306</v>
      </c>
      <c r="AF31" s="252">
        <v>1</v>
      </c>
      <c r="AG31" s="254">
        <f>AG10+AG11+AG12+AG13+AG14+AG15+AG16+AG17+AG18+AG26+AG27+AG28</f>
        <v>452878145.261924</v>
      </c>
      <c r="AH31" s="252">
        <v>1</v>
      </c>
      <c r="AI31" s="255"/>
    </row>
    <row r="32" spans="2:35" s="85" customFormat="1" ht="18.75">
      <c r="B32" s="84" t="s">
        <v>36</v>
      </c>
      <c r="C32" s="84"/>
      <c r="D32" s="84"/>
      <c r="E32" s="254">
        <f>E25+E24+E23+E22+E21+E20+E19</f>
        <v>157</v>
      </c>
      <c r="F32" s="254"/>
      <c r="G32" s="254">
        <f aca="true" t="shared" si="16" ref="G32:AG32">G25+G24+G23+G22+G21+G20+G19</f>
        <v>492801290</v>
      </c>
      <c r="H32" s="254">
        <f t="shared" si="16"/>
        <v>405680525.8</v>
      </c>
      <c r="I32" s="254">
        <f t="shared" si="16"/>
        <v>242179903</v>
      </c>
      <c r="J32" s="254">
        <f t="shared" si="16"/>
        <v>233131397.73999998</v>
      </c>
      <c r="K32" s="254">
        <f t="shared" si="16"/>
        <v>215422391.12</v>
      </c>
      <c r="L32" s="252">
        <f t="shared" si="3"/>
        <v>0.43713844807508523</v>
      </c>
      <c r="M32" s="254">
        <f t="shared" si="16"/>
        <v>194116203.68</v>
      </c>
      <c r="N32" s="252">
        <f t="shared" si="5"/>
        <v>0.4784952477006477</v>
      </c>
      <c r="O32" s="254">
        <f t="shared" si="16"/>
        <v>268938471.4786928</v>
      </c>
      <c r="P32" s="252">
        <f t="shared" si="4"/>
        <v>0.5457341060911038</v>
      </c>
      <c r="Q32" s="254">
        <f t="shared" si="16"/>
        <v>237939909.16</v>
      </c>
      <c r="R32" s="252">
        <f t="shared" si="0"/>
        <v>0.586520412067559</v>
      </c>
      <c r="S32" s="254">
        <f t="shared" si="16"/>
        <v>357148296.5179085</v>
      </c>
      <c r="T32" s="252">
        <f t="shared" si="1"/>
        <v>0.7247308474332698</v>
      </c>
      <c r="U32" s="254">
        <f t="shared" si="16"/>
        <v>311390332.15999997</v>
      </c>
      <c r="V32" s="252">
        <f t="shared" si="2"/>
        <v>0.767575252832114</v>
      </c>
      <c r="W32" s="254">
        <f t="shared" si="16"/>
        <v>423717967.64862746</v>
      </c>
      <c r="X32" s="252">
        <f t="shared" si="6"/>
        <v>0.8598150537483931</v>
      </c>
      <c r="Y32" s="254">
        <f t="shared" si="16"/>
        <v>360921359.03999996</v>
      </c>
      <c r="Z32" s="252">
        <f t="shared" si="7"/>
        <v>0.8896689293336544</v>
      </c>
      <c r="AA32" s="254">
        <f t="shared" si="16"/>
        <v>469821436.4630065</v>
      </c>
      <c r="AB32" s="252">
        <v>1</v>
      </c>
      <c r="AC32" s="254">
        <f t="shared" si="16"/>
        <v>392071137.72</v>
      </c>
      <c r="AD32" s="252">
        <v>1</v>
      </c>
      <c r="AE32" s="254">
        <f t="shared" si="16"/>
        <v>492801290</v>
      </c>
      <c r="AF32" s="252">
        <v>1</v>
      </c>
      <c r="AG32" s="254">
        <f t="shared" si="16"/>
        <v>405680525.8</v>
      </c>
      <c r="AH32" s="252">
        <v>1</v>
      </c>
      <c r="AI32" s="255"/>
    </row>
    <row r="33" spans="2:35" s="86" customFormat="1" ht="24" customHeight="1">
      <c r="B33" s="23" t="str">
        <f>KOPSAVILKUMS!B31</f>
        <v>1 VIS dati uz 02.05.2011.; pieteikto, apstiprināto, noslēgto līgumu un pabeigto projektu skaits</v>
      </c>
      <c r="C33" s="409"/>
      <c r="D33" s="409"/>
      <c r="E33" s="410"/>
      <c r="F33" s="410"/>
      <c r="G33" s="410"/>
      <c r="H33" s="167"/>
      <c r="I33" s="167"/>
      <c r="J33" s="167"/>
      <c r="K33" s="167"/>
      <c r="L33" s="168"/>
      <c r="M33" s="167"/>
      <c r="N33" s="169"/>
      <c r="O33" s="167"/>
      <c r="P33" s="170"/>
      <c r="Q33" s="167"/>
      <c r="R33" s="170"/>
      <c r="S33" s="167"/>
      <c r="T33" s="170"/>
      <c r="U33" s="167"/>
      <c r="V33" s="170"/>
      <c r="W33" s="167"/>
      <c r="X33" s="170"/>
      <c r="Y33" s="167"/>
      <c r="Z33" s="170"/>
      <c r="AA33" s="167"/>
      <c r="AB33" s="170"/>
      <c r="AC33" s="167"/>
      <c r="AD33" s="170"/>
      <c r="AE33" s="167"/>
      <c r="AF33" s="170"/>
      <c r="AG33" s="167"/>
      <c r="AH33" s="170"/>
      <c r="AI33" s="171"/>
    </row>
    <row r="34" spans="2:33" ht="24" customHeight="1">
      <c r="B34" s="23" t="str">
        <f>KOPSAVILKUMS!B32</f>
        <v>2 Pieejamais finansējums atbilstoši  konceptuāli apstiprinātajiem MK protokollēmumiem</v>
      </c>
      <c r="C34" s="411"/>
      <c r="D34" s="411"/>
      <c r="E34" s="411"/>
      <c r="F34" s="411"/>
      <c r="G34" s="411"/>
      <c r="AG34" s="20">
        <f>AG29-AC29</f>
        <v>36302539.13192415</v>
      </c>
    </row>
    <row r="35" spans="2:7" ht="24" customHeight="1">
      <c r="B35" s="23" t="str">
        <f>KOPSAVILKUMS!B33</f>
        <v>3 2007.-2011.g. piešķirtais finansējums</v>
      </c>
      <c r="C35" s="411"/>
      <c r="D35" s="411"/>
      <c r="E35" s="411"/>
      <c r="F35" s="411"/>
      <c r="G35" s="411"/>
    </row>
    <row r="36" spans="2:7" ht="24" customHeight="1">
      <c r="B36" s="23" t="str">
        <f>KOPSAVILKUMS!B34</f>
        <v>4 Kopējie veiktie maksājumi SF finansējuma saņēmējam, t.sk., starpposma maksājumi/ noslēguma maksājumi/ deklarējamie avansi un nedeklarējamie avansi</v>
      </c>
      <c r="C36" s="411"/>
      <c r="D36" s="411"/>
      <c r="E36" s="411"/>
      <c r="F36" s="411"/>
      <c r="G36" s="411"/>
    </row>
    <row r="37" spans="2:7" ht="24" customHeight="1">
      <c r="B37" s="23" t="str">
        <f>KOPSAVILKUMS!B35</f>
        <v>5 DPP noteiktā finansējuma apguve sadalījumā pa gadiem, kumulatīvi</v>
      </c>
      <c r="C37" s="411"/>
      <c r="D37" s="411"/>
      <c r="E37" s="411"/>
      <c r="F37" s="411"/>
      <c r="G37" s="411"/>
    </row>
    <row r="39" spans="7:10" ht="15.75">
      <c r="G39" s="24"/>
      <c r="H39" s="38"/>
      <c r="I39" s="25"/>
      <c r="J39" s="25"/>
    </row>
  </sheetData>
  <sheetProtection/>
  <mergeCells count="25">
    <mergeCell ref="AA6:AD6"/>
    <mergeCell ref="AE6:AH6"/>
    <mergeCell ref="AI5:AI7"/>
    <mergeCell ref="O6:R6"/>
    <mergeCell ref="S6:V6"/>
    <mergeCell ref="M6:M7"/>
    <mergeCell ref="N6:N7"/>
    <mergeCell ref="K5:N5"/>
    <mergeCell ref="O5:AH5"/>
    <mergeCell ref="F5:F7"/>
    <mergeCell ref="G5:H5"/>
    <mergeCell ref="H6:H7"/>
    <mergeCell ref="J6:J7"/>
    <mergeCell ref="I5:J5"/>
    <mergeCell ref="K6:K7"/>
    <mergeCell ref="AI26:AI28"/>
    <mergeCell ref="B3:AI3"/>
    <mergeCell ref="L6:L7"/>
    <mergeCell ref="W6:Z6"/>
    <mergeCell ref="B5:B7"/>
    <mergeCell ref="I6:I7"/>
    <mergeCell ref="G6:G7"/>
    <mergeCell ref="C5:C7"/>
    <mergeCell ref="D5:D7"/>
    <mergeCell ref="E5:E7"/>
  </mergeCells>
  <printOptions horizontalCentered="1"/>
  <pageMargins left="0.1968503937007874" right="0.1968503937007874" top="0.35433070866141736" bottom="0.4330708661417323" header="0.1968503937007874" footer="0.31496062992125984"/>
  <pageSetup fitToHeight="0" fitToWidth="1" horizontalDpi="600" verticalDpi="600" orientation="landscape" paperSize="8" scale="33" r:id="rId1"/>
  <headerFooter>
    <oddFooter>&amp;L&amp;10FMp4_250211_vestules_projekta_pielikums_nr2; Informācija par 1.mērķa Eiropas Savienības struktūrfondu un Kohēzijas fonda projektiem (faktiskā apguve un turpmāk plānotais finansējums  2007.-2013.gada plānošanas periodam) &amp;R&amp;P</oddFooter>
  </headerFooter>
  <colBreaks count="2" manualBreakCount="2">
    <brk id="10" max="36" man="1"/>
    <brk id="18" max="36" man="1"/>
  </colBreaks>
</worksheet>
</file>

<file path=xl/worksheets/sheet6.xml><?xml version="1.0" encoding="utf-8"?>
<worksheet xmlns="http://schemas.openxmlformats.org/spreadsheetml/2006/main" xmlns:r="http://schemas.openxmlformats.org/officeDocument/2006/relationships">
  <sheetPr>
    <pageSetUpPr fitToPage="1"/>
  </sheetPr>
  <dimension ref="B1:AI410"/>
  <sheetViews>
    <sheetView view="pageBreakPreview" zoomScale="71" zoomScaleNormal="75" zoomScaleSheetLayoutView="71" zoomScalePageLayoutView="0" workbookViewId="0" topLeftCell="A1">
      <pane xSplit="8" ySplit="8" topLeftCell="I9" activePane="bottomRight" state="frozen"/>
      <selection pane="topLeft" activeCell="A1" sqref="A1"/>
      <selection pane="topRight" activeCell="H1" sqref="H1"/>
      <selection pane="bottomLeft" activeCell="A9" sqref="A9"/>
      <selection pane="bottomRight" activeCell="G48" sqref="G48"/>
    </sheetView>
  </sheetViews>
  <sheetFormatPr defaultColWidth="9.00390625" defaultRowHeight="15.75"/>
  <cols>
    <col min="1" max="1" width="9.00390625" style="15" customWidth="1"/>
    <col min="2" max="2" width="6.125" style="15" customWidth="1"/>
    <col min="3" max="3" width="5.875" style="15" bestFit="1" customWidth="1"/>
    <col min="4" max="4" width="17.125" style="15" customWidth="1"/>
    <col min="5" max="5" width="8.75390625" style="15" customWidth="1"/>
    <col min="6" max="6" width="13.75390625" style="15" customWidth="1"/>
    <col min="7" max="7" width="12.25390625" style="15" customWidth="1"/>
    <col min="8" max="8" width="11.625" style="15" customWidth="1"/>
    <col min="9" max="9" width="12.00390625" style="15" customWidth="1"/>
    <col min="10" max="10" width="11.75390625" style="15" customWidth="1"/>
    <col min="11" max="11" width="13.125" style="15" customWidth="1"/>
    <col min="12" max="12" width="13.25390625" style="15" customWidth="1"/>
    <col min="13" max="13" width="13.00390625" style="15" customWidth="1"/>
    <col min="14" max="14" width="13.125" style="15" customWidth="1"/>
    <col min="15" max="15" width="12.00390625" style="15" customWidth="1"/>
    <col min="16" max="16" width="10.625" style="15" customWidth="1"/>
    <col min="17" max="17" width="11.375" style="15" customWidth="1"/>
    <col min="18" max="18" width="13.75390625" style="15" customWidth="1"/>
    <col min="19" max="19" width="12.25390625" style="15" customWidth="1"/>
    <col min="20" max="20" width="10.25390625" style="15" customWidth="1"/>
    <col min="21" max="21" width="12.75390625" style="15" customWidth="1"/>
    <col min="22" max="22" width="10.50390625" style="15" customWidth="1"/>
    <col min="23" max="23" width="12.25390625" style="15" customWidth="1"/>
    <col min="24" max="24" width="10.75390625" style="15" customWidth="1"/>
    <col min="25" max="25" width="12.00390625" style="15" customWidth="1"/>
    <col min="26" max="26" width="11.25390625" style="15" customWidth="1"/>
    <col min="27" max="27" width="11.75390625" style="15" customWidth="1"/>
    <col min="28" max="28" width="11.50390625" style="15" customWidth="1"/>
    <col min="29" max="29" width="12.50390625" style="15" customWidth="1"/>
    <col min="30" max="30" width="11.25390625" style="15" customWidth="1"/>
    <col min="31" max="31" width="11.75390625" style="15" customWidth="1"/>
    <col min="32" max="32" width="11.25390625" style="15" customWidth="1"/>
    <col min="33" max="33" width="12.50390625" style="15" customWidth="1"/>
    <col min="34" max="34" width="11.00390625" style="17" customWidth="1"/>
    <col min="35" max="35" width="34.125" style="15" customWidth="1"/>
    <col min="36" max="16384" width="9.00390625" style="15" customWidth="1"/>
  </cols>
  <sheetData>
    <row r="1" spans="18:35" ht="15.75">
      <c r="R1" s="256"/>
      <c r="S1" s="256"/>
      <c r="T1" s="256"/>
      <c r="U1" s="256"/>
      <c r="AI1" s="256" t="s">
        <v>356</v>
      </c>
    </row>
    <row r="2" spans="2:34" ht="15.75" customHeight="1">
      <c r="B2" s="473" t="s">
        <v>244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row>
    <row r="3" spans="31:33" ht="15.75">
      <c r="AE3" s="16"/>
      <c r="AF3" s="16"/>
      <c r="AG3" s="16"/>
    </row>
    <row r="4" spans="2:35" ht="33" customHeight="1">
      <c r="B4" s="478" t="s">
        <v>0</v>
      </c>
      <c r="C4" s="478" t="s">
        <v>1</v>
      </c>
      <c r="D4" s="478" t="s">
        <v>2</v>
      </c>
      <c r="E4" s="436" t="s">
        <v>256</v>
      </c>
      <c r="F4" s="436" t="s">
        <v>255</v>
      </c>
      <c r="G4" s="436" t="str">
        <f>KOPSAVILKUMS!E4</f>
        <v>2007.-2013.gadam plānotais fnansējums 2</v>
      </c>
      <c r="H4" s="436"/>
      <c r="I4" s="436" t="str">
        <f>KOPSAVILKUMS!G4</f>
        <v>2007.-2011. g.plānotais finansējums 3</v>
      </c>
      <c r="J4" s="436"/>
      <c r="K4" s="436" t="str">
        <f>KOPSAVILKUMS!I4</f>
        <v>Apgūts līdz 1.05.2011.4</v>
      </c>
      <c r="L4" s="436"/>
      <c r="M4" s="436"/>
      <c r="N4" s="436"/>
      <c r="O4" s="478" t="str">
        <f>KOPSAVILKUMS!M4</f>
        <v>Plānotais attiecināmais finansējums pa gadiem (pieaugošā secībā no 2007.gada) 5</v>
      </c>
      <c r="P4" s="478"/>
      <c r="Q4" s="478"/>
      <c r="R4" s="478"/>
      <c r="S4" s="478"/>
      <c r="T4" s="478"/>
      <c r="U4" s="478"/>
      <c r="V4" s="478"/>
      <c r="W4" s="478"/>
      <c r="X4" s="478"/>
      <c r="Y4" s="478"/>
      <c r="Z4" s="478"/>
      <c r="AA4" s="478"/>
      <c r="AB4" s="478"/>
      <c r="AC4" s="478"/>
      <c r="AD4" s="478"/>
      <c r="AE4" s="478"/>
      <c r="AF4" s="478"/>
      <c r="AG4" s="478"/>
      <c r="AH4" s="478"/>
      <c r="AI4" s="478" t="s">
        <v>364</v>
      </c>
    </row>
    <row r="5" spans="2:35" ht="15.75" customHeight="1">
      <c r="B5" s="479"/>
      <c r="C5" s="478"/>
      <c r="D5" s="479"/>
      <c r="E5" s="436"/>
      <c r="F5" s="436"/>
      <c r="G5" s="480" t="s">
        <v>4</v>
      </c>
      <c r="H5" s="480" t="s">
        <v>5</v>
      </c>
      <c r="I5" s="480" t="s">
        <v>4</v>
      </c>
      <c r="J5" s="480" t="s">
        <v>5</v>
      </c>
      <c r="K5" s="480" t="s">
        <v>4</v>
      </c>
      <c r="L5" s="478" t="s">
        <v>6</v>
      </c>
      <c r="M5" s="480" t="s">
        <v>5</v>
      </c>
      <c r="N5" s="478" t="s">
        <v>6</v>
      </c>
      <c r="O5" s="476" t="s">
        <v>7</v>
      </c>
      <c r="P5" s="476"/>
      <c r="Q5" s="476"/>
      <c r="R5" s="476"/>
      <c r="S5" s="476" t="s">
        <v>8</v>
      </c>
      <c r="T5" s="476"/>
      <c r="U5" s="476"/>
      <c r="V5" s="476"/>
      <c r="W5" s="476" t="s">
        <v>9</v>
      </c>
      <c r="X5" s="476"/>
      <c r="Y5" s="476"/>
      <c r="Z5" s="476"/>
      <c r="AA5" s="476" t="s">
        <v>10</v>
      </c>
      <c r="AB5" s="476"/>
      <c r="AC5" s="476"/>
      <c r="AD5" s="476"/>
      <c r="AE5" s="476" t="s">
        <v>11</v>
      </c>
      <c r="AF5" s="476"/>
      <c r="AG5" s="476"/>
      <c r="AH5" s="476"/>
      <c r="AI5" s="478"/>
    </row>
    <row r="6" spans="2:35" ht="111" customHeight="1">
      <c r="B6" s="479"/>
      <c r="C6" s="482"/>
      <c r="D6" s="479"/>
      <c r="E6" s="434"/>
      <c r="F6" s="434"/>
      <c r="G6" s="481"/>
      <c r="H6" s="481"/>
      <c r="I6" s="481"/>
      <c r="J6" s="481"/>
      <c r="K6" s="481"/>
      <c r="L6" s="481"/>
      <c r="M6" s="481"/>
      <c r="N6" s="482"/>
      <c r="O6" s="26" t="s">
        <v>4</v>
      </c>
      <c r="P6" s="18" t="s">
        <v>6</v>
      </c>
      <c r="Q6" s="26" t="s">
        <v>5</v>
      </c>
      <c r="R6" s="18" t="s">
        <v>6</v>
      </c>
      <c r="S6" s="26" t="s">
        <v>4</v>
      </c>
      <c r="T6" s="18" t="s">
        <v>6</v>
      </c>
      <c r="U6" s="26" t="s">
        <v>5</v>
      </c>
      <c r="V6" s="18" t="s">
        <v>6</v>
      </c>
      <c r="W6" s="26" t="s">
        <v>4</v>
      </c>
      <c r="X6" s="18" t="s">
        <v>6</v>
      </c>
      <c r="Y6" s="26" t="s">
        <v>5</v>
      </c>
      <c r="Z6" s="18" t="s">
        <v>6</v>
      </c>
      <c r="AA6" s="26" t="s">
        <v>4</v>
      </c>
      <c r="AB6" s="18" t="s">
        <v>6</v>
      </c>
      <c r="AC6" s="26" t="s">
        <v>5</v>
      </c>
      <c r="AD6" s="18" t="s">
        <v>6</v>
      </c>
      <c r="AE6" s="26" t="s">
        <v>4</v>
      </c>
      <c r="AF6" s="18" t="s">
        <v>6</v>
      </c>
      <c r="AG6" s="26" t="s">
        <v>5</v>
      </c>
      <c r="AH6" s="18" t="s">
        <v>6</v>
      </c>
      <c r="AI6" s="479"/>
    </row>
    <row r="7" spans="2:35" ht="20.25" customHeight="1" hidden="1">
      <c r="B7" s="82"/>
      <c r="C7" s="40"/>
      <c r="D7" s="40"/>
      <c r="E7" s="40"/>
      <c r="F7" s="40"/>
      <c r="G7" s="56"/>
      <c r="H7" s="45"/>
      <c r="I7" s="45"/>
      <c r="J7" s="45"/>
      <c r="K7" s="45"/>
      <c r="L7" s="45"/>
      <c r="M7" s="40"/>
      <c r="N7" s="48"/>
      <c r="O7" s="46"/>
      <c r="P7" s="46"/>
      <c r="Q7" s="46"/>
      <c r="R7" s="46"/>
      <c r="S7" s="46"/>
      <c r="T7" s="46"/>
      <c r="U7" s="46"/>
      <c r="V7" s="46"/>
      <c r="W7" s="46"/>
      <c r="X7" s="46"/>
      <c r="Y7" s="46"/>
      <c r="Z7" s="46"/>
      <c r="AA7" s="46"/>
      <c r="AB7" s="46"/>
      <c r="AC7" s="46"/>
      <c r="AD7" s="46"/>
      <c r="AE7" s="47"/>
      <c r="AF7" s="46"/>
      <c r="AG7" s="47"/>
      <c r="AH7" s="46"/>
      <c r="AI7" s="119"/>
    </row>
    <row r="8" spans="2:35" ht="15.75" hidden="1">
      <c r="B8" s="82"/>
      <c r="C8" s="82"/>
      <c r="D8" s="82"/>
      <c r="E8" s="82"/>
      <c r="F8" s="82"/>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28"/>
      <c r="AI8" s="119"/>
    </row>
    <row r="9" spans="2:35" ht="123" customHeight="1">
      <c r="B9" s="68" t="s">
        <v>86</v>
      </c>
      <c r="C9" s="61" t="s">
        <v>14</v>
      </c>
      <c r="D9" s="52" t="s">
        <v>196</v>
      </c>
      <c r="E9" s="61">
        <v>47</v>
      </c>
      <c r="F9" s="61" t="s">
        <v>270</v>
      </c>
      <c r="G9" s="64">
        <v>163711991</v>
      </c>
      <c r="H9" s="65">
        <v>139155192</v>
      </c>
      <c r="I9" s="67">
        <v>58958651</v>
      </c>
      <c r="J9" s="67">
        <f>I9*0.85</f>
        <v>50114853.35</v>
      </c>
      <c r="K9" s="67">
        <v>10483937.95</v>
      </c>
      <c r="L9" s="120">
        <f aca="true" t="shared" si="0" ref="L9:L16">K9/G9</f>
        <v>0.06403891300790544</v>
      </c>
      <c r="M9" s="65">
        <v>8654361.53</v>
      </c>
      <c r="N9" s="121">
        <f aca="true" t="shared" si="1" ref="N9:N16">M9/H9</f>
        <v>0.062192156869001335</v>
      </c>
      <c r="O9" s="67">
        <f>Q9*100/85</f>
        <v>35021621.8</v>
      </c>
      <c r="P9" s="120">
        <f>O9/G9</f>
        <v>0.21392215430328496</v>
      </c>
      <c r="Q9" s="65">
        <f>M9+21114017</f>
        <v>29768378.53</v>
      </c>
      <c r="R9" s="121">
        <f aca="true" t="shared" si="2" ref="R9:R16">Q9/H9</f>
        <v>0.21392215484133714</v>
      </c>
      <c r="S9" s="67">
        <f aca="true" t="shared" si="3" ref="S9:S16">U9*100/85</f>
        <v>66027452.38823529</v>
      </c>
      <c r="T9" s="120">
        <f aca="true" t="shared" si="4" ref="T9:T16">S9/G9</f>
        <v>0.4033146990939429</v>
      </c>
      <c r="U9" s="65">
        <f>Q9+26354956</f>
        <v>56123334.53</v>
      </c>
      <c r="V9" s="121">
        <f aca="true" t="shared" si="5" ref="V9:V16">U9/H9</f>
        <v>0.40331470010835097</v>
      </c>
      <c r="W9" s="67">
        <f aca="true" t="shared" si="6" ref="W9:W15">Y9*100/85</f>
        <v>98588964.15294118</v>
      </c>
      <c r="X9" s="120">
        <f aca="true" t="shared" si="7" ref="X9:X16">W9/G9</f>
        <v>0.602209792640914</v>
      </c>
      <c r="Y9" s="65">
        <f>U9+27677285</f>
        <v>83800619.53</v>
      </c>
      <c r="Z9" s="121">
        <f aca="true" t="shared" si="8" ref="Z9:Z16">Y9/H9</f>
        <v>0.6022097941555785</v>
      </c>
      <c r="AA9" s="67">
        <f>AC9*100/85</f>
        <v>131150475.91764706</v>
      </c>
      <c r="AB9" s="120">
        <f aca="true" t="shared" si="9" ref="AB9:AB16">AA9/G9</f>
        <v>0.8011048861878851</v>
      </c>
      <c r="AC9" s="65">
        <f>Y9+27677285</f>
        <v>111477904.53</v>
      </c>
      <c r="AD9" s="121">
        <f aca="true" t="shared" si="10" ref="AD9:AD16">AC9/H9</f>
        <v>0.801104888202806</v>
      </c>
      <c r="AE9" s="67">
        <f>AG9*100/85</f>
        <v>163711990.03529412</v>
      </c>
      <c r="AF9" s="120">
        <f aca="true" t="shared" si="11" ref="AF9:AF16">AE9/G9</f>
        <v>0.9999999941072986</v>
      </c>
      <c r="AG9" s="65">
        <f>AC9+27677287</f>
        <v>139155191.53</v>
      </c>
      <c r="AH9" s="44">
        <f aca="true" t="shared" si="12" ref="AH9:AH16">AG9/H9</f>
        <v>0.999999996622476</v>
      </c>
      <c r="AI9" s="382" t="s">
        <v>492</v>
      </c>
    </row>
    <row r="10" spans="2:35" ht="179.25" customHeight="1">
      <c r="B10" s="68" t="s">
        <v>90</v>
      </c>
      <c r="C10" s="61" t="s">
        <v>14</v>
      </c>
      <c r="D10" s="52" t="s">
        <v>198</v>
      </c>
      <c r="E10" s="61">
        <v>26</v>
      </c>
      <c r="F10" s="61" t="s">
        <v>271</v>
      </c>
      <c r="G10" s="64">
        <v>59531633</v>
      </c>
      <c r="H10" s="65">
        <v>50601888</v>
      </c>
      <c r="I10" s="65">
        <v>37279871</v>
      </c>
      <c r="J10" s="65">
        <f>I10</f>
        <v>37279871</v>
      </c>
      <c r="K10" s="65">
        <v>10281401.57</v>
      </c>
      <c r="L10" s="120">
        <f t="shared" si="0"/>
        <v>0.1727048470180551</v>
      </c>
      <c r="M10" s="65">
        <v>9845422.19</v>
      </c>
      <c r="N10" s="121">
        <f t="shared" si="1"/>
        <v>0.19456630136013897</v>
      </c>
      <c r="O10" s="65">
        <f>Q10*100/85</f>
        <v>41134644.92941176</v>
      </c>
      <c r="P10" s="120">
        <f aca="true" t="shared" si="13" ref="P10:P26">O10/G10</f>
        <v>0.6909712174267378</v>
      </c>
      <c r="Q10" s="66">
        <f>M10+25119026</f>
        <v>34964448.19</v>
      </c>
      <c r="R10" s="121">
        <f t="shared" si="2"/>
        <v>0.6909712181094902</v>
      </c>
      <c r="S10" s="65">
        <f t="shared" si="3"/>
        <v>49216359.04705882</v>
      </c>
      <c r="T10" s="120">
        <f t="shared" si="4"/>
        <v>0.8267261717322423</v>
      </c>
      <c r="U10" s="66">
        <f>Q10+6869457</f>
        <v>41833905.19</v>
      </c>
      <c r="V10" s="121">
        <f t="shared" si="5"/>
        <v>0.8267261725491348</v>
      </c>
      <c r="W10" s="65">
        <f t="shared" si="6"/>
        <v>55166451.988235295</v>
      </c>
      <c r="X10" s="120">
        <f t="shared" si="7"/>
        <v>0.926674596482769</v>
      </c>
      <c r="Y10" s="66">
        <f>U10+5057579</f>
        <v>46891484.19</v>
      </c>
      <c r="Z10" s="121">
        <f t="shared" si="8"/>
        <v>0.9266745973984212</v>
      </c>
      <c r="AA10" s="67">
        <f>AC10*100/85</f>
        <v>60177242.57647059</v>
      </c>
      <c r="AB10" s="120">
        <f t="shared" si="9"/>
        <v>1.0108448155028873</v>
      </c>
      <c r="AC10" s="67">
        <f>Y10+4259172</f>
        <v>51150656.19</v>
      </c>
      <c r="AD10" s="121">
        <f t="shared" si="10"/>
        <v>1.0108448165017083</v>
      </c>
      <c r="AE10" s="67">
        <v>59531633</v>
      </c>
      <c r="AF10" s="120">
        <f t="shared" si="11"/>
        <v>1</v>
      </c>
      <c r="AG10" s="67">
        <v>50601888</v>
      </c>
      <c r="AH10" s="44">
        <f t="shared" si="12"/>
        <v>1</v>
      </c>
      <c r="AI10" s="382" t="s">
        <v>493</v>
      </c>
    </row>
    <row r="11" spans="2:35" ht="75.75" customHeight="1">
      <c r="B11" s="68" t="s">
        <v>95</v>
      </c>
      <c r="C11" s="61" t="s">
        <v>14</v>
      </c>
      <c r="D11" s="52" t="s">
        <v>199</v>
      </c>
      <c r="E11" s="61">
        <v>83</v>
      </c>
      <c r="F11" s="61" t="s">
        <v>272</v>
      </c>
      <c r="G11" s="64">
        <v>12739935</v>
      </c>
      <c r="H11" s="65">
        <v>10828945</v>
      </c>
      <c r="I11" s="380">
        <v>5612724</v>
      </c>
      <c r="J11" s="327">
        <v>5347796</v>
      </c>
      <c r="K11" s="327">
        <v>3609745.33</v>
      </c>
      <c r="L11" s="354">
        <f t="shared" si="0"/>
        <v>0.2833409534664031</v>
      </c>
      <c r="M11" s="365">
        <v>3337934.75</v>
      </c>
      <c r="N11" s="328">
        <f t="shared" si="1"/>
        <v>0.30824191553286123</v>
      </c>
      <c r="O11" s="327">
        <v>5612724</v>
      </c>
      <c r="P11" s="354">
        <f t="shared" si="13"/>
        <v>0.4405614314358747</v>
      </c>
      <c r="Q11" s="365">
        <v>5347796</v>
      </c>
      <c r="R11" s="121">
        <f t="shared" si="2"/>
        <v>0.49384275199476957</v>
      </c>
      <c r="S11" s="65">
        <f t="shared" si="3"/>
        <v>10452168.235294119</v>
      </c>
      <c r="T11" s="120">
        <f t="shared" si="4"/>
        <v>0.8204255543920843</v>
      </c>
      <c r="U11" s="66">
        <f>Q11+3536547</f>
        <v>8884343</v>
      </c>
      <c r="V11" s="121">
        <f t="shared" si="5"/>
        <v>0.8204255354515144</v>
      </c>
      <c r="W11" s="65">
        <f t="shared" si="6"/>
        <v>12216874.11764706</v>
      </c>
      <c r="X11" s="120">
        <f t="shared" si="7"/>
        <v>0.9589432063544326</v>
      </c>
      <c r="Y11" s="65">
        <f>U11+1500000</f>
        <v>10384343</v>
      </c>
      <c r="Z11" s="121">
        <f t="shared" si="8"/>
        <v>0.9589431842160062</v>
      </c>
      <c r="AA11" s="65">
        <v>12739935</v>
      </c>
      <c r="AB11" s="120">
        <f t="shared" si="9"/>
        <v>1</v>
      </c>
      <c r="AC11" s="65">
        <v>10828945</v>
      </c>
      <c r="AD11" s="121">
        <f t="shared" si="10"/>
        <v>1</v>
      </c>
      <c r="AE11" s="65">
        <v>12739935</v>
      </c>
      <c r="AF11" s="120">
        <f t="shared" si="11"/>
        <v>1</v>
      </c>
      <c r="AG11" s="65">
        <v>10828945</v>
      </c>
      <c r="AH11" s="44">
        <f t="shared" si="12"/>
        <v>1</v>
      </c>
      <c r="AI11" s="382" t="s">
        <v>494</v>
      </c>
    </row>
    <row r="12" spans="2:35" ht="187.5" customHeight="1">
      <c r="B12" s="68" t="s">
        <v>99</v>
      </c>
      <c r="C12" s="61" t="s">
        <v>14</v>
      </c>
      <c r="D12" s="52" t="s">
        <v>200</v>
      </c>
      <c r="E12" s="61">
        <v>8</v>
      </c>
      <c r="F12" s="61" t="s">
        <v>273</v>
      </c>
      <c r="G12" s="64">
        <v>9679041</v>
      </c>
      <c r="H12" s="65">
        <v>8227185</v>
      </c>
      <c r="I12" s="65">
        <v>0</v>
      </c>
      <c r="J12" s="65">
        <v>0</v>
      </c>
      <c r="K12" s="65">
        <v>0</v>
      </c>
      <c r="L12" s="120">
        <f t="shared" si="0"/>
        <v>0</v>
      </c>
      <c r="M12" s="40">
        <v>0</v>
      </c>
      <c r="N12" s="121">
        <f t="shared" si="1"/>
        <v>0</v>
      </c>
      <c r="O12" s="65">
        <f>Q12*100/85</f>
        <v>2063036.4705882352</v>
      </c>
      <c r="P12" s="120">
        <f t="shared" si="13"/>
        <v>0.2131447186336162</v>
      </c>
      <c r="Q12" s="66">
        <f>M12+1753581</f>
        <v>1753581</v>
      </c>
      <c r="R12" s="121">
        <f t="shared" si="2"/>
        <v>0.21314471474751084</v>
      </c>
      <c r="S12" s="65">
        <f t="shared" si="3"/>
        <v>5871038.823529412</v>
      </c>
      <c r="T12" s="120">
        <f t="shared" si="4"/>
        <v>0.6065723684329276</v>
      </c>
      <c r="U12" s="66">
        <f>Q12+3236802</f>
        <v>4990383</v>
      </c>
      <c r="V12" s="121">
        <f t="shared" si="5"/>
        <v>0.6065723573737554</v>
      </c>
      <c r="W12" s="65">
        <f t="shared" si="6"/>
        <v>9679041.176470589</v>
      </c>
      <c r="X12" s="120">
        <f t="shared" si="7"/>
        <v>1.000000018232239</v>
      </c>
      <c r="Y12" s="66">
        <f>U12+3236802</f>
        <v>8227185</v>
      </c>
      <c r="Z12" s="121">
        <f t="shared" si="8"/>
        <v>1</v>
      </c>
      <c r="AA12" s="65">
        <v>9679041</v>
      </c>
      <c r="AB12" s="120">
        <f t="shared" si="9"/>
        <v>1</v>
      </c>
      <c r="AC12" s="66">
        <v>8227185</v>
      </c>
      <c r="AD12" s="121">
        <f t="shared" si="10"/>
        <v>1</v>
      </c>
      <c r="AE12" s="65">
        <v>9679041</v>
      </c>
      <c r="AF12" s="120">
        <f t="shared" si="11"/>
        <v>1</v>
      </c>
      <c r="AG12" s="66">
        <v>8227185</v>
      </c>
      <c r="AH12" s="44">
        <f t="shared" si="12"/>
        <v>1</v>
      </c>
      <c r="AI12" s="382" t="s">
        <v>495</v>
      </c>
    </row>
    <row r="13" spans="2:35" ht="165.75" customHeight="1">
      <c r="B13" s="68" t="s">
        <v>102</v>
      </c>
      <c r="C13" s="61" t="s">
        <v>14</v>
      </c>
      <c r="D13" s="52" t="s">
        <v>201</v>
      </c>
      <c r="E13" s="61">
        <v>2</v>
      </c>
      <c r="F13" s="61" t="s">
        <v>274</v>
      </c>
      <c r="G13" s="64">
        <v>4134141</v>
      </c>
      <c r="H13" s="65">
        <v>3514020</v>
      </c>
      <c r="I13" s="380">
        <v>3483271</v>
      </c>
      <c r="J13" s="327">
        <v>3483271</v>
      </c>
      <c r="K13" s="65">
        <v>3260297.23</v>
      </c>
      <c r="L13" s="120">
        <f t="shared" si="0"/>
        <v>0.7886274875481992</v>
      </c>
      <c r="M13" s="65">
        <v>3231290.2</v>
      </c>
      <c r="N13" s="121">
        <f t="shared" si="1"/>
        <v>0.9195423475108281</v>
      </c>
      <c r="O13" s="65">
        <f>G13</f>
        <v>4134141</v>
      </c>
      <c r="P13" s="120">
        <f t="shared" si="13"/>
        <v>1</v>
      </c>
      <c r="Q13" s="66">
        <f>H13</f>
        <v>3514020</v>
      </c>
      <c r="R13" s="121">
        <f t="shared" si="2"/>
        <v>1</v>
      </c>
      <c r="S13" s="65">
        <f t="shared" si="3"/>
        <v>4134141.1764705884</v>
      </c>
      <c r="T13" s="120">
        <f t="shared" si="4"/>
        <v>1.0000000426861562</v>
      </c>
      <c r="U13" s="64">
        <v>3514020</v>
      </c>
      <c r="V13" s="121">
        <f t="shared" si="5"/>
        <v>1</v>
      </c>
      <c r="W13" s="65">
        <f t="shared" si="6"/>
        <v>4134141.1764705884</v>
      </c>
      <c r="X13" s="120">
        <f t="shared" si="7"/>
        <v>1.0000000426861562</v>
      </c>
      <c r="Y13" s="64">
        <v>3514020</v>
      </c>
      <c r="Z13" s="121">
        <f t="shared" si="8"/>
        <v>1</v>
      </c>
      <c r="AA13" s="64">
        <v>4134141</v>
      </c>
      <c r="AB13" s="120">
        <f t="shared" si="9"/>
        <v>1</v>
      </c>
      <c r="AC13" s="64">
        <v>3514020</v>
      </c>
      <c r="AD13" s="121">
        <f t="shared" si="10"/>
        <v>1</v>
      </c>
      <c r="AE13" s="64">
        <v>4134141</v>
      </c>
      <c r="AF13" s="120">
        <f t="shared" si="11"/>
        <v>1</v>
      </c>
      <c r="AG13" s="64">
        <v>3514020</v>
      </c>
      <c r="AH13" s="44">
        <f t="shared" si="12"/>
        <v>1</v>
      </c>
      <c r="AI13" s="382" t="s">
        <v>496</v>
      </c>
    </row>
    <row r="14" spans="2:35" ht="38.25">
      <c r="B14" s="68" t="s">
        <v>105</v>
      </c>
      <c r="C14" s="61" t="s">
        <v>14</v>
      </c>
      <c r="D14" s="52" t="s">
        <v>202</v>
      </c>
      <c r="E14" s="61">
        <v>2</v>
      </c>
      <c r="F14" s="61" t="s">
        <v>275</v>
      </c>
      <c r="G14" s="64">
        <v>16536565</v>
      </c>
      <c r="H14" s="65">
        <v>14056080</v>
      </c>
      <c r="I14" s="65">
        <v>0</v>
      </c>
      <c r="J14" s="65">
        <v>0</v>
      </c>
      <c r="K14" s="65">
        <v>0</v>
      </c>
      <c r="L14" s="120">
        <f t="shared" si="0"/>
        <v>0</v>
      </c>
      <c r="M14" s="40">
        <v>0</v>
      </c>
      <c r="N14" s="121">
        <f t="shared" si="1"/>
        <v>0</v>
      </c>
      <c r="O14" s="65">
        <v>0</v>
      </c>
      <c r="P14" s="120">
        <f t="shared" si="13"/>
        <v>0</v>
      </c>
      <c r="Q14" s="66">
        <v>0</v>
      </c>
      <c r="R14" s="121">
        <f t="shared" si="2"/>
        <v>0</v>
      </c>
      <c r="S14" s="65">
        <f t="shared" si="3"/>
        <v>11575595.294117646</v>
      </c>
      <c r="T14" s="120">
        <f t="shared" si="4"/>
        <v>0.6999999875498718</v>
      </c>
      <c r="U14" s="65">
        <v>9839256</v>
      </c>
      <c r="V14" s="121">
        <f t="shared" si="5"/>
        <v>0.7</v>
      </c>
      <c r="W14" s="65">
        <f t="shared" si="6"/>
        <v>16536564.705882354</v>
      </c>
      <c r="X14" s="120">
        <f t="shared" si="7"/>
        <v>0.9999999822141027</v>
      </c>
      <c r="Y14" s="65">
        <f>U14+4216824</f>
        <v>14056080</v>
      </c>
      <c r="Z14" s="121">
        <f t="shared" si="8"/>
        <v>1</v>
      </c>
      <c r="AA14" s="65">
        <v>16536565</v>
      </c>
      <c r="AB14" s="120">
        <f t="shared" si="9"/>
        <v>1</v>
      </c>
      <c r="AC14" s="65">
        <v>14056080</v>
      </c>
      <c r="AD14" s="121">
        <f t="shared" si="10"/>
        <v>1</v>
      </c>
      <c r="AE14" s="65">
        <v>16536565</v>
      </c>
      <c r="AF14" s="120">
        <f t="shared" si="11"/>
        <v>1</v>
      </c>
      <c r="AG14" s="65">
        <v>14056080</v>
      </c>
      <c r="AH14" s="44">
        <f t="shared" si="12"/>
        <v>1</v>
      </c>
      <c r="AI14" s="382"/>
    </row>
    <row r="15" spans="2:35" ht="113.25" customHeight="1">
      <c r="B15" s="68" t="s">
        <v>108</v>
      </c>
      <c r="C15" s="61" t="s">
        <v>14</v>
      </c>
      <c r="D15" s="52" t="s">
        <v>203</v>
      </c>
      <c r="E15" s="61">
        <v>0</v>
      </c>
      <c r="F15" s="61" t="s">
        <v>41</v>
      </c>
      <c r="G15" s="64">
        <v>15865857</v>
      </c>
      <c r="H15" s="65">
        <v>13485979</v>
      </c>
      <c r="I15" s="65">
        <v>0</v>
      </c>
      <c r="J15" s="65">
        <v>0</v>
      </c>
      <c r="K15" s="65">
        <v>0</v>
      </c>
      <c r="L15" s="120">
        <f t="shared" si="0"/>
        <v>0</v>
      </c>
      <c r="M15" s="40">
        <v>0</v>
      </c>
      <c r="N15" s="121">
        <f t="shared" si="1"/>
        <v>0</v>
      </c>
      <c r="O15" s="65">
        <v>0</v>
      </c>
      <c r="P15" s="120">
        <f t="shared" si="13"/>
        <v>0</v>
      </c>
      <c r="Q15" s="66">
        <v>0</v>
      </c>
      <c r="R15" s="121">
        <f t="shared" si="2"/>
        <v>0</v>
      </c>
      <c r="S15" s="65">
        <f t="shared" si="3"/>
        <v>6346343.529411765</v>
      </c>
      <c r="T15" s="120">
        <f t="shared" si="4"/>
        <v>0.4000000459736757</v>
      </c>
      <c r="U15" s="45">
        <v>5394392</v>
      </c>
      <c r="V15" s="121">
        <f t="shared" si="5"/>
        <v>0.40000002966043474</v>
      </c>
      <c r="W15" s="65">
        <f t="shared" si="6"/>
        <v>15865857.647058824</v>
      </c>
      <c r="X15" s="120">
        <f t="shared" si="7"/>
        <v>1.0000000407830996</v>
      </c>
      <c r="Y15" s="45">
        <f>U15+8091587</f>
        <v>13485979</v>
      </c>
      <c r="Z15" s="121">
        <f t="shared" si="8"/>
        <v>1</v>
      </c>
      <c r="AA15" s="45">
        <v>15865857</v>
      </c>
      <c r="AB15" s="120">
        <f t="shared" si="9"/>
        <v>1</v>
      </c>
      <c r="AC15" s="45">
        <v>13485979</v>
      </c>
      <c r="AD15" s="121">
        <f t="shared" si="10"/>
        <v>1</v>
      </c>
      <c r="AE15" s="45">
        <v>15865857</v>
      </c>
      <c r="AF15" s="120">
        <f t="shared" si="11"/>
        <v>1</v>
      </c>
      <c r="AG15" s="45">
        <v>13485979</v>
      </c>
      <c r="AH15" s="44">
        <f t="shared" si="12"/>
        <v>1</v>
      </c>
      <c r="AI15" s="382"/>
    </row>
    <row r="16" spans="2:35" ht="63.75">
      <c r="B16" s="68" t="s">
        <v>111</v>
      </c>
      <c r="C16" s="61" t="s">
        <v>14</v>
      </c>
      <c r="D16" s="52" t="s">
        <v>204</v>
      </c>
      <c r="E16" s="61">
        <v>0</v>
      </c>
      <c r="F16" s="61" t="s">
        <v>41</v>
      </c>
      <c r="G16" s="64">
        <v>7702754</v>
      </c>
      <c r="H16" s="65">
        <v>7702754</v>
      </c>
      <c r="I16" s="65">
        <v>0</v>
      </c>
      <c r="J16" s="65">
        <v>0</v>
      </c>
      <c r="K16" s="65">
        <v>0</v>
      </c>
      <c r="L16" s="120">
        <f t="shared" si="0"/>
        <v>0</v>
      </c>
      <c r="M16" s="40">
        <v>0</v>
      </c>
      <c r="N16" s="121">
        <f t="shared" si="1"/>
        <v>0</v>
      </c>
      <c r="O16" s="65">
        <v>0</v>
      </c>
      <c r="P16" s="120">
        <f t="shared" si="13"/>
        <v>0</v>
      </c>
      <c r="Q16" s="66">
        <v>0</v>
      </c>
      <c r="R16" s="121">
        <f t="shared" si="2"/>
        <v>0</v>
      </c>
      <c r="S16" s="65">
        <f t="shared" si="3"/>
        <v>5437238.823529412</v>
      </c>
      <c r="T16" s="120">
        <f t="shared" si="4"/>
        <v>0.7058824445814331</v>
      </c>
      <c r="U16" s="65">
        <v>4621653</v>
      </c>
      <c r="V16" s="121">
        <f t="shared" si="5"/>
        <v>0.600000077894218</v>
      </c>
      <c r="W16" s="65">
        <f>Y16</f>
        <v>7702754</v>
      </c>
      <c r="X16" s="120">
        <f t="shared" si="7"/>
        <v>1</v>
      </c>
      <c r="Y16" s="65">
        <f>U16+3081101</f>
        <v>7702754</v>
      </c>
      <c r="Z16" s="121">
        <f t="shared" si="8"/>
        <v>1</v>
      </c>
      <c r="AA16" s="65">
        <v>7702754</v>
      </c>
      <c r="AB16" s="120">
        <f t="shared" si="9"/>
        <v>1</v>
      </c>
      <c r="AC16" s="65">
        <v>7702754</v>
      </c>
      <c r="AD16" s="121">
        <f t="shared" si="10"/>
        <v>1</v>
      </c>
      <c r="AE16" s="65">
        <v>7702754</v>
      </c>
      <c r="AF16" s="120">
        <f t="shared" si="11"/>
        <v>1</v>
      </c>
      <c r="AG16" s="65">
        <v>7702754</v>
      </c>
      <c r="AH16" s="44">
        <f t="shared" si="12"/>
        <v>1</v>
      </c>
      <c r="AI16" s="382"/>
    </row>
    <row r="17" spans="2:35" ht="81.75" customHeight="1">
      <c r="B17" s="68" t="s">
        <v>115</v>
      </c>
      <c r="C17" s="68" t="s">
        <v>14</v>
      </c>
      <c r="D17" s="52" t="s">
        <v>205</v>
      </c>
      <c r="E17" s="68">
        <v>0</v>
      </c>
      <c r="F17" s="61" t="s">
        <v>41</v>
      </c>
      <c r="G17" s="64">
        <v>0</v>
      </c>
      <c r="H17" s="64">
        <v>0</v>
      </c>
      <c r="I17" s="64">
        <v>0</v>
      </c>
      <c r="J17" s="64">
        <v>0</v>
      </c>
      <c r="K17" s="64">
        <v>0</v>
      </c>
      <c r="L17" s="64">
        <v>0</v>
      </c>
      <c r="M17" s="64">
        <v>0</v>
      </c>
      <c r="N17" s="64">
        <v>0</v>
      </c>
      <c r="O17" s="65">
        <f>G17</f>
        <v>0</v>
      </c>
      <c r="P17" s="120">
        <v>0</v>
      </c>
      <c r="Q17" s="66">
        <f>H17</f>
        <v>0</v>
      </c>
      <c r="R17" s="121">
        <v>0</v>
      </c>
      <c r="S17" s="67">
        <v>0</v>
      </c>
      <c r="T17" s="120">
        <v>0</v>
      </c>
      <c r="U17" s="67">
        <v>0</v>
      </c>
      <c r="V17" s="121">
        <v>0</v>
      </c>
      <c r="W17" s="67">
        <v>0</v>
      </c>
      <c r="X17" s="120">
        <v>0</v>
      </c>
      <c r="Y17" s="67">
        <v>0</v>
      </c>
      <c r="Z17" s="121">
        <v>0</v>
      </c>
      <c r="AA17" s="67">
        <v>0</v>
      </c>
      <c r="AB17" s="120">
        <v>0</v>
      </c>
      <c r="AC17" s="67">
        <v>0</v>
      </c>
      <c r="AD17" s="121">
        <v>0</v>
      </c>
      <c r="AE17" s="67">
        <v>0</v>
      </c>
      <c r="AF17" s="120">
        <v>0</v>
      </c>
      <c r="AG17" s="67">
        <v>0</v>
      </c>
      <c r="AH17" s="44">
        <v>0</v>
      </c>
      <c r="AI17" s="382"/>
    </row>
    <row r="18" spans="2:35" ht="153.75" customHeight="1">
      <c r="B18" s="68">
        <v>10</v>
      </c>
      <c r="C18" s="70" t="s">
        <v>36</v>
      </c>
      <c r="D18" s="71" t="s">
        <v>206</v>
      </c>
      <c r="E18" s="72">
        <v>20</v>
      </c>
      <c r="F18" s="29" t="s">
        <v>379</v>
      </c>
      <c r="G18" s="65">
        <v>246719570</v>
      </c>
      <c r="H18" s="65">
        <v>209711634</v>
      </c>
      <c r="I18" s="197">
        <v>161941989</v>
      </c>
      <c r="J18" s="65">
        <f>I18*0.85</f>
        <v>137650690.65</v>
      </c>
      <c r="K18" s="197">
        <v>55433494.13</v>
      </c>
      <c r="L18" s="120">
        <f aca="true" t="shared" si="14" ref="L18:L23">K18/G18</f>
        <v>0.22468219335012624</v>
      </c>
      <c r="M18" s="65">
        <v>47071389.74</v>
      </c>
      <c r="N18" s="121">
        <f aca="true" t="shared" si="15" ref="N18:N23">M18/H18</f>
        <v>0.22445769384449124</v>
      </c>
      <c r="O18" s="65">
        <f aca="true" t="shared" si="16" ref="O18:O23">Q18*100/85</f>
        <v>131183202.04705882</v>
      </c>
      <c r="P18" s="120">
        <f t="shared" si="13"/>
        <v>0.5317097547108194</v>
      </c>
      <c r="Q18" s="66">
        <f>M18+64434332</f>
        <v>111505721.74000001</v>
      </c>
      <c r="R18" s="121">
        <f aca="true" t="shared" si="17" ref="R18:R26">Q18/H18</f>
        <v>0.5317097559785358</v>
      </c>
      <c r="S18" s="73">
        <f aca="true" t="shared" si="18" ref="S18:S23">U18*100/85</f>
        <v>171718733.81176472</v>
      </c>
      <c r="T18" s="120">
        <f aca="true" t="shared" si="19" ref="T18:T26">S18/G18</f>
        <v>0.6960077541143765</v>
      </c>
      <c r="U18" s="45">
        <f>Q18+34455202</f>
        <v>145960923.74</v>
      </c>
      <c r="V18" s="121">
        <f aca="true" t="shared" si="20" ref="V18:V26">U18/H18</f>
        <v>0.6960077557738166</v>
      </c>
      <c r="W18" s="45">
        <f aca="true" t="shared" si="21" ref="W18:W23">Y18*100/85</f>
        <v>225928130.28235295</v>
      </c>
      <c r="X18" s="120">
        <f aca="true" t="shared" si="22" ref="X18:X26">W18/G18</f>
        <v>0.9157284534921691</v>
      </c>
      <c r="Y18" s="45">
        <f>U18+46077987</f>
        <v>192038910.74</v>
      </c>
      <c r="Z18" s="121">
        <f aca="true" t="shared" si="23" ref="Z18:Z26">Y18/H18</f>
        <v>0.915728455675473</v>
      </c>
      <c r="AA18" s="45">
        <f>AC18*100/85</f>
        <v>252988112.6352941</v>
      </c>
      <c r="AB18" s="120">
        <f aca="true" t="shared" si="24" ref="AB18:AB26">AA18/G18</f>
        <v>1.0254075614483849</v>
      </c>
      <c r="AC18" s="45">
        <f>Y18+23000985</f>
        <v>215039895.74</v>
      </c>
      <c r="AD18" s="121">
        <f aca="true" t="shared" si="25" ref="AD18:AD26">AC18/H18</f>
        <v>1.0254075638931888</v>
      </c>
      <c r="AE18" s="45">
        <v>246719570</v>
      </c>
      <c r="AF18" s="120">
        <f aca="true" t="shared" si="26" ref="AF18:AF26">AE18/G18</f>
        <v>1</v>
      </c>
      <c r="AG18" s="45">
        <v>209711634</v>
      </c>
      <c r="AH18" s="44">
        <f aca="true" t="shared" si="27" ref="AH18:AH26">AG18/H18</f>
        <v>1</v>
      </c>
      <c r="AI18" s="385" t="s">
        <v>497</v>
      </c>
    </row>
    <row r="19" spans="2:35" ht="147.75" customHeight="1">
      <c r="B19" s="68">
        <v>11</v>
      </c>
      <c r="C19" s="70" t="s">
        <v>36</v>
      </c>
      <c r="D19" s="74" t="s">
        <v>207</v>
      </c>
      <c r="E19" s="72">
        <v>4</v>
      </c>
      <c r="F19" s="29" t="s">
        <v>276</v>
      </c>
      <c r="G19" s="65">
        <v>107897943</v>
      </c>
      <c r="H19" s="65">
        <v>91713251</v>
      </c>
      <c r="I19" s="65">
        <v>19070909</v>
      </c>
      <c r="J19" s="65">
        <f>I19</f>
        <v>19070909</v>
      </c>
      <c r="K19" s="65">
        <v>21164508.509999998</v>
      </c>
      <c r="L19" s="120">
        <f t="shared" si="14"/>
        <v>0.19615303055406716</v>
      </c>
      <c r="M19" s="65">
        <v>19070909.27</v>
      </c>
      <c r="N19" s="121">
        <f t="shared" si="15"/>
        <v>0.20794060904023562</v>
      </c>
      <c r="O19" s="65">
        <f t="shared" si="16"/>
        <v>29208688.552941177</v>
      </c>
      <c r="P19" s="120">
        <f t="shared" si="13"/>
        <v>0.27070663018053254</v>
      </c>
      <c r="Q19" s="66">
        <f>M19+5756476</f>
        <v>24827385.27</v>
      </c>
      <c r="R19" s="121">
        <f t="shared" si="17"/>
        <v>0.2707066318039473</v>
      </c>
      <c r="S19" s="73">
        <f t="shared" si="18"/>
        <v>53759770.90588235</v>
      </c>
      <c r="T19" s="120">
        <f t="shared" si="19"/>
        <v>0.4982464856246829</v>
      </c>
      <c r="U19" s="45">
        <f>Q19+20868420</f>
        <v>45695805.269999996</v>
      </c>
      <c r="V19" s="121">
        <f t="shared" si="20"/>
        <v>0.4982464886126433</v>
      </c>
      <c r="W19" s="45">
        <f t="shared" si="21"/>
        <v>91441527.3764706</v>
      </c>
      <c r="X19" s="120">
        <f t="shared" si="22"/>
        <v>0.8474816556648406</v>
      </c>
      <c r="Y19" s="45">
        <f>U19+32029493</f>
        <v>77725298.27</v>
      </c>
      <c r="Z19" s="121">
        <f t="shared" si="23"/>
        <v>0.8474816607471476</v>
      </c>
      <c r="AA19" s="45">
        <f>AC19*100/85</f>
        <v>104103914.43529412</v>
      </c>
      <c r="AB19" s="120">
        <f t="shared" si="24"/>
        <v>0.964836877708541</v>
      </c>
      <c r="AC19" s="45">
        <f>Y19+10763029</f>
        <v>88488327.27</v>
      </c>
      <c r="AD19" s="121">
        <f t="shared" si="25"/>
        <v>0.9648368834946217</v>
      </c>
      <c r="AE19" s="45">
        <v>107897943</v>
      </c>
      <c r="AF19" s="120">
        <f t="shared" si="26"/>
        <v>1</v>
      </c>
      <c r="AG19" s="45">
        <f>AC19+3224924</f>
        <v>91713251.27</v>
      </c>
      <c r="AH19" s="44">
        <f t="shared" si="27"/>
        <v>1.0000000029439584</v>
      </c>
      <c r="AI19" s="383" t="s">
        <v>498</v>
      </c>
    </row>
    <row r="20" spans="2:35" s="37" customFormat="1" ht="122.25" customHeight="1">
      <c r="B20" s="122">
        <v>12</v>
      </c>
      <c r="C20" s="70" t="s">
        <v>36</v>
      </c>
      <c r="D20" s="75" t="s">
        <v>208</v>
      </c>
      <c r="E20" s="123">
        <v>6</v>
      </c>
      <c r="F20" s="29" t="s">
        <v>277</v>
      </c>
      <c r="G20" s="65">
        <v>137418418</v>
      </c>
      <c r="H20" s="65">
        <v>116805655</v>
      </c>
      <c r="I20" s="65">
        <v>46323508</v>
      </c>
      <c r="J20" s="65">
        <f>I20</f>
        <v>46323508</v>
      </c>
      <c r="K20" s="65">
        <v>31931261.91</v>
      </c>
      <c r="L20" s="120">
        <f t="shared" si="14"/>
        <v>0.232365227126978</v>
      </c>
      <c r="M20" s="65">
        <v>29181738.75</v>
      </c>
      <c r="N20" s="121">
        <f t="shared" si="15"/>
        <v>0.24983155781284733</v>
      </c>
      <c r="O20" s="65">
        <f t="shared" si="16"/>
        <v>80622130.29411764</v>
      </c>
      <c r="P20" s="120">
        <f t="shared" si="13"/>
        <v>0.5866908633318544</v>
      </c>
      <c r="Q20" s="66">
        <f>M20+39347072</f>
        <v>68528810.75</v>
      </c>
      <c r="R20" s="121">
        <f t="shared" si="17"/>
        <v>0.5866908648386929</v>
      </c>
      <c r="S20" s="73">
        <f t="shared" si="18"/>
        <v>117482047.94117647</v>
      </c>
      <c r="T20" s="120">
        <f t="shared" si="19"/>
        <v>0.8549221396303404</v>
      </c>
      <c r="U20" s="45">
        <f>Q20+31330930</f>
        <v>99859740.75</v>
      </c>
      <c r="V20" s="121">
        <f t="shared" si="20"/>
        <v>0.8549221418260957</v>
      </c>
      <c r="W20" s="45">
        <f t="shared" si="21"/>
        <v>135646266.7647059</v>
      </c>
      <c r="X20" s="120">
        <f t="shared" si="22"/>
        <v>0.9871039758637441</v>
      </c>
      <c r="Y20" s="36">
        <f>U20+15439586</f>
        <v>115299326.75</v>
      </c>
      <c r="Z20" s="121">
        <f t="shared" si="23"/>
        <v>0.987103978398991</v>
      </c>
      <c r="AA20" s="36">
        <v>137418418</v>
      </c>
      <c r="AB20" s="120">
        <f t="shared" si="24"/>
        <v>1</v>
      </c>
      <c r="AC20" s="36">
        <f>Y20+2346890</f>
        <v>117646216.75</v>
      </c>
      <c r="AD20" s="121">
        <f t="shared" si="25"/>
        <v>1.007196241911404</v>
      </c>
      <c r="AE20" s="36">
        <v>137418418</v>
      </c>
      <c r="AF20" s="120">
        <f t="shared" si="26"/>
        <v>1</v>
      </c>
      <c r="AG20" s="36">
        <v>116805655</v>
      </c>
      <c r="AH20" s="44">
        <f t="shared" si="27"/>
        <v>1</v>
      </c>
      <c r="AI20" s="384" t="s">
        <v>499</v>
      </c>
    </row>
    <row r="21" spans="2:35" s="37" customFormat="1" ht="105.75" customHeight="1">
      <c r="B21" s="122">
        <v>13</v>
      </c>
      <c r="C21" s="70" t="s">
        <v>36</v>
      </c>
      <c r="D21" s="124" t="s">
        <v>209</v>
      </c>
      <c r="E21" s="123">
        <v>1</v>
      </c>
      <c r="F21" s="29" t="s">
        <v>260</v>
      </c>
      <c r="G21" s="65">
        <v>53439515</v>
      </c>
      <c r="H21" s="65">
        <v>45423588</v>
      </c>
      <c r="I21" s="65">
        <v>773760</v>
      </c>
      <c r="J21" s="65">
        <f>I21</f>
        <v>773760</v>
      </c>
      <c r="K21" s="65">
        <v>0</v>
      </c>
      <c r="L21" s="120">
        <f t="shared" si="14"/>
        <v>0</v>
      </c>
      <c r="M21" s="65">
        <v>0</v>
      </c>
      <c r="N21" s="121">
        <f t="shared" si="15"/>
        <v>0</v>
      </c>
      <c r="O21" s="65">
        <f t="shared" si="16"/>
        <v>362201.17647058825</v>
      </c>
      <c r="P21" s="120">
        <f t="shared" si="13"/>
        <v>0.006777778137967537</v>
      </c>
      <c r="Q21" s="66">
        <f>M21+307871</f>
        <v>307871</v>
      </c>
      <c r="R21" s="121">
        <f t="shared" si="17"/>
        <v>0.006777778100664351</v>
      </c>
      <c r="S21" s="73">
        <f t="shared" si="18"/>
        <v>22520792.94117647</v>
      </c>
      <c r="T21" s="120">
        <f t="shared" si="19"/>
        <v>0.42142584829178314</v>
      </c>
      <c r="U21" s="45">
        <f>Q21+18834803</f>
        <v>19142674</v>
      </c>
      <c r="V21" s="121">
        <f t="shared" si="20"/>
        <v>0.4214258459723613</v>
      </c>
      <c r="W21" s="45">
        <f t="shared" si="21"/>
        <v>47826024.705882356</v>
      </c>
      <c r="X21" s="120">
        <f t="shared" si="22"/>
        <v>0.8949561893644123</v>
      </c>
      <c r="Y21" s="36">
        <f>U21+21509447</f>
        <v>40652121</v>
      </c>
      <c r="Z21" s="121">
        <f t="shared" si="23"/>
        <v>0.8949561844387987</v>
      </c>
      <c r="AA21" s="36">
        <v>53439515</v>
      </c>
      <c r="AB21" s="120">
        <f t="shared" si="24"/>
        <v>1</v>
      </c>
      <c r="AC21" s="36">
        <f>Y21+4771467</f>
        <v>45423588</v>
      </c>
      <c r="AD21" s="121">
        <f t="shared" si="25"/>
        <v>1</v>
      </c>
      <c r="AE21" s="36">
        <v>53439515</v>
      </c>
      <c r="AF21" s="120">
        <f t="shared" si="26"/>
        <v>1</v>
      </c>
      <c r="AG21" s="36">
        <v>45423588</v>
      </c>
      <c r="AH21" s="44">
        <f t="shared" si="27"/>
        <v>1</v>
      </c>
      <c r="AI21" s="384" t="s">
        <v>500</v>
      </c>
    </row>
    <row r="22" spans="2:35" s="37" customFormat="1" ht="66" customHeight="1">
      <c r="B22" s="122">
        <v>14</v>
      </c>
      <c r="C22" s="70" t="s">
        <v>36</v>
      </c>
      <c r="D22" s="75" t="s">
        <v>210</v>
      </c>
      <c r="E22" s="123">
        <v>1</v>
      </c>
      <c r="F22" s="29" t="s">
        <v>260</v>
      </c>
      <c r="G22" s="65">
        <v>32325727</v>
      </c>
      <c r="H22" s="65">
        <v>27476868</v>
      </c>
      <c r="I22" s="65">
        <v>16216113</v>
      </c>
      <c r="J22" s="65">
        <f>I22</f>
        <v>16216113</v>
      </c>
      <c r="K22" s="65">
        <v>14219438.01</v>
      </c>
      <c r="L22" s="120">
        <f t="shared" si="14"/>
        <v>0.43987991391500647</v>
      </c>
      <c r="M22" s="65">
        <v>12285963.64</v>
      </c>
      <c r="N22" s="121">
        <f t="shared" si="15"/>
        <v>0.4471384307702028</v>
      </c>
      <c r="O22" s="65">
        <f t="shared" si="16"/>
        <v>19073520.752941176</v>
      </c>
      <c r="P22" s="120">
        <f t="shared" si="13"/>
        <v>0.5900415094435827</v>
      </c>
      <c r="Q22" s="66">
        <f>M22+3926529</f>
        <v>16212492.64</v>
      </c>
      <c r="R22" s="121">
        <f t="shared" si="17"/>
        <v>0.5900415083698768</v>
      </c>
      <c r="S22" s="73">
        <f t="shared" si="18"/>
        <v>21929278.4</v>
      </c>
      <c r="T22" s="120">
        <f t="shared" si="19"/>
        <v>0.6783846934053486</v>
      </c>
      <c r="U22" s="36">
        <f>Q22+2427394</f>
        <v>18639886.64</v>
      </c>
      <c r="V22" s="121">
        <f t="shared" si="20"/>
        <v>0.6783846921708836</v>
      </c>
      <c r="W22" s="45">
        <f t="shared" si="21"/>
        <v>33352310.164705884</v>
      </c>
      <c r="X22" s="120">
        <f t="shared" si="22"/>
        <v>1.0317574656466624</v>
      </c>
      <c r="Y22" s="36">
        <f>U22+9709577</f>
        <v>28349463.64</v>
      </c>
      <c r="Z22" s="121">
        <f t="shared" si="23"/>
        <v>1.0317574637691602</v>
      </c>
      <c r="AA22" s="36">
        <v>32325727</v>
      </c>
      <c r="AB22" s="120">
        <f t="shared" si="24"/>
        <v>1</v>
      </c>
      <c r="AC22" s="36">
        <v>27476868</v>
      </c>
      <c r="AD22" s="121">
        <f t="shared" si="25"/>
        <v>1</v>
      </c>
      <c r="AE22" s="36">
        <v>32325727</v>
      </c>
      <c r="AF22" s="120">
        <f t="shared" si="26"/>
        <v>1</v>
      </c>
      <c r="AG22" s="36">
        <v>27476868</v>
      </c>
      <c r="AH22" s="44">
        <f t="shared" si="27"/>
        <v>1</v>
      </c>
      <c r="AI22" s="384" t="s">
        <v>501</v>
      </c>
    </row>
    <row r="23" spans="2:35" ht="76.5" customHeight="1">
      <c r="B23" s="68">
        <v>15</v>
      </c>
      <c r="C23" s="70" t="s">
        <v>36</v>
      </c>
      <c r="D23" s="29" t="s">
        <v>211</v>
      </c>
      <c r="E23" s="76">
        <v>1</v>
      </c>
      <c r="F23" s="29" t="s">
        <v>260</v>
      </c>
      <c r="G23" s="65">
        <f>H23/85*100</f>
        <v>117740341.17647058</v>
      </c>
      <c r="H23" s="65">
        <v>100079290</v>
      </c>
      <c r="I23" s="65">
        <v>22274836</v>
      </c>
      <c r="J23" s="65">
        <f>I23</f>
        <v>22274836</v>
      </c>
      <c r="K23" s="65">
        <v>22274836</v>
      </c>
      <c r="L23" s="120">
        <f t="shared" si="14"/>
        <v>0.1891861003410396</v>
      </c>
      <c r="M23" s="65">
        <v>22274836</v>
      </c>
      <c r="N23" s="121">
        <f t="shared" si="15"/>
        <v>0.22257188275416423</v>
      </c>
      <c r="O23" s="65">
        <f t="shared" si="16"/>
        <v>44418643.52941176</v>
      </c>
      <c r="P23" s="120">
        <f t="shared" si="13"/>
        <v>0.3772593410684668</v>
      </c>
      <c r="Q23" s="66">
        <f>M23+15481011</f>
        <v>37755847</v>
      </c>
      <c r="R23" s="121">
        <f t="shared" si="17"/>
        <v>0.3772593410684668</v>
      </c>
      <c r="S23" s="73">
        <f t="shared" si="18"/>
        <v>46358247.058823526</v>
      </c>
      <c r="T23" s="120">
        <f t="shared" si="19"/>
        <v>0.3937329091763141</v>
      </c>
      <c r="U23" s="45">
        <f>Q23+1648663</f>
        <v>39404510</v>
      </c>
      <c r="V23" s="121">
        <f t="shared" si="20"/>
        <v>0.3937329091763141</v>
      </c>
      <c r="W23" s="45">
        <f t="shared" si="21"/>
        <v>72246798.8235294</v>
      </c>
      <c r="X23" s="120">
        <f t="shared" si="22"/>
        <v>0.6136112576338222</v>
      </c>
      <c r="Y23" s="36">
        <f>U23+22005269</f>
        <v>61409779</v>
      </c>
      <c r="Z23" s="121">
        <f t="shared" si="23"/>
        <v>0.6136112576338222</v>
      </c>
      <c r="AA23" s="36">
        <f>AC23*100/85</f>
        <v>114473537.64705883</v>
      </c>
      <c r="AB23" s="120">
        <f t="shared" si="24"/>
        <v>0.9722541696688697</v>
      </c>
      <c r="AC23" s="36">
        <f>Y23+35892728</f>
        <v>97302507</v>
      </c>
      <c r="AD23" s="121">
        <f t="shared" si="25"/>
        <v>0.9722541696688696</v>
      </c>
      <c r="AE23" s="36">
        <v>117740341.17647058</v>
      </c>
      <c r="AF23" s="120">
        <f t="shared" si="26"/>
        <v>1</v>
      </c>
      <c r="AG23" s="36">
        <f>AC23+2776783</f>
        <v>100079290</v>
      </c>
      <c r="AH23" s="44">
        <f t="shared" si="27"/>
        <v>1</v>
      </c>
      <c r="AI23" s="383" t="s">
        <v>502</v>
      </c>
    </row>
    <row r="24" spans="2:35" ht="27" customHeight="1">
      <c r="B24" s="83" t="s">
        <v>150</v>
      </c>
      <c r="C24" s="61"/>
      <c r="D24" s="52"/>
      <c r="E24" s="61">
        <f>SUM(E9:E17)</f>
        <v>168</v>
      </c>
      <c r="F24" s="61"/>
      <c r="G24" s="41">
        <f aca="true" t="shared" si="28" ref="G24:M24">SUM(G9:G17)</f>
        <v>289901917</v>
      </c>
      <c r="H24" s="45">
        <f t="shared" si="28"/>
        <v>247572043</v>
      </c>
      <c r="I24" s="67">
        <f t="shared" si="28"/>
        <v>105334517</v>
      </c>
      <c r="J24" s="65">
        <f t="shared" si="28"/>
        <v>96225791.35</v>
      </c>
      <c r="K24" s="45">
        <f t="shared" si="28"/>
        <v>27635382.080000002</v>
      </c>
      <c r="L24" s="63">
        <f>K24/G24</f>
        <v>0.09532666208619794</v>
      </c>
      <c r="M24" s="66">
        <f t="shared" si="28"/>
        <v>25069008.669999998</v>
      </c>
      <c r="N24" s="44">
        <f>M24/H24</f>
        <v>0.1012594490323772</v>
      </c>
      <c r="O24" s="45">
        <f>SUM(O9:O17)</f>
        <v>87966168.19999999</v>
      </c>
      <c r="P24" s="120">
        <f t="shared" si="13"/>
        <v>0.3034342411747487</v>
      </c>
      <c r="Q24" s="66">
        <f>SUM(Q9:Q17)</f>
        <v>75348223.72</v>
      </c>
      <c r="R24" s="121">
        <f t="shared" si="17"/>
        <v>0.30434867688190465</v>
      </c>
      <c r="S24" s="45">
        <f aca="true" t="shared" si="29" ref="S24:AG24">SUM(S9:S17)</f>
        <v>159060337.31764707</v>
      </c>
      <c r="T24" s="120">
        <f t="shared" si="19"/>
        <v>0.5486694912667551</v>
      </c>
      <c r="U24" s="45">
        <f t="shared" si="29"/>
        <v>135201286.72</v>
      </c>
      <c r="V24" s="121">
        <f t="shared" si="20"/>
        <v>0.546108862219148</v>
      </c>
      <c r="W24" s="45">
        <f t="shared" si="29"/>
        <v>219890648.96470582</v>
      </c>
      <c r="X24" s="120">
        <f t="shared" si="22"/>
        <v>0.7585001549496682</v>
      </c>
      <c r="Y24" s="45">
        <f t="shared" si="29"/>
        <v>188062464.72</v>
      </c>
      <c r="Z24" s="121">
        <f t="shared" si="23"/>
        <v>0.7596272278611038</v>
      </c>
      <c r="AA24" s="45">
        <f t="shared" si="29"/>
        <v>257986011.49411765</v>
      </c>
      <c r="AB24" s="120">
        <f t="shared" si="24"/>
        <v>0.8899079183878513</v>
      </c>
      <c r="AC24" s="45">
        <f t="shared" si="29"/>
        <v>220443523.72</v>
      </c>
      <c r="AD24" s="121">
        <f t="shared" si="25"/>
        <v>0.8904217174473129</v>
      </c>
      <c r="AE24" s="45">
        <f t="shared" si="29"/>
        <v>289901916.0352941</v>
      </c>
      <c r="AF24" s="120">
        <f t="shared" si="26"/>
        <v>0.9999999966723025</v>
      </c>
      <c r="AG24" s="45">
        <f t="shared" si="29"/>
        <v>247572042.53</v>
      </c>
      <c r="AH24" s="44">
        <f t="shared" si="27"/>
        <v>0.9999999981015627</v>
      </c>
      <c r="AI24" s="381"/>
    </row>
    <row r="25" spans="2:35" ht="23.25" customHeight="1">
      <c r="B25" s="83" t="s">
        <v>195</v>
      </c>
      <c r="C25" s="61"/>
      <c r="D25" s="52"/>
      <c r="E25" s="61">
        <f>E18+E19+E20+E21+E22+E23</f>
        <v>33</v>
      </c>
      <c r="F25" s="61"/>
      <c r="G25" s="41">
        <f aca="true" t="shared" si="30" ref="G25:M25">G18+G19+G20+G21+G22+G23</f>
        <v>695541514.1764705</v>
      </c>
      <c r="H25" s="45">
        <f t="shared" si="30"/>
        <v>591210286</v>
      </c>
      <c r="I25" s="67">
        <f t="shared" si="30"/>
        <v>266601115</v>
      </c>
      <c r="J25" s="65">
        <f t="shared" si="30"/>
        <v>242309816.65</v>
      </c>
      <c r="K25" s="45">
        <f t="shared" si="30"/>
        <v>145023538.56</v>
      </c>
      <c r="L25" s="63">
        <f>K25/G25</f>
        <v>0.20850450419441838</v>
      </c>
      <c r="M25" s="66">
        <f t="shared" si="30"/>
        <v>129884837.4</v>
      </c>
      <c r="N25" s="44">
        <f>M25/H25</f>
        <v>0.2196931286138009</v>
      </c>
      <c r="O25" s="45">
        <f>O18+O19+O20+O21+O22+O23</f>
        <v>304868386.35294116</v>
      </c>
      <c r="P25" s="120">
        <f t="shared" si="13"/>
        <v>0.4383180301091143</v>
      </c>
      <c r="Q25" s="66">
        <f>Q18+Q19+Q20+Q21+Q22+Q23</f>
        <v>259138128.40000004</v>
      </c>
      <c r="R25" s="121">
        <f t="shared" si="17"/>
        <v>0.438318030887575</v>
      </c>
      <c r="S25" s="45">
        <f aca="true" t="shared" si="31" ref="S25:AG25">S18+S19+S20+S21+S22+S23</f>
        <v>433768871.0588235</v>
      </c>
      <c r="T25" s="120">
        <f t="shared" si="19"/>
        <v>0.6236419569756538</v>
      </c>
      <c r="U25" s="45">
        <f t="shared" si="31"/>
        <v>368703540.4</v>
      </c>
      <c r="V25" s="121">
        <f t="shared" si="20"/>
        <v>0.623641958083253</v>
      </c>
      <c r="W25" s="45">
        <f t="shared" si="31"/>
        <v>606441058.117647</v>
      </c>
      <c r="X25" s="120">
        <f t="shared" si="22"/>
        <v>0.871897716753371</v>
      </c>
      <c r="Y25" s="45">
        <f t="shared" si="31"/>
        <v>515474899.4</v>
      </c>
      <c r="Z25" s="121">
        <f t="shared" si="23"/>
        <v>0.8718977183018767</v>
      </c>
      <c r="AA25" s="45">
        <f t="shared" si="31"/>
        <v>694749224.7176471</v>
      </c>
      <c r="AB25" s="120">
        <f t="shared" si="24"/>
        <v>0.998860902702894</v>
      </c>
      <c r="AC25" s="45">
        <f t="shared" si="31"/>
        <v>591377402.76</v>
      </c>
      <c r="AD25" s="121">
        <f t="shared" si="25"/>
        <v>1.0002826688979494</v>
      </c>
      <c r="AE25" s="45">
        <f t="shared" si="31"/>
        <v>695541514.1764705</v>
      </c>
      <c r="AF25" s="120">
        <f t="shared" si="26"/>
        <v>1</v>
      </c>
      <c r="AG25" s="45">
        <f t="shared" si="31"/>
        <v>591210286.27</v>
      </c>
      <c r="AH25" s="44">
        <f t="shared" si="27"/>
        <v>1.0000000004566902</v>
      </c>
      <c r="AI25" s="381"/>
    </row>
    <row r="26" spans="2:35" ht="18" customHeight="1">
      <c r="B26" s="485" t="s">
        <v>175</v>
      </c>
      <c r="C26" s="486"/>
      <c r="D26" s="52"/>
      <c r="E26" s="61">
        <f>SUM(E24:E25)</f>
        <v>201</v>
      </c>
      <c r="F26" s="61"/>
      <c r="G26" s="41">
        <f aca="true" t="shared" si="32" ref="G26:M26">SUM(G24:G25)</f>
        <v>985443431.1764705</v>
      </c>
      <c r="H26" s="45">
        <f t="shared" si="32"/>
        <v>838782329</v>
      </c>
      <c r="I26" s="67">
        <f t="shared" si="32"/>
        <v>371935632</v>
      </c>
      <c r="J26" s="65">
        <f t="shared" si="32"/>
        <v>338535608</v>
      </c>
      <c r="K26" s="45">
        <f t="shared" si="32"/>
        <v>172658920.64000002</v>
      </c>
      <c r="L26" s="63">
        <f>K26/G26</f>
        <v>0.17520936786180752</v>
      </c>
      <c r="M26" s="66">
        <f t="shared" si="32"/>
        <v>154953846.07</v>
      </c>
      <c r="N26" s="44">
        <f>M26/H26</f>
        <v>0.18473666017110382</v>
      </c>
      <c r="O26" s="45">
        <f>SUM(O24:O25)</f>
        <v>392834554.55294114</v>
      </c>
      <c r="P26" s="120">
        <f t="shared" si="13"/>
        <v>0.3986373465232358</v>
      </c>
      <c r="Q26" s="66">
        <f>SUM(Q24:Q25)</f>
        <v>334486352.12</v>
      </c>
      <c r="R26" s="121">
        <f t="shared" si="17"/>
        <v>0.39877610740652597</v>
      </c>
      <c r="S26" s="45">
        <f aca="true" t="shared" si="33" ref="S26:AG26">SUM(S24:S25)</f>
        <v>592829208.3764706</v>
      </c>
      <c r="T26" s="120">
        <f t="shared" si="19"/>
        <v>0.6015862398805806</v>
      </c>
      <c r="U26" s="45">
        <f t="shared" si="33"/>
        <v>503904827.12</v>
      </c>
      <c r="V26" s="121">
        <f t="shared" si="20"/>
        <v>0.6007575621207442</v>
      </c>
      <c r="W26" s="45">
        <f t="shared" si="33"/>
        <v>826331707.0823529</v>
      </c>
      <c r="X26" s="120">
        <f t="shared" si="22"/>
        <v>0.8385379423513308</v>
      </c>
      <c r="Y26" s="45">
        <f t="shared" si="33"/>
        <v>703537364.12</v>
      </c>
      <c r="Z26" s="121">
        <f t="shared" si="23"/>
        <v>0.8387603550956544</v>
      </c>
      <c r="AA26" s="45">
        <f t="shared" si="33"/>
        <v>952735236.2117647</v>
      </c>
      <c r="AB26" s="120">
        <f t="shared" si="24"/>
        <v>0.9668086529069891</v>
      </c>
      <c r="AC26" s="45">
        <f t="shared" si="33"/>
        <v>811820926.48</v>
      </c>
      <c r="AD26" s="121">
        <f t="shared" si="25"/>
        <v>0.9678564967479185</v>
      </c>
      <c r="AE26" s="45">
        <f t="shared" si="33"/>
        <v>985443430.2117646</v>
      </c>
      <c r="AF26" s="120">
        <f t="shared" si="26"/>
        <v>0.9999999990210439</v>
      </c>
      <c r="AG26" s="45">
        <f t="shared" si="33"/>
        <v>838782328.8</v>
      </c>
      <c r="AH26" s="44">
        <f t="shared" si="27"/>
        <v>0.9999999997615591</v>
      </c>
      <c r="AI26" s="381"/>
    </row>
    <row r="27" spans="2:35" ht="20.25" customHeight="1">
      <c r="B27" s="15" t="str">
        <f>KOPSAVILKUMS!B31</f>
        <v>1 VIS dati uz 02.05.2011.; pieteikto, apstiprināto, noslēgto līgumu un pabeigto projektu skaits</v>
      </c>
      <c r="C27" s="172"/>
      <c r="D27" s="159"/>
      <c r="E27" s="173"/>
      <c r="F27" s="173"/>
      <c r="G27" s="174"/>
      <c r="H27" s="175"/>
      <c r="I27" s="176"/>
      <c r="J27" s="177"/>
      <c r="K27" s="175"/>
      <c r="L27" s="178"/>
      <c r="M27" s="179"/>
      <c r="N27" s="180"/>
      <c r="O27" s="175"/>
      <c r="P27" s="178"/>
      <c r="Q27" s="179"/>
      <c r="R27" s="180"/>
      <c r="S27" s="175"/>
      <c r="T27" s="178"/>
      <c r="U27" s="179"/>
      <c r="V27" s="180"/>
      <c r="W27" s="179"/>
      <c r="X27" s="178"/>
      <c r="Y27" s="179"/>
      <c r="Z27" s="180"/>
      <c r="AA27" s="179"/>
      <c r="AB27" s="178"/>
      <c r="AC27" s="179"/>
      <c r="AD27" s="178"/>
      <c r="AE27" s="179"/>
      <c r="AF27" s="178"/>
      <c r="AG27" s="179"/>
      <c r="AH27" s="178"/>
      <c r="AI27" s="181"/>
    </row>
    <row r="28" spans="2:35" ht="20.25" customHeight="1">
      <c r="B28" s="15" t="str">
        <f>KOPSAVILKUMS!B32</f>
        <v>2 Pieejamais finansējums atbilstoši  konceptuāli apstiprinātajiem MK protokollēmumiem</v>
      </c>
      <c r="F28" s="77"/>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9"/>
    </row>
    <row r="29" spans="2:35" ht="20.25" customHeight="1">
      <c r="B29" s="15" t="str">
        <f>KOPSAVILKUMS!B33</f>
        <v>3 2007.-2011.g. piešķirtais finansējums</v>
      </c>
      <c r="F29" s="80"/>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9"/>
    </row>
    <row r="30" spans="2:35" ht="20.25" customHeight="1">
      <c r="B30" s="15" t="str">
        <f>KOPSAVILKUMS!B34</f>
        <v>4 Kopējie veiktie maksājumi SF finansējuma saņēmējam, t.sk., starpposma maksājumi/ noslēguma maksājumi/ deklarējamie avansi un nedeklarējamie avansi</v>
      </c>
      <c r="G30" s="78"/>
      <c r="H30" s="81"/>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9"/>
    </row>
    <row r="31" spans="2:35" ht="20.25" customHeight="1">
      <c r="B31" s="15" t="str">
        <f>KOPSAVILKUMS!B35</f>
        <v>5 DPP noteiktā finansējuma apguve sadalījumā pa gadiem, kumulatīvi</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row>
    <row r="32" spans="7:35" ht="15.75">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7:35" ht="15.75">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7:35" ht="15.75">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row>
    <row r="35" spans="7:35" ht="15.75">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row>
    <row r="36" spans="7:35" ht="15.75">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row>
    <row r="37" spans="7:35" ht="15.75">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row>
    <row r="38" spans="7:35" ht="15.75">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row>
    <row r="39" spans="7:35" ht="15.75">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row>
    <row r="40" spans="7:35" ht="15.75">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row>
    <row r="41" spans="7:35" ht="15.75">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row>
    <row r="42" spans="7:35" ht="15.75">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row>
    <row r="43" spans="7:35" ht="15.75">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row>
    <row r="44" spans="7:35" ht="15.75">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row>
    <row r="45" spans="7:35" ht="15.75">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row>
    <row r="46" spans="7:35" ht="15.75">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row>
    <row r="47" spans="7:35" ht="15.75">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row>
    <row r="48" spans="7:35" ht="15.75">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row>
    <row r="49" spans="7:35" ht="15.75">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row>
    <row r="50" spans="7:35" ht="15.75">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row>
    <row r="51" spans="7:35" ht="15.75">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7:35" ht="15.75">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7:35" ht="15.75">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row>
    <row r="54" spans="7:35" ht="15.75">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row>
    <row r="55" spans="7:35" ht="15.75">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row>
    <row r="56" spans="7:35" ht="15.75">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row>
    <row r="57" spans="7:35" ht="15.75">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row>
    <row r="58" spans="7:35" ht="15.75">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row>
    <row r="59" spans="7:35" ht="15.75">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row>
    <row r="60" spans="7:35" ht="15.75">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row>
    <row r="61" spans="7:35" ht="15.75">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row>
    <row r="62" spans="7:35" ht="15.75">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row>
    <row r="63" spans="7:35" ht="15.75">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row>
    <row r="64" spans="7:35" ht="15.75">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row>
    <row r="65" spans="7:35" ht="15.75">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row>
    <row r="66" spans="7:35" ht="15.75">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row>
    <row r="67" spans="7:35" ht="15.75">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row>
    <row r="68" spans="7:35" ht="15.75">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row>
    <row r="69" spans="7:35" ht="15.75">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row>
    <row r="70" spans="7:35" ht="15.75">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row>
    <row r="71" spans="7:35" ht="15.75">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row>
    <row r="72" spans="7:35" ht="15.75">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7:35" ht="15.75">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7:35" ht="15.75">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7:35" ht="15.75">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7:35" ht="15.75">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7:35" ht="15.75">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7:35" ht="15.75">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7:35" ht="15.75">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7:35" ht="15.75">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7:35" ht="15.75">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7:35" ht="15.75">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7:35" ht="15.75">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7:35" ht="15.75">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7:35" ht="15.75">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7:35" ht="15.75">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7:35" ht="15.75">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7:35" ht="15.75">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row>
    <row r="89" spans="7:35" ht="15.75">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row>
    <row r="90" spans="7:35" ht="15.75">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row>
    <row r="91" spans="7:35" ht="15.75">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row>
    <row r="92" spans="7:35" ht="15.75">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row>
    <row r="93" spans="7:35" ht="15.75">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row>
    <row r="94" spans="7:35" ht="15.75">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row>
    <row r="95" spans="7:35" ht="15.75">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row>
    <row r="96" spans="7:35" ht="15.75">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row>
    <row r="97" spans="7:35" ht="15.75">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row>
    <row r="98" spans="7:35" ht="15.75">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row>
    <row r="99" spans="7:35" ht="15.75">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row>
    <row r="100" spans="7:35" ht="15.75">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row>
    <row r="101" spans="7:35" ht="15.75">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row>
    <row r="102" spans="7:35" ht="15.75">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row>
    <row r="103" spans="7:35" ht="15.75">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row>
    <row r="104" spans="7:35" ht="15.75">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row>
    <row r="105" spans="7:35" ht="15.75">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row>
    <row r="106" spans="7:35" ht="15.75">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row>
    <row r="107" spans="7:35" ht="15.75">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row>
    <row r="108" spans="7:35" ht="15.75">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row>
    <row r="109" spans="7:35" ht="15.75">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row>
    <row r="110" spans="7:35" ht="15.75">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row>
    <row r="111" spans="7:35" ht="15.75">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row>
    <row r="112" spans="7:35" ht="15.75">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row>
    <row r="113" spans="7:35" ht="15.75">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row>
    <row r="114" spans="7:35" ht="15.75">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row>
    <row r="115" spans="7:35" ht="15.75">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row>
    <row r="116" spans="7:35" ht="15.75">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row>
    <row r="117" spans="7:35" ht="15.75">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row>
    <row r="118" spans="7:35" ht="15.75">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row>
    <row r="119" spans="7:35" ht="15.75">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row>
    <row r="120" spans="7:35" ht="15.75">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row>
    <row r="121" spans="7:35" ht="15.75">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row>
    <row r="122" spans="7:35" ht="15.75">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row>
    <row r="123" spans="7:35" ht="15.75">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row>
    <row r="124" spans="7:35" ht="15.75">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row>
    <row r="125" spans="7:35" ht="15.75">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row>
    <row r="126" spans="7:35" ht="15.75">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row>
    <row r="127" spans="7:35" ht="15.75">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row>
    <row r="128" spans="7:35" ht="15.75">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row>
    <row r="129" spans="7:35" ht="15.75">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row>
    <row r="130" spans="7:35" ht="15.75">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row>
    <row r="131" spans="7:35" ht="15.75">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row>
    <row r="132" spans="7:35" ht="15.75">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row>
    <row r="133" spans="7:35" ht="15.75">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row>
    <row r="134" spans="7:35" ht="15.75">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row>
    <row r="135" spans="7:35" ht="15.75">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row>
    <row r="136" spans="7:35" ht="15.75">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row>
    <row r="137" spans="7:35" ht="15.75">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row>
    <row r="138" spans="7:35" ht="15.75">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row>
    <row r="139" spans="7:35" ht="15.75">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row>
    <row r="140" spans="7:35" ht="15.75">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row>
    <row r="141" spans="7:35" ht="15.75">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row>
    <row r="142" spans="7:35" ht="15.75">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row>
    <row r="143" spans="7:35" ht="15.75">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row>
    <row r="144" spans="7:35" ht="15.75">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row>
    <row r="145" spans="7:35" ht="15.75">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row>
    <row r="146" spans="7:35" ht="15.75">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row>
    <row r="147" spans="7:35" ht="15.75">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row>
    <row r="148" spans="7:35" ht="15.75">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row>
    <row r="149" spans="7:35" ht="15.75">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row>
    <row r="150" spans="7:35" ht="15.75">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row>
    <row r="151" spans="7:35" ht="15.75">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row>
    <row r="152" spans="7:35" ht="15.75">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row>
    <row r="153" spans="7:35" ht="15.75">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row>
    <row r="154" spans="7:35" ht="15.75">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row>
    <row r="155" spans="7:35" ht="15.75">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row>
    <row r="156" spans="7:35" ht="15.75">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row>
    <row r="157" spans="7:35" ht="15.75">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row>
    <row r="158" spans="7:35" ht="15.75">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row>
    <row r="159" spans="7:35" ht="15.75">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row>
    <row r="160" spans="7:35" ht="15.75">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row>
    <row r="161" spans="7:35" ht="15.75">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row>
    <row r="162" spans="7:35" ht="15.75">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row>
    <row r="163" spans="7:35" ht="15.75">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row>
    <row r="164" spans="7:35" ht="15.75">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row>
    <row r="165" spans="7:35" ht="15.75">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row>
    <row r="166" spans="7:35" ht="15.75">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row>
    <row r="167" spans="7:35" ht="15.75">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row>
    <row r="168" spans="7:35" ht="15.75">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row>
    <row r="169" spans="7:35" ht="15.75">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row>
    <row r="170" spans="7:35" ht="15.75">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row>
    <row r="171" spans="7:35" ht="15.75">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row>
    <row r="172" spans="7:35" ht="15.75">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row>
    <row r="173" spans="7:35" ht="15.75">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row>
    <row r="174" spans="7:35" ht="15.75">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row>
    <row r="175" spans="7:35" ht="15.75">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row>
    <row r="176" spans="7:35" ht="15.75">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row>
    <row r="177" spans="7:35" ht="15.75">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row>
    <row r="178" spans="7:35" ht="15.75">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row>
    <row r="179" spans="7:35" ht="15.75">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row>
    <row r="180" spans="7:35" ht="15.75">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row>
    <row r="181" spans="7:35" ht="15.75">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row>
    <row r="182" spans="7:35" ht="15.75">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row>
    <row r="183" spans="7:35" ht="15.75">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row>
    <row r="184" spans="7:35" ht="15.75">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row>
    <row r="185" spans="7:35" ht="15.75">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row>
    <row r="186" spans="7:35" ht="15.75">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row>
    <row r="187" spans="7:35" ht="15.75">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row>
    <row r="188" spans="7:35" ht="15.75">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row>
    <row r="189" spans="7:35" ht="15.75">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row>
    <row r="190" spans="7:35" ht="15.75">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row>
    <row r="191" spans="7:35" ht="15.75">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row>
    <row r="192" spans="7:35" ht="15.75">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row>
    <row r="193" spans="7:35" ht="15.75">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row>
    <row r="194" spans="7:35" ht="15.75">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row>
    <row r="195" spans="7:35" ht="15.75">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row>
    <row r="196" spans="7:35" ht="15.75">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row>
    <row r="197" spans="7:35" ht="15.75">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row>
    <row r="198" spans="7:35" ht="15.75">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row>
    <row r="199" spans="7:35" ht="15.75">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row>
    <row r="200" spans="7:35" ht="15.75">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row>
    <row r="201" spans="7:35" ht="15.75">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row>
    <row r="202" spans="7:35" ht="15.75">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row>
    <row r="203" spans="7:35" ht="15.75">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row>
    <row r="204" spans="7:35" ht="15.75">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row>
    <row r="205" spans="7:35" ht="15.75">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row>
    <row r="206" spans="7:35" ht="15.75">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row>
    <row r="207" spans="7:35" ht="15.75">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row>
    <row r="208" spans="7:35" ht="15.75">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row>
    <row r="209" spans="7:35" ht="15.75">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row>
    <row r="210" spans="7:35" ht="15.75">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row>
    <row r="211" spans="7:35" ht="15.75">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row>
    <row r="212" spans="7:35" ht="15.75">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row>
    <row r="213" spans="7:35" ht="15.75">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row>
    <row r="214" spans="7:35" ht="15.75">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row>
    <row r="215" spans="7:35" ht="15.75">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row>
    <row r="216" spans="7:35" ht="15.75">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row>
    <row r="217" spans="7:35" ht="15.75">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row>
    <row r="218" spans="7:35" ht="15.75">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row>
    <row r="219" spans="7:35" ht="15.75">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row>
    <row r="220" spans="7:35" ht="15.75">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row>
    <row r="221" spans="7:35" ht="15.75">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row>
    <row r="222" spans="7:35" ht="15.75">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row>
    <row r="223" spans="7:35" ht="15.75">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row>
    <row r="224" spans="7:35" ht="15.75">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row>
    <row r="225" spans="7:35" ht="15.75">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row>
    <row r="226" spans="7:35" ht="15.75">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row>
    <row r="227" spans="7:35" ht="15.75">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row>
    <row r="228" spans="7:35" ht="15.75">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row>
    <row r="229" spans="7:35" ht="15.75">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row>
    <row r="230" spans="7:35" ht="15.75">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row>
    <row r="231" spans="7:35" ht="15.75">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row>
    <row r="232" spans="7:35" ht="15.75">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row>
    <row r="233" spans="7:35" ht="15.75">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row>
    <row r="234" spans="7:35" ht="15.75">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row>
    <row r="235" spans="7:35" ht="15.75">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row>
    <row r="236" spans="7:35" ht="15.75">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row>
    <row r="237" spans="7:35" ht="15.75">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row>
    <row r="238" spans="7:35" ht="15.75">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row>
    <row r="239" spans="7:35" ht="15.75">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row>
    <row r="240" spans="7:35" ht="15.75">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row>
    <row r="241" spans="7:35" ht="15.75">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row>
    <row r="242" spans="7:35" ht="15.75">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row>
    <row r="243" spans="7:35" ht="15.75">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row>
    <row r="244" spans="7:35" ht="15.75">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row>
    <row r="245" spans="7:35" ht="15.75">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row>
    <row r="246" spans="7:35" ht="15.75">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row>
    <row r="247" spans="7:35" ht="15.75">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row>
    <row r="248" spans="7:35" ht="15.75">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row>
    <row r="249" spans="7:35" ht="15.75">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row>
    <row r="250" spans="7:35" ht="15.75">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row>
    <row r="251" spans="7:35" ht="15.75">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row>
    <row r="252" spans="7:35" ht="15.75">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row>
    <row r="253" spans="7:35" ht="15.75">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row>
    <row r="254" spans="7:35" ht="15.75">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row>
    <row r="255" spans="7:35" ht="15.75">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row>
    <row r="256" spans="7:35" ht="15.75">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row>
    <row r="257" spans="7:35" ht="15.75">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row>
    <row r="258" spans="7:35" ht="15.75">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row>
    <row r="259" spans="7:35" ht="15.75">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row>
    <row r="260" spans="7:35" ht="15.75">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30"/>
      <c r="AI260" s="20"/>
    </row>
    <row r="261" spans="7:35" ht="15.75">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30"/>
      <c r="AI261" s="20"/>
    </row>
    <row r="262" spans="7:35" ht="15.75">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30"/>
      <c r="AI262" s="20"/>
    </row>
    <row r="263" spans="7:35" ht="15.75">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30"/>
      <c r="AI263" s="20"/>
    </row>
    <row r="264" spans="7:35" ht="15.75">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30"/>
      <c r="AI264" s="20"/>
    </row>
    <row r="265" spans="7:35" ht="15.75">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30"/>
      <c r="AI265" s="20"/>
    </row>
    <row r="266" spans="7:35" ht="15.75">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30"/>
      <c r="AI266" s="20"/>
    </row>
    <row r="267" spans="7:35" ht="15.75">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30"/>
      <c r="AI267" s="20"/>
    </row>
    <row r="268" spans="7:35" ht="15.75">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30"/>
      <c r="AI268" s="20"/>
    </row>
    <row r="269" spans="7:35" ht="15.75">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30"/>
      <c r="AI269" s="20"/>
    </row>
    <row r="270" spans="7:35" ht="15.75">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30"/>
      <c r="AI270" s="20"/>
    </row>
    <row r="271" spans="7:35" ht="15.75">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30"/>
      <c r="AI271" s="20"/>
    </row>
    <row r="272" spans="7:35" ht="15.75">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30"/>
      <c r="AI272" s="20"/>
    </row>
    <row r="273" spans="7:35" ht="15.75">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30"/>
      <c r="AI273" s="20"/>
    </row>
    <row r="274" spans="7:35" ht="15.75">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30"/>
      <c r="AI274" s="20"/>
    </row>
    <row r="275" spans="7:35" ht="15.75">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30"/>
      <c r="AI275" s="20"/>
    </row>
    <row r="276" spans="7:35" ht="15.75">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30"/>
      <c r="AI276" s="20"/>
    </row>
    <row r="277" spans="7:35" ht="15.75">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30"/>
      <c r="AI277" s="20"/>
    </row>
    <row r="278" spans="7:35" ht="15.75">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30"/>
      <c r="AI278" s="20"/>
    </row>
    <row r="279" spans="7:35" ht="15.75">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30"/>
      <c r="AI279" s="20"/>
    </row>
    <row r="280" spans="7:35" ht="15.75">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30"/>
      <c r="AI280" s="20"/>
    </row>
    <row r="281" spans="7:35" ht="15.75">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30"/>
      <c r="AI281" s="20"/>
    </row>
    <row r="282" spans="7:35" ht="15.75">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30"/>
      <c r="AI282" s="20"/>
    </row>
    <row r="283" spans="7:35" ht="15.75">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30"/>
      <c r="AI283" s="20"/>
    </row>
    <row r="284" spans="7:35" ht="15.75">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30"/>
      <c r="AI284" s="20"/>
    </row>
    <row r="285" spans="7:35" ht="15.75">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30"/>
      <c r="AI285" s="20"/>
    </row>
    <row r="286" spans="7:35" ht="15.75">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30"/>
      <c r="AI286" s="20"/>
    </row>
    <row r="287" spans="7:35" ht="15.75">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30"/>
      <c r="AI287" s="20"/>
    </row>
    <row r="288" spans="7:35" ht="15.75">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30"/>
      <c r="AI288" s="20"/>
    </row>
    <row r="289" spans="7:35" ht="15.75">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30"/>
      <c r="AI289" s="20"/>
    </row>
    <row r="290" spans="7:35" ht="15.75">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30"/>
      <c r="AI290" s="20"/>
    </row>
    <row r="291" spans="7:35" ht="15.75">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30"/>
      <c r="AI291" s="20"/>
    </row>
    <row r="292" spans="7:35" ht="15.75">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30"/>
      <c r="AI292" s="20"/>
    </row>
    <row r="293" spans="7:35" ht="15.75">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30"/>
      <c r="AI293" s="20"/>
    </row>
    <row r="294" spans="7:35" ht="15.75">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30"/>
      <c r="AI294" s="20"/>
    </row>
    <row r="295" spans="7:35" ht="15.75">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30"/>
      <c r="AI295" s="20"/>
    </row>
    <row r="296" spans="7:35" ht="15.75">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30"/>
      <c r="AI296" s="20"/>
    </row>
    <row r="297" spans="7:35" ht="15.75">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30"/>
      <c r="AI297" s="20"/>
    </row>
    <row r="298" spans="7:35" ht="15.75">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30"/>
      <c r="AI298" s="20"/>
    </row>
    <row r="299" spans="7:35" ht="15.75">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30"/>
      <c r="AI299" s="20"/>
    </row>
    <row r="300" spans="7:35" ht="15.75">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30"/>
      <c r="AI300" s="20"/>
    </row>
    <row r="301" spans="7:35" ht="15.75">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30"/>
      <c r="AI301" s="20"/>
    </row>
    <row r="302" spans="7:35" ht="15.75">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30"/>
      <c r="AI302" s="20"/>
    </row>
    <row r="303" spans="7:35" ht="15.75">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30"/>
      <c r="AI303" s="20"/>
    </row>
    <row r="304" spans="7:35" ht="15.75">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30"/>
      <c r="AI304" s="20"/>
    </row>
    <row r="305" spans="7:35" ht="15.75">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30"/>
      <c r="AI305" s="20"/>
    </row>
    <row r="306" spans="7:35" ht="15.75">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30"/>
      <c r="AI306" s="20"/>
    </row>
    <row r="307" spans="7:35" ht="15.75">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30"/>
      <c r="AI307" s="20"/>
    </row>
    <row r="308" spans="7:35" ht="15.75">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30"/>
      <c r="AI308" s="20"/>
    </row>
    <row r="309" spans="7:35" ht="15.75">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30"/>
      <c r="AI309" s="20"/>
    </row>
    <row r="310" spans="7:35" ht="15.75">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30"/>
      <c r="AI310" s="20"/>
    </row>
    <row r="311" spans="7:35" ht="15.75">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30"/>
      <c r="AI311" s="20"/>
    </row>
    <row r="312" spans="7:35" ht="15.75">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30"/>
      <c r="AI312" s="20"/>
    </row>
    <row r="313" spans="7:35" ht="15.75">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30"/>
      <c r="AI313" s="20"/>
    </row>
    <row r="314" spans="7:35" ht="15.75">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30"/>
      <c r="AI314" s="20"/>
    </row>
    <row r="315" spans="7:35" ht="15.75">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30"/>
      <c r="AI315" s="20"/>
    </row>
    <row r="316" spans="7:35" ht="15.75">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30"/>
      <c r="AI316" s="20"/>
    </row>
    <row r="317" spans="7:35" ht="15.75">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30"/>
      <c r="AI317" s="20"/>
    </row>
    <row r="318" spans="7:35" ht="15.75">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30"/>
      <c r="AI318" s="20"/>
    </row>
    <row r="319" spans="7:35" ht="15.75">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30"/>
      <c r="AI319" s="20"/>
    </row>
    <row r="320" spans="7:35" ht="15.75">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30"/>
      <c r="AI320" s="20"/>
    </row>
    <row r="321" spans="7:35" ht="15.75">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30"/>
      <c r="AI321" s="20"/>
    </row>
    <row r="322" spans="7:35" ht="15.75">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30"/>
      <c r="AI322" s="20"/>
    </row>
    <row r="323" spans="7:35" ht="15.75">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30"/>
      <c r="AI323" s="20"/>
    </row>
    <row r="324" spans="7:35" ht="15.75">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30"/>
      <c r="AI324" s="20"/>
    </row>
    <row r="325" spans="7:35" ht="15.75">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30"/>
      <c r="AI325" s="20"/>
    </row>
    <row r="326" spans="7:35" ht="15.75">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30"/>
      <c r="AI326" s="20"/>
    </row>
    <row r="327" spans="7:35" ht="15.75">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30"/>
      <c r="AI327" s="20"/>
    </row>
    <row r="328" spans="7:35" ht="15.75">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30"/>
      <c r="AI328" s="20"/>
    </row>
    <row r="329" spans="7:35" ht="15.75">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30"/>
      <c r="AI329" s="20"/>
    </row>
    <row r="330" spans="7:35" ht="15.75">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30"/>
      <c r="AI330" s="20"/>
    </row>
    <row r="331" spans="7:35" ht="15.75">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30"/>
      <c r="AI331" s="20"/>
    </row>
    <row r="332" spans="7:35" ht="15.75">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30"/>
      <c r="AI332" s="20"/>
    </row>
    <row r="333" spans="7:35" ht="15.75">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30"/>
      <c r="AI333" s="20"/>
    </row>
    <row r="334" spans="7:35" ht="15.75">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30"/>
      <c r="AI334" s="20"/>
    </row>
    <row r="335" spans="7:35" ht="15.75">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30"/>
      <c r="AI335" s="20"/>
    </row>
    <row r="336" spans="7:35" ht="15.75">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30"/>
      <c r="AI336" s="20"/>
    </row>
    <row r="337" spans="7:35" ht="15.75">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30"/>
      <c r="AI337" s="20"/>
    </row>
    <row r="338" spans="7:35" ht="15.75">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30"/>
      <c r="AI338" s="20"/>
    </row>
    <row r="339" spans="7:35" ht="15.75">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30"/>
      <c r="AI339" s="20"/>
    </row>
    <row r="340" spans="7:35" ht="15.75">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30"/>
      <c r="AI340" s="20"/>
    </row>
    <row r="341" spans="7:35" ht="15.75">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30"/>
      <c r="AI341" s="20"/>
    </row>
    <row r="342" spans="7:35" ht="15.75">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30"/>
      <c r="AI342" s="20"/>
    </row>
    <row r="343" spans="7:35" ht="15.75">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30"/>
      <c r="AI343" s="20"/>
    </row>
    <row r="344" spans="7:35" ht="15.75">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30"/>
      <c r="AI344" s="20"/>
    </row>
    <row r="345" spans="7:35" ht="15.75">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30"/>
      <c r="AI345" s="20"/>
    </row>
    <row r="346" spans="7:35" ht="15.75">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30"/>
      <c r="AI346" s="20"/>
    </row>
    <row r="347" spans="7:35" ht="15.75">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30"/>
      <c r="AI347" s="20"/>
    </row>
    <row r="348" spans="7:35" ht="15.75">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30"/>
      <c r="AI348" s="20"/>
    </row>
    <row r="349" spans="7:35" ht="15.75">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30"/>
      <c r="AI349" s="20"/>
    </row>
    <row r="350" spans="7:35" ht="15.75">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30"/>
      <c r="AI350" s="20"/>
    </row>
    <row r="351" spans="7:35" ht="15.75">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30"/>
      <c r="AI351" s="20"/>
    </row>
    <row r="352" spans="7:35" ht="15.75">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30"/>
      <c r="AI352" s="20"/>
    </row>
    <row r="353" spans="7:35" ht="15.75">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30"/>
      <c r="AI353" s="20"/>
    </row>
    <row r="354" spans="7:35" ht="15.75">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30"/>
      <c r="AI354" s="20"/>
    </row>
    <row r="355" spans="7:35" ht="15.75">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30"/>
      <c r="AI355" s="20"/>
    </row>
    <row r="356" spans="7:35" ht="15.75">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30"/>
      <c r="AI356" s="20"/>
    </row>
    <row r="357" spans="7:35" ht="15.75">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30"/>
      <c r="AI357" s="20"/>
    </row>
    <row r="358" spans="7:35" ht="15.75">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30"/>
      <c r="AI358" s="20"/>
    </row>
    <row r="359" spans="7:35" ht="15.75">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30"/>
      <c r="AI359" s="20"/>
    </row>
    <row r="360" spans="7:35" ht="15.75">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30"/>
      <c r="AI360" s="20"/>
    </row>
    <row r="361" spans="7:35" ht="15.75">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30"/>
      <c r="AI361" s="20"/>
    </row>
    <row r="362" spans="7:35" ht="15.75">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30"/>
      <c r="AI362" s="20"/>
    </row>
    <row r="363" spans="7:35" ht="15.75">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30"/>
      <c r="AI363" s="20"/>
    </row>
    <row r="364" spans="7:35" ht="15.75">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30"/>
      <c r="AI364" s="20"/>
    </row>
    <row r="365" spans="7:35" ht="15.75">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30"/>
      <c r="AI365" s="20"/>
    </row>
    <row r="366" spans="7:35" ht="15.75">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30"/>
      <c r="AI366" s="20"/>
    </row>
    <row r="367" spans="7:35" ht="15.75">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30"/>
      <c r="AI367" s="20"/>
    </row>
    <row r="368" spans="7:35" ht="15.75">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30"/>
      <c r="AI368" s="20"/>
    </row>
    <row r="369" spans="7:35" ht="15.75">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30"/>
      <c r="AI369" s="20"/>
    </row>
    <row r="370" spans="7:35" ht="15.75">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30"/>
      <c r="AI370" s="20"/>
    </row>
    <row r="371" spans="7:35" ht="15.75">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30"/>
      <c r="AI371" s="20"/>
    </row>
    <row r="372" spans="7:35" ht="15.75">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30"/>
      <c r="AI372" s="20"/>
    </row>
    <row r="373" spans="7:35" ht="15.75">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30"/>
      <c r="AI373" s="20"/>
    </row>
    <row r="374" spans="7:35" ht="15.75">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30"/>
      <c r="AI374" s="20"/>
    </row>
    <row r="375" spans="7:35" ht="15.75">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30"/>
      <c r="AI375" s="20"/>
    </row>
    <row r="376" spans="7:35" ht="15.75">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30"/>
      <c r="AI376" s="20"/>
    </row>
    <row r="377" spans="7:35" ht="15.75">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30"/>
      <c r="AI377" s="20"/>
    </row>
    <row r="378" spans="7:35" ht="15.75">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30"/>
      <c r="AI378" s="20"/>
    </row>
    <row r="379" spans="7:35" ht="15.75">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30"/>
      <c r="AI379" s="20"/>
    </row>
    <row r="380" spans="7:35" ht="15.75">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30"/>
      <c r="AI380" s="20"/>
    </row>
    <row r="381" spans="7:35" ht="15.75">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30"/>
      <c r="AI381" s="20"/>
    </row>
    <row r="382" spans="7:35" ht="15.75">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30"/>
      <c r="AI382" s="20"/>
    </row>
    <row r="383" spans="7:35" ht="15.75">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30"/>
      <c r="AI383" s="20"/>
    </row>
    <row r="384" spans="7:35" ht="15.75">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30"/>
      <c r="AI384" s="20"/>
    </row>
    <row r="385" spans="7:35" ht="15.75">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30"/>
      <c r="AI385" s="20"/>
    </row>
    <row r="386" spans="7:35" ht="15.75">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30"/>
      <c r="AI386" s="20"/>
    </row>
    <row r="387" spans="7:35" ht="15.75">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30"/>
      <c r="AI387" s="20"/>
    </row>
    <row r="388" spans="7:35" ht="15.75">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30"/>
      <c r="AI388" s="20"/>
    </row>
    <row r="389" spans="7:35" ht="15.75">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30"/>
      <c r="AI389" s="20"/>
    </row>
    <row r="390" spans="7:35" ht="15.75">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30"/>
      <c r="AI390" s="20"/>
    </row>
    <row r="391" spans="7:35" ht="15.75">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30"/>
      <c r="AI391" s="20"/>
    </row>
    <row r="392" spans="7:35" ht="15.75">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30"/>
      <c r="AI392" s="20"/>
    </row>
    <row r="393" spans="7:35" ht="15.75">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30"/>
      <c r="AI393" s="20"/>
    </row>
    <row r="394" spans="7:35" ht="15.75">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30"/>
      <c r="AI394" s="20"/>
    </row>
    <row r="395" spans="7:35" ht="15.75">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30"/>
      <c r="AI395" s="20"/>
    </row>
    <row r="396" spans="7:35" ht="15.75">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30"/>
      <c r="AI396" s="20"/>
    </row>
    <row r="397" spans="7:35" ht="15.75">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30"/>
      <c r="AI397" s="20"/>
    </row>
    <row r="398" spans="7:35" ht="15.75">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30"/>
      <c r="AI398" s="20"/>
    </row>
    <row r="399" spans="7:35" ht="15.75">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30"/>
      <c r="AI399" s="20"/>
    </row>
    <row r="400" spans="7:35" ht="15.75">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30"/>
      <c r="AI400" s="20"/>
    </row>
    <row r="401" spans="7:35" ht="15.75">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30"/>
      <c r="AI401" s="20"/>
    </row>
    <row r="402" spans="7:35" ht="15.75">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30"/>
      <c r="AI402" s="20"/>
    </row>
    <row r="403" spans="7:35" ht="15.75">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30"/>
      <c r="AI403" s="20"/>
    </row>
    <row r="404" spans="7:35" ht="15.75">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30"/>
      <c r="AI404" s="20"/>
    </row>
    <row r="405" spans="7:35" ht="15.75">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30"/>
      <c r="AI405" s="20"/>
    </row>
    <row r="406" spans="7:35" ht="15.75">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30"/>
      <c r="AI406" s="20"/>
    </row>
    <row r="407" spans="7:35" ht="15.75">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30"/>
      <c r="AI407" s="20"/>
    </row>
    <row r="408" spans="7:35" ht="15.75">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30"/>
      <c r="AI408" s="20"/>
    </row>
    <row r="409" spans="7:35" ht="15.75">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30"/>
      <c r="AI409" s="20"/>
    </row>
    <row r="410" spans="7:35" ht="15.75">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30"/>
      <c r="AI410" s="20"/>
    </row>
  </sheetData>
  <sheetProtection/>
  <mergeCells count="25">
    <mergeCell ref="B26:C26"/>
    <mergeCell ref="N5:N6"/>
    <mergeCell ref="AE5:AH5"/>
    <mergeCell ref="O5:R5"/>
    <mergeCell ref="L5:L6"/>
    <mergeCell ref="S5:V5"/>
    <mergeCell ref="G5:G6"/>
    <mergeCell ref="H5:H6"/>
    <mergeCell ref="J5:J6"/>
    <mergeCell ref="AI4:AI6"/>
    <mergeCell ref="K5:K6"/>
    <mergeCell ref="O4:AH4"/>
    <mergeCell ref="W5:Z5"/>
    <mergeCell ref="AA5:AD5"/>
    <mergeCell ref="K4:N4"/>
    <mergeCell ref="B2:AH2"/>
    <mergeCell ref="B4:B6"/>
    <mergeCell ref="C4:C6"/>
    <mergeCell ref="D4:D6"/>
    <mergeCell ref="E4:E6"/>
    <mergeCell ref="I5:I6"/>
    <mergeCell ref="F4:F6"/>
    <mergeCell ref="G4:H4"/>
    <mergeCell ref="I4:J4"/>
    <mergeCell ref="M5:M6"/>
  </mergeCells>
  <printOptions horizontalCentered="1"/>
  <pageMargins left="0.1968503937007874" right="0.1968503937007874" top="0.15748031496062992" bottom="0.4330708661417323" header="0.1968503937007874" footer="0.31496062992125984"/>
  <pageSetup fitToHeight="0" fitToWidth="1" horizontalDpi="600" verticalDpi="600" orientation="landscape" paperSize="8" scale="39" r:id="rId1"/>
  <headerFooter>
    <oddFooter>&amp;LFMp4_250211_vestules_projekta_pielikums_nr2; Informācija par 1.mērķa Eiropas Savienības struktūrfondu un Kohēzijas fonda projektiem (faktiskā apguve un turpmāk plānotais finansējums  2007.-2013.gada plānošanas periodam) &amp;R&amp;P</oddFooter>
  </headerFooter>
  <colBreaks count="1" manualBreakCount="1">
    <brk id="22" max="33" man="1"/>
  </colBreaks>
</worksheet>
</file>

<file path=xl/worksheets/sheet7.xml><?xml version="1.0" encoding="utf-8"?>
<worksheet xmlns="http://schemas.openxmlformats.org/spreadsheetml/2006/main" xmlns:r="http://schemas.openxmlformats.org/officeDocument/2006/relationships">
  <sheetPr>
    <pageSetUpPr fitToPage="1"/>
  </sheetPr>
  <dimension ref="A2:AJ30"/>
  <sheetViews>
    <sheetView zoomScale="77" zoomScaleNormal="77" zoomScaleSheetLayoutView="70" workbookViewId="0" topLeftCell="A1">
      <selection activeCell="C25" sqref="C25"/>
    </sheetView>
  </sheetViews>
  <sheetFormatPr defaultColWidth="9.00390625" defaultRowHeight="15.75" outlineLevelRow="1"/>
  <cols>
    <col min="1" max="1" width="8.875" style="275" customWidth="1"/>
    <col min="2" max="2" width="10.75390625" style="275" customWidth="1"/>
    <col min="3" max="3" width="29.50390625" style="275" customWidth="1"/>
    <col min="4" max="4" width="8.75390625" style="275" customWidth="1"/>
    <col min="5" max="5" width="25.75390625" style="275" customWidth="1"/>
    <col min="6" max="10" width="16.50390625" style="275" customWidth="1"/>
    <col min="11" max="11" width="13.625" style="275" customWidth="1"/>
    <col min="12" max="12" width="16.50390625" style="275" customWidth="1"/>
    <col min="13" max="32" width="13.625" style="275" customWidth="1"/>
    <col min="33" max="33" width="13.625" style="336" customWidth="1"/>
    <col min="34" max="34" width="69.875" style="377" customWidth="1"/>
    <col min="35" max="16384" width="9.00390625" style="275" customWidth="1"/>
  </cols>
  <sheetData>
    <row r="2" spans="1:34" ht="49.5" customHeight="1">
      <c r="A2" s="274" t="s">
        <v>174</v>
      </c>
      <c r="B2" s="274"/>
      <c r="C2" s="274"/>
      <c r="D2" s="379"/>
      <c r="E2" s="379"/>
      <c r="F2" s="379"/>
      <c r="G2" s="379"/>
      <c r="H2" s="379"/>
      <c r="I2" s="379"/>
      <c r="J2" s="379"/>
      <c r="K2" s="379"/>
      <c r="L2" s="379"/>
      <c r="M2" s="379"/>
      <c r="N2" s="378"/>
      <c r="O2" s="378"/>
      <c r="P2" s="378"/>
      <c r="Q2" s="378"/>
      <c r="R2" s="378"/>
      <c r="S2" s="378"/>
      <c r="U2" s="378"/>
      <c r="V2" s="378"/>
      <c r="W2" s="378"/>
      <c r="X2" s="378"/>
      <c r="Y2" s="378"/>
      <c r="Z2" s="378"/>
      <c r="AA2" s="378"/>
      <c r="AB2" s="378"/>
      <c r="AC2" s="378"/>
      <c r="AD2" s="378"/>
      <c r="AE2" s="378"/>
      <c r="AF2" s="378"/>
      <c r="AG2" s="378"/>
      <c r="AH2" s="333" t="s">
        <v>357</v>
      </c>
    </row>
    <row r="3" spans="30:32" ht="15.75">
      <c r="AD3" s="335"/>
      <c r="AE3" s="335"/>
      <c r="AF3" s="335"/>
    </row>
    <row r="4" spans="1:34" ht="33" customHeight="1">
      <c r="A4" s="491" t="s">
        <v>0</v>
      </c>
      <c r="B4" s="491" t="s">
        <v>1</v>
      </c>
      <c r="C4" s="491" t="s">
        <v>2</v>
      </c>
      <c r="D4" s="488" t="s">
        <v>335</v>
      </c>
      <c r="E4" s="488" t="s">
        <v>336</v>
      </c>
      <c r="F4" s="488" t="str">
        <f>KOPSAVILKUMS!E4</f>
        <v>2007.-2013.gadam plānotais fnansējums 2</v>
      </c>
      <c r="G4" s="488"/>
      <c r="H4" s="488" t="str">
        <f>KOPSAVILKUMS!G4</f>
        <v>2007.-2011. g.plānotais finansējums 3</v>
      </c>
      <c r="I4" s="488"/>
      <c r="J4" s="488" t="str">
        <f>KOPSAVILKUMS!I4</f>
        <v>Apgūts līdz 1.05.2011.4</v>
      </c>
      <c r="K4" s="488"/>
      <c r="L4" s="488"/>
      <c r="M4" s="488"/>
      <c r="N4" s="491" t="str">
        <f>KOPSAVILKUMS!M4</f>
        <v>Plānotais attiecināmais finansējums pa gadiem (pieaugošā secībā no 2007.gada) 5</v>
      </c>
      <c r="O4" s="491"/>
      <c r="P4" s="491"/>
      <c r="Q4" s="491"/>
      <c r="R4" s="491"/>
      <c r="S4" s="491"/>
      <c r="T4" s="491"/>
      <c r="U4" s="491"/>
      <c r="V4" s="491"/>
      <c r="W4" s="491"/>
      <c r="X4" s="491"/>
      <c r="Y4" s="491"/>
      <c r="Z4" s="491"/>
      <c r="AA4" s="491"/>
      <c r="AB4" s="491"/>
      <c r="AC4" s="491"/>
      <c r="AD4" s="491"/>
      <c r="AE4" s="491"/>
      <c r="AF4" s="491"/>
      <c r="AG4" s="491"/>
      <c r="AH4" s="491" t="s">
        <v>364</v>
      </c>
    </row>
    <row r="5" spans="1:34" ht="15.75" customHeight="1">
      <c r="A5" s="493"/>
      <c r="B5" s="491"/>
      <c r="C5" s="493"/>
      <c r="D5" s="488"/>
      <c r="E5" s="488"/>
      <c r="F5" s="489" t="s">
        <v>4</v>
      </c>
      <c r="G5" s="489" t="s">
        <v>5</v>
      </c>
      <c r="H5" s="489" t="s">
        <v>4</v>
      </c>
      <c r="I5" s="489" t="s">
        <v>5</v>
      </c>
      <c r="J5" s="489" t="s">
        <v>4</v>
      </c>
      <c r="K5" s="489" t="s">
        <v>6</v>
      </c>
      <c r="L5" s="489" t="s">
        <v>5</v>
      </c>
      <c r="M5" s="489" t="s">
        <v>6</v>
      </c>
      <c r="N5" s="487" t="s">
        <v>7</v>
      </c>
      <c r="O5" s="487"/>
      <c r="P5" s="487"/>
      <c r="Q5" s="487"/>
      <c r="R5" s="487" t="s">
        <v>8</v>
      </c>
      <c r="S5" s="487"/>
      <c r="T5" s="487"/>
      <c r="U5" s="487"/>
      <c r="V5" s="487" t="s">
        <v>9</v>
      </c>
      <c r="W5" s="487"/>
      <c r="X5" s="487"/>
      <c r="Y5" s="487"/>
      <c r="Z5" s="487" t="s">
        <v>10</v>
      </c>
      <c r="AA5" s="487"/>
      <c r="AB5" s="487"/>
      <c r="AC5" s="487"/>
      <c r="AD5" s="487" t="s">
        <v>11</v>
      </c>
      <c r="AE5" s="487"/>
      <c r="AF5" s="487"/>
      <c r="AG5" s="487"/>
      <c r="AH5" s="491"/>
    </row>
    <row r="6" spans="1:34" ht="74.25" customHeight="1">
      <c r="A6" s="493"/>
      <c r="B6" s="492"/>
      <c r="C6" s="493"/>
      <c r="D6" s="494"/>
      <c r="E6" s="494"/>
      <c r="F6" s="490"/>
      <c r="G6" s="490"/>
      <c r="H6" s="490"/>
      <c r="I6" s="490"/>
      <c r="J6" s="490"/>
      <c r="K6" s="490"/>
      <c r="L6" s="490"/>
      <c r="M6" s="490"/>
      <c r="N6" s="376" t="s">
        <v>4</v>
      </c>
      <c r="O6" s="375" t="s">
        <v>6</v>
      </c>
      <c r="P6" s="376" t="s">
        <v>5</v>
      </c>
      <c r="Q6" s="375" t="s">
        <v>6</v>
      </c>
      <c r="R6" s="376" t="s">
        <v>4</v>
      </c>
      <c r="S6" s="375" t="s">
        <v>6</v>
      </c>
      <c r="T6" s="376" t="s">
        <v>5</v>
      </c>
      <c r="U6" s="375" t="s">
        <v>6</v>
      </c>
      <c r="V6" s="376" t="s">
        <v>4</v>
      </c>
      <c r="W6" s="375" t="s">
        <v>6</v>
      </c>
      <c r="X6" s="376" t="s">
        <v>5</v>
      </c>
      <c r="Y6" s="375" t="s">
        <v>6</v>
      </c>
      <c r="Z6" s="376" t="s">
        <v>4</v>
      </c>
      <c r="AA6" s="375" t="s">
        <v>6</v>
      </c>
      <c r="AB6" s="376" t="s">
        <v>5</v>
      </c>
      <c r="AC6" s="375" t="s">
        <v>6</v>
      </c>
      <c r="AD6" s="376" t="s">
        <v>4</v>
      </c>
      <c r="AE6" s="375" t="s">
        <v>6</v>
      </c>
      <c r="AF6" s="376" t="s">
        <v>5</v>
      </c>
      <c r="AG6" s="375" t="s">
        <v>6</v>
      </c>
      <c r="AH6" s="492"/>
    </row>
    <row r="7" spans="1:34" s="371" customFormat="1" ht="59.25" customHeight="1">
      <c r="A7" s="375" t="s">
        <v>151</v>
      </c>
      <c r="B7" s="375" t="s">
        <v>12</v>
      </c>
      <c r="C7" s="375" t="s">
        <v>152</v>
      </c>
      <c r="D7" s="375">
        <f>SUM(D8:D10)</f>
        <v>1</v>
      </c>
      <c r="E7" s="375" t="s">
        <v>41</v>
      </c>
      <c r="F7" s="374">
        <f>SUM(F8:F10)</f>
        <v>10098256</v>
      </c>
      <c r="G7" s="374">
        <f>SUM(G8:G10)</f>
        <v>8720346</v>
      </c>
      <c r="H7" s="374">
        <f>SUM(H8:H10)</f>
        <v>8105136.1899999995</v>
      </c>
      <c r="I7" s="374">
        <f>SUM(I8:I10)</f>
        <v>6802302.95</v>
      </c>
      <c r="J7" s="374">
        <f>SUM(J8:J10)</f>
        <v>4994871.42</v>
      </c>
      <c r="K7" s="373">
        <f>J7/$F7</f>
        <v>0.49462713363574856</v>
      </c>
      <c r="L7" s="374">
        <f>SUM(L8:L10)</f>
        <v>4245640.69</v>
      </c>
      <c r="M7" s="373">
        <f>L7/$G7</f>
        <v>0.48686608191922665</v>
      </c>
      <c r="N7" s="374">
        <f>SUM(N8:N10)</f>
        <v>6894871.42</v>
      </c>
      <c r="O7" s="373">
        <f>N7/$F7</f>
        <v>0.6827784342167598</v>
      </c>
      <c r="P7" s="374">
        <f>SUM(P8:P10)</f>
        <v>5860640.69</v>
      </c>
      <c r="Q7" s="373">
        <f>P7/$G7</f>
        <v>0.6720651554422268</v>
      </c>
      <c r="R7" s="374">
        <f>SUM(R8:R10)</f>
        <v>8794871.42</v>
      </c>
      <c r="S7" s="373">
        <f>R7/$F7</f>
        <v>0.870929734797771</v>
      </c>
      <c r="T7" s="374">
        <f>SUM(T8:T10)</f>
        <v>7475640.69</v>
      </c>
      <c r="U7" s="373">
        <f>T7/$G7</f>
        <v>0.8572642289652269</v>
      </c>
      <c r="V7" s="374">
        <f>SUM(V8:V10)</f>
        <v>10098256</v>
      </c>
      <c r="W7" s="373">
        <f>V7/$F7</f>
        <v>1</v>
      </c>
      <c r="X7" s="374">
        <f>SUM(X8:X10)</f>
        <v>8720346</v>
      </c>
      <c r="Y7" s="373">
        <f>X7/$G7</f>
        <v>1</v>
      </c>
      <c r="Z7" s="374">
        <f>SUM(Z8:Z10)</f>
        <v>10098256</v>
      </c>
      <c r="AA7" s="373">
        <f>Z7/$F7</f>
        <v>1</v>
      </c>
      <c r="AB7" s="374">
        <f>SUM(AB8:AB10)</f>
        <v>8720346</v>
      </c>
      <c r="AC7" s="373">
        <f>AB7/$G7</f>
        <v>1</v>
      </c>
      <c r="AD7" s="374">
        <f>SUM(AD8:AD10)</f>
        <v>10098256</v>
      </c>
      <c r="AE7" s="373">
        <f>AD7/$F7</f>
        <v>1</v>
      </c>
      <c r="AF7" s="374">
        <f>SUM(AF8:AF10)</f>
        <v>8720346</v>
      </c>
      <c r="AG7" s="373">
        <f>AF7/$G7</f>
        <v>1</v>
      </c>
      <c r="AH7" s="372"/>
    </row>
    <row r="8" spans="1:34" s="371" customFormat="1" ht="59.25" customHeight="1">
      <c r="A8" s="375" t="s">
        <v>153</v>
      </c>
      <c r="B8" s="375" t="s">
        <v>12</v>
      </c>
      <c r="C8" s="375" t="s">
        <v>154</v>
      </c>
      <c r="D8" s="375">
        <v>0</v>
      </c>
      <c r="E8" s="375" t="s">
        <v>155</v>
      </c>
      <c r="F8" s="372"/>
      <c r="G8" s="372"/>
      <c r="H8" s="372"/>
      <c r="I8" s="372"/>
      <c r="J8" s="372"/>
      <c r="K8" s="370"/>
      <c r="L8" s="372"/>
      <c r="M8" s="370"/>
      <c r="N8" s="372"/>
      <c r="O8" s="370"/>
      <c r="P8" s="372"/>
      <c r="Q8" s="370"/>
      <c r="R8" s="372"/>
      <c r="S8" s="370"/>
      <c r="T8" s="372"/>
      <c r="U8" s="370"/>
      <c r="V8" s="372"/>
      <c r="W8" s="370"/>
      <c r="X8" s="372"/>
      <c r="Y8" s="370"/>
      <c r="Z8" s="372"/>
      <c r="AA8" s="370"/>
      <c r="AB8" s="372"/>
      <c r="AC8" s="370"/>
      <c r="AD8" s="372"/>
      <c r="AE8" s="370"/>
      <c r="AF8" s="372"/>
      <c r="AG8" s="370"/>
      <c r="AH8" s="372"/>
    </row>
    <row r="9" spans="1:34" s="371" customFormat="1" ht="59.25" customHeight="1">
      <c r="A9" s="375" t="s">
        <v>156</v>
      </c>
      <c r="B9" s="375" t="s">
        <v>12</v>
      </c>
      <c r="C9" s="375" t="s">
        <v>157</v>
      </c>
      <c r="D9" s="375">
        <v>0</v>
      </c>
      <c r="E9" s="375" t="s">
        <v>155</v>
      </c>
      <c r="F9" s="372"/>
      <c r="G9" s="372"/>
      <c r="H9" s="372"/>
      <c r="I9" s="372"/>
      <c r="J9" s="372"/>
      <c r="K9" s="370"/>
      <c r="L9" s="372"/>
      <c r="M9" s="370"/>
      <c r="N9" s="372"/>
      <c r="O9" s="370"/>
      <c r="P9" s="372"/>
      <c r="Q9" s="370"/>
      <c r="R9" s="372"/>
      <c r="S9" s="370"/>
      <c r="T9" s="372"/>
      <c r="U9" s="370"/>
      <c r="V9" s="372"/>
      <c r="W9" s="370"/>
      <c r="X9" s="372"/>
      <c r="Y9" s="370"/>
      <c r="Z9" s="372"/>
      <c r="AA9" s="370"/>
      <c r="AB9" s="372"/>
      <c r="AC9" s="370"/>
      <c r="AD9" s="372"/>
      <c r="AE9" s="370"/>
      <c r="AF9" s="372"/>
      <c r="AG9" s="370"/>
      <c r="AH9" s="372"/>
    </row>
    <row r="10" spans="1:34" s="371" customFormat="1" ht="112.5" customHeight="1">
      <c r="A10" s="375" t="s">
        <v>158</v>
      </c>
      <c r="B10" s="375" t="s">
        <v>12</v>
      </c>
      <c r="C10" s="375" t="s">
        <v>361</v>
      </c>
      <c r="D10" s="375">
        <v>1</v>
      </c>
      <c r="E10" s="375" t="s">
        <v>98</v>
      </c>
      <c r="F10" s="374">
        <v>10098256</v>
      </c>
      <c r="G10" s="374">
        <v>8720346</v>
      </c>
      <c r="H10" s="374">
        <v>8105136.1899999995</v>
      </c>
      <c r="I10" s="374">
        <v>6802302.95</v>
      </c>
      <c r="J10" s="374">
        <v>4994871.42</v>
      </c>
      <c r="K10" s="373">
        <f aca="true" t="shared" si="0" ref="K10:K19">J10/F10</f>
        <v>0.49462713363574856</v>
      </c>
      <c r="L10" s="374">
        <v>4245640.69</v>
      </c>
      <c r="M10" s="373">
        <f>L10/G10</f>
        <v>0.48686608191922665</v>
      </c>
      <c r="N10" s="374">
        <f>J10+1900000</f>
        <v>6894871.42</v>
      </c>
      <c r="O10" s="373">
        <f>N10/F10</f>
        <v>0.6827784342167598</v>
      </c>
      <c r="P10" s="374">
        <f>L10+1900000*0.85</f>
        <v>5860640.69</v>
      </c>
      <c r="Q10" s="373">
        <f>P10/G10</f>
        <v>0.6720651554422268</v>
      </c>
      <c r="R10" s="374">
        <f>N10+1900000</f>
        <v>8794871.42</v>
      </c>
      <c r="S10" s="373">
        <f>R10/F10</f>
        <v>0.870929734797771</v>
      </c>
      <c r="T10" s="374">
        <f>P10+1900000*0.85</f>
        <v>7475640.69</v>
      </c>
      <c r="U10" s="373">
        <f>T10/G10</f>
        <v>0.8572642289652269</v>
      </c>
      <c r="V10" s="374">
        <v>10098256</v>
      </c>
      <c r="W10" s="369">
        <f>V10/$F10</f>
        <v>1</v>
      </c>
      <c r="X10" s="374">
        <v>8720346</v>
      </c>
      <c r="Y10" s="369">
        <f>X10/$G10</f>
        <v>1</v>
      </c>
      <c r="Z10" s="374">
        <v>10098256</v>
      </c>
      <c r="AA10" s="369">
        <f>Z10/$F10</f>
        <v>1</v>
      </c>
      <c r="AB10" s="374">
        <v>8720346</v>
      </c>
      <c r="AC10" s="369">
        <f>AB10/$G10</f>
        <v>1</v>
      </c>
      <c r="AD10" s="374">
        <v>10098256</v>
      </c>
      <c r="AE10" s="369">
        <f>AD10/$F10</f>
        <v>1</v>
      </c>
      <c r="AF10" s="374">
        <v>8720346</v>
      </c>
      <c r="AG10" s="369">
        <f>AF10/$G10</f>
        <v>1</v>
      </c>
      <c r="AH10" s="374" t="s">
        <v>482</v>
      </c>
    </row>
    <row r="11" spans="1:34" s="371" customFormat="1" ht="59.25" customHeight="1">
      <c r="A11" s="375" t="s">
        <v>159</v>
      </c>
      <c r="B11" s="375" t="s">
        <v>14</v>
      </c>
      <c r="C11" s="375" t="s">
        <v>160</v>
      </c>
      <c r="D11" s="375">
        <f>SUM(D12,D15:D16)</f>
        <v>270</v>
      </c>
      <c r="E11" s="375" t="s">
        <v>41</v>
      </c>
      <c r="F11" s="374">
        <f>SUM(F12,F15:F16)</f>
        <v>171378821.69684705</v>
      </c>
      <c r="G11" s="374">
        <f>SUM(G12,G15:G16)</f>
        <v>145671998.31432</v>
      </c>
      <c r="H11" s="374">
        <f>SUM(H12,H15:H16)</f>
        <v>78069939.63</v>
      </c>
      <c r="I11" s="374">
        <f>SUM(I12,I15:I16)</f>
        <v>69058010.25</v>
      </c>
      <c r="J11" s="374">
        <f>SUM(J12,J15:J16)</f>
        <v>49852464.5</v>
      </c>
      <c r="K11" s="373">
        <f t="shared" si="0"/>
        <v>0.2908904612973959</v>
      </c>
      <c r="L11" s="374">
        <f>SUM(L12,L15:L16)</f>
        <v>43852326.74</v>
      </c>
      <c r="M11" s="373">
        <f>L11/G11</f>
        <v>0.301034702945303</v>
      </c>
      <c r="N11" s="374">
        <f>SUM(N12,N15:N16)</f>
        <v>89777053.54941177</v>
      </c>
      <c r="O11" s="373">
        <f>N11/F11</f>
        <v>0.5238515042904128</v>
      </c>
      <c r="P11" s="374">
        <f>SUM(P12,P15:P16)</f>
        <v>76310495.51699999</v>
      </c>
      <c r="Q11" s="373">
        <f>P11/G11</f>
        <v>0.5238515047507138</v>
      </c>
      <c r="R11" s="374">
        <f>SUM(R12,R15:R16)</f>
        <v>126662903.20390588</v>
      </c>
      <c r="S11" s="373">
        <f>R11/F11</f>
        <v>0.7390814217871132</v>
      </c>
      <c r="T11" s="374">
        <f>SUM(T12,T15:T16)</f>
        <v>107663466.85332</v>
      </c>
      <c r="U11" s="373">
        <f>T11/G11</f>
        <v>0.7390814164642125</v>
      </c>
      <c r="V11" s="374">
        <f>SUM(V12,V15:V16)</f>
        <v>149374893.67025882</v>
      </c>
      <c r="W11" s="373">
        <f>V11/F11</f>
        <v>0.8716064925133451</v>
      </c>
      <c r="X11" s="374">
        <f>SUM(X12,X15:X16)</f>
        <v>126968658.74971999</v>
      </c>
      <c r="Y11" s="373">
        <f>X11/G11</f>
        <v>0.8716064873068923</v>
      </c>
      <c r="Z11" s="374">
        <f>SUM(Z12,Z15:Z16)</f>
        <v>168406822.39261177</v>
      </c>
      <c r="AA11" s="373">
        <f>Z11/F11</f>
        <v>0.9826583047146137</v>
      </c>
      <c r="AB11" s="374">
        <f>SUM(AB12,AB15:AB16)</f>
        <v>143145798.16371998</v>
      </c>
      <c r="AC11" s="373">
        <f>AB11/G11</f>
        <v>0.9826582996057405</v>
      </c>
      <c r="AD11" s="374">
        <f>SUM(AD12,AD15:AD16)</f>
        <v>175353429.33261177</v>
      </c>
      <c r="AE11" s="373">
        <f>AD11/F11</f>
        <v>1.0231919416670714</v>
      </c>
      <c r="AF11" s="374">
        <f>SUM(AF12,AF15:AF16)</f>
        <v>149050414.06272</v>
      </c>
      <c r="AG11" s="373">
        <f>AF11/G11</f>
        <v>1.0231919365938147</v>
      </c>
      <c r="AH11" s="372"/>
    </row>
    <row r="12" spans="1:34" s="367" customFormat="1" ht="72.75" customHeight="1">
      <c r="A12" s="375" t="s">
        <v>161</v>
      </c>
      <c r="B12" s="375" t="s">
        <v>14</v>
      </c>
      <c r="C12" s="375" t="s">
        <v>162</v>
      </c>
      <c r="D12" s="375">
        <f>D13+D14</f>
        <v>228</v>
      </c>
      <c r="E12" s="375" t="s">
        <v>41</v>
      </c>
      <c r="F12" s="374">
        <f>SUM(F13:F14)</f>
        <v>18411811.14352941</v>
      </c>
      <c r="G12" s="374">
        <f>SUM(G13:G14)</f>
        <v>15650039.472</v>
      </c>
      <c r="H12" s="374">
        <f>SUM(H13:H14)</f>
        <v>3290550.1799999997</v>
      </c>
      <c r="I12" s="374">
        <f>SUM(I13:I14)</f>
        <v>3290550.1799999997</v>
      </c>
      <c r="J12" s="374">
        <f>SUM(J13:J14)</f>
        <v>2030784.69</v>
      </c>
      <c r="K12" s="373">
        <f t="shared" si="0"/>
        <v>0.11029793180958694</v>
      </c>
      <c r="L12" s="374">
        <f>SUM(L13:L14)</f>
        <v>2008574.28</v>
      </c>
      <c r="M12" s="373">
        <f aca="true" t="shared" si="1" ref="M12:M19">L12/G12</f>
        <v>0.1283430807694515</v>
      </c>
      <c r="N12" s="374">
        <f>N13+N14</f>
        <v>5558528.564705882</v>
      </c>
      <c r="O12" s="373">
        <f aca="true" t="shared" si="2" ref="O12:O19">N12/F12</f>
        <v>0.30190015101579804</v>
      </c>
      <c r="P12" s="374">
        <f>P13+P14</f>
        <v>4724749.28</v>
      </c>
      <c r="Q12" s="373">
        <f aca="true" t="shared" si="3" ref="Q12:Q19">P12/G12</f>
        <v>0.30190015101579804</v>
      </c>
      <c r="R12" s="374">
        <f>R13+R14</f>
        <v>13742317.254117649</v>
      </c>
      <c r="S12" s="373">
        <f aca="true" t="shared" si="4" ref="S12:S19">R12/F12</f>
        <v>0.7463859555689178</v>
      </c>
      <c r="T12" s="374">
        <f>T13+T14</f>
        <v>11680969.666000001</v>
      </c>
      <c r="U12" s="373">
        <f aca="true" t="shared" si="5" ref="U12:U19">T12/G12</f>
        <v>0.7463859555689178</v>
      </c>
      <c r="V12" s="374">
        <f>V13+V14</f>
        <v>16790348.665176474</v>
      </c>
      <c r="W12" s="373">
        <f aca="true" t="shared" si="6" ref="W12:W19">V12/F12</f>
        <v>0.9119335699398167</v>
      </c>
      <c r="X12" s="374">
        <f>X13+X14</f>
        <v>14271796.365400001</v>
      </c>
      <c r="Y12" s="373">
        <f aca="true" t="shared" si="7" ref="Y12:Y19">X12/G12</f>
        <v>0.9119335699398166</v>
      </c>
      <c r="Z12" s="374">
        <f>Z13+Z14</f>
        <v>18648504.21458824</v>
      </c>
      <c r="AA12" s="373">
        <f aca="true" t="shared" si="8" ref="AA12:AA19">Z12/F12</f>
        <v>1.0128555017870695</v>
      </c>
      <c r="AB12" s="374">
        <f>AB13+AB14</f>
        <v>15851228.582400002</v>
      </c>
      <c r="AC12" s="373">
        <f aca="true" t="shared" si="9" ref="AC12:AC19">AB12/G12</f>
        <v>1.0128555017870693</v>
      </c>
      <c r="AD12" s="374">
        <f>AD13+AD14</f>
        <v>18648504.21458824</v>
      </c>
      <c r="AE12" s="373">
        <f aca="true" t="shared" si="10" ref="AE12:AE19">AD12/F12</f>
        <v>1.0128555017870695</v>
      </c>
      <c r="AF12" s="374">
        <f>AF13+AF14</f>
        <v>15851228.582400002</v>
      </c>
      <c r="AG12" s="373">
        <f aca="true" t="shared" si="11" ref="AG12:AG19">AF12/G12</f>
        <v>1.0128555017870693</v>
      </c>
      <c r="AH12" s="368" t="s">
        <v>483</v>
      </c>
    </row>
    <row r="13" spans="1:34" s="362" customFormat="1" ht="178.5" customHeight="1" outlineLevel="1">
      <c r="A13" s="366" t="s">
        <v>163</v>
      </c>
      <c r="B13" s="366" t="s">
        <v>14</v>
      </c>
      <c r="C13" s="366" t="s">
        <v>164</v>
      </c>
      <c r="D13" s="366">
        <v>203</v>
      </c>
      <c r="E13" s="366" t="s">
        <v>265</v>
      </c>
      <c r="F13" s="365">
        <v>3679881.744</v>
      </c>
      <c r="G13" s="365">
        <v>3127899.4824</v>
      </c>
      <c r="H13" s="365">
        <v>0</v>
      </c>
      <c r="I13" s="365">
        <v>0</v>
      </c>
      <c r="J13" s="365">
        <v>0</v>
      </c>
      <c r="K13" s="364">
        <f t="shared" si="0"/>
        <v>0</v>
      </c>
      <c r="L13" s="365">
        <v>0</v>
      </c>
      <c r="M13" s="364">
        <f t="shared" si="1"/>
        <v>0</v>
      </c>
      <c r="N13" s="365">
        <f>P13/0.85</f>
        <v>725300</v>
      </c>
      <c r="O13" s="364">
        <f t="shared" si="2"/>
        <v>0.1970987250290291</v>
      </c>
      <c r="P13" s="365">
        <v>616505</v>
      </c>
      <c r="Q13" s="364">
        <f t="shared" si="3"/>
        <v>0.1970987250290291</v>
      </c>
      <c r="R13" s="365">
        <f>T13/0.85</f>
        <v>2490005.882352941</v>
      </c>
      <c r="S13" s="364">
        <f t="shared" si="4"/>
        <v>0.676653777370119</v>
      </c>
      <c r="T13" s="365">
        <f>1500000+P13</f>
        <v>2116505</v>
      </c>
      <c r="U13" s="364">
        <f t="shared" si="5"/>
        <v>0.676653777370119</v>
      </c>
      <c r="V13" s="365">
        <f>X13/0.85</f>
        <v>3679881.7440000004</v>
      </c>
      <c r="W13" s="364">
        <f t="shared" si="6"/>
        <v>1.0000000000000002</v>
      </c>
      <c r="X13" s="365">
        <v>3127899.4824</v>
      </c>
      <c r="Y13" s="364">
        <f t="shared" si="7"/>
        <v>1</v>
      </c>
      <c r="Z13" s="365">
        <f>AB13/0.85</f>
        <v>3679881.7440000004</v>
      </c>
      <c r="AA13" s="364">
        <f t="shared" si="8"/>
        <v>1.0000000000000002</v>
      </c>
      <c r="AB13" s="365">
        <v>3127899.4824</v>
      </c>
      <c r="AC13" s="364">
        <f t="shared" si="9"/>
        <v>1</v>
      </c>
      <c r="AD13" s="365">
        <f>AF13/0.85</f>
        <v>3679881.7440000004</v>
      </c>
      <c r="AE13" s="364">
        <f t="shared" si="10"/>
        <v>1.0000000000000002</v>
      </c>
      <c r="AF13" s="365">
        <v>3127899.4824</v>
      </c>
      <c r="AG13" s="364">
        <f t="shared" si="11"/>
        <v>1</v>
      </c>
      <c r="AH13" s="363" t="s">
        <v>484</v>
      </c>
    </row>
    <row r="14" spans="1:34" s="362" customFormat="1" ht="135.75" customHeight="1" outlineLevel="1">
      <c r="A14" s="366" t="s">
        <v>165</v>
      </c>
      <c r="B14" s="366" t="s">
        <v>14</v>
      </c>
      <c r="C14" s="366" t="s">
        <v>166</v>
      </c>
      <c r="D14" s="366">
        <v>25</v>
      </c>
      <c r="E14" s="366" t="s">
        <v>266</v>
      </c>
      <c r="F14" s="365">
        <v>14731929.399529412</v>
      </c>
      <c r="G14" s="365">
        <v>12522139.989599999</v>
      </c>
      <c r="H14" s="365">
        <v>3290550.1799999997</v>
      </c>
      <c r="I14" s="365">
        <v>3290550.1799999997</v>
      </c>
      <c r="J14" s="365">
        <v>2030784.69</v>
      </c>
      <c r="K14" s="364">
        <f t="shared" si="0"/>
        <v>0.13784920053071054</v>
      </c>
      <c r="L14" s="365">
        <v>2008574.28</v>
      </c>
      <c r="M14" s="364">
        <f t="shared" si="1"/>
        <v>0.16040183879657785</v>
      </c>
      <c r="N14" s="365">
        <f>P14*100/85</f>
        <v>4833228.564705882</v>
      </c>
      <c r="O14" s="364">
        <f t="shared" si="2"/>
        <v>0.32807845012210496</v>
      </c>
      <c r="P14" s="365">
        <f>2099670+L14</f>
        <v>4108244.2800000003</v>
      </c>
      <c r="Q14" s="364">
        <f t="shared" si="3"/>
        <v>0.32807845012210507</v>
      </c>
      <c r="R14" s="365">
        <f>T14*100/85</f>
        <v>11252311.371764708</v>
      </c>
      <c r="S14" s="364">
        <f t="shared" si="4"/>
        <v>0.7638043236973526</v>
      </c>
      <c r="T14" s="365">
        <f>5456220.386+P14</f>
        <v>9564464.666000001</v>
      </c>
      <c r="U14" s="364">
        <f t="shared" si="5"/>
        <v>0.7638043236973526</v>
      </c>
      <c r="V14" s="365">
        <f>X14*100/85</f>
        <v>13110466.921176473</v>
      </c>
      <c r="W14" s="364">
        <f t="shared" si="6"/>
        <v>0.8899354976270294</v>
      </c>
      <c r="X14" s="365">
        <f>1579432.217+T14</f>
        <v>11143896.883000001</v>
      </c>
      <c r="Y14" s="364">
        <f t="shared" si="7"/>
        <v>0.8899354976270295</v>
      </c>
      <c r="Z14" s="365">
        <f>AB14*100/85</f>
        <v>14968622.470588239</v>
      </c>
      <c r="AA14" s="364">
        <f t="shared" si="8"/>
        <v>1.0160666715567064</v>
      </c>
      <c r="AB14" s="365">
        <f>1579432.217+X14</f>
        <v>12723329.100000001</v>
      </c>
      <c r="AC14" s="364">
        <f t="shared" si="9"/>
        <v>1.0160666715567064</v>
      </c>
      <c r="AD14" s="365">
        <f>AF14*100/85</f>
        <v>14968622.470588239</v>
      </c>
      <c r="AE14" s="364">
        <f t="shared" si="10"/>
        <v>1.0160666715567064</v>
      </c>
      <c r="AF14" s="365">
        <f>AB14</f>
        <v>12723329.100000001</v>
      </c>
      <c r="AG14" s="364">
        <f t="shared" si="11"/>
        <v>1.0160666715567064</v>
      </c>
      <c r="AH14" s="363" t="s">
        <v>485</v>
      </c>
    </row>
    <row r="15" spans="1:34" s="367" customFormat="1" ht="249.75" customHeight="1">
      <c r="A15" s="375" t="s">
        <v>167</v>
      </c>
      <c r="B15" s="375" t="s">
        <v>14</v>
      </c>
      <c r="C15" s="375" t="s">
        <v>337</v>
      </c>
      <c r="D15" s="375">
        <v>1</v>
      </c>
      <c r="E15" s="375" t="s">
        <v>267</v>
      </c>
      <c r="F15" s="374">
        <v>7678406.553317647</v>
      </c>
      <c r="G15" s="374">
        <v>6526645.57032</v>
      </c>
      <c r="H15" s="374">
        <v>5626604</v>
      </c>
      <c r="I15" s="374">
        <f>H15*0.85</f>
        <v>4782613.399999999</v>
      </c>
      <c r="J15" s="374">
        <v>522257.82</v>
      </c>
      <c r="K15" s="373">
        <f t="shared" si="0"/>
        <v>0.06801643236438756</v>
      </c>
      <c r="L15" s="374">
        <v>443919.15</v>
      </c>
      <c r="M15" s="373">
        <f t="shared" si="1"/>
        <v>0.06801643282404177</v>
      </c>
      <c r="N15" s="374">
        <f>4277661+J15</f>
        <v>4799918.82</v>
      </c>
      <c r="O15" s="373">
        <f t="shared" si="2"/>
        <v>0.625119129427456</v>
      </c>
      <c r="P15" s="374">
        <f>N15*0.85</f>
        <v>4079930.997</v>
      </c>
      <c r="Q15" s="373">
        <f t="shared" si="3"/>
        <v>0.625119129427456</v>
      </c>
      <c r="R15" s="374">
        <v>7678406.553317647</v>
      </c>
      <c r="S15" s="373">
        <f t="shared" si="4"/>
        <v>1</v>
      </c>
      <c r="T15" s="374">
        <f>R15*0.85</f>
        <v>6526645.57032</v>
      </c>
      <c r="U15" s="373">
        <f t="shared" si="5"/>
        <v>1</v>
      </c>
      <c r="V15" s="374">
        <v>7678406.553317647</v>
      </c>
      <c r="W15" s="373">
        <f t="shared" si="6"/>
        <v>1</v>
      </c>
      <c r="X15" s="374">
        <f>V15*0.85</f>
        <v>6526645.57032</v>
      </c>
      <c r="Y15" s="373">
        <f t="shared" si="7"/>
        <v>1</v>
      </c>
      <c r="Z15" s="374">
        <v>7678406.553317647</v>
      </c>
      <c r="AA15" s="373">
        <f t="shared" si="8"/>
        <v>1</v>
      </c>
      <c r="AB15" s="374">
        <f>Z15*0.85</f>
        <v>6526645.57032</v>
      </c>
      <c r="AC15" s="373">
        <f t="shared" si="9"/>
        <v>1</v>
      </c>
      <c r="AD15" s="374">
        <v>7678406.553317647</v>
      </c>
      <c r="AE15" s="373">
        <f t="shared" si="10"/>
        <v>1</v>
      </c>
      <c r="AF15" s="374">
        <f>AD15*0.85</f>
        <v>6526645.57032</v>
      </c>
      <c r="AG15" s="373">
        <f t="shared" si="11"/>
        <v>1</v>
      </c>
      <c r="AH15" s="363" t="s">
        <v>534</v>
      </c>
    </row>
    <row r="16" spans="1:34" s="367" customFormat="1" ht="59.25" customHeight="1">
      <c r="A16" s="375" t="s">
        <v>168</v>
      </c>
      <c r="B16" s="375" t="s">
        <v>14</v>
      </c>
      <c r="C16" s="375" t="s">
        <v>169</v>
      </c>
      <c r="D16" s="375">
        <f>D17+D18</f>
        <v>41</v>
      </c>
      <c r="E16" s="375" t="s">
        <v>41</v>
      </c>
      <c r="F16" s="374">
        <f>SUM(F17:F18)</f>
        <v>145288604</v>
      </c>
      <c r="G16" s="374">
        <f>SUM(G17:G18)</f>
        <v>123495313.272</v>
      </c>
      <c r="H16" s="374">
        <f>SUM(H17:H18)</f>
        <v>69152785.45</v>
      </c>
      <c r="I16" s="374">
        <f>SUM(I17:I18)</f>
        <v>60984846.67</v>
      </c>
      <c r="J16" s="374">
        <f>SUM(J17:J18)</f>
        <v>47299421.99</v>
      </c>
      <c r="K16" s="373">
        <f t="shared" si="0"/>
        <v>0.32555493471463187</v>
      </c>
      <c r="L16" s="374">
        <f>SUM(L17:L18)</f>
        <v>41399833.31</v>
      </c>
      <c r="M16" s="373">
        <f t="shared" si="1"/>
        <v>0.33523404421685493</v>
      </c>
      <c r="N16" s="374">
        <f>N17+N18</f>
        <v>79418606.16470589</v>
      </c>
      <c r="O16" s="373">
        <f t="shared" si="2"/>
        <v>0.5466265348981252</v>
      </c>
      <c r="P16" s="374">
        <f>P17+P18</f>
        <v>67505815.24</v>
      </c>
      <c r="Q16" s="373">
        <f t="shared" si="3"/>
        <v>0.5466265354646906</v>
      </c>
      <c r="R16" s="374">
        <f>R17+R18</f>
        <v>105242179.39647059</v>
      </c>
      <c r="S16" s="373">
        <f t="shared" si="4"/>
        <v>0.7243663749186453</v>
      </c>
      <c r="T16" s="374">
        <f>T17+T18</f>
        <v>89455851.617</v>
      </c>
      <c r="U16" s="373">
        <f t="shared" si="5"/>
        <v>0.7243663686246323</v>
      </c>
      <c r="V16" s="374">
        <f>V17+V18</f>
        <v>124906138.4517647</v>
      </c>
      <c r="W16" s="373">
        <f t="shared" si="6"/>
        <v>0.8597105004310228</v>
      </c>
      <c r="X16" s="374">
        <f>X17+X18</f>
        <v>106170216.814</v>
      </c>
      <c r="Y16" s="373">
        <f t="shared" si="7"/>
        <v>0.8597104942772908</v>
      </c>
      <c r="Z16" s="374">
        <f>Z17+Z18</f>
        <v>142079911.62470588</v>
      </c>
      <c r="AA16" s="373">
        <f t="shared" si="8"/>
        <v>0.9779150443534159</v>
      </c>
      <c r="AB16" s="374">
        <f>AB17+AB18</f>
        <v>120767924.01099999</v>
      </c>
      <c r="AC16" s="373">
        <f t="shared" si="9"/>
        <v>0.9779150383222002</v>
      </c>
      <c r="AD16" s="374">
        <f>AD17+AD18</f>
        <v>149026518.56470588</v>
      </c>
      <c r="AE16" s="373">
        <f t="shared" si="10"/>
        <v>1.0257275138021553</v>
      </c>
      <c r="AF16" s="374">
        <f>AF17+AF18</f>
        <v>126672539.91</v>
      </c>
      <c r="AG16" s="373">
        <f t="shared" si="11"/>
        <v>1.0257275078204962</v>
      </c>
      <c r="AH16" s="363" t="s">
        <v>535</v>
      </c>
    </row>
    <row r="17" spans="1:34" s="362" customFormat="1" ht="250.5" customHeight="1" outlineLevel="1">
      <c r="A17" s="366" t="s">
        <v>170</v>
      </c>
      <c r="B17" s="366" t="s">
        <v>14</v>
      </c>
      <c r="C17" s="366" t="s">
        <v>171</v>
      </c>
      <c r="D17" s="366">
        <v>37</v>
      </c>
      <c r="E17" s="366" t="s">
        <v>268</v>
      </c>
      <c r="F17" s="365">
        <v>135391469</v>
      </c>
      <c r="G17" s="365">
        <v>115082749.392</v>
      </c>
      <c r="H17" s="365">
        <v>59397494.150000006</v>
      </c>
      <c r="I17" s="365">
        <v>52681658.870000005</v>
      </c>
      <c r="J17" s="365">
        <v>37754038.25</v>
      </c>
      <c r="K17" s="364">
        <f t="shared" si="0"/>
        <v>0.278850938902214</v>
      </c>
      <c r="L17" s="365">
        <v>33286257.14</v>
      </c>
      <c r="M17" s="364">
        <f t="shared" si="1"/>
        <v>0.2892375904803844</v>
      </c>
      <c r="N17" s="365">
        <f>P17*100/85</f>
        <v>69663314.16470589</v>
      </c>
      <c r="O17" s="364">
        <f t="shared" si="2"/>
        <v>0.5145325232028163</v>
      </c>
      <c r="P17" s="365">
        <f>25927559.9+L17</f>
        <v>59213817.04</v>
      </c>
      <c r="Q17" s="364">
        <f t="shared" si="3"/>
        <v>0.5145325198853501</v>
      </c>
      <c r="R17" s="365">
        <f>T17*100/85</f>
        <v>95345044.39647059</v>
      </c>
      <c r="S17" s="364">
        <f t="shared" si="4"/>
        <v>0.7042175190260369</v>
      </c>
      <c r="T17" s="365">
        <f>21829470.697+P17</f>
        <v>81043287.737</v>
      </c>
      <c r="U17" s="364">
        <f t="shared" si="5"/>
        <v>0.7042175144855701</v>
      </c>
      <c r="V17" s="365">
        <f>X17*100/85</f>
        <v>115009003.4517647</v>
      </c>
      <c r="W17" s="364">
        <f t="shared" si="6"/>
        <v>0.8494553187229595</v>
      </c>
      <c r="X17" s="365">
        <f>16714365.197+T17</f>
        <v>97757652.934</v>
      </c>
      <c r="Y17" s="364">
        <f t="shared" si="7"/>
        <v>0.849455313246067</v>
      </c>
      <c r="Z17" s="365">
        <f>AB17*100/85</f>
        <v>132182776.62470588</v>
      </c>
      <c r="AA17" s="364">
        <f t="shared" si="8"/>
        <v>0.9763006310590062</v>
      </c>
      <c r="AB17" s="365">
        <f>14597707.197+X17</f>
        <v>112355360.131</v>
      </c>
      <c r="AC17" s="364">
        <f t="shared" si="9"/>
        <v>0.9763006247642741</v>
      </c>
      <c r="AD17" s="365">
        <f>AF17*100/85</f>
        <v>139129383.56470588</v>
      </c>
      <c r="AE17" s="364">
        <f t="shared" si="10"/>
        <v>1.027608198598583</v>
      </c>
      <c r="AF17" s="365">
        <f>5904615.899+AB17</f>
        <v>118259976.03</v>
      </c>
      <c r="AG17" s="364">
        <f t="shared" si="11"/>
        <v>1.0276081919730435</v>
      </c>
      <c r="AH17" s="363" t="s">
        <v>486</v>
      </c>
    </row>
    <row r="18" spans="1:36" s="362" customFormat="1" ht="195" customHeight="1" outlineLevel="1">
      <c r="A18" s="366" t="s">
        <v>172</v>
      </c>
      <c r="B18" s="366" t="s">
        <v>14</v>
      </c>
      <c r="C18" s="366" t="s">
        <v>173</v>
      </c>
      <c r="D18" s="366">
        <v>4</v>
      </c>
      <c r="E18" s="366" t="s">
        <v>269</v>
      </c>
      <c r="F18" s="365">
        <v>9897135</v>
      </c>
      <c r="G18" s="365">
        <v>8412563.879999999</v>
      </c>
      <c r="H18" s="365">
        <v>9755291.299999999</v>
      </c>
      <c r="I18" s="365">
        <v>8303187.8</v>
      </c>
      <c r="J18" s="365">
        <v>9545383.74</v>
      </c>
      <c r="K18" s="364">
        <f t="shared" si="0"/>
        <v>0.9644592844292819</v>
      </c>
      <c r="L18" s="365">
        <v>8113576.17</v>
      </c>
      <c r="M18" s="364">
        <f t="shared" si="1"/>
        <v>0.9644593831006965</v>
      </c>
      <c r="N18" s="365">
        <v>9755292</v>
      </c>
      <c r="O18" s="364">
        <f t="shared" si="2"/>
        <v>0.9856682767285684</v>
      </c>
      <c r="P18" s="365">
        <f>N18*0.85</f>
        <v>8291998.2</v>
      </c>
      <c r="Q18" s="364">
        <f t="shared" si="3"/>
        <v>0.9856683786631765</v>
      </c>
      <c r="R18" s="365">
        <f>F18</f>
        <v>9897135</v>
      </c>
      <c r="S18" s="364">
        <f>R18/F18</f>
        <v>1</v>
      </c>
      <c r="T18" s="365">
        <f>G18</f>
        <v>8412563.879999999</v>
      </c>
      <c r="U18" s="364">
        <f t="shared" si="5"/>
        <v>1</v>
      </c>
      <c r="V18" s="365">
        <v>9897135</v>
      </c>
      <c r="W18" s="364">
        <v>1</v>
      </c>
      <c r="X18" s="365">
        <v>8412563.879999999</v>
      </c>
      <c r="Y18" s="364">
        <v>1</v>
      </c>
      <c r="Z18" s="365">
        <v>9897135</v>
      </c>
      <c r="AA18" s="364">
        <v>1</v>
      </c>
      <c r="AB18" s="365">
        <v>8412563.879999999</v>
      </c>
      <c r="AC18" s="364">
        <v>1</v>
      </c>
      <c r="AD18" s="365">
        <f>F18</f>
        <v>9897135</v>
      </c>
      <c r="AE18" s="364">
        <f t="shared" si="10"/>
        <v>1</v>
      </c>
      <c r="AF18" s="365">
        <f>G18</f>
        <v>8412563.879999999</v>
      </c>
      <c r="AG18" s="364">
        <f t="shared" si="11"/>
        <v>1</v>
      </c>
      <c r="AH18" s="363" t="s">
        <v>487</v>
      </c>
      <c r="AI18" s="371"/>
      <c r="AJ18" s="371"/>
    </row>
    <row r="19" spans="1:36" s="358" customFormat="1" ht="14.25" customHeight="1">
      <c r="A19" s="361" t="s">
        <v>175</v>
      </c>
      <c r="B19" s="361"/>
      <c r="C19" s="361"/>
      <c r="D19" s="360">
        <f>D7+D11</f>
        <v>271</v>
      </c>
      <c r="E19" s="361"/>
      <c r="F19" s="374">
        <f aca="true" t="shared" si="12" ref="F19:AF19">F7+F11</f>
        <v>181477077.69684705</v>
      </c>
      <c r="G19" s="374">
        <f t="shared" si="12"/>
        <v>154392344.31432</v>
      </c>
      <c r="H19" s="374">
        <f t="shared" si="12"/>
        <v>86175075.82</v>
      </c>
      <c r="I19" s="374">
        <f t="shared" si="12"/>
        <v>75860313.2</v>
      </c>
      <c r="J19" s="374">
        <f t="shared" si="12"/>
        <v>54847335.92</v>
      </c>
      <c r="K19" s="364">
        <f t="shared" si="0"/>
        <v>0.3022273480269564</v>
      </c>
      <c r="L19" s="374">
        <f t="shared" si="12"/>
        <v>48097967.43</v>
      </c>
      <c r="M19" s="364">
        <f t="shared" si="1"/>
        <v>0.3115307798687197</v>
      </c>
      <c r="N19" s="374">
        <f t="shared" si="12"/>
        <v>96671924.96941178</v>
      </c>
      <c r="O19" s="364">
        <f t="shared" si="2"/>
        <v>0.5326949617896086</v>
      </c>
      <c r="P19" s="374">
        <f t="shared" si="12"/>
        <v>82171136.20699999</v>
      </c>
      <c r="Q19" s="364">
        <f t="shared" si="3"/>
        <v>0.5322228674739966</v>
      </c>
      <c r="R19" s="374">
        <f t="shared" si="12"/>
        <v>135457774.62390587</v>
      </c>
      <c r="S19" s="364">
        <f t="shared" si="4"/>
        <v>0.7464180950179543</v>
      </c>
      <c r="T19" s="374">
        <f t="shared" si="12"/>
        <v>115139107.54332</v>
      </c>
      <c r="U19" s="364">
        <f t="shared" si="5"/>
        <v>0.7457565856303975</v>
      </c>
      <c r="V19" s="374">
        <f t="shared" si="12"/>
        <v>159473149.67025882</v>
      </c>
      <c r="W19" s="364">
        <f t="shared" si="6"/>
        <v>0.8787509237759203</v>
      </c>
      <c r="X19" s="374">
        <f t="shared" si="12"/>
        <v>135689004.74971998</v>
      </c>
      <c r="Y19" s="364">
        <f t="shared" si="7"/>
        <v>0.8788583744377715</v>
      </c>
      <c r="Z19" s="374">
        <f t="shared" si="12"/>
        <v>178505078.39261177</v>
      </c>
      <c r="AA19" s="364">
        <f t="shared" si="8"/>
        <v>0.983623279909764</v>
      </c>
      <c r="AB19" s="374">
        <f t="shared" si="12"/>
        <v>151866144.16371998</v>
      </c>
      <c r="AC19" s="364">
        <f t="shared" si="9"/>
        <v>0.9836377887658921</v>
      </c>
      <c r="AD19" s="374">
        <f t="shared" si="12"/>
        <v>185451685.33261177</v>
      </c>
      <c r="AE19" s="373">
        <f t="shared" si="10"/>
        <v>1.0219014306721657</v>
      </c>
      <c r="AF19" s="374">
        <f t="shared" si="12"/>
        <v>157770760.06272</v>
      </c>
      <c r="AG19" s="373">
        <f t="shared" si="11"/>
        <v>1.0218820159989412</v>
      </c>
      <c r="AH19" s="359"/>
      <c r="AI19" s="371"/>
      <c r="AJ19" s="371"/>
    </row>
    <row r="20" spans="1:36" ht="15.75">
      <c r="A20" s="357" t="str">
        <f>KOPSAVILKUMS!B31</f>
        <v>1 VIS dati uz 02.05.2011.; pieteikto, apstiprināto, noslēgto līgumu un pabeigto projektu skaits</v>
      </c>
      <c r="B20" s="357"/>
      <c r="C20" s="357"/>
      <c r="D20" s="357"/>
      <c r="E20" s="357"/>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71"/>
      <c r="AJ20" s="371"/>
    </row>
    <row r="21" spans="1:36" ht="15.75">
      <c r="A21" s="357" t="str">
        <f>KOPSAVILKUMS!B32</f>
        <v>2 Pieejamais finansējums atbilstoši  konceptuāli apstiprinātajiem MK protokollēmumiem</v>
      </c>
      <c r="B21" s="357"/>
      <c r="C21" s="357"/>
      <c r="D21" s="357"/>
      <c r="E21" s="357"/>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71"/>
      <c r="AJ21" s="371"/>
    </row>
    <row r="22" spans="1:36" ht="15.75">
      <c r="A22" s="357" t="str">
        <f>KOPSAVILKUMS!B33</f>
        <v>3 2007.-2011.g. piešķirtais finansējums</v>
      </c>
      <c r="B22" s="357"/>
      <c r="C22" s="357"/>
      <c r="D22" s="357"/>
      <c r="E22" s="357"/>
      <c r="F22" s="357"/>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71"/>
      <c r="AJ22" s="371"/>
    </row>
    <row r="23" spans="1:36" ht="15.75">
      <c r="A23" s="357" t="str">
        <f>KOPSAVILKUMS!B34</f>
        <v>4 Kopējie veiktie maksājumi SF finansējuma saņēmējam, t.sk., starpposma maksājumi/ noslēguma maksājumi/ deklarējamie avansi un nedeklarējamie avansi</v>
      </c>
      <c r="B23" s="357"/>
      <c r="C23" s="357"/>
      <c r="D23" s="357"/>
      <c r="E23" s="357"/>
      <c r="F23" s="357"/>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71"/>
      <c r="AJ23" s="371"/>
    </row>
    <row r="24" spans="1:36" ht="15.75">
      <c r="A24" s="357" t="str">
        <f>KOPSAVILKUMS!B35</f>
        <v>5 DPP noteiktā finansējuma apguve sadalījumā pa gadiem, kumulatīvi</v>
      </c>
      <c r="B24" s="357"/>
      <c r="C24" s="357"/>
      <c r="D24" s="357"/>
      <c r="E24" s="357"/>
      <c r="F24" s="357"/>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71"/>
      <c r="AJ24" s="371"/>
    </row>
    <row r="25" spans="7:36" ht="15.75">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71"/>
      <c r="AJ25" s="371"/>
    </row>
    <row r="26" spans="7:36" ht="15.75">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71"/>
      <c r="AJ26" s="371"/>
    </row>
    <row r="27" spans="7:36" ht="15.75">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71"/>
      <c r="AJ27" s="371"/>
    </row>
    <row r="28" spans="6:36" ht="15.75">
      <c r="F28" s="335"/>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71"/>
      <c r="AJ28" s="371"/>
    </row>
    <row r="29" spans="7:36" ht="15.75">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71"/>
      <c r="AJ29" s="371"/>
    </row>
    <row r="30" spans="7:34" ht="15.75">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row>
  </sheetData>
  <sheetProtection/>
  <autoFilter ref="A6:AH6"/>
  <mergeCells count="23">
    <mergeCell ref="A4:A6"/>
    <mergeCell ref="B4:B6"/>
    <mergeCell ref="C4:C6"/>
    <mergeCell ref="D4:D6"/>
    <mergeCell ref="E4:E6"/>
    <mergeCell ref="K5:K6"/>
    <mergeCell ref="F4:G4"/>
    <mergeCell ref="AH4:AH6"/>
    <mergeCell ref="F5:F6"/>
    <mergeCell ref="G5:G6"/>
    <mergeCell ref="H5:H6"/>
    <mergeCell ref="I5:I6"/>
    <mergeCell ref="J5:J6"/>
    <mergeCell ref="AD5:AG5"/>
    <mergeCell ref="N4:AG4"/>
    <mergeCell ref="N5:Q5"/>
    <mergeCell ref="M5:M6"/>
    <mergeCell ref="R5:U5"/>
    <mergeCell ref="V5:Y5"/>
    <mergeCell ref="Z5:AC5"/>
    <mergeCell ref="H4:I4"/>
    <mergeCell ref="J4:M4"/>
    <mergeCell ref="L5:L6"/>
  </mergeCells>
  <printOptions horizontalCentered="1"/>
  <pageMargins left="0.35433070866141736" right="0.1968503937007874" top="0.5905511811023623" bottom="0.5905511811023623" header="0.35433070866141736" footer="0.31496062992125984"/>
  <pageSetup fitToHeight="0" fitToWidth="1" horizontalDpi="600" verticalDpi="600" orientation="landscape" paperSize="8" scale="31" r:id="rId1"/>
  <headerFooter>
    <oddHeader>&amp;C
</oddHeader>
    <oddFooter>&amp;L&amp;10FMp4_250211_vestules_projekta_pielikums_nr2; Informācija par 1.mērķa Eiropas Savienības struktūrfondu un Kohēzijas fonda projektiem (faktiskā apguve un turpmāk plānotais finansējums  2007.-2013.gada plānošanas periodam) &amp;R&amp;P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I23"/>
  <sheetViews>
    <sheetView view="pageBreakPreview" zoomScale="60" zoomScalePageLayoutView="0" workbookViewId="0" topLeftCell="A1">
      <selection activeCell="D7" sqref="D7"/>
    </sheetView>
  </sheetViews>
  <sheetFormatPr defaultColWidth="9.00390625" defaultRowHeight="15.75"/>
  <cols>
    <col min="1" max="1" width="9.00390625" style="32" customWidth="1"/>
    <col min="2" max="2" width="6.125" style="32" customWidth="1"/>
    <col min="3" max="3" width="5.875" style="32" bestFit="1" customWidth="1"/>
    <col min="4" max="4" width="18.50390625" style="32" customWidth="1"/>
    <col min="5" max="5" width="5.25390625" style="32" customWidth="1"/>
    <col min="6" max="6" width="20.50390625" style="32" customWidth="1"/>
    <col min="7" max="7" width="12.25390625" style="32" customWidth="1"/>
    <col min="8" max="8" width="13.375" style="32" customWidth="1"/>
    <col min="9" max="9" width="12.00390625" style="32" customWidth="1"/>
    <col min="10" max="10" width="11.75390625" style="32" customWidth="1"/>
    <col min="11" max="11" width="13.125" style="32" customWidth="1"/>
    <col min="12" max="12" width="13.25390625" style="32" customWidth="1"/>
    <col min="13" max="13" width="13.00390625" style="32" customWidth="1"/>
    <col min="14" max="14" width="11.25390625" style="32" customWidth="1"/>
    <col min="15" max="15" width="12.00390625" style="32" customWidth="1"/>
    <col min="16" max="16" width="10.625" style="32" customWidth="1"/>
    <col min="17" max="17" width="11.50390625" style="32" customWidth="1"/>
    <col min="18" max="18" width="10.875" style="32" customWidth="1"/>
    <col min="19" max="19" width="11.625" style="32" customWidth="1"/>
    <col min="20" max="20" width="10.25390625" style="32" customWidth="1"/>
    <col min="21" max="21" width="11.375" style="32" customWidth="1"/>
    <col min="22" max="22" width="10.50390625" style="32" customWidth="1"/>
    <col min="23" max="23" width="12.25390625" style="32" customWidth="1"/>
    <col min="24" max="24" width="10.75390625" style="32" customWidth="1"/>
    <col min="25" max="25" width="11.50390625" style="32" customWidth="1"/>
    <col min="26" max="26" width="11.25390625" style="32" customWidth="1"/>
    <col min="27" max="27" width="11.75390625" style="32" customWidth="1"/>
    <col min="28" max="28" width="11.50390625" style="32" customWidth="1"/>
    <col min="29" max="29" width="11.875" style="32" customWidth="1"/>
    <col min="30" max="30" width="11.25390625" style="32" customWidth="1"/>
    <col min="31" max="32" width="12.125" style="32" customWidth="1"/>
    <col min="33" max="33" width="11.75390625" style="32" customWidth="1"/>
    <col min="34" max="34" width="11.00390625" style="100" customWidth="1"/>
    <col min="35" max="35" width="38.75390625" style="32" customWidth="1"/>
    <col min="36" max="16384" width="9.00390625" style="32" customWidth="1"/>
  </cols>
  <sheetData>
    <row r="2" spans="2:35" ht="36" customHeight="1">
      <c r="B2" s="264" t="s">
        <v>245</v>
      </c>
      <c r="C2" s="264"/>
      <c r="D2" s="264"/>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256" t="s">
        <v>358</v>
      </c>
    </row>
    <row r="3" spans="31:33" ht="15.75">
      <c r="AE3" s="24"/>
      <c r="AF3" s="24"/>
      <c r="AG3" s="24"/>
    </row>
    <row r="4" spans="2:35" ht="33" customHeight="1">
      <c r="B4" s="496" t="s">
        <v>0</v>
      </c>
      <c r="C4" s="496" t="s">
        <v>1</v>
      </c>
      <c r="D4" s="496" t="s">
        <v>2</v>
      </c>
      <c r="E4" s="500" t="s">
        <v>256</v>
      </c>
      <c r="F4" s="500" t="s">
        <v>255</v>
      </c>
      <c r="G4" s="500" t="str">
        <f>KOPSAVILKUMS!E4</f>
        <v>2007.-2013.gadam plānotais fnansējums 2</v>
      </c>
      <c r="H4" s="500"/>
      <c r="I4" s="453" t="str">
        <f>KOPSAVILKUMS!G4</f>
        <v>2007.-2011. g.plānotais finansējums 3</v>
      </c>
      <c r="J4" s="453"/>
      <c r="K4" s="453" t="str">
        <f>KOPSAVILKUMS!I4</f>
        <v>Apgūts līdz 1.05.2011.4</v>
      </c>
      <c r="L4" s="453"/>
      <c r="M4" s="453"/>
      <c r="N4" s="453"/>
      <c r="O4" s="496" t="str">
        <f>KOPSAVILKUMS!M4</f>
        <v>Plānotais attiecināmais finansējums pa gadiem (pieaugošā secībā no 2007.gada) 5</v>
      </c>
      <c r="P4" s="496"/>
      <c r="Q4" s="496"/>
      <c r="R4" s="496"/>
      <c r="S4" s="496"/>
      <c r="T4" s="496"/>
      <c r="U4" s="496"/>
      <c r="V4" s="496"/>
      <c r="W4" s="496"/>
      <c r="X4" s="496"/>
      <c r="Y4" s="496"/>
      <c r="Z4" s="496"/>
      <c r="AA4" s="496"/>
      <c r="AB4" s="496"/>
      <c r="AC4" s="496"/>
      <c r="AD4" s="496"/>
      <c r="AE4" s="496"/>
      <c r="AF4" s="496"/>
      <c r="AG4" s="496"/>
      <c r="AH4" s="496"/>
      <c r="AI4" s="496" t="s">
        <v>364</v>
      </c>
    </row>
    <row r="5" spans="2:35" ht="15.75" customHeight="1">
      <c r="B5" s="499"/>
      <c r="C5" s="496"/>
      <c r="D5" s="499"/>
      <c r="E5" s="500"/>
      <c r="F5" s="500"/>
      <c r="G5" s="496" t="s">
        <v>4</v>
      </c>
      <c r="H5" s="496" t="s">
        <v>5</v>
      </c>
      <c r="I5" s="496" t="s">
        <v>4</v>
      </c>
      <c r="J5" s="496" t="s">
        <v>5</v>
      </c>
      <c r="K5" s="496" t="s">
        <v>4</v>
      </c>
      <c r="L5" s="496" t="s">
        <v>6</v>
      </c>
      <c r="M5" s="496" t="s">
        <v>5</v>
      </c>
      <c r="N5" s="496" t="s">
        <v>6</v>
      </c>
      <c r="O5" s="495" t="s">
        <v>7</v>
      </c>
      <c r="P5" s="495"/>
      <c r="Q5" s="495"/>
      <c r="R5" s="495"/>
      <c r="S5" s="495" t="s">
        <v>8</v>
      </c>
      <c r="T5" s="495"/>
      <c r="U5" s="495"/>
      <c r="V5" s="495"/>
      <c r="W5" s="495" t="s">
        <v>9</v>
      </c>
      <c r="X5" s="495"/>
      <c r="Y5" s="495"/>
      <c r="Z5" s="495"/>
      <c r="AA5" s="495" t="s">
        <v>10</v>
      </c>
      <c r="AB5" s="495"/>
      <c r="AC5" s="495"/>
      <c r="AD5" s="495"/>
      <c r="AE5" s="495" t="s">
        <v>11</v>
      </c>
      <c r="AF5" s="495"/>
      <c r="AG5" s="495"/>
      <c r="AH5" s="495"/>
      <c r="AI5" s="496"/>
    </row>
    <row r="6" spans="2:35" ht="74.25" customHeight="1">
      <c r="B6" s="499"/>
      <c r="C6" s="498"/>
      <c r="D6" s="499"/>
      <c r="E6" s="501"/>
      <c r="F6" s="501"/>
      <c r="G6" s="497"/>
      <c r="H6" s="497"/>
      <c r="I6" s="497"/>
      <c r="J6" s="497"/>
      <c r="K6" s="497"/>
      <c r="L6" s="497"/>
      <c r="M6" s="497"/>
      <c r="N6" s="498"/>
      <c r="O6" s="101" t="s">
        <v>4</v>
      </c>
      <c r="P6" s="101" t="s">
        <v>6</v>
      </c>
      <c r="Q6" s="101" t="s">
        <v>5</v>
      </c>
      <c r="R6" s="101" t="s">
        <v>6</v>
      </c>
      <c r="S6" s="101" t="s">
        <v>4</v>
      </c>
      <c r="T6" s="101" t="s">
        <v>6</v>
      </c>
      <c r="U6" s="101" t="s">
        <v>5</v>
      </c>
      <c r="V6" s="101" t="s">
        <v>6</v>
      </c>
      <c r="W6" s="101" t="s">
        <v>4</v>
      </c>
      <c r="X6" s="101" t="s">
        <v>6</v>
      </c>
      <c r="Y6" s="101" t="s">
        <v>5</v>
      </c>
      <c r="Z6" s="101" t="s">
        <v>6</v>
      </c>
      <c r="AA6" s="101" t="s">
        <v>4</v>
      </c>
      <c r="AB6" s="101" t="s">
        <v>6</v>
      </c>
      <c r="AC6" s="101" t="s">
        <v>5</v>
      </c>
      <c r="AD6" s="101" t="s">
        <v>6</v>
      </c>
      <c r="AE6" s="101" t="s">
        <v>4</v>
      </c>
      <c r="AF6" s="101" t="s">
        <v>6</v>
      </c>
      <c r="AG6" s="101" t="s">
        <v>5</v>
      </c>
      <c r="AH6" s="101" t="s">
        <v>6</v>
      </c>
      <c r="AI6" s="499"/>
    </row>
    <row r="7" spans="2:35" ht="207" customHeight="1">
      <c r="B7" s="43" t="s">
        <v>86</v>
      </c>
      <c r="C7" s="40" t="s">
        <v>12</v>
      </c>
      <c r="D7" s="52" t="s">
        <v>177</v>
      </c>
      <c r="E7" s="42">
        <v>2</v>
      </c>
      <c r="F7" s="42" t="s">
        <v>178</v>
      </c>
      <c r="G7" s="64">
        <v>2066020</v>
      </c>
      <c r="H7" s="65">
        <v>1756117</v>
      </c>
      <c r="I7" s="65">
        <v>864122</v>
      </c>
      <c r="J7" s="65">
        <f>I7*0.85</f>
        <v>734503.7</v>
      </c>
      <c r="K7" s="64">
        <v>425523.22</v>
      </c>
      <c r="L7" s="53">
        <f aca="true" t="shared" si="0" ref="L7:L14">K7/G7</f>
        <v>0.20596277867590826</v>
      </c>
      <c r="M7" s="64">
        <v>361694.79</v>
      </c>
      <c r="N7" s="53">
        <f aca="true" t="shared" si="1" ref="N7:N14">M7/H7</f>
        <v>0.20596280885612972</v>
      </c>
      <c r="O7" s="64">
        <f>K7+521024</f>
        <v>946547.22</v>
      </c>
      <c r="P7" s="53">
        <f aca="true" t="shared" si="2" ref="P7:P14">O7/G7</f>
        <v>0.4581500759915199</v>
      </c>
      <c r="Q7" s="64">
        <f>O7*85%</f>
        <v>804565.137</v>
      </c>
      <c r="R7" s="53">
        <f aca="true" t="shared" si="3" ref="R7:R14">Q7/H7</f>
        <v>0.4581500759915199</v>
      </c>
      <c r="S7" s="64">
        <f>O7+459000</f>
        <v>1405547.22</v>
      </c>
      <c r="T7" s="53">
        <f aca="true" t="shared" si="4" ref="T7:T14">S7/G7</f>
        <v>0.6803163667341071</v>
      </c>
      <c r="U7" s="64">
        <f>S7*85%</f>
        <v>1194715.1369999999</v>
      </c>
      <c r="V7" s="53">
        <f aca="true" t="shared" si="5" ref="V7:V14">U7/H7</f>
        <v>0.680316366734107</v>
      </c>
      <c r="W7" s="64">
        <f>S7+428417</f>
        <v>1833964.22</v>
      </c>
      <c r="X7" s="53">
        <f>W7/G7</f>
        <v>0.8876797998083271</v>
      </c>
      <c r="Y7" s="64">
        <f>W7*85%</f>
        <v>1558869.5869999998</v>
      </c>
      <c r="Z7" s="53">
        <f>Y7/H7</f>
        <v>0.887679799808327</v>
      </c>
      <c r="AA7" s="64">
        <f>W7+8422</f>
        <v>1842386.22</v>
      </c>
      <c r="AB7" s="53">
        <f>AA7/G7</f>
        <v>0.8917562366288806</v>
      </c>
      <c r="AC7" s="64">
        <f>AA7*85%</f>
        <v>1566028.287</v>
      </c>
      <c r="AD7" s="53">
        <f>AC7/H7</f>
        <v>0.8917562366288807</v>
      </c>
      <c r="AE7" s="64">
        <f>AA7+250035</f>
        <v>2092421.22</v>
      </c>
      <c r="AF7" s="53">
        <f aca="true" t="shared" si="6" ref="AF7:AF14">AE7/G7</f>
        <v>1.0127787823932004</v>
      </c>
      <c r="AG7" s="64">
        <f>AE7*85%</f>
        <v>1778558.037</v>
      </c>
      <c r="AH7" s="53">
        <f aca="true" t="shared" si="7" ref="AH7:AH14">AG7/H7</f>
        <v>1.0127787823932004</v>
      </c>
      <c r="AI7" s="267" t="s">
        <v>366</v>
      </c>
    </row>
    <row r="8" spans="2:35" ht="132.75" customHeight="1">
      <c r="B8" s="55" t="s">
        <v>90</v>
      </c>
      <c r="C8" s="42" t="s">
        <v>12</v>
      </c>
      <c r="D8" s="52" t="s">
        <v>179</v>
      </c>
      <c r="E8" s="42">
        <v>21</v>
      </c>
      <c r="F8" s="268" t="s">
        <v>373</v>
      </c>
      <c r="G8" s="64">
        <v>433979.36</v>
      </c>
      <c r="H8" s="65">
        <f>G8*0.85</f>
        <v>368882.456</v>
      </c>
      <c r="I8" s="65">
        <v>425559</v>
      </c>
      <c r="J8" s="65">
        <f>I8*0.85</f>
        <v>361725.14999999997</v>
      </c>
      <c r="K8" s="64">
        <v>369504.71</v>
      </c>
      <c r="L8" s="53">
        <f t="shared" si="0"/>
        <v>0.8514338331666281</v>
      </c>
      <c r="M8" s="64">
        <v>314551.79</v>
      </c>
      <c r="N8" s="53">
        <f t="shared" si="1"/>
        <v>0.8527155056677458</v>
      </c>
      <c r="O8" s="64">
        <f>K8+34761</f>
        <v>404265.71</v>
      </c>
      <c r="P8" s="53">
        <f t="shared" si="2"/>
        <v>0.9315321124949353</v>
      </c>
      <c r="Q8" s="64">
        <f>O8*85%</f>
        <v>343625.8535</v>
      </c>
      <c r="R8" s="53">
        <f t="shared" si="3"/>
        <v>0.9315321124949353</v>
      </c>
      <c r="S8" s="64">
        <f>O8+24410</f>
        <v>428675.71</v>
      </c>
      <c r="T8" s="53">
        <f t="shared" si="4"/>
        <v>0.9877790270947449</v>
      </c>
      <c r="U8" s="64">
        <f>S8*85%</f>
        <v>364374.3535</v>
      </c>
      <c r="V8" s="53">
        <f t="shared" si="5"/>
        <v>0.9877790270947449</v>
      </c>
      <c r="W8" s="64">
        <f aca="true" t="shared" si="8" ref="W8:AD9">S8</f>
        <v>428675.71</v>
      </c>
      <c r="X8" s="205">
        <f t="shared" si="8"/>
        <v>0.9877790270947449</v>
      </c>
      <c r="Y8" s="64">
        <f t="shared" si="8"/>
        <v>364374.3535</v>
      </c>
      <c r="Z8" s="205">
        <f t="shared" si="8"/>
        <v>0.9877790270947449</v>
      </c>
      <c r="AA8" s="64">
        <f t="shared" si="8"/>
        <v>428675.71</v>
      </c>
      <c r="AB8" s="205">
        <f t="shared" si="8"/>
        <v>0.9877790270947449</v>
      </c>
      <c r="AC8" s="64">
        <f t="shared" si="8"/>
        <v>364374.3535</v>
      </c>
      <c r="AD8" s="205">
        <f t="shared" si="8"/>
        <v>0.9877790270947449</v>
      </c>
      <c r="AE8" s="64">
        <f>AA8</f>
        <v>428675.71</v>
      </c>
      <c r="AF8" s="205">
        <f t="shared" si="6"/>
        <v>0.9877790270947449</v>
      </c>
      <c r="AG8" s="64">
        <f>AE8*85%</f>
        <v>364374.3535</v>
      </c>
      <c r="AH8" s="53">
        <f t="shared" si="7"/>
        <v>0.9877790270947449</v>
      </c>
      <c r="AI8" s="266" t="s">
        <v>367</v>
      </c>
    </row>
    <row r="9" spans="2:35" ht="110.25" customHeight="1">
      <c r="B9" s="55" t="s">
        <v>95</v>
      </c>
      <c r="C9" s="42" t="s">
        <v>12</v>
      </c>
      <c r="D9" s="52" t="s">
        <v>180</v>
      </c>
      <c r="E9" s="42">
        <v>22</v>
      </c>
      <c r="F9" s="268" t="s">
        <v>374</v>
      </c>
      <c r="G9" s="64">
        <v>559791</v>
      </c>
      <c r="H9" s="65">
        <f>G9*0.85</f>
        <v>475822.35</v>
      </c>
      <c r="I9" s="65">
        <v>295387</v>
      </c>
      <c r="J9" s="65">
        <f>I9*85%</f>
        <v>251078.94999999998</v>
      </c>
      <c r="K9" s="64">
        <v>177193.93</v>
      </c>
      <c r="L9" s="53">
        <f t="shared" si="0"/>
        <v>0.31653586785068</v>
      </c>
      <c r="M9" s="64">
        <v>154462.71</v>
      </c>
      <c r="N9" s="53">
        <f t="shared" si="1"/>
        <v>0.3246226454053703</v>
      </c>
      <c r="O9" s="64">
        <f>K9+295387</f>
        <v>472580.93</v>
      </c>
      <c r="P9" s="53">
        <f t="shared" si="2"/>
        <v>0.8442095889358707</v>
      </c>
      <c r="Q9" s="64">
        <f>O9*85%</f>
        <v>401693.7905</v>
      </c>
      <c r="R9" s="53">
        <f t="shared" si="3"/>
        <v>0.8442095889358707</v>
      </c>
      <c r="S9" s="64">
        <f>O9+97930</f>
        <v>570510.9299999999</v>
      </c>
      <c r="T9" s="53">
        <f t="shared" si="4"/>
        <v>1.019149879151326</v>
      </c>
      <c r="U9" s="64">
        <f>S9*85%</f>
        <v>484934.29049999994</v>
      </c>
      <c r="V9" s="53">
        <f t="shared" si="5"/>
        <v>1.019149879151326</v>
      </c>
      <c r="W9" s="64">
        <f t="shared" si="8"/>
        <v>570510.9299999999</v>
      </c>
      <c r="X9" s="205">
        <f t="shared" si="8"/>
        <v>1.019149879151326</v>
      </c>
      <c r="Y9" s="64">
        <f t="shared" si="8"/>
        <v>484934.29049999994</v>
      </c>
      <c r="Z9" s="205">
        <f t="shared" si="8"/>
        <v>1.019149879151326</v>
      </c>
      <c r="AA9" s="64">
        <f t="shared" si="8"/>
        <v>570510.9299999999</v>
      </c>
      <c r="AB9" s="205">
        <f t="shared" si="8"/>
        <v>1.019149879151326</v>
      </c>
      <c r="AC9" s="64">
        <f t="shared" si="8"/>
        <v>484934.29049999994</v>
      </c>
      <c r="AD9" s="205">
        <f t="shared" si="8"/>
        <v>1.019149879151326</v>
      </c>
      <c r="AE9" s="64">
        <f>AA9</f>
        <v>570510.9299999999</v>
      </c>
      <c r="AF9" s="205">
        <f t="shared" si="6"/>
        <v>1.019149879151326</v>
      </c>
      <c r="AG9" s="64">
        <f>AE9*85%</f>
        <v>484934.29049999994</v>
      </c>
      <c r="AH9" s="53">
        <f t="shared" si="7"/>
        <v>1.019149879151326</v>
      </c>
      <c r="AI9" s="266" t="s">
        <v>368</v>
      </c>
    </row>
    <row r="10" spans="2:35" ht="236.25" customHeight="1">
      <c r="B10" s="55">
        <v>4</v>
      </c>
      <c r="C10" s="42" t="s">
        <v>12</v>
      </c>
      <c r="D10" s="52" t="s">
        <v>181</v>
      </c>
      <c r="E10" s="42">
        <v>1</v>
      </c>
      <c r="F10" s="42" t="s">
        <v>375</v>
      </c>
      <c r="G10" s="64">
        <v>2835105</v>
      </c>
      <c r="H10" s="65">
        <f>G10*0.85</f>
        <v>2409839.25</v>
      </c>
      <c r="I10" s="65">
        <v>592357</v>
      </c>
      <c r="J10" s="65">
        <f>I10*0.85</f>
        <v>503503.45</v>
      </c>
      <c r="K10" s="64">
        <v>67995.95</v>
      </c>
      <c r="L10" s="53">
        <f t="shared" si="0"/>
        <v>0.02398357380061761</v>
      </c>
      <c r="M10" s="64">
        <v>57796.59</v>
      </c>
      <c r="N10" s="53">
        <f t="shared" si="1"/>
        <v>0.02398358728699435</v>
      </c>
      <c r="O10" s="64">
        <f>K10+447300</f>
        <v>515295.95</v>
      </c>
      <c r="P10" s="53">
        <f t="shared" si="2"/>
        <v>0.18175550817341862</v>
      </c>
      <c r="Q10" s="64">
        <f>O10*85%</f>
        <v>438001.5575</v>
      </c>
      <c r="R10" s="53">
        <f t="shared" si="3"/>
        <v>0.18175550817341862</v>
      </c>
      <c r="S10" s="64">
        <f>O10+850000</f>
        <v>1365295.95</v>
      </c>
      <c r="T10" s="53">
        <f t="shared" si="4"/>
        <v>0.48156803716264474</v>
      </c>
      <c r="U10" s="64">
        <f>S10*85%</f>
        <v>1160501.5574999999</v>
      </c>
      <c r="V10" s="53">
        <f t="shared" si="5"/>
        <v>0.48156803716264474</v>
      </c>
      <c r="W10" s="64">
        <f>S10+1020000</f>
        <v>2385295.95</v>
      </c>
      <c r="X10" s="53">
        <f>W10/G10</f>
        <v>0.8413430719497162</v>
      </c>
      <c r="Y10" s="64">
        <f>W10*85%</f>
        <v>2027501.5575</v>
      </c>
      <c r="Z10" s="53">
        <f>Y10/H10</f>
        <v>0.8413430719497162</v>
      </c>
      <c r="AA10" s="64">
        <f>W10+40210</f>
        <v>2425505.95</v>
      </c>
      <c r="AB10" s="53">
        <f>AA10/G10</f>
        <v>0.8555259681740183</v>
      </c>
      <c r="AC10" s="64">
        <f>AA10*85%</f>
        <v>2061680.0575</v>
      </c>
      <c r="AD10" s="53">
        <f>AC10/H10</f>
        <v>0.8555259681740183</v>
      </c>
      <c r="AE10" s="64">
        <f>AA10+415239</f>
        <v>2840744.95</v>
      </c>
      <c r="AF10" s="205">
        <f t="shared" si="6"/>
        <v>1.0019893266739681</v>
      </c>
      <c r="AG10" s="64">
        <f>AE10*85%</f>
        <v>2414633.2075</v>
      </c>
      <c r="AH10" s="53">
        <f t="shared" si="7"/>
        <v>1.001989326673968</v>
      </c>
      <c r="AI10" s="266" t="s">
        <v>369</v>
      </c>
    </row>
    <row r="11" spans="2:35" ht="117" customHeight="1">
      <c r="B11" s="55">
        <v>5</v>
      </c>
      <c r="C11" s="42" t="s">
        <v>12</v>
      </c>
      <c r="D11" s="52" t="s">
        <v>182</v>
      </c>
      <c r="E11" s="42">
        <v>2</v>
      </c>
      <c r="F11" s="42" t="s">
        <v>316</v>
      </c>
      <c r="G11" s="64">
        <v>2259310</v>
      </c>
      <c r="H11" s="65">
        <f>G11*0.85</f>
        <v>1920413.5</v>
      </c>
      <c r="I11" s="65">
        <v>1068226</v>
      </c>
      <c r="J11" s="65">
        <f>I11*0.85</f>
        <v>907992.1</v>
      </c>
      <c r="K11" s="64">
        <v>775303.56</v>
      </c>
      <c r="L11" s="53">
        <f t="shared" si="0"/>
        <v>0.3431594424846524</v>
      </c>
      <c r="M11" s="64">
        <v>659008.04</v>
      </c>
      <c r="N11" s="53">
        <f t="shared" si="1"/>
        <v>0.34315944977474905</v>
      </c>
      <c r="O11" s="64">
        <f>K11+363861</f>
        <v>1139164.56</v>
      </c>
      <c r="P11" s="53">
        <f t="shared" si="2"/>
        <v>0.504209054976962</v>
      </c>
      <c r="Q11" s="64">
        <f>O11*85%</f>
        <v>968289.876</v>
      </c>
      <c r="R11" s="53">
        <f t="shared" si="3"/>
        <v>0.504209054976962</v>
      </c>
      <c r="S11" s="64">
        <f>O11+291000</f>
        <v>1430164.56</v>
      </c>
      <c r="T11" s="53">
        <f t="shared" si="4"/>
        <v>0.6330094409355069</v>
      </c>
      <c r="U11" s="64">
        <f>S11*85%</f>
        <v>1215639.876</v>
      </c>
      <c r="V11" s="53">
        <f t="shared" si="5"/>
        <v>0.6330094409355068</v>
      </c>
      <c r="W11" s="64">
        <f>S11+263000</f>
        <v>1693164.56</v>
      </c>
      <c r="X11" s="53">
        <f>W11/G11</f>
        <v>0.7494166626093808</v>
      </c>
      <c r="Y11" s="64">
        <f>W11*85%</f>
        <v>1439189.876</v>
      </c>
      <c r="Z11" s="53">
        <f>Y11/H11</f>
        <v>0.7494166626093807</v>
      </c>
      <c r="AA11" s="64">
        <f>W11+221191</f>
        <v>1914355.56</v>
      </c>
      <c r="AB11" s="53">
        <f>AA11/G11</f>
        <v>0.84731867694119</v>
      </c>
      <c r="AC11" s="64">
        <f>AA11*85%</f>
        <v>1627202.226</v>
      </c>
      <c r="AD11" s="53">
        <f>AC11/H11</f>
        <v>0.84731867694119</v>
      </c>
      <c r="AE11" s="64">
        <f>AA11+76997+352800</f>
        <v>2344152.56</v>
      </c>
      <c r="AF11" s="53">
        <f t="shared" si="6"/>
        <v>1.0375524208718592</v>
      </c>
      <c r="AG11" s="64">
        <f>AE11*85%</f>
        <v>1992529.676</v>
      </c>
      <c r="AH11" s="53">
        <f t="shared" si="7"/>
        <v>1.0375524208718592</v>
      </c>
      <c r="AI11" s="266" t="s">
        <v>370</v>
      </c>
    </row>
    <row r="12" spans="2:35" ht="95.25" customHeight="1">
      <c r="B12" s="55">
        <v>6</v>
      </c>
      <c r="C12" s="42" t="s">
        <v>12</v>
      </c>
      <c r="D12" s="52" t="s">
        <v>183</v>
      </c>
      <c r="E12" s="42">
        <v>42</v>
      </c>
      <c r="F12" s="268" t="s">
        <v>376</v>
      </c>
      <c r="G12" s="58">
        <v>2263029</v>
      </c>
      <c r="H12" s="65">
        <v>2090842</v>
      </c>
      <c r="I12" s="65">
        <v>764424</v>
      </c>
      <c r="J12" s="65">
        <v>706251</v>
      </c>
      <c r="K12" s="58">
        <v>294544.37</v>
      </c>
      <c r="L12" s="53">
        <f t="shared" si="0"/>
        <v>0.1301549251025948</v>
      </c>
      <c r="M12" s="60">
        <v>284026.16</v>
      </c>
      <c r="N12" s="53">
        <f t="shared" si="1"/>
        <v>0.13584295704792612</v>
      </c>
      <c r="O12" s="60">
        <v>700330</v>
      </c>
      <c r="P12" s="53">
        <f t="shared" si="2"/>
        <v>0.30946576468971454</v>
      </c>
      <c r="Q12" s="60">
        <v>692880</v>
      </c>
      <c r="R12" s="53">
        <f>Q12/H12</f>
        <v>0.331388024537483</v>
      </c>
      <c r="S12" s="60">
        <v>1606697</v>
      </c>
      <c r="T12" s="53">
        <f t="shared" si="4"/>
        <v>0.7099763193489788</v>
      </c>
      <c r="U12" s="60">
        <v>1587192</v>
      </c>
      <c r="V12" s="53">
        <f t="shared" si="5"/>
        <v>0.7591161838149415</v>
      </c>
      <c r="W12" s="60">
        <v>2041981</v>
      </c>
      <c r="X12" s="53">
        <f>W12/G12</f>
        <v>0.9023220648078306</v>
      </c>
      <c r="Y12" s="60">
        <v>2017192</v>
      </c>
      <c r="Z12" s="53">
        <f>Y12/H12</f>
        <v>0.9647749566920887</v>
      </c>
      <c r="AA12" s="60">
        <v>2263029</v>
      </c>
      <c r="AB12" s="53">
        <f>AA12/G12</f>
        <v>1</v>
      </c>
      <c r="AC12" s="60">
        <v>2090842</v>
      </c>
      <c r="AD12" s="53">
        <f>AC12/H12</f>
        <v>1</v>
      </c>
      <c r="AE12" s="60">
        <f>AA12+0</f>
        <v>2263029</v>
      </c>
      <c r="AF12" s="208">
        <f t="shared" si="6"/>
        <v>1</v>
      </c>
      <c r="AG12" s="60">
        <v>2090842</v>
      </c>
      <c r="AH12" s="53">
        <f t="shared" si="7"/>
        <v>1</v>
      </c>
      <c r="AI12" s="266" t="s">
        <v>371</v>
      </c>
    </row>
    <row r="13" spans="2:35" ht="63.75" customHeight="1">
      <c r="B13" s="55">
        <v>7</v>
      </c>
      <c r="C13" s="42" t="s">
        <v>12</v>
      </c>
      <c r="D13" s="102" t="s">
        <v>184</v>
      </c>
      <c r="E13" s="42">
        <v>76</v>
      </c>
      <c r="F13" s="268" t="s">
        <v>377</v>
      </c>
      <c r="G13" s="58">
        <v>1672674.22</v>
      </c>
      <c r="H13" s="65">
        <f>G13</f>
        <v>1672674.22</v>
      </c>
      <c r="I13" s="65">
        <v>275574</v>
      </c>
      <c r="J13" s="65">
        <f>I13</f>
        <v>275574</v>
      </c>
      <c r="K13" s="58">
        <v>120479.06</v>
      </c>
      <c r="L13" s="53">
        <f t="shared" si="0"/>
        <v>0.07202780945592621</v>
      </c>
      <c r="M13" s="60">
        <f>K13</f>
        <v>120479.06</v>
      </c>
      <c r="N13" s="53">
        <f t="shared" si="1"/>
        <v>0.07202780945592621</v>
      </c>
      <c r="O13" s="60">
        <f>K13+184754</f>
        <v>305233.06</v>
      </c>
      <c r="P13" s="53">
        <f t="shared" si="2"/>
        <v>0.18248207352654722</v>
      </c>
      <c r="Q13" s="60">
        <v>692880</v>
      </c>
      <c r="R13" s="53">
        <f t="shared" si="3"/>
        <v>0.41423487712986934</v>
      </c>
      <c r="S13" s="60">
        <f>O13+400000</f>
        <v>705233.06</v>
      </c>
      <c r="T13" s="53">
        <f t="shared" si="4"/>
        <v>0.421620092883359</v>
      </c>
      <c r="U13" s="60">
        <f>S13</f>
        <v>705233.06</v>
      </c>
      <c r="V13" s="53">
        <f t="shared" si="5"/>
        <v>0.421620092883359</v>
      </c>
      <c r="W13" s="60">
        <f>S13+596164</f>
        <v>1301397.06</v>
      </c>
      <c r="X13" s="53">
        <f>W13/G13</f>
        <v>0.7780337883129448</v>
      </c>
      <c r="Y13" s="60">
        <f>W13</f>
        <v>1301397.06</v>
      </c>
      <c r="Z13" s="53">
        <f>Y13/H13</f>
        <v>0.7780337883129448</v>
      </c>
      <c r="AA13" s="60">
        <f>W13+100000</f>
        <v>1401397.06</v>
      </c>
      <c r="AB13" s="53">
        <f>AA13/G13</f>
        <v>0.8378182931521477</v>
      </c>
      <c r="AC13" s="60">
        <f>AA13</f>
        <v>1401397.06</v>
      </c>
      <c r="AD13" s="53">
        <f>AC13/H13</f>
        <v>0.8378182931521477</v>
      </c>
      <c r="AE13" s="60">
        <f>AA13+287366</f>
        <v>1688763.06</v>
      </c>
      <c r="AF13" s="53">
        <f t="shared" si="6"/>
        <v>1.0096186333283717</v>
      </c>
      <c r="AG13" s="60">
        <f>AE13</f>
        <v>1688763.06</v>
      </c>
      <c r="AH13" s="53">
        <f t="shared" si="7"/>
        <v>1.0096186333283717</v>
      </c>
      <c r="AI13" s="266" t="s">
        <v>372</v>
      </c>
    </row>
    <row r="14" spans="2:35" s="104" customFormat="1" ht="15.75">
      <c r="B14" s="27" t="s">
        <v>175</v>
      </c>
      <c r="C14" s="27"/>
      <c r="D14" s="27"/>
      <c r="E14" s="27">
        <f>SUM(E7:E13)</f>
        <v>166</v>
      </c>
      <c r="F14" s="27">
        <f aca="true" t="shared" si="9" ref="F14:AG14">SUM(F7:F13)</f>
        <v>0</v>
      </c>
      <c r="G14" s="59">
        <f t="shared" si="9"/>
        <v>12089908.58</v>
      </c>
      <c r="H14" s="57">
        <f t="shared" si="9"/>
        <v>10694590.776</v>
      </c>
      <c r="I14" s="57">
        <f t="shared" si="9"/>
        <v>4285649</v>
      </c>
      <c r="J14" s="57">
        <f t="shared" si="9"/>
        <v>3740628.3499999996</v>
      </c>
      <c r="K14" s="59">
        <f t="shared" si="9"/>
        <v>2230544.8</v>
      </c>
      <c r="L14" s="54">
        <f t="shared" si="0"/>
        <v>0.18449641577025058</v>
      </c>
      <c r="M14" s="59">
        <f t="shared" si="9"/>
        <v>1952019.14</v>
      </c>
      <c r="N14" s="54">
        <f t="shared" si="1"/>
        <v>0.1825239675725204</v>
      </c>
      <c r="O14" s="59">
        <f t="shared" si="9"/>
        <v>4483417.43</v>
      </c>
      <c r="P14" s="54">
        <f t="shared" si="2"/>
        <v>0.37083964699425376</v>
      </c>
      <c r="Q14" s="59">
        <f t="shared" si="9"/>
        <v>4341936.214500001</v>
      </c>
      <c r="R14" s="54">
        <f t="shared" si="3"/>
        <v>0.4059936752553308</v>
      </c>
      <c r="S14" s="59">
        <f t="shared" si="9"/>
        <v>7512124.43</v>
      </c>
      <c r="T14" s="54">
        <f t="shared" si="4"/>
        <v>0.621354940799726</v>
      </c>
      <c r="U14" s="59">
        <f t="shared" si="9"/>
        <v>6712590.274499999</v>
      </c>
      <c r="V14" s="54">
        <f t="shared" si="5"/>
        <v>0.6276621906435066</v>
      </c>
      <c r="W14" s="59">
        <f t="shared" si="9"/>
        <v>10254989.430000002</v>
      </c>
      <c r="X14" s="54">
        <f>W14/G14</f>
        <v>0.8482272104988904</v>
      </c>
      <c r="Y14" s="59">
        <f t="shared" si="9"/>
        <v>9193458.7245</v>
      </c>
      <c r="Z14" s="54">
        <f>Y14/H14</f>
        <v>0.859636326163248</v>
      </c>
      <c r="AA14" s="59">
        <f t="shared" si="9"/>
        <v>10845860.430000002</v>
      </c>
      <c r="AB14" s="54">
        <f>AA14/G14</f>
        <v>0.8971002847732039</v>
      </c>
      <c r="AC14" s="59">
        <f t="shared" si="9"/>
        <v>9596458.2745</v>
      </c>
      <c r="AD14" s="54">
        <f>AC14/H14</f>
        <v>0.8973188853598449</v>
      </c>
      <c r="AE14" s="59">
        <f t="shared" si="9"/>
        <v>12228297.430000002</v>
      </c>
      <c r="AF14" s="54">
        <f t="shared" si="6"/>
        <v>1.0114466415593029</v>
      </c>
      <c r="AG14" s="59">
        <f t="shared" si="9"/>
        <v>10814634.6245</v>
      </c>
      <c r="AH14" s="54">
        <f t="shared" si="7"/>
        <v>1.0112247257528912</v>
      </c>
      <c r="AI14" s="103"/>
    </row>
    <row r="15" spans="2:33" ht="23.25" customHeight="1">
      <c r="B15" s="412" t="str">
        <f>KOPSAVILKUMS!B31</f>
        <v>1 VIS dati uz 02.05.2011.; pieteikto, apstiprināto, noslēgto līgumu un pabeigto projektu skaits</v>
      </c>
      <c r="C15" s="412"/>
      <c r="D15" s="412"/>
      <c r="E15" s="412"/>
      <c r="F15" s="412"/>
      <c r="G15" s="413"/>
      <c r="H15" s="413"/>
      <c r="I15" s="413"/>
      <c r="J15" s="413"/>
      <c r="K15" s="413"/>
      <c r="L15" s="413"/>
      <c r="M15" s="412"/>
      <c r="N15" s="105"/>
      <c r="O15" s="105"/>
      <c r="P15" s="105"/>
      <c r="Q15" s="105"/>
      <c r="R15" s="105"/>
      <c r="S15" s="105"/>
      <c r="T15" s="105"/>
      <c r="U15" s="105"/>
      <c r="V15" s="105"/>
      <c r="W15" s="105"/>
      <c r="X15" s="105"/>
      <c r="Y15" s="105"/>
      <c r="Z15" s="105"/>
      <c r="AA15" s="105"/>
      <c r="AB15" s="105"/>
      <c r="AC15" s="105"/>
      <c r="AD15" s="105"/>
      <c r="AE15" s="105"/>
      <c r="AF15" s="105"/>
      <c r="AG15" s="105"/>
    </row>
    <row r="16" spans="2:32" ht="23.25" customHeight="1">
      <c r="B16" s="412" t="str">
        <f>KOPSAVILKUMS!B32</f>
        <v>2 Pieejamais finansējums atbilstoši  konceptuāli apstiprinātajiem MK protokollēmumiem</v>
      </c>
      <c r="C16" s="412"/>
      <c r="D16" s="412"/>
      <c r="E16" s="412"/>
      <c r="F16" s="412"/>
      <c r="G16" s="412"/>
      <c r="H16" s="412"/>
      <c r="I16" s="412"/>
      <c r="J16" s="412"/>
      <c r="K16" s="412"/>
      <c r="L16" s="412"/>
      <c r="M16" s="412"/>
      <c r="N16" s="106"/>
      <c r="O16" s="106"/>
      <c r="P16" s="106"/>
      <c r="Q16" s="106"/>
      <c r="R16" s="106"/>
      <c r="S16" s="106"/>
      <c r="T16" s="106"/>
      <c r="U16" s="106"/>
      <c r="V16" s="106"/>
      <c r="W16" s="106"/>
      <c r="X16" s="106"/>
      <c r="Y16" s="106"/>
      <c r="Z16" s="106"/>
      <c r="AA16" s="106"/>
      <c r="AB16" s="106"/>
      <c r="AC16" s="106"/>
      <c r="AD16" s="106"/>
      <c r="AF16" s="107"/>
    </row>
    <row r="17" spans="2:33" ht="23.25" customHeight="1">
      <c r="B17" s="412" t="str">
        <f>KOPSAVILKUMS!B33</f>
        <v>3 2007.-2011.g. piešķirtais finansējums</v>
      </c>
      <c r="C17" s="412"/>
      <c r="D17" s="412"/>
      <c r="E17" s="412"/>
      <c r="F17" s="412"/>
      <c r="G17" s="412"/>
      <c r="H17" s="412"/>
      <c r="I17" s="412"/>
      <c r="J17" s="412"/>
      <c r="K17" s="412"/>
      <c r="L17" s="412"/>
      <c r="M17" s="412"/>
      <c r="AG17" s="107"/>
    </row>
    <row r="18" spans="2:33" ht="23.25" customHeight="1">
      <c r="B18" s="412" t="str">
        <f>KOPSAVILKUMS!B34</f>
        <v>4 Kopējie veiktie maksājumi SF finansējuma saņēmējam, t.sk., starpposma maksājumi/ noslēguma maksājumi/ deklarējamie avansi un nedeklarējamie avansi</v>
      </c>
      <c r="C18" s="412"/>
      <c r="D18" s="412"/>
      <c r="E18" s="412"/>
      <c r="F18" s="412"/>
      <c r="G18" s="412"/>
      <c r="H18" s="412"/>
      <c r="I18" s="412"/>
      <c r="J18" s="412"/>
      <c r="K18" s="412"/>
      <c r="L18" s="412"/>
      <c r="M18" s="412"/>
      <c r="AG18" s="107"/>
    </row>
    <row r="19" spans="2:13" ht="23.25" customHeight="1">
      <c r="B19" s="412" t="str">
        <f>KOPSAVILKUMS!B35</f>
        <v>5 DPP noteiktā finansējuma apguve sadalījumā pa gadiem, kumulatīvi</v>
      </c>
      <c r="C19" s="412"/>
      <c r="D19" s="412"/>
      <c r="E19" s="412"/>
      <c r="F19" s="412"/>
      <c r="G19" s="412"/>
      <c r="H19" s="412"/>
      <c r="I19" s="412"/>
      <c r="J19" s="412"/>
      <c r="K19" s="412"/>
      <c r="L19" s="412"/>
      <c r="M19" s="412"/>
    </row>
    <row r="23" spans="7:10" ht="15.75">
      <c r="G23" s="24"/>
      <c r="H23" s="25"/>
      <c r="I23" s="25"/>
      <c r="J23" s="25"/>
    </row>
  </sheetData>
  <sheetProtection/>
  <mergeCells count="23">
    <mergeCell ref="B4:B6"/>
    <mergeCell ref="C4:C6"/>
    <mergeCell ref="AI4:AI6"/>
    <mergeCell ref="G5:G6"/>
    <mergeCell ref="H5:H6"/>
    <mergeCell ref="I5:I6"/>
    <mergeCell ref="J5:J6"/>
    <mergeCell ref="S5:V5"/>
    <mergeCell ref="AE5:AH5"/>
    <mergeCell ref="K5:K6"/>
    <mergeCell ref="D4:D6"/>
    <mergeCell ref="E4:E6"/>
    <mergeCell ref="F4:F6"/>
    <mergeCell ref="G4:H4"/>
    <mergeCell ref="I4:J4"/>
    <mergeCell ref="K4:N4"/>
    <mergeCell ref="AA5:AD5"/>
    <mergeCell ref="L5:L6"/>
    <mergeCell ref="M5:M6"/>
    <mergeCell ref="N5:N6"/>
    <mergeCell ref="O4:AH4"/>
    <mergeCell ref="O5:R5"/>
    <mergeCell ref="W5:Z5"/>
  </mergeCells>
  <printOptions/>
  <pageMargins left="0.25" right="0.25" top="0.75" bottom="0.75" header="0.3" footer="0.3"/>
  <pageSetup fitToHeight="0" fitToWidth="1" horizontalDpi="600" verticalDpi="600" orientation="landscape" paperSize="8" scale="44" r:id="rId1"/>
  <headerFooter>
    <oddFooter>&amp;LFMp4_250211_vestules_projekta_pielikums_nr2; Informācija par 1.mērķa Eiropas Savienības struktūrfondu un Kohēzijas fonda projektiem (faktiskā apguve un turpmāk plānotais finansējums  2007.-2013.gada plānošanas periodam) &amp;R&amp;P</oddFooter>
  </headerFooter>
  <colBreaks count="1" manualBreakCount="1">
    <brk id="13"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B2:AI20"/>
  <sheetViews>
    <sheetView view="pageBreakPreview" zoomScale="60" zoomScaleNormal="75" zoomScalePageLayoutView="0" workbookViewId="0" topLeftCell="A1">
      <pane xSplit="3" ySplit="6" topLeftCell="D7" activePane="bottomRight" state="frozen"/>
      <selection pane="topLeft" activeCell="A1" sqref="A1"/>
      <selection pane="topRight" activeCell="C1" sqref="C1"/>
      <selection pane="bottomLeft" activeCell="A7" sqref="A7"/>
      <selection pane="bottomRight" activeCell="C10" sqref="C10"/>
    </sheetView>
  </sheetViews>
  <sheetFormatPr defaultColWidth="9.00390625" defaultRowHeight="15.75"/>
  <cols>
    <col min="1" max="1" width="9.00390625" style="15" customWidth="1"/>
    <col min="2" max="2" width="5.125" style="15" customWidth="1"/>
    <col min="3" max="3" width="7.50390625" style="15" customWidth="1"/>
    <col min="4" max="4" width="11.00390625" style="15" customWidth="1"/>
    <col min="5" max="5" width="7.125" style="15" customWidth="1"/>
    <col min="6" max="6" width="8.125" style="15" customWidth="1"/>
    <col min="7" max="7" width="10.875" style="15" customWidth="1"/>
    <col min="8" max="8" width="10.50390625" style="15" customWidth="1"/>
    <col min="9" max="9" width="11.25390625" style="15" customWidth="1"/>
    <col min="10" max="10" width="10.125" style="15" customWidth="1"/>
    <col min="11" max="11" width="11.25390625" style="15" customWidth="1"/>
    <col min="12" max="12" width="9.875" style="89" customWidth="1"/>
    <col min="13" max="13" width="13.00390625" style="15" customWidth="1"/>
    <col min="14" max="14" width="8.00390625" style="89" customWidth="1"/>
    <col min="15" max="15" width="13.00390625" style="15" customWidth="1"/>
    <col min="16" max="16" width="7.375" style="15" customWidth="1"/>
    <col min="17" max="17" width="15.375" style="15" customWidth="1"/>
    <col min="18" max="18" width="7.375" style="15" customWidth="1"/>
    <col min="19" max="19" width="12.50390625" style="15" customWidth="1"/>
    <col min="20" max="20" width="8.75390625" style="15" customWidth="1"/>
    <col min="21" max="21" width="10.125" style="15" customWidth="1"/>
    <col min="22" max="22" width="7.625" style="15" customWidth="1"/>
    <col min="23" max="23" width="12.25390625" style="15" customWidth="1"/>
    <col min="24" max="24" width="7.625" style="15" customWidth="1"/>
    <col min="25" max="25" width="10.50390625" style="15" bestFit="1" customWidth="1"/>
    <col min="26" max="26" width="7.50390625" style="15" customWidth="1"/>
    <col min="27" max="27" width="11.75390625" style="15" customWidth="1"/>
    <col min="28" max="28" width="7.625" style="15" customWidth="1"/>
    <col min="29" max="29" width="10.625" style="15" customWidth="1"/>
    <col min="30" max="30" width="8.25390625" style="15" customWidth="1"/>
    <col min="31" max="31" width="11.75390625" style="15" customWidth="1"/>
    <col min="32" max="32" width="8.00390625" style="15" customWidth="1"/>
    <col min="33" max="33" width="10.375" style="15" customWidth="1"/>
    <col min="34" max="34" width="8.50390625" style="17" customWidth="1"/>
    <col min="35" max="35" width="51.25390625" style="15" customWidth="1"/>
    <col min="36" max="16384" width="9.00390625" style="15" customWidth="1"/>
  </cols>
  <sheetData>
    <row r="2" spans="2:35" ht="24" customHeight="1">
      <c r="B2" s="265" t="s">
        <v>246</v>
      </c>
      <c r="C2" s="265"/>
      <c r="D2" s="265"/>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256" t="s">
        <v>359</v>
      </c>
    </row>
    <row r="3" spans="31:33" ht="15.75">
      <c r="AE3" s="16"/>
      <c r="AF3" s="16"/>
      <c r="AG3" s="16"/>
    </row>
    <row r="4" spans="2:35" ht="47.25" customHeight="1">
      <c r="B4" s="478" t="s">
        <v>0</v>
      </c>
      <c r="C4" s="478" t="s">
        <v>1</v>
      </c>
      <c r="D4" s="478" t="s">
        <v>2</v>
      </c>
      <c r="E4" s="478" t="s">
        <v>256</v>
      </c>
      <c r="F4" s="478" t="s">
        <v>255</v>
      </c>
      <c r="G4" s="502" t="str">
        <f>KOPSAVILKUMS!E4</f>
        <v>2007.-2013.gadam plānotais fnansējums 2</v>
      </c>
      <c r="H4" s="502"/>
      <c r="I4" s="502" t="str">
        <f>KOPSAVILKUMS!G4</f>
        <v>2007.-2011. g.plānotais finansējums 3</v>
      </c>
      <c r="J4" s="502"/>
      <c r="K4" s="502" t="str">
        <f>KOPSAVILKUMS!I4</f>
        <v>Apgūts līdz 1.05.2011.4</v>
      </c>
      <c r="L4" s="502"/>
      <c r="M4" s="502"/>
      <c r="N4" s="502"/>
      <c r="O4" s="478" t="str">
        <f>KOPSAVILKUMS!M4</f>
        <v>Plānotais attiecināmais finansējums pa gadiem (pieaugošā secībā no 2007.gada) 5</v>
      </c>
      <c r="P4" s="478"/>
      <c r="Q4" s="478"/>
      <c r="R4" s="478"/>
      <c r="S4" s="478"/>
      <c r="T4" s="478"/>
      <c r="U4" s="478"/>
      <c r="V4" s="478"/>
      <c r="W4" s="478"/>
      <c r="X4" s="478"/>
      <c r="Y4" s="478"/>
      <c r="Z4" s="478"/>
      <c r="AA4" s="478"/>
      <c r="AB4" s="478"/>
      <c r="AC4" s="478"/>
      <c r="AD4" s="478"/>
      <c r="AE4" s="478"/>
      <c r="AF4" s="478"/>
      <c r="AG4" s="478"/>
      <c r="AH4" s="478"/>
      <c r="AI4" s="478" t="s">
        <v>364</v>
      </c>
    </row>
    <row r="5" spans="2:35" ht="15.75" customHeight="1">
      <c r="B5" s="479"/>
      <c r="C5" s="478"/>
      <c r="D5" s="479"/>
      <c r="E5" s="479"/>
      <c r="F5" s="479"/>
      <c r="G5" s="480" t="s">
        <v>4</v>
      </c>
      <c r="H5" s="480" t="s">
        <v>5</v>
      </c>
      <c r="I5" s="480" t="s">
        <v>4</v>
      </c>
      <c r="J5" s="480" t="s">
        <v>5</v>
      </c>
      <c r="K5" s="480" t="s">
        <v>4</v>
      </c>
      <c r="L5" s="503" t="s">
        <v>6</v>
      </c>
      <c r="M5" s="480" t="s">
        <v>5</v>
      </c>
      <c r="N5" s="503" t="s">
        <v>6</v>
      </c>
      <c r="O5" s="476" t="s">
        <v>7</v>
      </c>
      <c r="P5" s="476"/>
      <c r="Q5" s="476"/>
      <c r="R5" s="476"/>
      <c r="S5" s="476" t="s">
        <v>8</v>
      </c>
      <c r="T5" s="476"/>
      <c r="U5" s="476"/>
      <c r="V5" s="476"/>
      <c r="W5" s="476" t="s">
        <v>9</v>
      </c>
      <c r="X5" s="476"/>
      <c r="Y5" s="476"/>
      <c r="Z5" s="476"/>
      <c r="AA5" s="476" t="s">
        <v>10</v>
      </c>
      <c r="AB5" s="476"/>
      <c r="AC5" s="476"/>
      <c r="AD5" s="476"/>
      <c r="AE5" s="476" t="s">
        <v>11</v>
      </c>
      <c r="AF5" s="476"/>
      <c r="AG5" s="476"/>
      <c r="AH5" s="476"/>
      <c r="AI5" s="478"/>
    </row>
    <row r="6" spans="2:35" ht="86.25" customHeight="1">
      <c r="B6" s="479"/>
      <c r="C6" s="482"/>
      <c r="D6" s="479"/>
      <c r="E6" s="479"/>
      <c r="F6" s="479"/>
      <c r="G6" s="481"/>
      <c r="H6" s="481"/>
      <c r="I6" s="481"/>
      <c r="J6" s="481"/>
      <c r="K6" s="481"/>
      <c r="L6" s="504"/>
      <c r="M6" s="481"/>
      <c r="N6" s="505"/>
      <c r="O6" s="26" t="s">
        <v>4</v>
      </c>
      <c r="P6" s="18" t="s">
        <v>6</v>
      </c>
      <c r="Q6" s="26" t="s">
        <v>5</v>
      </c>
      <c r="R6" s="18" t="s">
        <v>6</v>
      </c>
      <c r="S6" s="26" t="s">
        <v>4</v>
      </c>
      <c r="T6" s="18" t="s">
        <v>6</v>
      </c>
      <c r="U6" s="26" t="s">
        <v>5</v>
      </c>
      <c r="V6" s="18" t="s">
        <v>6</v>
      </c>
      <c r="W6" s="26" t="s">
        <v>4</v>
      </c>
      <c r="X6" s="18" t="s">
        <v>6</v>
      </c>
      <c r="Y6" s="26" t="s">
        <v>5</v>
      </c>
      <c r="Z6" s="18" t="s">
        <v>6</v>
      </c>
      <c r="AA6" s="26" t="s">
        <v>4</v>
      </c>
      <c r="AB6" s="18" t="s">
        <v>6</v>
      </c>
      <c r="AC6" s="26" t="s">
        <v>5</v>
      </c>
      <c r="AD6" s="18" t="s">
        <v>6</v>
      </c>
      <c r="AE6" s="26" t="s">
        <v>4</v>
      </c>
      <c r="AF6" s="18" t="s">
        <v>6</v>
      </c>
      <c r="AG6" s="26" t="s">
        <v>5</v>
      </c>
      <c r="AH6" s="18" t="s">
        <v>6</v>
      </c>
      <c r="AI6" s="479"/>
    </row>
    <row r="7" spans="2:35" ht="238.5" customHeight="1">
      <c r="B7" s="82" t="s">
        <v>86</v>
      </c>
      <c r="C7" s="40" t="s">
        <v>214</v>
      </c>
      <c r="D7" s="40" t="s">
        <v>217</v>
      </c>
      <c r="E7" s="40">
        <v>78</v>
      </c>
      <c r="F7" s="40" t="s">
        <v>215</v>
      </c>
      <c r="G7" s="126">
        <v>78064529</v>
      </c>
      <c r="H7" s="126">
        <v>78064529</v>
      </c>
      <c r="I7" s="62">
        <v>37767052</v>
      </c>
      <c r="J7" s="62">
        <f>I7</f>
        <v>37767052</v>
      </c>
      <c r="K7" s="62">
        <v>19523212.27</v>
      </c>
      <c r="L7" s="127">
        <f>K7/G7</f>
        <v>0.25009069445612103</v>
      </c>
      <c r="M7" s="66">
        <f>K7</f>
        <v>19523212.27</v>
      </c>
      <c r="N7" s="127">
        <f>M7/H7</f>
        <v>0.25009069445612103</v>
      </c>
      <c r="O7" s="66">
        <v>38887824</v>
      </c>
      <c r="P7" s="118">
        <f>O7/G7</f>
        <v>0.4981497294372967</v>
      </c>
      <c r="Q7" s="66">
        <f>O7</f>
        <v>38887824</v>
      </c>
      <c r="R7" s="118">
        <f>Q7/H7</f>
        <v>0.4981497294372967</v>
      </c>
      <c r="S7" s="66">
        <f>Q7+9752469</f>
        <v>48640293</v>
      </c>
      <c r="T7" s="128">
        <f>S7/G7</f>
        <v>0.6230780307404404</v>
      </c>
      <c r="U7" s="66">
        <f>S7</f>
        <v>48640293</v>
      </c>
      <c r="V7" s="129">
        <f>U7/H7</f>
        <v>0.6230780307404404</v>
      </c>
      <c r="W7" s="66">
        <f>S7+9808078.66</f>
        <v>58448371.66</v>
      </c>
      <c r="X7" s="128">
        <f>W7/G7</f>
        <v>0.7487186870748941</v>
      </c>
      <c r="Y7" s="66">
        <f>W7</f>
        <v>58448371.66</v>
      </c>
      <c r="Z7" s="128">
        <f>Y7/H7</f>
        <v>0.7487186870748941</v>
      </c>
      <c r="AA7" s="66">
        <f>W7+9808078.66</f>
        <v>68256450.32</v>
      </c>
      <c r="AB7" s="128">
        <f>AA7/G7</f>
        <v>0.8743593434093478</v>
      </c>
      <c r="AC7" s="66">
        <f>AA7</f>
        <v>68256450.32</v>
      </c>
      <c r="AD7" s="128">
        <f>AC7/H7</f>
        <v>0.8743593434093478</v>
      </c>
      <c r="AE7" s="66">
        <f>AA7+9808078.66</f>
        <v>78064528.97999999</v>
      </c>
      <c r="AF7" s="128">
        <f>AE7/G7</f>
        <v>0.9999999997438016</v>
      </c>
      <c r="AG7" s="66">
        <f>AE7</f>
        <v>78064528.97999999</v>
      </c>
      <c r="AH7" s="128">
        <f>AG7/H7</f>
        <v>0.9999999997438016</v>
      </c>
      <c r="AI7" s="130" t="s">
        <v>314</v>
      </c>
    </row>
    <row r="8" spans="2:35" ht="276.75" customHeight="1">
      <c r="B8" s="108" t="s">
        <v>90</v>
      </c>
      <c r="C8" s="109" t="s">
        <v>12</v>
      </c>
      <c r="D8" s="109" t="s">
        <v>218</v>
      </c>
      <c r="E8" s="109">
        <v>2</v>
      </c>
      <c r="F8" s="40" t="s">
        <v>215</v>
      </c>
      <c r="G8" s="113">
        <f>H8</f>
        <v>2825069</v>
      </c>
      <c r="H8" s="113">
        <v>2825069</v>
      </c>
      <c r="I8" s="114">
        <v>1921082</v>
      </c>
      <c r="J8" s="114">
        <f>I8</f>
        <v>1921082</v>
      </c>
      <c r="K8" s="114">
        <v>329260.42</v>
      </c>
      <c r="L8" s="115">
        <f>K8/G8</f>
        <v>0.1165495143658438</v>
      </c>
      <c r="M8" s="110">
        <f>K8</f>
        <v>329260.42</v>
      </c>
      <c r="N8" s="115">
        <f>M8/G8</f>
        <v>0.1165495143658438</v>
      </c>
      <c r="O8" s="110">
        <v>1384302</v>
      </c>
      <c r="P8" s="116">
        <f>O8/G8</f>
        <v>0.4900064387807873</v>
      </c>
      <c r="Q8" s="110">
        <f>O8</f>
        <v>1384302</v>
      </c>
      <c r="R8" s="116">
        <f>Q8/G8</f>
        <v>0.4900064387807873</v>
      </c>
      <c r="S8" s="111">
        <f>O8+819266</f>
        <v>2203568</v>
      </c>
      <c r="T8" s="112">
        <f>S8/G8</f>
        <v>0.7800050193464301</v>
      </c>
      <c r="U8" s="111">
        <f>S8</f>
        <v>2203568</v>
      </c>
      <c r="V8" s="112">
        <f>U8/G8</f>
        <v>0.7800050193464301</v>
      </c>
      <c r="W8" s="111">
        <f>S8+351885</f>
        <v>2555453</v>
      </c>
      <c r="X8" s="112">
        <f>W8/G8</f>
        <v>0.90456303899126</v>
      </c>
      <c r="Y8" s="111">
        <f>W8</f>
        <v>2555453</v>
      </c>
      <c r="Z8" s="112">
        <f>Y8/G8</f>
        <v>0.90456303899126</v>
      </c>
      <c r="AA8" s="111">
        <f>W8+74072</f>
        <v>2629525</v>
      </c>
      <c r="AB8" s="112">
        <f>AA8/G8</f>
        <v>0.9307825755760302</v>
      </c>
      <c r="AC8" s="111">
        <f>AA8</f>
        <v>2629525</v>
      </c>
      <c r="AD8" s="112">
        <f>AC8/G8</f>
        <v>0.9307825755760302</v>
      </c>
      <c r="AE8" s="111">
        <f>AC8+195544</f>
        <v>2825069</v>
      </c>
      <c r="AF8" s="112">
        <v>1</v>
      </c>
      <c r="AG8" s="111">
        <f>AE8</f>
        <v>2825069</v>
      </c>
      <c r="AH8" s="112">
        <f>AG8/G8</f>
        <v>1</v>
      </c>
      <c r="AI8" s="117" t="s">
        <v>315</v>
      </c>
    </row>
    <row r="9" spans="2:35" ht="15.75">
      <c r="B9" s="27" t="s">
        <v>175</v>
      </c>
      <c r="C9" s="27"/>
      <c r="D9" s="27"/>
      <c r="E9" s="27">
        <f>E8+E7</f>
        <v>80</v>
      </c>
      <c r="F9" s="82"/>
      <c r="G9" s="69">
        <f>G8+G7</f>
        <v>80889598</v>
      </c>
      <c r="H9" s="69">
        <f aca="true" t="shared" si="0" ref="H9:AG9">H8+H7</f>
        <v>80889598</v>
      </c>
      <c r="I9" s="69">
        <f t="shared" si="0"/>
        <v>39688134</v>
      </c>
      <c r="J9" s="69">
        <f t="shared" si="0"/>
        <v>39688134</v>
      </c>
      <c r="K9" s="69">
        <f t="shared" si="0"/>
        <v>19852472.69</v>
      </c>
      <c r="L9" s="92">
        <f>K9/G9</f>
        <v>0.24542676908840616</v>
      </c>
      <c r="M9" s="69">
        <f t="shared" si="0"/>
        <v>19852472.69</v>
      </c>
      <c r="N9" s="92">
        <f>M9/H9</f>
        <v>0.24542676908840616</v>
      </c>
      <c r="O9" s="69">
        <f t="shared" si="0"/>
        <v>40272126</v>
      </c>
      <c r="P9" s="92">
        <f>O9/G9</f>
        <v>0.4978653250322742</v>
      </c>
      <c r="Q9" s="69">
        <f t="shared" si="0"/>
        <v>40272126</v>
      </c>
      <c r="R9" s="92">
        <f>Q9/H9</f>
        <v>0.4978653250322742</v>
      </c>
      <c r="S9" s="69">
        <f t="shared" si="0"/>
        <v>50843861</v>
      </c>
      <c r="T9" s="92">
        <f>S9/G9</f>
        <v>0.6285587054098105</v>
      </c>
      <c r="U9" s="69">
        <f t="shared" si="0"/>
        <v>50843861</v>
      </c>
      <c r="V9" s="92">
        <f>U9/H9</f>
        <v>0.6285587054098105</v>
      </c>
      <c r="W9" s="69">
        <f t="shared" si="0"/>
        <v>61003824.66</v>
      </c>
      <c r="X9" s="92">
        <f>W9/G9</f>
        <v>0.7541615506606918</v>
      </c>
      <c r="Y9" s="69">
        <f t="shared" si="0"/>
        <v>61003824.66</v>
      </c>
      <c r="Z9" s="92">
        <f>Y9/H9</f>
        <v>0.7541615506606918</v>
      </c>
      <c r="AA9" s="69">
        <f t="shared" si="0"/>
        <v>70885975.32</v>
      </c>
      <c r="AB9" s="92">
        <f>AA9/G9</f>
        <v>0.8763299246461824</v>
      </c>
      <c r="AC9" s="69">
        <f t="shared" si="0"/>
        <v>70885975.32</v>
      </c>
      <c r="AD9" s="92">
        <f>AC9/H9</f>
        <v>0.8763299246461824</v>
      </c>
      <c r="AE9" s="69">
        <f t="shared" si="0"/>
        <v>80889597.97999999</v>
      </c>
      <c r="AF9" s="92">
        <f>AE9/G9</f>
        <v>0.9999999997527493</v>
      </c>
      <c r="AG9" s="69">
        <f t="shared" si="0"/>
        <v>80889597.97999999</v>
      </c>
      <c r="AH9" s="92">
        <f>AG9/H9</f>
        <v>0.9999999997527493</v>
      </c>
      <c r="AI9" s="91"/>
    </row>
    <row r="10" spans="2:33" ht="23.25" customHeight="1">
      <c r="B10" s="411" t="str">
        <f>KOPSAVILKUMS!B31</f>
        <v>1 VIS dati uz 02.05.2011.; pieteikto, apstiprināto, noslēgto līgumu un pabeigto projektu skaits</v>
      </c>
      <c r="C10" s="411"/>
      <c r="D10" s="411"/>
      <c r="E10" s="411"/>
      <c r="F10" s="411"/>
      <c r="G10" s="414"/>
      <c r="H10" s="414"/>
      <c r="I10" s="414"/>
      <c r="J10" s="414"/>
      <c r="K10" s="414"/>
      <c r="L10" s="415"/>
      <c r="M10" s="411"/>
      <c r="N10" s="415"/>
      <c r="O10" s="414"/>
      <c r="P10" s="21"/>
      <c r="Q10" s="21"/>
      <c r="R10" s="21"/>
      <c r="S10" s="21"/>
      <c r="T10" s="21"/>
      <c r="U10" s="21"/>
      <c r="V10" s="21"/>
      <c r="W10" s="21"/>
      <c r="X10" s="21"/>
      <c r="Y10" s="21"/>
      <c r="Z10" s="21"/>
      <c r="AA10" s="21"/>
      <c r="AB10" s="21"/>
      <c r="AC10" s="21"/>
      <c r="AD10" s="21"/>
      <c r="AE10" s="21"/>
      <c r="AF10" s="21"/>
      <c r="AG10" s="21"/>
    </row>
    <row r="11" spans="2:33" ht="23.25" customHeight="1">
      <c r="B11" s="411" t="str">
        <f>KOPSAVILKUMS!B32</f>
        <v>2 Pieejamais finansējums atbilstoši  konceptuāli apstiprinātajiem MK protokollēmumiem</v>
      </c>
      <c r="C11" s="411"/>
      <c r="D11" s="411"/>
      <c r="E11" s="411"/>
      <c r="F11" s="411"/>
      <c r="G11" s="414"/>
      <c r="H11" s="414"/>
      <c r="I11" s="414"/>
      <c r="J11" s="414"/>
      <c r="K11" s="414"/>
      <c r="L11" s="415"/>
      <c r="M11" s="411"/>
      <c r="N11" s="415"/>
      <c r="O11" s="414"/>
      <c r="P11" s="21"/>
      <c r="Q11" s="21"/>
      <c r="R11" s="21"/>
      <c r="S11" s="21"/>
      <c r="T11" s="21"/>
      <c r="U11" s="21"/>
      <c r="V11" s="21"/>
      <c r="W11" s="21"/>
      <c r="X11" s="21"/>
      <c r="Y11" s="21"/>
      <c r="Z11" s="21"/>
      <c r="AA11" s="21"/>
      <c r="AB11" s="21"/>
      <c r="AC11" s="21"/>
      <c r="AD11" s="21"/>
      <c r="AE11" s="21"/>
      <c r="AF11" s="21"/>
      <c r="AG11" s="21"/>
    </row>
    <row r="12" spans="2:33" ht="23.25" customHeight="1">
      <c r="B12" s="411" t="str">
        <f>KOPSAVILKUMS!B33</f>
        <v>3 2007.-2011.g. piešķirtais finansējums</v>
      </c>
      <c r="C12" s="411"/>
      <c r="D12" s="416"/>
      <c r="E12" s="411"/>
      <c r="F12" s="411"/>
      <c r="G12" s="414"/>
      <c r="H12" s="414"/>
      <c r="I12" s="414"/>
      <c r="J12" s="414"/>
      <c r="K12" s="414"/>
      <c r="L12" s="415"/>
      <c r="M12" s="411"/>
      <c r="N12" s="415"/>
      <c r="O12" s="414"/>
      <c r="Q12" s="21"/>
      <c r="R12" s="21"/>
      <c r="S12" s="21"/>
      <c r="T12" s="21"/>
      <c r="U12" s="21"/>
      <c r="V12" s="21"/>
      <c r="W12" s="21"/>
      <c r="X12" s="21"/>
      <c r="Y12" s="21"/>
      <c r="Z12" s="21"/>
      <c r="AA12" s="21"/>
      <c r="AB12" s="21"/>
      <c r="AC12" s="21"/>
      <c r="AD12" s="21"/>
      <c r="AE12" s="21"/>
      <c r="AF12" s="21"/>
      <c r="AG12" s="21"/>
    </row>
    <row r="13" spans="2:33" ht="23.25" customHeight="1">
      <c r="B13" s="411" t="str">
        <f>KOPSAVILKUMS!B34</f>
        <v>4 Kopējie veiktie maksājumi SF finansējuma saņēmējam, t.sk., starpposma maksājumi/ noslēguma maksājumi/ deklarējamie avansi un nedeklarējamie avansi</v>
      </c>
      <c r="C13" s="411"/>
      <c r="D13" s="411"/>
      <c r="E13" s="411"/>
      <c r="F13" s="411"/>
      <c r="G13" s="417"/>
      <c r="H13" s="417"/>
      <c r="I13" s="417"/>
      <c r="J13" s="417"/>
      <c r="K13" s="417"/>
      <c r="L13" s="415"/>
      <c r="M13" s="411"/>
      <c r="N13" s="415"/>
      <c r="O13" s="414"/>
      <c r="P13" s="21"/>
      <c r="Q13" s="21"/>
      <c r="R13" s="21"/>
      <c r="S13" s="90"/>
      <c r="T13" s="21"/>
      <c r="U13" s="21"/>
      <c r="V13" s="21"/>
      <c r="W13" s="21"/>
      <c r="X13" s="21"/>
      <c r="Y13" s="21"/>
      <c r="Z13" s="21"/>
      <c r="AA13" s="21"/>
      <c r="AB13" s="21"/>
      <c r="AC13" s="21"/>
      <c r="AD13" s="21"/>
      <c r="AE13" s="21"/>
      <c r="AF13" s="21"/>
      <c r="AG13" s="21"/>
    </row>
    <row r="14" spans="2:32" ht="23.25" customHeight="1">
      <c r="B14" s="411" t="str">
        <f>KOPSAVILKUMS!B35</f>
        <v>5 DPP noteiktā finansējuma apguve sadalījumā pa gadiem, kumulatīvi</v>
      </c>
      <c r="C14" s="411"/>
      <c r="D14" s="417"/>
      <c r="E14" s="411"/>
      <c r="F14" s="411"/>
      <c r="G14" s="411"/>
      <c r="H14" s="411"/>
      <c r="I14" s="411"/>
      <c r="J14" s="411"/>
      <c r="K14" s="411"/>
      <c r="L14" s="418"/>
      <c r="M14" s="411"/>
      <c r="N14" s="419"/>
      <c r="O14" s="417"/>
      <c r="P14" s="22"/>
      <c r="Q14" s="22"/>
      <c r="R14" s="22"/>
      <c r="S14" s="22"/>
      <c r="T14" s="22"/>
      <c r="U14" s="22"/>
      <c r="V14" s="22"/>
      <c r="W14" s="22"/>
      <c r="X14" s="22"/>
      <c r="Y14" s="22"/>
      <c r="Z14" s="22"/>
      <c r="AA14" s="22"/>
      <c r="AB14" s="22"/>
      <c r="AC14" s="22"/>
      <c r="AD14" s="22"/>
      <c r="AF14" s="20"/>
    </row>
    <row r="15" spans="2:33" ht="15.75">
      <c r="B15" s="23"/>
      <c r="D15" s="506"/>
      <c r="E15" s="506"/>
      <c r="F15" s="506"/>
      <c r="G15" s="506"/>
      <c r="H15" s="506"/>
      <c r="I15" s="506"/>
      <c r="J15" s="506"/>
      <c r="K15" s="506"/>
      <c r="AG15" s="20"/>
    </row>
    <row r="20" spans="7:10" ht="15.75">
      <c r="G20" s="24"/>
      <c r="H20" s="25"/>
      <c r="I20" s="25"/>
      <c r="J20" s="25"/>
    </row>
  </sheetData>
  <sheetProtection/>
  <mergeCells count="24">
    <mergeCell ref="B4:B6"/>
    <mergeCell ref="C4:C6"/>
    <mergeCell ref="D4:D6"/>
    <mergeCell ref="E4:E6"/>
    <mergeCell ref="M5:M6"/>
    <mergeCell ref="K5:K6"/>
    <mergeCell ref="I5:I6"/>
    <mergeCell ref="K4:N4"/>
    <mergeCell ref="W5:Z5"/>
    <mergeCell ref="S5:V5"/>
    <mergeCell ref="O5:R5"/>
    <mergeCell ref="L5:L6"/>
    <mergeCell ref="N5:N6"/>
    <mergeCell ref="D15:K15"/>
    <mergeCell ref="O4:AH4"/>
    <mergeCell ref="F4:F6"/>
    <mergeCell ref="G4:H4"/>
    <mergeCell ref="I4:J4"/>
    <mergeCell ref="J5:J6"/>
    <mergeCell ref="AI4:AI6"/>
    <mergeCell ref="AA5:AD5"/>
    <mergeCell ref="AE5:AH5"/>
    <mergeCell ref="G5:G6"/>
    <mergeCell ref="H5:H6"/>
  </mergeCells>
  <printOptions/>
  <pageMargins left="0.1968503937007874" right="0.1968503937007874" top="0.15748031496062992" bottom="0.4330708661417323" header="0.1968503937007874" footer="0.31496062992125984"/>
  <pageSetup fitToHeight="0" fitToWidth="1" horizontalDpi="600" verticalDpi="600" orientation="landscape" paperSize="8" scale="49" r:id="rId1"/>
  <headerFooter>
    <oddFooter>&amp;LFMp4_250211_vestules_projekta_pielikums_nr2; Informācija par 1.mērķa Eiropas Savienības struktūrfondu un Kohēzijas fonda projektiem (faktiskā apguve un turpmāk plānotais finansējums  2007.-2013.gada plānošanas periodam)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Informācija par ES fondu projektiem (faktiskā apguve un turpmāk plānotais finansējums  2007.-2013.gada plānošanas periodam) </dc:title>
  <dc:subject>Vēstules projekta pielikums</dc:subject>
  <dc:creator>Diāna Rancāne</dc:creator>
  <cp:keywords/>
  <dc:description>D.Rancāne
Finanšu ministrijas 
ES fondu uzraudzības departamenta 
direktore
67095485, Diana.Rancane@fm.gov.lv  
</dc:description>
  <cp:lastModifiedBy>Alda Krieva</cp:lastModifiedBy>
  <cp:lastPrinted>2011-05-06T10:56:58Z</cp:lastPrinted>
  <dcterms:created xsi:type="dcterms:W3CDTF">2009-10-26T10:56:58Z</dcterms:created>
  <dcterms:modified xsi:type="dcterms:W3CDTF">2011-05-06T11:31:54Z</dcterms:modified>
  <cp:category/>
  <cp:version/>
  <cp:contentType/>
  <cp:contentStatus/>
</cp:coreProperties>
</file>