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8850" windowHeight="10260" activeTab="0"/>
  </bookViews>
  <sheets>
    <sheet name="Tabula Nr.1" sheetId="1" r:id="rId1"/>
    <sheet name="Sheet1" sheetId="2" state="hidden" r:id="rId2"/>
  </sheets>
  <definedNames>
    <definedName name="_xlnm.Print_Area" localSheetId="0">'Tabula Nr.1'!$A$1:$Q$91</definedName>
    <definedName name="_xlnm.Print_Titles" localSheetId="0">'Tabula Nr.1'!$9:$11</definedName>
  </definedNames>
  <calcPr fullCalcOnLoad="1"/>
</workbook>
</file>

<file path=xl/sharedStrings.xml><?xml version="1.0" encoding="utf-8"?>
<sst xmlns="http://schemas.openxmlformats.org/spreadsheetml/2006/main" count="174" uniqueCount="74">
  <si>
    <t>Fonds</t>
  </si>
  <si>
    <t>KOPĀ</t>
  </si>
  <si>
    <t>ES fondu/EEZ/Norvēģijas FI daļa, lati</t>
  </si>
  <si>
    <t>LV valsts budžeta daļa, lati</t>
  </si>
  <si>
    <t>Cits nacionālais publiskais finansējums</t>
  </si>
  <si>
    <t>Atgūtie neatbilstoši veiktie izdevumi, % no kopējiem neatbilst. veiktajiem izdevumiem</t>
  </si>
  <si>
    <t>2007.-2013.g. ES SF un KF kopā, t.sk.</t>
  </si>
  <si>
    <t>ESF</t>
  </si>
  <si>
    <t>IZM</t>
  </si>
  <si>
    <t>LM</t>
  </si>
  <si>
    <t>VeM</t>
  </si>
  <si>
    <t>EM</t>
  </si>
  <si>
    <t>VKanc</t>
  </si>
  <si>
    <t>ERAF</t>
  </si>
  <si>
    <t>ERAF (2DP)</t>
  </si>
  <si>
    <t>ERAF (3DP)</t>
  </si>
  <si>
    <t>SM</t>
  </si>
  <si>
    <t>KM</t>
  </si>
  <si>
    <t>TP kopā</t>
  </si>
  <si>
    <t>2004.-2006.g. ES SF KOPĀ, t.sk.</t>
  </si>
  <si>
    <t>TM</t>
  </si>
  <si>
    <t>IeM</t>
  </si>
  <si>
    <t>TP</t>
  </si>
  <si>
    <t>Atgūtie neatbilstoši veiktie, lati</t>
  </si>
  <si>
    <t>ES fondu/EEZ/ Norvēģijas FI daļa, lati</t>
  </si>
  <si>
    <t xml:space="preserve">KF </t>
  </si>
  <si>
    <t>FM TP</t>
  </si>
  <si>
    <t>Konstatētie neatbilstoši veiktie izdevumi pārskata periodā (ceturksnī)</t>
  </si>
  <si>
    <t>FM</t>
  </si>
  <si>
    <t>t.sk. 1.prioritāte</t>
  </si>
  <si>
    <t>ZVFI/ ZM</t>
  </si>
  <si>
    <t xml:space="preserve">t.sk. 2.prioritāte </t>
  </si>
  <si>
    <t>VARAM</t>
  </si>
  <si>
    <t>-</t>
  </si>
  <si>
    <t xml:space="preserve">EM </t>
  </si>
  <si>
    <t>17=16/11</t>
  </si>
  <si>
    <t>11=12+13+14</t>
  </si>
  <si>
    <t>8=4/3</t>
  </si>
  <si>
    <t>Neatbilstoši veiktie izd. kopā % no pieprasītās summas FS, %</t>
  </si>
  <si>
    <t>4=5+6+7</t>
  </si>
  <si>
    <t>10=9/4</t>
  </si>
  <si>
    <t>Atgūtie neatbilstoši veiktie izdevumi, % no kopējā neatbilstību apjoma</t>
  </si>
  <si>
    <t xml:space="preserve">Neatbilstību apjoms % no pieprasītās summas. </t>
  </si>
  <si>
    <t>1OP</t>
  </si>
  <si>
    <t>2OP</t>
  </si>
  <si>
    <t>3OP</t>
  </si>
  <si>
    <t>Recovered 2nd quarter</t>
  </si>
  <si>
    <t xml:space="preserve">Recovered total </t>
  </si>
  <si>
    <t>TOTAL</t>
  </si>
  <si>
    <t>3dp</t>
  </si>
  <si>
    <t>ELVGF/ ZM</t>
  </si>
  <si>
    <t>ERAF TP</t>
  </si>
  <si>
    <t>ESF TP</t>
  </si>
  <si>
    <t>SIF</t>
  </si>
  <si>
    <t>15=11/3</t>
  </si>
  <si>
    <t xml:space="preserve">2000. - 2006.g. ES KF KOPĀ, t.sk. </t>
  </si>
  <si>
    <t>2004.-2009.gada EEZ/Norvēģijas finanšu instrumenti par prioritātēm atbildīgo ministriju griezumā</t>
  </si>
  <si>
    <t>Latvijas un Šveices sadarbības programma par prioritātēm atbildīgo ministriju griezumā</t>
  </si>
  <si>
    <t>Finanšu ministrs</t>
  </si>
  <si>
    <t>A.Vilks</t>
  </si>
  <si>
    <t>Neatbilstoši veiktie izdevumi līdz 30.09.2012</t>
  </si>
  <si>
    <t xml:space="preserve">Kopējā pieprasītā summa un avansi (neskaitot dzēstos avansus) uz 30.09.2012 </t>
  </si>
  <si>
    <t>LV valsts budžeta daļa*, lati</t>
  </si>
  <si>
    <t>Cits nacionālais publiskais finansējums**</t>
  </si>
  <si>
    <t>Atgūtie neatbilstoši veiktie izdevumi pārskata periodā, lati***</t>
  </si>
  <si>
    <t>* Valsts budžeta finasnējums (VBF) + valsts budžeta dotācija pāsvaldībām (VBDP)</t>
  </si>
  <si>
    <t xml:space="preserve">*** Atgūtie maksājumi pārskata periodā var būt lielāki nekā konstatētas neatbilstības, jo atgūtas iepriekšejā pārskata neatbilstības </t>
  </si>
  <si>
    <t>** Cits nacionālais publiskais finasnējums</t>
  </si>
  <si>
    <t>O.Daugavietis</t>
  </si>
  <si>
    <t>67065549, Ojars.Daugavietis@fm.gov.lv</t>
  </si>
  <si>
    <t>Veiktie maksājumi finansējuma saņēmējiem uz 30.09.2012, lati</t>
  </si>
  <si>
    <t>Informācija par neatbilstībām un neatbilstoši veiktiem izdevumiem un atgūtiem neatbilstoši veiktiem izdevumiem uz 2012.gada 30.septembri, latos (neieskaitot maksātnespējas gadījumus) (pārskati veidoti 08.10.2012.)</t>
  </si>
  <si>
    <t>31.10.2012.</t>
  </si>
  <si>
    <r>
      <t>n/a</t>
    </r>
    <r>
      <rPr>
        <b/>
        <vertAlign val="superscript"/>
        <sz val="14"/>
        <color indexed="8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</si>
</sst>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#,##0;[Red]#,##0"/>
    <numFmt numFmtId="166" formatCode="#,##0.000"/>
    <numFmt numFmtId="167" formatCode="#,##0.0"/>
    <numFmt numFmtId="168" formatCode="0.0%"/>
    <numFmt numFmtId="169" formatCode="0.0000%"/>
    <numFmt numFmtId="170" formatCode="#,##0.0000"/>
    <numFmt numFmtId="171" formatCode="0.000000000000000000%"/>
    <numFmt numFmtId="172" formatCode="#,##0.00;\(#,##0.00\)"/>
    <numFmt numFmtId="173" formatCode="#,##0.00;[Red]#,##0.00"/>
    <numFmt numFmtId="174" formatCode="0.000%"/>
    <numFmt numFmtId="175" formatCode="#,##0.0;[Red]#,##0.0"/>
    <numFmt numFmtId="176" formatCode="0.00000%"/>
    <numFmt numFmtId="177" formatCode="0.000000%"/>
    <numFmt numFmtId="178" formatCode="0.0000000%"/>
    <numFmt numFmtId="179" formatCode="0.00000000%"/>
    <numFmt numFmtId="180" formatCode="#,##0.00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6]dddd\,\ yyyy&quot;. gada &quot;d\.\ mmmm"/>
    <numFmt numFmtId="192" formatCode="&quot;Ls&quot;\ #,##0.00"/>
    <numFmt numFmtId="193" formatCode="_-* #,##0.000_-;\-* #,##0.000_-;_-* &quot;-&quot;??_-;_-@_-"/>
    <numFmt numFmtId="194" formatCode="#,##0_ ;\-#,##0\ "/>
    <numFmt numFmtId="195" formatCode="#,##0.0_ ;\-#,##0.0\ "/>
    <numFmt numFmtId="196" formatCode="#,##0.00_ ;\-#,##0.00\ "/>
    <numFmt numFmtId="197" formatCode="#,##0.000_ ;\-#,##0.00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8"/>
      <color indexed="63"/>
      <name val="Tahoma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8"/>
      <color rgb="FF343434"/>
      <name val="Tahoma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78" fillId="27" borderId="8" applyNumberForma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4" fillId="0" borderId="0" xfId="0" applyFont="1" applyAlignment="1">
      <alignment/>
    </xf>
    <xf numFmtId="0" fontId="83" fillId="33" borderId="0" xfId="0" applyFont="1" applyFill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10" fontId="0" fillId="0" borderId="0" xfId="99" applyNumberFormat="1" applyFont="1" applyAlignment="1">
      <alignment/>
    </xf>
    <xf numFmtId="0" fontId="8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5" fillId="34" borderId="0" xfId="0" applyFont="1" applyFill="1" applyAlignment="1">
      <alignment/>
    </xf>
    <xf numFmtId="168" fontId="4" fillId="0" borderId="0" xfId="99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16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4" fillId="16" borderId="0" xfId="0" applyFont="1" applyFill="1" applyAlignment="1">
      <alignment/>
    </xf>
    <xf numFmtId="0" fontId="85" fillId="0" borderId="0" xfId="0" applyFont="1" applyAlignment="1">
      <alignment horizontal="center" vertical="center"/>
    </xf>
    <xf numFmtId="3" fontId="85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left" vertical="center"/>
    </xf>
    <xf numFmtId="3" fontId="88" fillId="0" borderId="0" xfId="0" applyNumberFormat="1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8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10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0" fillId="16" borderId="10" xfId="0" applyFont="1" applyFill="1" applyBorder="1" applyAlignment="1">
      <alignment horizontal="left" vertical="top" wrapText="1"/>
    </xf>
    <xf numFmtId="0" fontId="91" fillId="0" borderId="10" xfId="0" applyFont="1" applyFill="1" applyBorder="1" applyAlignment="1">
      <alignment horizontal="left" vertical="top" wrapText="1"/>
    </xf>
    <xf numFmtId="0" fontId="92" fillId="0" borderId="11" xfId="0" applyFont="1" applyBorder="1" applyAlignment="1">
      <alignment vertical="top"/>
    </xf>
    <xf numFmtId="0" fontId="92" fillId="0" borderId="12" xfId="0" applyFont="1" applyBorder="1" applyAlignment="1">
      <alignment vertical="top"/>
    </xf>
    <xf numFmtId="0" fontId="92" fillId="0" borderId="13" xfId="0" applyFont="1" applyFill="1" applyBorder="1" applyAlignment="1">
      <alignment vertical="top"/>
    </xf>
    <xf numFmtId="0" fontId="92" fillId="0" borderId="11" xfId="0" applyFont="1" applyFill="1" applyBorder="1" applyAlignment="1">
      <alignment vertical="top"/>
    </xf>
    <xf numFmtId="0" fontId="92" fillId="0" borderId="12" xfId="0" applyFont="1" applyFill="1" applyBorder="1" applyAlignment="1">
      <alignment vertical="top"/>
    </xf>
    <xf numFmtId="0" fontId="93" fillId="0" borderId="0" xfId="0" applyFont="1" applyAlignment="1">
      <alignment horizontal="center" vertical="center"/>
    </xf>
    <xf numFmtId="0" fontId="4" fillId="34" borderId="0" xfId="0" applyFont="1" applyFill="1" applyBorder="1" applyAlignment="1">
      <alignment/>
    </xf>
    <xf numFmtId="3" fontId="89" fillId="0" borderId="0" xfId="0" applyNumberFormat="1" applyFont="1" applyAlignment="1">
      <alignment horizontal="center" vertical="center"/>
    </xf>
    <xf numFmtId="194" fontId="88" fillId="0" borderId="10" xfId="69" applyNumberFormat="1" applyFont="1" applyFill="1" applyBorder="1" applyAlignment="1">
      <alignment horizontal="center" vertical="top"/>
    </xf>
    <xf numFmtId="194" fontId="88" fillId="35" borderId="10" xfId="69" applyNumberFormat="1" applyFont="1" applyFill="1" applyBorder="1" applyAlignment="1">
      <alignment horizontal="center" vertical="top"/>
    </xf>
    <xf numFmtId="3" fontId="88" fillId="0" borderId="10" xfId="0" applyNumberFormat="1" applyFont="1" applyFill="1" applyBorder="1" applyAlignment="1">
      <alignment horizontal="center" vertical="top"/>
    </xf>
    <xf numFmtId="3" fontId="88" fillId="35" borderId="1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0" fillId="10" borderId="10" xfId="0" applyFont="1" applyFill="1" applyBorder="1" applyAlignment="1">
      <alignment horizontal="center" vertical="center"/>
    </xf>
    <xf numFmtId="3" fontId="90" fillId="10" borderId="10" xfId="0" applyNumberFormat="1" applyFont="1" applyFill="1" applyBorder="1" applyAlignment="1">
      <alignment horizontal="center" vertical="center" wrapText="1"/>
    </xf>
    <xf numFmtId="2" fontId="90" fillId="10" borderId="10" xfId="0" applyNumberFormat="1" applyFont="1" applyFill="1" applyBorder="1" applyAlignment="1">
      <alignment horizontal="center" vertical="center" wrapText="1"/>
    </xf>
    <xf numFmtId="0" fontId="90" fillId="10" borderId="10" xfId="0" applyFont="1" applyFill="1" applyBorder="1" applyAlignment="1">
      <alignment horizontal="center" vertical="center" wrapText="1"/>
    </xf>
    <xf numFmtId="0" fontId="90" fillId="10" borderId="10" xfId="0" applyFont="1" applyFill="1" applyBorder="1" applyAlignment="1">
      <alignment horizontal="center" vertical="center"/>
    </xf>
    <xf numFmtId="3" fontId="90" fillId="10" borderId="10" xfId="0" applyNumberFormat="1" applyFont="1" applyFill="1" applyBorder="1" applyAlignment="1">
      <alignment horizontal="center" vertical="center" wrapText="1"/>
    </xf>
    <xf numFmtId="0" fontId="90" fillId="10" borderId="10" xfId="0" applyFont="1" applyFill="1" applyBorder="1" applyAlignment="1">
      <alignment horizontal="left" vertical="top" wrapText="1"/>
    </xf>
    <xf numFmtId="194" fontId="91" fillId="10" borderId="10" xfId="69" applyNumberFormat="1" applyFont="1" applyFill="1" applyBorder="1" applyAlignment="1">
      <alignment horizontal="center" vertical="top" wrapText="1"/>
    </xf>
    <xf numFmtId="194" fontId="91" fillId="10" borderId="10" xfId="69" applyNumberFormat="1" applyFont="1" applyFill="1" applyBorder="1" applyAlignment="1">
      <alignment horizontal="center" vertical="top"/>
    </xf>
    <xf numFmtId="10" fontId="91" fillId="10" borderId="10" xfId="99" applyNumberFormat="1" applyFont="1" applyFill="1" applyBorder="1" applyAlignment="1">
      <alignment horizontal="center" vertical="top"/>
    </xf>
    <xf numFmtId="3" fontId="91" fillId="10" borderId="10" xfId="0" applyNumberFormat="1" applyFont="1" applyFill="1" applyBorder="1" applyAlignment="1">
      <alignment horizontal="center" vertical="top" wrapText="1"/>
    </xf>
    <xf numFmtId="10" fontId="91" fillId="10" borderId="10" xfId="99" applyNumberFormat="1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left" vertical="top"/>
    </xf>
    <xf numFmtId="194" fontId="91" fillId="34" borderId="10" xfId="69" applyNumberFormat="1" applyFont="1" applyFill="1" applyBorder="1" applyAlignment="1">
      <alignment horizontal="center" vertical="top"/>
    </xf>
    <xf numFmtId="10" fontId="91" fillId="34" borderId="10" xfId="99" applyNumberFormat="1" applyFont="1" applyFill="1" applyBorder="1" applyAlignment="1">
      <alignment horizontal="center" vertical="top"/>
    </xf>
    <xf numFmtId="3" fontId="91" fillId="34" borderId="10" xfId="0" applyNumberFormat="1" applyFont="1" applyFill="1" applyBorder="1" applyAlignment="1">
      <alignment horizontal="center" vertical="top"/>
    </xf>
    <xf numFmtId="10" fontId="91" fillId="34" borderId="10" xfId="99" applyNumberFormat="1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left" vertical="top"/>
    </xf>
    <xf numFmtId="10" fontId="88" fillId="0" borderId="10" xfId="99" applyNumberFormat="1" applyFont="1" applyFill="1" applyBorder="1" applyAlignment="1">
      <alignment horizontal="center" vertical="top"/>
    </xf>
    <xf numFmtId="3" fontId="88" fillId="0" borderId="10" xfId="99" applyNumberFormat="1" applyFont="1" applyFill="1" applyBorder="1" applyAlignment="1">
      <alignment horizontal="center" vertical="top"/>
    </xf>
    <xf numFmtId="10" fontId="88" fillId="0" borderId="10" xfId="99" applyNumberFormat="1" applyFont="1" applyFill="1" applyBorder="1" applyAlignment="1">
      <alignment horizontal="center" vertical="top" wrapText="1"/>
    </xf>
    <xf numFmtId="194" fontId="91" fillId="0" borderId="10" xfId="69" applyNumberFormat="1" applyFont="1" applyFill="1" applyBorder="1" applyAlignment="1">
      <alignment horizontal="center" vertical="top"/>
    </xf>
    <xf numFmtId="0" fontId="91" fillId="34" borderId="10" xfId="0" applyFont="1" applyFill="1" applyBorder="1" applyAlignment="1">
      <alignment horizontal="left" vertical="top"/>
    </xf>
    <xf numFmtId="0" fontId="88" fillId="0" borderId="10" xfId="0" applyFont="1" applyBorder="1" applyAlignment="1">
      <alignment horizontal="left" vertical="top"/>
    </xf>
    <xf numFmtId="0" fontId="88" fillId="0" borderId="10" xfId="93" applyFont="1" applyFill="1" applyBorder="1" applyAlignment="1">
      <alignment horizontal="left" vertical="top"/>
      <protection/>
    </xf>
    <xf numFmtId="3" fontId="88" fillId="35" borderId="10" xfId="93" applyNumberFormat="1" applyFont="1" applyFill="1" applyBorder="1" applyAlignment="1">
      <alignment horizontal="center" vertical="top"/>
      <protection/>
    </xf>
    <xf numFmtId="10" fontId="88" fillId="35" borderId="10" xfId="99" applyNumberFormat="1" applyFont="1" applyFill="1" applyBorder="1" applyAlignment="1">
      <alignment horizontal="center" vertical="top"/>
    </xf>
    <xf numFmtId="3" fontId="88" fillId="35" borderId="10" xfId="100" applyNumberFormat="1" applyFont="1" applyFill="1" applyBorder="1" applyAlignment="1">
      <alignment horizontal="center" vertical="top"/>
    </xf>
    <xf numFmtId="3" fontId="88" fillId="0" borderId="10" xfId="93" applyNumberFormat="1" applyFont="1" applyFill="1" applyBorder="1" applyAlignment="1">
      <alignment horizontal="center" vertical="top"/>
      <protection/>
    </xf>
    <xf numFmtId="10" fontId="88" fillId="35" borderId="10" xfId="99" applyNumberFormat="1" applyFont="1" applyFill="1" applyBorder="1" applyAlignment="1">
      <alignment horizontal="center" vertical="top" wrapText="1"/>
    </xf>
    <xf numFmtId="10" fontId="91" fillId="0" borderId="10" xfId="99" applyNumberFormat="1" applyFont="1" applyFill="1" applyBorder="1" applyAlignment="1">
      <alignment horizontal="center" vertical="top" wrapText="1"/>
    </xf>
    <xf numFmtId="194" fontId="91" fillId="16" borderId="10" xfId="69" applyNumberFormat="1" applyFont="1" applyFill="1" applyBorder="1" applyAlignment="1">
      <alignment horizontal="center" vertical="top"/>
    </xf>
    <xf numFmtId="10" fontId="91" fillId="16" borderId="10" xfId="99" applyNumberFormat="1" applyFont="1" applyFill="1" applyBorder="1" applyAlignment="1">
      <alignment horizontal="center" vertical="top"/>
    </xf>
    <xf numFmtId="3" fontId="91" fillId="16" borderId="10" xfId="0" applyNumberFormat="1" applyFont="1" applyFill="1" applyBorder="1" applyAlignment="1">
      <alignment horizontal="center" vertical="top"/>
    </xf>
    <xf numFmtId="10" fontId="91" fillId="16" borderId="10" xfId="99" applyNumberFormat="1" applyFont="1" applyFill="1" applyBorder="1" applyAlignment="1">
      <alignment horizontal="center" vertical="top" wrapText="1"/>
    </xf>
    <xf numFmtId="194" fontId="91" fillId="35" borderId="10" xfId="69" applyNumberFormat="1" applyFont="1" applyFill="1" applyBorder="1" applyAlignment="1">
      <alignment horizontal="center" vertical="top"/>
    </xf>
    <xf numFmtId="10" fontId="91" fillId="0" borderId="10" xfId="99" applyNumberFormat="1" applyFont="1" applyFill="1" applyBorder="1" applyAlignment="1">
      <alignment horizontal="center" vertical="top"/>
    </xf>
    <xf numFmtId="10" fontId="91" fillId="35" borderId="10" xfId="99" applyNumberFormat="1" applyFont="1" applyFill="1" applyBorder="1" applyAlignment="1">
      <alignment horizontal="center" vertical="top" wrapText="1"/>
    </xf>
    <xf numFmtId="3" fontId="88" fillId="35" borderId="10" xfId="99" applyNumberFormat="1" applyFont="1" applyFill="1" applyBorder="1" applyAlignment="1">
      <alignment horizontal="center" vertical="top"/>
    </xf>
    <xf numFmtId="10" fontId="91" fillId="35" borderId="10" xfId="99" applyNumberFormat="1" applyFont="1" applyFill="1" applyBorder="1" applyAlignment="1">
      <alignment horizontal="center" vertical="top"/>
    </xf>
    <xf numFmtId="3" fontId="91" fillId="16" borderId="10" xfId="99" applyNumberFormat="1" applyFont="1" applyFill="1" applyBorder="1" applyAlignment="1">
      <alignment horizontal="center" vertical="top"/>
    </xf>
    <xf numFmtId="168" fontId="91" fillId="16" borderId="10" xfId="99" applyNumberFormat="1" applyFont="1" applyFill="1" applyBorder="1" applyAlignment="1">
      <alignment horizontal="center" vertical="top"/>
    </xf>
    <xf numFmtId="3" fontId="91" fillId="34" borderId="10" xfId="99" applyNumberFormat="1" applyFont="1" applyFill="1" applyBorder="1" applyAlignment="1">
      <alignment horizontal="center" vertical="top"/>
    </xf>
    <xf numFmtId="168" fontId="91" fillId="34" borderId="10" xfId="99" applyNumberFormat="1" applyFont="1" applyFill="1" applyBorder="1" applyAlignment="1">
      <alignment horizontal="center" vertical="top"/>
    </xf>
    <xf numFmtId="168" fontId="88" fillId="0" borderId="10" xfId="99" applyNumberFormat="1" applyFont="1" applyFill="1" applyBorder="1" applyAlignment="1">
      <alignment horizontal="center" vertical="top"/>
    </xf>
    <xf numFmtId="3" fontId="91" fillId="0" borderId="10" xfId="0" applyNumberFormat="1" applyFont="1" applyFill="1" applyBorder="1" applyAlignment="1">
      <alignment horizontal="center" vertical="top"/>
    </xf>
    <xf numFmtId="0" fontId="90" fillId="0" borderId="10" xfId="0" applyFont="1" applyBorder="1" applyAlignment="1">
      <alignment horizontal="left" vertical="top"/>
    </xf>
    <xf numFmtId="0" fontId="90" fillId="34" borderId="10" xfId="0" applyFont="1" applyFill="1" applyBorder="1" applyAlignment="1">
      <alignment horizontal="left" vertical="top"/>
    </xf>
    <xf numFmtId="3" fontId="91" fillId="0" borderId="10" xfId="99" applyNumberFormat="1" applyFont="1" applyFill="1" applyBorder="1" applyAlignment="1">
      <alignment horizontal="center" vertical="top"/>
    </xf>
    <xf numFmtId="0" fontId="91" fillId="0" borderId="10" xfId="0" applyFont="1" applyBorder="1" applyAlignment="1">
      <alignment horizontal="left" vertical="top"/>
    </xf>
    <xf numFmtId="0" fontId="91" fillId="0" borderId="14" xfId="0" applyFont="1" applyBorder="1" applyAlignment="1">
      <alignment horizontal="left" vertical="top"/>
    </xf>
    <xf numFmtId="194" fontId="88" fillId="0" borderId="14" xfId="69" applyNumberFormat="1" applyFont="1" applyFill="1" applyBorder="1" applyAlignment="1">
      <alignment horizontal="center" vertical="top"/>
    </xf>
    <xf numFmtId="10" fontId="88" fillId="0" borderId="14" xfId="99" applyNumberFormat="1" applyFont="1" applyFill="1" applyBorder="1" applyAlignment="1">
      <alignment horizontal="center" vertical="top"/>
    </xf>
    <xf numFmtId="3" fontId="88" fillId="0" borderId="14" xfId="0" applyNumberFormat="1" applyFont="1" applyFill="1" applyBorder="1" applyAlignment="1">
      <alignment horizontal="center" vertical="top"/>
    </xf>
    <xf numFmtId="10" fontId="88" fillId="0" borderId="14" xfId="99" applyNumberFormat="1" applyFont="1" applyFill="1" applyBorder="1" applyAlignment="1">
      <alignment horizontal="center" vertical="top" wrapText="1"/>
    </xf>
    <xf numFmtId="4" fontId="90" fillId="16" borderId="15" xfId="0" applyNumberFormat="1" applyFont="1" applyFill="1" applyBorder="1" applyAlignment="1">
      <alignment vertical="top" wrapText="1"/>
    </xf>
    <xf numFmtId="3" fontId="90" fillId="10" borderId="16" xfId="0" applyNumberFormat="1" applyFont="1" applyFill="1" applyBorder="1" applyAlignment="1">
      <alignment vertical="top" wrapText="1"/>
    </xf>
    <xf numFmtId="3" fontId="90" fillId="10" borderId="16" xfId="0" applyNumberFormat="1" applyFont="1" applyFill="1" applyBorder="1" applyAlignment="1">
      <alignment vertical="top"/>
    </xf>
    <xf numFmtId="10" fontId="90" fillId="10" borderId="16" xfId="100" applyNumberFormat="1" applyFont="1" applyFill="1" applyBorder="1" applyAlignment="1">
      <alignment vertical="top"/>
    </xf>
    <xf numFmtId="173" fontId="90" fillId="10" borderId="16" xfId="0" applyNumberFormat="1" applyFont="1" applyFill="1" applyBorder="1" applyAlignment="1">
      <alignment vertical="top" wrapText="1"/>
    </xf>
    <xf numFmtId="10" fontId="90" fillId="10" borderId="16" xfId="100" applyNumberFormat="1" applyFont="1" applyFill="1" applyBorder="1" applyAlignment="1">
      <alignment vertical="top" wrapText="1"/>
    </xf>
    <xf numFmtId="173" fontId="90" fillId="10" borderId="17" xfId="0" applyNumberFormat="1" applyFont="1" applyFill="1" applyBorder="1" applyAlignment="1">
      <alignment vertical="top" wrapText="1"/>
    </xf>
    <xf numFmtId="3" fontId="92" fillId="0" borderId="18" xfId="0" applyNumberFormat="1" applyFont="1" applyBorder="1" applyAlignment="1">
      <alignment vertical="top"/>
    </xf>
    <xf numFmtId="10" fontId="92" fillId="0" borderId="18" xfId="99" applyNumberFormat="1" applyFont="1" applyBorder="1" applyAlignment="1">
      <alignment vertical="top"/>
    </xf>
    <xf numFmtId="3" fontId="92" fillId="0" borderId="19" xfId="0" applyNumberFormat="1" applyFont="1" applyBorder="1" applyAlignment="1">
      <alignment vertical="top"/>
    </xf>
    <xf numFmtId="3" fontId="92" fillId="0" borderId="11" xfId="0" applyNumberFormat="1" applyFont="1" applyBorder="1" applyAlignment="1">
      <alignment vertical="top"/>
    </xf>
    <xf numFmtId="3" fontId="92" fillId="0" borderId="10" xfId="0" applyNumberFormat="1" applyFont="1" applyBorder="1" applyAlignment="1">
      <alignment vertical="top"/>
    </xf>
    <xf numFmtId="3" fontId="92" fillId="0" borderId="20" xfId="0" applyNumberFormat="1" applyFont="1" applyFill="1" applyBorder="1" applyAlignment="1">
      <alignment vertical="top"/>
    </xf>
    <xf numFmtId="10" fontId="92" fillId="0" borderId="10" xfId="99" applyNumberFormat="1" applyFont="1" applyBorder="1" applyAlignment="1">
      <alignment vertical="top"/>
    </xf>
    <xf numFmtId="3" fontId="92" fillId="0" borderId="21" xfId="0" applyNumberFormat="1" applyFont="1" applyBorder="1" applyAlignment="1">
      <alignment vertical="top"/>
    </xf>
    <xf numFmtId="3" fontId="92" fillId="0" borderId="12" xfId="0" applyNumberFormat="1" applyFont="1" applyFill="1" applyBorder="1" applyAlignment="1">
      <alignment vertical="top"/>
    </xf>
    <xf numFmtId="3" fontId="92" fillId="0" borderId="10" xfId="0" applyNumberFormat="1" applyFont="1" applyFill="1" applyBorder="1" applyAlignment="1">
      <alignment vertical="top"/>
    </xf>
    <xf numFmtId="3" fontId="92" fillId="0" borderId="12" xfId="0" applyNumberFormat="1" applyFont="1" applyBorder="1" applyAlignment="1">
      <alignment vertical="top"/>
    </xf>
    <xf numFmtId="3" fontId="92" fillId="0" borderId="22" xfId="0" applyNumberFormat="1" applyFont="1" applyBorder="1" applyAlignment="1">
      <alignment vertical="top"/>
    </xf>
    <xf numFmtId="10" fontId="92" fillId="0" borderId="22" xfId="99" applyNumberFormat="1" applyFont="1" applyBorder="1" applyAlignment="1">
      <alignment vertical="top"/>
    </xf>
    <xf numFmtId="3" fontId="92" fillId="0" borderId="23" xfId="0" applyNumberFormat="1" applyFont="1" applyBorder="1" applyAlignment="1">
      <alignment vertical="top"/>
    </xf>
    <xf numFmtId="3" fontId="92" fillId="0" borderId="13" xfId="0" applyNumberFormat="1" applyFont="1" applyBorder="1" applyAlignment="1">
      <alignment vertical="top"/>
    </xf>
    <xf numFmtId="4" fontId="90" fillId="10" borderId="15" xfId="0" applyNumberFormat="1" applyFont="1" applyFill="1" applyBorder="1" applyAlignment="1">
      <alignment horizontal="left" vertical="top" wrapText="1"/>
    </xf>
    <xf numFmtId="10" fontId="90" fillId="10" borderId="16" xfId="0" applyNumberFormat="1" applyFont="1" applyFill="1" applyBorder="1" applyAlignment="1">
      <alignment vertical="top"/>
    </xf>
    <xf numFmtId="3" fontId="92" fillId="0" borderId="24" xfId="0" applyNumberFormat="1" applyFont="1" applyBorder="1" applyAlignment="1">
      <alignment vertical="top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Percent 2" xfId="100"/>
    <cellStyle name="Title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1362075</xdr:colOff>
      <xdr:row>0</xdr:row>
      <xdr:rowOff>9525</xdr:rowOff>
    </xdr:from>
    <xdr:to>
      <xdr:col>16</xdr:col>
      <xdr:colOff>1190625</xdr:colOff>
      <xdr:row>4</xdr:row>
      <xdr:rowOff>504825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16335375" y="9525"/>
          <a:ext cx="7200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pielikums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Informatīvajam ziņojumam par Eiropas Savienības struktūrfondu un Kohēzijas fonda,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Eiropas Ekonomikas zonas finanšu instrumenta, Norvēģijas finanšu instrumenta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 Latvijas–Šveices sadarbības programmas apguvi līdz 2012.gada 30.septembrim.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91"/>
  <sheetViews>
    <sheetView tabSelected="1" view="pageLayout" zoomScale="70" zoomScaleNormal="70" zoomScalePageLayoutView="70" workbookViewId="0" topLeftCell="A1">
      <selection activeCell="C1" sqref="C1"/>
    </sheetView>
  </sheetViews>
  <sheetFormatPr defaultColWidth="9.140625" defaultRowHeight="15"/>
  <cols>
    <col min="1" max="1" width="21.28125" style="23" customWidth="1"/>
    <col min="2" max="2" width="23.421875" style="19" customWidth="1"/>
    <col min="3" max="3" width="24.28125" style="49" customWidth="1"/>
    <col min="4" max="4" width="22.140625" style="18" customWidth="1"/>
    <col min="5" max="5" width="23.140625" style="18" customWidth="1"/>
    <col min="6" max="6" width="18.28125" style="18" customWidth="1"/>
    <col min="7" max="7" width="16.8515625" style="18" customWidth="1"/>
    <col min="8" max="8" width="15.8515625" style="51" customWidth="1"/>
    <col min="9" max="9" width="19.28125" style="18" customWidth="1"/>
    <col min="10" max="10" width="16.57421875" style="18" customWidth="1"/>
    <col min="11" max="11" width="23.421875" style="18" customWidth="1"/>
    <col min="12" max="12" width="25.8515625" style="18" customWidth="1"/>
    <col min="13" max="13" width="23.7109375" style="18" bestFit="1" customWidth="1"/>
    <col min="14" max="14" width="22.7109375" style="18" customWidth="1"/>
    <col min="15" max="15" width="14.57421875" style="51" customWidth="1"/>
    <col min="16" max="16" width="23.7109375" style="18" customWidth="1"/>
    <col min="17" max="17" width="18.140625" style="18" customWidth="1"/>
    <col min="18" max="18" width="18.57421875" style="2" customWidth="1"/>
    <col min="19" max="16384" width="9.140625" style="2" customWidth="1"/>
  </cols>
  <sheetData>
    <row r="3" spans="4:9" ht="15">
      <c r="D3" s="19"/>
      <c r="E3" s="20"/>
      <c r="H3" s="49"/>
      <c r="I3" s="19"/>
    </row>
    <row r="4" ht="15" hidden="1"/>
    <row r="5" ht="51.75" customHeight="1"/>
    <row r="6" spans="1:17" ht="18.75" customHeight="1">
      <c r="A6" s="52" t="s">
        <v>71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ht="1.5" customHeight="1" hidden="1" thickBot="1"/>
    <row r="8" spans="1:17" ht="12" customHeight="1">
      <c r="A8" s="27"/>
      <c r="B8" s="21"/>
      <c r="C8" s="2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9.5" customHeight="1">
      <c r="A9" s="55" t="s">
        <v>0</v>
      </c>
      <c r="B9" s="56" t="s">
        <v>70</v>
      </c>
      <c r="C9" s="56" t="s">
        <v>61</v>
      </c>
      <c r="D9" s="57" t="s">
        <v>27</v>
      </c>
      <c r="E9" s="57"/>
      <c r="F9" s="57"/>
      <c r="G9" s="57"/>
      <c r="H9" s="57"/>
      <c r="I9" s="57"/>
      <c r="J9" s="57"/>
      <c r="K9" s="57" t="s">
        <v>60</v>
      </c>
      <c r="L9" s="54"/>
      <c r="M9" s="54"/>
      <c r="N9" s="54"/>
      <c r="O9" s="54"/>
      <c r="P9" s="54"/>
      <c r="Q9" s="54"/>
    </row>
    <row r="10" spans="1:17" ht="174" customHeight="1">
      <c r="A10" s="55"/>
      <c r="B10" s="56"/>
      <c r="C10" s="56"/>
      <c r="D10" s="58" t="s">
        <v>1</v>
      </c>
      <c r="E10" s="58" t="s">
        <v>24</v>
      </c>
      <c r="F10" s="58" t="s">
        <v>62</v>
      </c>
      <c r="G10" s="58" t="s">
        <v>63</v>
      </c>
      <c r="H10" s="58" t="s">
        <v>38</v>
      </c>
      <c r="I10" s="58" t="s">
        <v>64</v>
      </c>
      <c r="J10" s="58" t="s">
        <v>41</v>
      </c>
      <c r="K10" s="58" t="s">
        <v>1</v>
      </c>
      <c r="L10" s="58" t="s">
        <v>2</v>
      </c>
      <c r="M10" s="58" t="s">
        <v>3</v>
      </c>
      <c r="N10" s="58" t="s">
        <v>4</v>
      </c>
      <c r="O10" s="58" t="s">
        <v>42</v>
      </c>
      <c r="P10" s="58" t="s">
        <v>23</v>
      </c>
      <c r="Q10" s="58" t="s">
        <v>5</v>
      </c>
    </row>
    <row r="11" spans="1:17" ht="15.75" customHeight="1">
      <c r="A11" s="59">
        <v>1</v>
      </c>
      <c r="B11" s="60">
        <v>2</v>
      </c>
      <c r="C11" s="60">
        <v>3</v>
      </c>
      <c r="D11" s="58" t="s">
        <v>39</v>
      </c>
      <c r="E11" s="58">
        <v>5</v>
      </c>
      <c r="F11" s="58">
        <v>6</v>
      </c>
      <c r="G11" s="58">
        <v>7</v>
      </c>
      <c r="H11" s="58" t="s">
        <v>37</v>
      </c>
      <c r="I11" s="58">
        <v>9</v>
      </c>
      <c r="J11" s="58" t="s">
        <v>40</v>
      </c>
      <c r="K11" s="58" t="s">
        <v>36</v>
      </c>
      <c r="L11" s="58">
        <v>12</v>
      </c>
      <c r="M11" s="58">
        <v>13</v>
      </c>
      <c r="N11" s="58">
        <v>14</v>
      </c>
      <c r="O11" s="58" t="s">
        <v>54</v>
      </c>
      <c r="P11" s="58">
        <v>16</v>
      </c>
      <c r="Q11" s="58" t="s">
        <v>35</v>
      </c>
    </row>
    <row r="12" spans="1:17" s="31" customFormat="1" ht="65.25" customHeight="1">
      <c r="A12" s="61" t="s">
        <v>6</v>
      </c>
      <c r="B12" s="62">
        <f>SUM(B13,B22,B36)</f>
        <v>1836859514.13</v>
      </c>
      <c r="C12" s="62">
        <f>SUM(C13,C22,C36)</f>
        <v>1886902569.6299999</v>
      </c>
      <c r="D12" s="63">
        <f>E12+F12+G12</f>
        <v>5587565.510000001</v>
      </c>
      <c r="E12" s="62">
        <f>SUM(E13,E22,E36)</f>
        <v>5472831.030000001</v>
      </c>
      <c r="F12" s="62">
        <f>SUM(F13,F22,F36)</f>
        <v>103943.67</v>
      </c>
      <c r="G12" s="62">
        <f>SUM(G13,G22,G36)</f>
        <v>10790.810000000001</v>
      </c>
      <c r="H12" s="64">
        <f aca="true" t="shared" si="0" ref="H12:H23">D12/C12</f>
        <v>0.0029612368968767997</v>
      </c>
      <c r="I12" s="65">
        <f>SUM(I13,I22,I36)</f>
        <v>1619948.1400000001</v>
      </c>
      <c r="J12" s="64">
        <f aca="true" t="shared" si="1" ref="J12:J19">I12/D12</f>
        <v>0.2899202053382279</v>
      </c>
      <c r="K12" s="65">
        <f>SUM(L12:N12)</f>
        <v>25389764.639999997</v>
      </c>
      <c r="L12" s="65">
        <f>SUM(L13,L22,L36,)</f>
        <v>24059851.509999998</v>
      </c>
      <c r="M12" s="65">
        <f>SUM(M13,M22,M36,)</f>
        <v>1294882.4700000002</v>
      </c>
      <c r="N12" s="65">
        <f>SUM(N13,N22,N36,)</f>
        <v>35030.659999999996</v>
      </c>
      <c r="O12" s="66">
        <f aca="true" t="shared" si="2" ref="O12:O23">K12/C12</f>
        <v>0.013455789953679824</v>
      </c>
      <c r="P12" s="65">
        <f>SUM(P13,P22,P36,)</f>
        <v>16266962.439999918</v>
      </c>
      <c r="Q12" s="66">
        <f>P12/K12</f>
        <v>0.6406897689146881</v>
      </c>
    </row>
    <row r="13" spans="1:17" s="3" customFormat="1" ht="20.25">
      <c r="A13" s="67" t="s">
        <v>7</v>
      </c>
      <c r="B13" s="68">
        <f>SUM(B14:B21)</f>
        <v>342445274.06000006</v>
      </c>
      <c r="C13" s="68">
        <f>SUM(C14:C21)</f>
        <v>346415731.8</v>
      </c>
      <c r="D13" s="68">
        <f>E13+F13+G13</f>
        <v>141340.98999999996</v>
      </c>
      <c r="E13" s="68">
        <f>SUM(E14:E21)</f>
        <v>126820.78999999996</v>
      </c>
      <c r="F13" s="68">
        <f>SUM(F14:F21)</f>
        <v>13416.64</v>
      </c>
      <c r="G13" s="68">
        <f>SUM(G14:G21)</f>
        <v>1103.56</v>
      </c>
      <c r="H13" s="69">
        <f t="shared" si="0"/>
        <v>0.00040800973231089257</v>
      </c>
      <c r="I13" s="70">
        <f>SUM(I14:I21)</f>
        <v>105129.48999999999</v>
      </c>
      <c r="J13" s="69">
        <f t="shared" si="1"/>
        <v>0.7438004360942995</v>
      </c>
      <c r="K13" s="70">
        <f>SUM(K14:K21)</f>
        <v>1432877.3600000003</v>
      </c>
      <c r="L13" s="70">
        <f>SUM(L14:L21)</f>
        <v>1278907.3100000003</v>
      </c>
      <c r="M13" s="70">
        <f>SUM(M14:M21)</f>
        <v>150092.57</v>
      </c>
      <c r="N13" s="70">
        <f>SUM(N14:N21)</f>
        <v>3877.4799999999996</v>
      </c>
      <c r="O13" s="71">
        <f t="shared" si="2"/>
        <v>0.004136294135819615</v>
      </c>
      <c r="P13" s="70">
        <f>SUM(P14:P21)</f>
        <v>1351599.3300000005</v>
      </c>
      <c r="Q13" s="71">
        <f>P13/K13</f>
        <v>0.9432763526949719</v>
      </c>
    </row>
    <row r="14" spans="1:18" s="8" customFormat="1" ht="20.25">
      <c r="A14" s="72" t="s">
        <v>8</v>
      </c>
      <c r="B14" s="45">
        <v>138888091.70000002</v>
      </c>
      <c r="C14" s="45">
        <v>139658182.25999996</v>
      </c>
      <c r="D14" s="45">
        <f>E14+F14+G14</f>
        <v>81400.21999999997</v>
      </c>
      <c r="E14" s="45">
        <v>71155.59999999998</v>
      </c>
      <c r="F14" s="45">
        <v>9141.06</v>
      </c>
      <c r="G14" s="45">
        <v>1103.56</v>
      </c>
      <c r="H14" s="73">
        <f t="shared" si="0"/>
        <v>0.0005828532111957334</v>
      </c>
      <c r="I14" s="47">
        <v>80361.79</v>
      </c>
      <c r="J14" s="73">
        <f t="shared" si="1"/>
        <v>0.9872429091714988</v>
      </c>
      <c r="K14" s="47">
        <f aca="true" t="shared" si="3" ref="K14:K20">L14+M14+N14</f>
        <v>915160.2100000004</v>
      </c>
      <c r="L14" s="47">
        <v>792230.1100000005</v>
      </c>
      <c r="M14" s="47">
        <v>119052.62000000001</v>
      </c>
      <c r="N14" s="74">
        <v>3877.4799999999996</v>
      </c>
      <c r="O14" s="75">
        <f t="shared" si="2"/>
        <v>0.006552857807473519</v>
      </c>
      <c r="P14" s="47">
        <v>914122.0000000005</v>
      </c>
      <c r="Q14" s="75">
        <f aca="true" t="shared" si="4" ref="Q14:Q19">P14/K14</f>
        <v>0.9988655428976747</v>
      </c>
      <c r="R14" s="9"/>
    </row>
    <row r="15" spans="1:18" s="8" customFormat="1" ht="20.25">
      <c r="A15" s="72" t="s">
        <v>9</v>
      </c>
      <c r="B15" s="45">
        <v>155403862.13</v>
      </c>
      <c r="C15" s="45">
        <v>157982842.56000003</v>
      </c>
      <c r="D15" s="45">
        <v>6456</v>
      </c>
      <c r="E15" s="45">
        <v>6421</v>
      </c>
      <c r="F15" s="45">
        <v>34.489999999999995</v>
      </c>
      <c r="G15" s="45">
        <v>0</v>
      </c>
      <c r="H15" s="73">
        <f t="shared" si="0"/>
        <v>4.0865197102325126E-05</v>
      </c>
      <c r="I15" s="47">
        <v>5763.71</v>
      </c>
      <c r="J15" s="73">
        <f>I15/D15</f>
        <v>0.8927679677819083</v>
      </c>
      <c r="K15" s="47">
        <f t="shared" si="3"/>
        <v>192618.52000000002</v>
      </c>
      <c r="L15" s="47">
        <v>168835</v>
      </c>
      <c r="M15" s="74">
        <v>23783.52000000001</v>
      </c>
      <c r="N15" s="74">
        <v>0</v>
      </c>
      <c r="O15" s="75">
        <f t="shared" si="2"/>
        <v>0.0012192369556007056</v>
      </c>
      <c r="P15" s="47">
        <v>191922.72000000006</v>
      </c>
      <c r="Q15" s="75">
        <f t="shared" si="4"/>
        <v>0.9963876786095129</v>
      </c>
      <c r="R15" s="9"/>
    </row>
    <row r="16" spans="1:18" s="8" customFormat="1" ht="20.25">
      <c r="A16" s="72" t="s">
        <v>10</v>
      </c>
      <c r="B16" s="45">
        <v>7199864.83</v>
      </c>
      <c r="C16" s="45">
        <v>7242280.0200000005</v>
      </c>
      <c r="D16" s="45">
        <f>E16+F16+G16</f>
        <v>4083.45</v>
      </c>
      <c r="E16" s="45">
        <v>3525.86</v>
      </c>
      <c r="F16" s="45">
        <v>557.5899999999999</v>
      </c>
      <c r="G16" s="45">
        <v>0</v>
      </c>
      <c r="H16" s="73">
        <f t="shared" si="0"/>
        <v>0.0005638348681248588</v>
      </c>
      <c r="I16" s="47">
        <v>4083.4500000000007</v>
      </c>
      <c r="J16" s="73">
        <f t="shared" si="1"/>
        <v>1.0000000000000002</v>
      </c>
      <c r="K16" s="47">
        <f t="shared" si="3"/>
        <v>9415.19</v>
      </c>
      <c r="L16" s="47">
        <v>8130.080000000001</v>
      </c>
      <c r="M16" s="47">
        <v>1285.1099999999997</v>
      </c>
      <c r="N16" s="74">
        <v>0</v>
      </c>
      <c r="O16" s="75">
        <f t="shared" si="2"/>
        <v>0.0013000312020523062</v>
      </c>
      <c r="P16" s="47">
        <v>9415.19</v>
      </c>
      <c r="Q16" s="75">
        <f t="shared" si="4"/>
        <v>1</v>
      </c>
      <c r="R16" s="9"/>
    </row>
    <row r="17" spans="1:18" s="8" customFormat="1" ht="20.25">
      <c r="A17" s="72" t="s">
        <v>11</v>
      </c>
      <c r="B17" s="45">
        <v>22796973.37</v>
      </c>
      <c r="C17" s="45">
        <v>23013031.32</v>
      </c>
      <c r="D17" s="45">
        <f>E17+F17+G17</f>
        <v>36804.479999999996</v>
      </c>
      <c r="E17" s="45">
        <v>33120.979999999996</v>
      </c>
      <c r="F17" s="45">
        <v>3683.5</v>
      </c>
      <c r="G17" s="45">
        <v>0</v>
      </c>
      <c r="H17" s="73">
        <f t="shared" si="0"/>
        <v>0.0015992886590309476</v>
      </c>
      <c r="I17" s="47">
        <v>10791.909999999996</v>
      </c>
      <c r="J17" s="73">
        <f t="shared" si="1"/>
        <v>0.2932227272332063</v>
      </c>
      <c r="K17" s="47">
        <f t="shared" si="3"/>
        <v>157728.51</v>
      </c>
      <c r="L17" s="47">
        <v>154045.01</v>
      </c>
      <c r="M17" s="47">
        <v>3683.5</v>
      </c>
      <c r="N17" s="74">
        <v>0</v>
      </c>
      <c r="O17" s="75">
        <f t="shared" si="2"/>
        <v>0.006853878040087767</v>
      </c>
      <c r="P17" s="47">
        <v>88787.71000000002</v>
      </c>
      <c r="Q17" s="75">
        <f>P17/K17</f>
        <v>0.5629147831295688</v>
      </c>
      <c r="R17" s="9"/>
    </row>
    <row r="18" spans="1:18" s="8" customFormat="1" ht="20.25">
      <c r="A18" s="72" t="s">
        <v>12</v>
      </c>
      <c r="B18" s="45">
        <v>5220946.67</v>
      </c>
      <c r="C18" s="45">
        <v>5470256.42</v>
      </c>
      <c r="D18" s="45">
        <f>E18+F18+G18</f>
        <v>2042.5499999999997</v>
      </c>
      <c r="E18" s="45">
        <v>2042.5499999999997</v>
      </c>
      <c r="F18" s="45">
        <v>0</v>
      </c>
      <c r="G18" s="45">
        <v>0</v>
      </c>
      <c r="H18" s="73">
        <f t="shared" si="0"/>
        <v>0.0003733920027098108</v>
      </c>
      <c r="I18" s="47">
        <v>1541.1599999999999</v>
      </c>
      <c r="J18" s="73">
        <f t="shared" si="1"/>
        <v>0.7545274289491077</v>
      </c>
      <c r="K18" s="47">
        <f t="shared" si="3"/>
        <v>99862.91999999995</v>
      </c>
      <c r="L18" s="47">
        <v>97575.09999999996</v>
      </c>
      <c r="M18" s="47">
        <v>2287.8199999999997</v>
      </c>
      <c r="N18" s="47">
        <v>0</v>
      </c>
      <c r="O18" s="75">
        <f t="shared" si="2"/>
        <v>0.018255619541871486</v>
      </c>
      <c r="P18" s="47">
        <v>97227.02999999996</v>
      </c>
      <c r="Q18" s="75">
        <f t="shared" si="4"/>
        <v>0.9736049176210749</v>
      </c>
      <c r="R18" s="9"/>
    </row>
    <row r="19" spans="1:18" s="8" customFormat="1" ht="20.25">
      <c r="A19" s="72" t="s">
        <v>32</v>
      </c>
      <c r="B19" s="45">
        <v>3917135.1100000003</v>
      </c>
      <c r="C19" s="45">
        <v>3990242.6099999994</v>
      </c>
      <c r="D19" s="45">
        <f>E19+F19+G19</f>
        <v>10546.29</v>
      </c>
      <c r="E19" s="45">
        <v>10546.29</v>
      </c>
      <c r="F19" s="45">
        <v>0</v>
      </c>
      <c r="G19" s="45">
        <v>0</v>
      </c>
      <c r="H19" s="73">
        <f t="shared" si="0"/>
        <v>0.0026430197436040116</v>
      </c>
      <c r="I19" s="74">
        <v>2578.960000000002</v>
      </c>
      <c r="J19" s="73">
        <f t="shared" si="1"/>
        <v>0.24453717847698117</v>
      </c>
      <c r="K19" s="47">
        <f t="shared" si="3"/>
        <v>22829.430000000004</v>
      </c>
      <c r="L19" s="47">
        <v>22829.430000000004</v>
      </c>
      <c r="M19" s="47">
        <v>0</v>
      </c>
      <c r="N19" s="74">
        <v>0</v>
      </c>
      <c r="O19" s="75">
        <f t="shared" si="2"/>
        <v>0.005721313772447537</v>
      </c>
      <c r="P19" s="47">
        <v>14862.100000000004</v>
      </c>
      <c r="Q19" s="75">
        <f t="shared" si="4"/>
        <v>0.6510061793045205</v>
      </c>
      <c r="R19" s="9"/>
    </row>
    <row r="20" spans="1:18" s="8" customFormat="1" ht="20.25">
      <c r="A20" s="72" t="s">
        <v>28</v>
      </c>
      <c r="B20" s="45">
        <v>1261390.98</v>
      </c>
      <c r="C20" s="45">
        <v>1261390.98</v>
      </c>
      <c r="D20" s="45">
        <f>E20+F20+G20</f>
        <v>0</v>
      </c>
      <c r="E20" s="45">
        <v>0</v>
      </c>
      <c r="F20" s="45">
        <v>0</v>
      </c>
      <c r="G20" s="45">
        <v>0</v>
      </c>
      <c r="H20" s="73">
        <f t="shared" si="0"/>
        <v>0</v>
      </c>
      <c r="I20" s="47">
        <v>0</v>
      </c>
      <c r="J20" s="73">
        <v>0</v>
      </c>
      <c r="K20" s="47">
        <f t="shared" si="3"/>
        <v>0</v>
      </c>
      <c r="L20" s="47">
        <v>0</v>
      </c>
      <c r="M20" s="47">
        <v>0</v>
      </c>
      <c r="N20" s="74">
        <v>0</v>
      </c>
      <c r="O20" s="75">
        <f t="shared" si="2"/>
        <v>0</v>
      </c>
      <c r="P20" s="47">
        <v>0</v>
      </c>
      <c r="Q20" s="75">
        <v>0</v>
      </c>
      <c r="R20" s="9"/>
    </row>
    <row r="21" spans="1:18" s="8" customFormat="1" ht="20.25">
      <c r="A21" s="72" t="s">
        <v>26</v>
      </c>
      <c r="B21" s="45">
        <v>7757009.27</v>
      </c>
      <c r="C21" s="45">
        <v>7797505.63</v>
      </c>
      <c r="D21" s="76">
        <f aca="true" t="shared" si="5" ref="D21:D27">E21+F21+G21</f>
        <v>8.51</v>
      </c>
      <c r="E21" s="45">
        <v>8.51</v>
      </c>
      <c r="F21" s="45">
        <v>0</v>
      </c>
      <c r="G21" s="45">
        <v>0</v>
      </c>
      <c r="H21" s="73">
        <f t="shared" si="0"/>
        <v>1.091374652845233E-06</v>
      </c>
      <c r="I21" s="47">
        <v>8.51</v>
      </c>
      <c r="J21" s="73">
        <f>I21/D21</f>
        <v>1</v>
      </c>
      <c r="K21" s="47">
        <f>L21+M21+N21</f>
        <v>35262.58</v>
      </c>
      <c r="L21" s="47">
        <v>35262.58</v>
      </c>
      <c r="M21" s="47">
        <v>0</v>
      </c>
      <c r="N21" s="47">
        <v>0</v>
      </c>
      <c r="O21" s="75">
        <f t="shared" si="2"/>
        <v>0.00452228977742976</v>
      </c>
      <c r="P21" s="47">
        <v>35262.58</v>
      </c>
      <c r="Q21" s="75">
        <f>P21/L21</f>
        <v>1</v>
      </c>
      <c r="R21" s="9"/>
    </row>
    <row r="22" spans="1:18" s="10" customFormat="1" ht="20.25">
      <c r="A22" s="77" t="s">
        <v>13</v>
      </c>
      <c r="B22" s="68">
        <f>B23+B27</f>
        <v>954540249.94</v>
      </c>
      <c r="C22" s="68">
        <f>C23+C27</f>
        <v>990409769.3700001</v>
      </c>
      <c r="D22" s="68">
        <f t="shared" si="5"/>
        <v>5217399.370000001</v>
      </c>
      <c r="E22" s="68">
        <f>E23+E27</f>
        <v>5137422.870000001</v>
      </c>
      <c r="F22" s="68">
        <f>F23+F27</f>
        <v>71513.37</v>
      </c>
      <c r="G22" s="68">
        <f>G23+G27</f>
        <v>8463.130000000001</v>
      </c>
      <c r="H22" s="69">
        <f t="shared" si="0"/>
        <v>0.005267919937137524</v>
      </c>
      <c r="I22" s="70">
        <f>I23+I27</f>
        <v>1285993.51</v>
      </c>
      <c r="J22" s="69">
        <f aca="true" t="shared" si="6" ref="J22:J27">I22/D22</f>
        <v>0.24648170837648561</v>
      </c>
      <c r="K22" s="70">
        <f>SUM(L22:N22)</f>
        <v>23136749.87</v>
      </c>
      <c r="L22" s="70">
        <f>L23+L27</f>
        <v>22020134.4</v>
      </c>
      <c r="M22" s="70">
        <f>M23+M27</f>
        <v>1091163.28</v>
      </c>
      <c r="N22" s="70">
        <f>N23+N27</f>
        <v>25452.189999999995</v>
      </c>
      <c r="O22" s="71">
        <f t="shared" si="2"/>
        <v>0.023360785187647424</v>
      </c>
      <c r="P22" s="70">
        <f>P23+P27</f>
        <v>14092439.299999917</v>
      </c>
      <c r="Q22" s="71">
        <f aca="true" t="shared" si="7" ref="Q22:Q28">P22/K22</f>
        <v>0.6090932987209545</v>
      </c>
      <c r="R22" s="30"/>
    </row>
    <row r="23" spans="1:18" ht="20.25">
      <c r="A23" s="77" t="s">
        <v>14</v>
      </c>
      <c r="B23" s="68">
        <f>SUM(B24:B26)</f>
        <v>330970934.46000004</v>
      </c>
      <c r="C23" s="68">
        <f>SUM(C24:C26)</f>
        <v>342630007.35999995</v>
      </c>
      <c r="D23" s="68">
        <f t="shared" si="5"/>
        <v>3797643.910000001</v>
      </c>
      <c r="E23" s="68">
        <f>SUM(E24:E26)</f>
        <v>3779491.020000001</v>
      </c>
      <c r="F23" s="68">
        <f>SUM(F24:F26)</f>
        <v>14752.68</v>
      </c>
      <c r="G23" s="68">
        <f>SUM(G24:G26)</f>
        <v>3400.2100000000005</v>
      </c>
      <c r="H23" s="69">
        <f t="shared" si="0"/>
        <v>0.011083804186507902</v>
      </c>
      <c r="I23" s="70">
        <f>SUM(I24:I26)</f>
        <v>247256.85000000006</v>
      </c>
      <c r="J23" s="69">
        <f>I23/D23</f>
        <v>0.06510796058285517</v>
      </c>
      <c r="K23" s="70">
        <f>L23+M23+N23</f>
        <v>8896632.319999998</v>
      </c>
      <c r="L23" s="70">
        <f>SUM(L24:L26)</f>
        <v>8861460.809999999</v>
      </c>
      <c r="M23" s="70">
        <f>SUM(M24:M26)</f>
        <v>24936.53</v>
      </c>
      <c r="N23" s="70">
        <f>SUM(N24:N26)</f>
        <v>10234.979999999996</v>
      </c>
      <c r="O23" s="71">
        <f t="shared" si="2"/>
        <v>0.025965712660573664</v>
      </c>
      <c r="P23" s="70">
        <f>SUM(P24:P26)</f>
        <v>4845554.309999919</v>
      </c>
      <c r="Q23" s="71">
        <f t="shared" si="7"/>
        <v>0.5446503953082237</v>
      </c>
      <c r="R23" s="3"/>
    </row>
    <row r="24" spans="1:18" s="8" customFormat="1" ht="20.25">
      <c r="A24" s="72" t="s">
        <v>8</v>
      </c>
      <c r="B24" s="45">
        <v>48368057.5</v>
      </c>
      <c r="C24" s="45">
        <v>50514271.79000001</v>
      </c>
      <c r="D24" s="45">
        <f t="shared" si="5"/>
        <v>62859.18</v>
      </c>
      <c r="E24" s="45">
        <v>59458.97</v>
      </c>
      <c r="F24" s="45">
        <v>0</v>
      </c>
      <c r="G24" s="45">
        <v>3400.2100000000005</v>
      </c>
      <c r="H24" s="73">
        <f>D24/B24</f>
        <v>0.0012996010848688724</v>
      </c>
      <c r="I24" s="47">
        <v>61320.11000000001</v>
      </c>
      <c r="J24" s="73">
        <f>I24/D24</f>
        <v>0.9755155889720485</v>
      </c>
      <c r="K24" s="47">
        <f>L24+M24+N24</f>
        <v>238301.71000000002</v>
      </c>
      <c r="L24" s="47">
        <v>228066.73</v>
      </c>
      <c r="M24" s="47">
        <v>0</v>
      </c>
      <c r="N24" s="74">
        <v>10234.979999999996</v>
      </c>
      <c r="O24" s="75">
        <f>K24/B24</f>
        <v>0.0049268406116991575</v>
      </c>
      <c r="P24" s="47">
        <v>236762.6400000002</v>
      </c>
      <c r="Q24" s="75">
        <f t="shared" si="7"/>
        <v>0.993541506689147</v>
      </c>
      <c r="R24" s="9"/>
    </row>
    <row r="25" spans="1:18" ht="20.25">
      <c r="A25" s="78" t="s">
        <v>34</v>
      </c>
      <c r="B25" s="45">
        <v>275178535.41</v>
      </c>
      <c r="C25" s="45">
        <v>284587669.30999994</v>
      </c>
      <c r="D25" s="45">
        <f t="shared" si="5"/>
        <v>3734754.0500000007</v>
      </c>
      <c r="E25" s="45">
        <v>3720001.3700000006</v>
      </c>
      <c r="F25" s="45">
        <v>14752.68</v>
      </c>
      <c r="G25" s="45">
        <v>0</v>
      </c>
      <c r="H25" s="73">
        <f>D25/B25</f>
        <v>0.01357211253572316</v>
      </c>
      <c r="I25" s="47">
        <v>185906.06000000006</v>
      </c>
      <c r="J25" s="73">
        <f>I25/D25</f>
        <v>0.049777323355469694</v>
      </c>
      <c r="K25" s="47">
        <f>L25+M25+N25</f>
        <v>8574302.629999997</v>
      </c>
      <c r="L25" s="47">
        <v>8549366.099999998</v>
      </c>
      <c r="M25" s="47">
        <v>24936.53</v>
      </c>
      <c r="N25" s="74">
        <v>0</v>
      </c>
      <c r="O25" s="75">
        <f>K25/B25</f>
        <v>0.031159053220574724</v>
      </c>
      <c r="P25" s="47">
        <v>4524763.6899999175</v>
      </c>
      <c r="Q25" s="75">
        <f t="shared" si="7"/>
        <v>0.5277121516761671</v>
      </c>
      <c r="R25" s="3"/>
    </row>
    <row r="26" spans="1:17" s="9" customFormat="1" ht="20.25">
      <c r="A26" s="72" t="s">
        <v>26</v>
      </c>
      <c r="B26" s="45">
        <v>7424341.55</v>
      </c>
      <c r="C26" s="45">
        <v>7528066.26</v>
      </c>
      <c r="D26" s="45">
        <f t="shared" si="5"/>
        <v>30.68</v>
      </c>
      <c r="E26" s="45">
        <v>30.68</v>
      </c>
      <c r="F26" s="45">
        <v>0</v>
      </c>
      <c r="G26" s="45">
        <v>0</v>
      </c>
      <c r="H26" s="73">
        <f aca="true" t="shared" si="8" ref="H26:H38">D26/C26</f>
        <v>4.0754157761624165E-06</v>
      </c>
      <c r="I26" s="47">
        <v>30.68</v>
      </c>
      <c r="J26" s="73">
        <f t="shared" si="6"/>
        <v>1</v>
      </c>
      <c r="K26" s="47">
        <f>L26+M26+N26</f>
        <v>84027.98</v>
      </c>
      <c r="L26" s="47">
        <v>84027.98</v>
      </c>
      <c r="M26" s="47">
        <v>0</v>
      </c>
      <c r="N26" s="47">
        <v>0</v>
      </c>
      <c r="O26" s="75">
        <f aca="true" t="shared" si="9" ref="O26:O41">K26/C26</f>
        <v>0.011161960734389178</v>
      </c>
      <c r="P26" s="47">
        <v>84027.98</v>
      </c>
      <c r="Q26" s="75">
        <f t="shared" si="7"/>
        <v>1</v>
      </c>
    </row>
    <row r="27" spans="1:18" s="30" customFormat="1" ht="20.25">
      <c r="A27" s="77" t="s">
        <v>15</v>
      </c>
      <c r="B27" s="68">
        <f>SUM(B28:B35)</f>
        <v>623569315.48</v>
      </c>
      <c r="C27" s="68">
        <f>SUM(C28:C35)</f>
        <v>647779762.0100002</v>
      </c>
      <c r="D27" s="68">
        <f t="shared" si="5"/>
        <v>1419755.46</v>
      </c>
      <c r="E27" s="68">
        <f>SUM(E28:E35)</f>
        <v>1357931.85</v>
      </c>
      <c r="F27" s="68">
        <f>SUM(F28:F35)</f>
        <v>56760.69</v>
      </c>
      <c r="G27" s="68">
        <f>SUM(G28:G35)</f>
        <v>5062.92</v>
      </c>
      <c r="H27" s="69">
        <f t="shared" si="8"/>
        <v>0.002191725557455872</v>
      </c>
      <c r="I27" s="70">
        <f>SUM(I28:I35)</f>
        <v>1038736.66</v>
      </c>
      <c r="J27" s="69">
        <f t="shared" si="6"/>
        <v>0.7316306851885606</v>
      </c>
      <c r="K27" s="70">
        <f aca="true" t="shared" si="10" ref="K27:K34">SUM(L27:N27)</f>
        <v>14240117.55</v>
      </c>
      <c r="L27" s="70">
        <f>SUM(L28:L35)</f>
        <v>13158673.59</v>
      </c>
      <c r="M27" s="70">
        <f>SUM(M28:M35)</f>
        <v>1066226.75</v>
      </c>
      <c r="N27" s="70">
        <f>SUM(N28:N35)</f>
        <v>15217.21</v>
      </c>
      <c r="O27" s="71">
        <f t="shared" si="9"/>
        <v>0.0219829614710627</v>
      </c>
      <c r="P27" s="70">
        <f>SUM(P28:P35)</f>
        <v>9246884.989999998</v>
      </c>
      <c r="Q27" s="71">
        <f t="shared" si="7"/>
        <v>0.6493545406161341</v>
      </c>
      <c r="R27" s="29"/>
    </row>
    <row r="28" spans="1:18" s="9" customFormat="1" ht="20.25">
      <c r="A28" s="79" t="s">
        <v>8</v>
      </c>
      <c r="B28" s="46">
        <v>105678830.83</v>
      </c>
      <c r="C28" s="45">
        <v>117384249.69</v>
      </c>
      <c r="D28" s="46">
        <f>SUM(E28:G28)</f>
        <v>119416.18</v>
      </c>
      <c r="E28" s="46">
        <v>105388.64</v>
      </c>
      <c r="F28" s="46">
        <v>8964.62</v>
      </c>
      <c r="G28" s="46">
        <v>5062.92</v>
      </c>
      <c r="H28" s="73">
        <f t="shared" si="8"/>
        <v>0.001017310076227144</v>
      </c>
      <c r="I28" s="80">
        <v>70788.48</v>
      </c>
      <c r="J28" s="81">
        <f aca="true" t="shared" si="11" ref="J28:J35">I28/D28</f>
        <v>0.592788012478711</v>
      </c>
      <c r="K28" s="80">
        <f t="shared" si="10"/>
        <v>5454440.13</v>
      </c>
      <c r="L28" s="80">
        <v>4726922.69</v>
      </c>
      <c r="M28" s="80">
        <v>712300.23</v>
      </c>
      <c r="N28" s="82">
        <v>15217.21</v>
      </c>
      <c r="O28" s="75">
        <f t="shared" si="9"/>
        <v>0.0464665416732196</v>
      </c>
      <c r="P28" s="83">
        <v>5398755.51</v>
      </c>
      <c r="Q28" s="75">
        <f t="shared" si="7"/>
        <v>0.9897909558684623</v>
      </c>
      <c r="R28" s="11"/>
    </row>
    <row r="29" spans="1:17" s="9" customFormat="1" ht="20.25">
      <c r="A29" s="72" t="s">
        <v>9</v>
      </c>
      <c r="B29" s="45">
        <v>9797671.41</v>
      </c>
      <c r="C29" s="45">
        <v>9934149.010000002</v>
      </c>
      <c r="D29" s="46">
        <f aca="true" t="shared" si="12" ref="D29:D35">SUM(E29:G29)</f>
        <v>0</v>
      </c>
      <c r="E29" s="45">
        <v>0</v>
      </c>
      <c r="F29" s="45">
        <v>0</v>
      </c>
      <c r="G29" s="45">
        <v>0</v>
      </c>
      <c r="H29" s="73">
        <f t="shared" si="8"/>
        <v>0</v>
      </c>
      <c r="I29" s="47">
        <v>0</v>
      </c>
      <c r="J29" s="81">
        <v>0</v>
      </c>
      <c r="K29" s="80">
        <f t="shared" si="10"/>
        <v>27054.850000000002</v>
      </c>
      <c r="L29" s="47">
        <v>22996.620000000003</v>
      </c>
      <c r="M29" s="47">
        <v>4058.2300000000005</v>
      </c>
      <c r="N29" s="47">
        <v>0</v>
      </c>
      <c r="O29" s="75">
        <f t="shared" si="9"/>
        <v>0.002723418983625654</v>
      </c>
      <c r="P29" s="47">
        <v>27054.85</v>
      </c>
      <c r="Q29" s="75">
        <f aca="true" t="shared" si="13" ref="Q29:Q35">P29/K29</f>
        <v>0.9999999999999999</v>
      </c>
    </row>
    <row r="30" spans="1:17" s="9" customFormat="1" ht="20.25">
      <c r="A30" s="72" t="s">
        <v>10</v>
      </c>
      <c r="B30" s="45">
        <v>93223572.42</v>
      </c>
      <c r="C30" s="45">
        <v>96304924.99</v>
      </c>
      <c r="D30" s="46">
        <f t="shared" si="12"/>
        <v>278848.31</v>
      </c>
      <c r="E30" s="45">
        <v>245751.87</v>
      </c>
      <c r="F30" s="45">
        <v>33096.44</v>
      </c>
      <c r="G30" s="45">
        <v>0</v>
      </c>
      <c r="H30" s="73">
        <f t="shared" si="8"/>
        <v>0.002895472999215302</v>
      </c>
      <c r="I30" s="47">
        <v>264090.09</v>
      </c>
      <c r="J30" s="81">
        <f t="shared" si="11"/>
        <v>0.9470743788979751</v>
      </c>
      <c r="K30" s="80">
        <f t="shared" si="10"/>
        <v>482106.66000000003</v>
      </c>
      <c r="L30" s="47">
        <v>438986.45</v>
      </c>
      <c r="M30" s="47">
        <v>43120.21</v>
      </c>
      <c r="N30" s="47">
        <v>0</v>
      </c>
      <c r="O30" s="75">
        <f t="shared" si="9"/>
        <v>0.00500604366858767</v>
      </c>
      <c r="P30" s="47">
        <v>346760.01</v>
      </c>
      <c r="Q30" s="75">
        <f>P30/K30</f>
        <v>0.7192599455066644</v>
      </c>
    </row>
    <row r="31" spans="1:17" s="9" customFormat="1" ht="20.25">
      <c r="A31" s="72" t="s">
        <v>16</v>
      </c>
      <c r="B31" s="45">
        <v>110719250.88000001</v>
      </c>
      <c r="C31" s="45">
        <v>111472395.82000002</v>
      </c>
      <c r="D31" s="46">
        <f t="shared" si="12"/>
        <v>34545.66</v>
      </c>
      <c r="E31" s="45">
        <v>33350.55</v>
      </c>
      <c r="F31" s="45">
        <v>1195.11</v>
      </c>
      <c r="G31" s="45">
        <v>0</v>
      </c>
      <c r="H31" s="73">
        <f t="shared" si="8"/>
        <v>0.0003099032701852267</v>
      </c>
      <c r="I31" s="47">
        <v>34546</v>
      </c>
      <c r="J31" s="81">
        <f t="shared" si="11"/>
        <v>1.0000098420467287</v>
      </c>
      <c r="K31" s="80">
        <v>783564</v>
      </c>
      <c r="L31" s="47">
        <v>756450</v>
      </c>
      <c r="M31" s="47">
        <v>27114</v>
      </c>
      <c r="N31" s="47">
        <v>0</v>
      </c>
      <c r="O31" s="75">
        <f t="shared" si="9"/>
        <v>0.007029220052516495</v>
      </c>
      <c r="P31" s="47">
        <v>561017.6599999998</v>
      </c>
      <c r="Q31" s="75">
        <f>P31/K31</f>
        <v>0.7159819236207888</v>
      </c>
    </row>
    <row r="32" spans="1:17" s="9" customFormat="1" ht="20.25">
      <c r="A32" s="72" t="s">
        <v>17</v>
      </c>
      <c r="B32" s="45">
        <v>9071680.17</v>
      </c>
      <c r="C32" s="45">
        <v>9092635.16</v>
      </c>
      <c r="D32" s="46">
        <f t="shared" si="12"/>
        <v>9430.75</v>
      </c>
      <c r="E32" s="45">
        <v>9030.89</v>
      </c>
      <c r="F32" s="45">
        <v>399.86</v>
      </c>
      <c r="G32" s="45">
        <v>0</v>
      </c>
      <c r="H32" s="73">
        <f t="shared" si="8"/>
        <v>0.0010371855720646775</v>
      </c>
      <c r="I32" s="47">
        <v>9057.01</v>
      </c>
      <c r="J32" s="81">
        <f t="shared" si="11"/>
        <v>0.9603700660074755</v>
      </c>
      <c r="K32" s="48">
        <f t="shared" si="10"/>
        <v>15630.06</v>
      </c>
      <c r="L32" s="47">
        <v>15070.32</v>
      </c>
      <c r="M32" s="47">
        <v>559.74</v>
      </c>
      <c r="N32" s="47">
        <v>0</v>
      </c>
      <c r="O32" s="75">
        <f t="shared" si="9"/>
        <v>0.0017189802213509245</v>
      </c>
      <c r="P32" s="47">
        <v>15256.32</v>
      </c>
      <c r="Q32" s="75">
        <f t="shared" si="13"/>
        <v>0.9760883835378751</v>
      </c>
    </row>
    <row r="33" spans="1:17" s="9" customFormat="1" ht="20.25">
      <c r="A33" s="72" t="s">
        <v>32</v>
      </c>
      <c r="B33" s="45">
        <v>262850562.25</v>
      </c>
      <c r="C33" s="45">
        <v>270162416.90000015</v>
      </c>
      <c r="D33" s="46">
        <f t="shared" si="12"/>
        <v>789399.9300000002</v>
      </c>
      <c r="E33" s="46">
        <v>783479.1500000001</v>
      </c>
      <c r="F33" s="46">
        <v>5920.78</v>
      </c>
      <c r="G33" s="46">
        <v>0</v>
      </c>
      <c r="H33" s="73">
        <f t="shared" si="8"/>
        <v>0.0029219457652845705</v>
      </c>
      <c r="I33" s="48">
        <v>484461.94</v>
      </c>
      <c r="J33" s="81">
        <f t="shared" si="11"/>
        <v>0.613709124600505</v>
      </c>
      <c r="K33" s="48">
        <f>SUM(L33:N33)</f>
        <v>6526184.830000001</v>
      </c>
      <c r="L33" s="48">
        <v>6283523.040000001</v>
      </c>
      <c r="M33" s="48">
        <v>242661.79</v>
      </c>
      <c r="N33" s="48">
        <v>0</v>
      </c>
      <c r="O33" s="75">
        <f t="shared" si="9"/>
        <v>0.02415652371223659</v>
      </c>
      <c r="P33" s="48">
        <v>2285468.52</v>
      </c>
      <c r="Q33" s="75">
        <f>P33/K33</f>
        <v>0.3501997843355594</v>
      </c>
    </row>
    <row r="34" spans="1:17" s="9" customFormat="1" ht="20.25">
      <c r="A34" s="72" t="s">
        <v>11</v>
      </c>
      <c r="B34" s="45">
        <v>15131122.270000001</v>
      </c>
      <c r="C34" s="45">
        <v>16229602.97</v>
      </c>
      <c r="D34" s="46">
        <f t="shared" si="12"/>
        <v>188078.05000000002</v>
      </c>
      <c r="E34" s="45">
        <v>180894.17</v>
      </c>
      <c r="F34" s="45">
        <v>7183.88</v>
      </c>
      <c r="G34" s="45">
        <v>0</v>
      </c>
      <c r="H34" s="73">
        <f t="shared" si="8"/>
        <v>0.011588579852979609</v>
      </c>
      <c r="I34" s="47">
        <v>175756.56</v>
      </c>
      <c r="J34" s="81">
        <f t="shared" si="11"/>
        <v>0.9344873577751364</v>
      </c>
      <c r="K34" s="48">
        <f t="shared" si="10"/>
        <v>861292.3400000001</v>
      </c>
      <c r="L34" s="47">
        <v>824879.79</v>
      </c>
      <c r="M34" s="47">
        <v>36412.55</v>
      </c>
      <c r="N34" s="47">
        <v>0</v>
      </c>
      <c r="O34" s="75">
        <f t="shared" si="9"/>
        <v>0.05306921811901848</v>
      </c>
      <c r="P34" s="47">
        <v>522727.44</v>
      </c>
      <c r="Q34" s="75">
        <f t="shared" si="13"/>
        <v>0.606910587408684</v>
      </c>
    </row>
    <row r="35" spans="1:18" s="9" customFormat="1" ht="20.25">
      <c r="A35" s="72" t="s">
        <v>26</v>
      </c>
      <c r="B35" s="45">
        <v>17096625.25</v>
      </c>
      <c r="C35" s="45">
        <v>17199387.47</v>
      </c>
      <c r="D35" s="46">
        <f t="shared" si="12"/>
        <v>36.58</v>
      </c>
      <c r="E35" s="45">
        <v>36.58</v>
      </c>
      <c r="F35" s="45">
        <v>0</v>
      </c>
      <c r="G35" s="45">
        <v>0</v>
      </c>
      <c r="H35" s="73">
        <f t="shared" si="8"/>
        <v>2.1268199268028934E-06</v>
      </c>
      <c r="I35" s="47">
        <v>36.58</v>
      </c>
      <c r="J35" s="73">
        <f t="shared" si="11"/>
        <v>1</v>
      </c>
      <c r="K35" s="47">
        <f>L35+M35+N35</f>
        <v>89844.68</v>
      </c>
      <c r="L35" s="47">
        <v>89844.68</v>
      </c>
      <c r="M35" s="47">
        <v>0</v>
      </c>
      <c r="N35" s="47">
        <v>0</v>
      </c>
      <c r="O35" s="75">
        <f t="shared" si="9"/>
        <v>0.0052237139349707315</v>
      </c>
      <c r="P35" s="47">
        <v>89844.68</v>
      </c>
      <c r="Q35" s="75">
        <f t="shared" si="13"/>
        <v>1</v>
      </c>
      <c r="R35" s="12"/>
    </row>
    <row r="36" spans="1:17" s="30" customFormat="1" ht="20.25">
      <c r="A36" s="77" t="s">
        <v>25</v>
      </c>
      <c r="B36" s="68">
        <f>SUM(B37:B40)</f>
        <v>539873990.1300001</v>
      </c>
      <c r="C36" s="68">
        <f>SUM(C37:C40)</f>
        <v>550077068.4599998</v>
      </c>
      <c r="D36" s="68">
        <f>E36+F36+G36</f>
        <v>228825.15</v>
      </c>
      <c r="E36" s="68">
        <f>SUM(E37:E40)</f>
        <v>208587.37</v>
      </c>
      <c r="F36" s="68">
        <f>SUM(F37:F40)</f>
        <v>19013.66</v>
      </c>
      <c r="G36" s="68">
        <f>SUM(G37:G40)</f>
        <v>1224.12</v>
      </c>
      <c r="H36" s="69">
        <f t="shared" si="8"/>
        <v>0.00041598743725242127</v>
      </c>
      <c r="I36" s="70">
        <f>SUM(I37:I40)</f>
        <v>228825.14</v>
      </c>
      <c r="J36" s="69">
        <f>I36/D36</f>
        <v>0.9999999562985101</v>
      </c>
      <c r="K36" s="70">
        <f>SUM(L36:N36)</f>
        <v>820137.41</v>
      </c>
      <c r="L36" s="70">
        <f>SUM(L37:L40)</f>
        <v>760809.8</v>
      </c>
      <c r="M36" s="70">
        <f>SUM(M37:M40)</f>
        <v>53626.619999999995</v>
      </c>
      <c r="N36" s="70">
        <f>SUM(N37:N40)</f>
        <v>5700.990000000002</v>
      </c>
      <c r="O36" s="71">
        <f t="shared" si="9"/>
        <v>0.0014909500086888977</v>
      </c>
      <c r="P36" s="70">
        <f>SUM(P37:P40)</f>
        <v>822923.81</v>
      </c>
      <c r="Q36" s="69">
        <f aca="true" t="shared" si="14" ref="Q36:Q41">P36/K36</f>
        <v>1.0033974794540832</v>
      </c>
    </row>
    <row r="37" spans="1:17" s="9" customFormat="1" ht="20.25">
      <c r="A37" s="72" t="s">
        <v>32</v>
      </c>
      <c r="B37" s="45">
        <v>263678609.92000002</v>
      </c>
      <c r="C37" s="46">
        <v>268501986.7899999</v>
      </c>
      <c r="D37" s="45">
        <v>91149.58</v>
      </c>
      <c r="E37" s="46">
        <v>88929.04999999999</v>
      </c>
      <c r="F37" s="46">
        <v>996.41</v>
      </c>
      <c r="G37" s="46">
        <v>1224.12</v>
      </c>
      <c r="H37" s="73">
        <f t="shared" si="8"/>
        <v>0.0003394745085118855</v>
      </c>
      <c r="I37" s="48">
        <v>91149.57</v>
      </c>
      <c r="J37" s="81">
        <f>I37/D37</f>
        <v>0.9999998902902241</v>
      </c>
      <c r="K37" s="47">
        <f>SUM(L37:N37)</f>
        <v>567651.69</v>
      </c>
      <c r="L37" s="48">
        <v>530738.63</v>
      </c>
      <c r="M37" s="48">
        <v>31212.069999999996</v>
      </c>
      <c r="N37" s="48">
        <v>5700.990000000002</v>
      </c>
      <c r="O37" s="84">
        <f t="shared" si="9"/>
        <v>0.0021141433506187434</v>
      </c>
      <c r="P37" s="48">
        <v>563405.64</v>
      </c>
      <c r="Q37" s="84">
        <f>P37/K37</f>
        <v>0.9925199729432675</v>
      </c>
    </row>
    <row r="38" spans="1:17" s="9" customFormat="1" ht="20.25">
      <c r="A38" s="72" t="s">
        <v>16</v>
      </c>
      <c r="B38" s="45">
        <v>256328758.14000002</v>
      </c>
      <c r="C38" s="45">
        <v>258197861.20000002</v>
      </c>
      <c r="D38" s="46">
        <f>E38+G38+F38</f>
        <v>120115</v>
      </c>
      <c r="E38" s="46">
        <v>102097.75</v>
      </c>
      <c r="F38" s="46">
        <v>18017.25</v>
      </c>
      <c r="G38" s="46">
        <v>0</v>
      </c>
      <c r="H38" s="73">
        <f t="shared" si="8"/>
        <v>0.0004652052477962199</v>
      </c>
      <c r="I38" s="48">
        <v>120115</v>
      </c>
      <c r="J38" s="81">
        <f>I38/D38</f>
        <v>1</v>
      </c>
      <c r="K38" s="47">
        <f>SUM(L38:N38)</f>
        <v>189282.55</v>
      </c>
      <c r="L38" s="48">
        <v>166868</v>
      </c>
      <c r="M38" s="48">
        <v>22414.55</v>
      </c>
      <c r="N38" s="48">
        <v>0</v>
      </c>
      <c r="O38" s="84">
        <f t="shared" si="9"/>
        <v>0.0007330910841797475</v>
      </c>
      <c r="P38" s="48">
        <v>196315</v>
      </c>
      <c r="Q38" s="84">
        <f t="shared" si="14"/>
        <v>1.0371531871268642</v>
      </c>
    </row>
    <row r="39" spans="1:17" s="9" customFormat="1" ht="20.25">
      <c r="A39" s="72" t="s">
        <v>11</v>
      </c>
      <c r="B39" s="45">
        <v>17201778.22</v>
      </c>
      <c r="C39" s="45">
        <v>20702307.799999997</v>
      </c>
      <c r="D39" s="46">
        <v>17560.57</v>
      </c>
      <c r="E39" s="45">
        <v>17560.57</v>
      </c>
      <c r="F39" s="45">
        <v>0</v>
      </c>
      <c r="G39" s="45">
        <v>0</v>
      </c>
      <c r="H39" s="73">
        <v>0.00100156754377478</v>
      </c>
      <c r="I39" s="47">
        <v>17560.57</v>
      </c>
      <c r="J39" s="73">
        <f>I39/D39</f>
        <v>1</v>
      </c>
      <c r="K39" s="47">
        <f>SUM(L39:N39)</f>
        <v>57111.38</v>
      </c>
      <c r="L39" s="47">
        <v>57111.38</v>
      </c>
      <c r="M39" s="47">
        <v>0</v>
      </c>
      <c r="N39" s="47">
        <v>0</v>
      </c>
      <c r="O39" s="84">
        <f t="shared" si="9"/>
        <v>0.0027586963034140575</v>
      </c>
      <c r="P39" s="47">
        <v>57111.38</v>
      </c>
      <c r="Q39" s="84">
        <f t="shared" si="14"/>
        <v>1</v>
      </c>
    </row>
    <row r="40" spans="1:18" s="13" customFormat="1" ht="20.25">
      <c r="A40" s="72" t="s">
        <v>26</v>
      </c>
      <c r="B40" s="45">
        <v>2664843.85</v>
      </c>
      <c r="C40" s="45">
        <v>2674912.67</v>
      </c>
      <c r="D40" s="76">
        <f>SUM(E40:G40)</f>
        <v>0</v>
      </c>
      <c r="E40" s="45">
        <v>0</v>
      </c>
      <c r="F40" s="45">
        <v>0</v>
      </c>
      <c r="G40" s="45">
        <v>0</v>
      </c>
      <c r="H40" s="73">
        <f>D40/C40</f>
        <v>0</v>
      </c>
      <c r="I40" s="47">
        <v>0</v>
      </c>
      <c r="J40" s="73">
        <v>0</v>
      </c>
      <c r="K40" s="47">
        <f>SUM(L40:N40)</f>
        <v>6091.79</v>
      </c>
      <c r="L40" s="47">
        <v>6091.79</v>
      </c>
      <c r="M40" s="47">
        <v>0</v>
      </c>
      <c r="N40" s="47">
        <v>0</v>
      </c>
      <c r="O40" s="85">
        <f t="shared" si="9"/>
        <v>0.0022773790218728897</v>
      </c>
      <c r="P40" s="47">
        <v>6091.79</v>
      </c>
      <c r="Q40" s="75">
        <f t="shared" si="14"/>
        <v>1</v>
      </c>
      <c r="R40" s="12"/>
    </row>
    <row r="41" spans="1:17" s="43" customFormat="1" ht="20.25">
      <c r="A41" s="77" t="s">
        <v>18</v>
      </c>
      <c r="B41" s="68">
        <f aca="true" t="shared" si="15" ref="B41:G41">B21+B26+B35+B40</f>
        <v>34942819.92</v>
      </c>
      <c r="C41" s="68">
        <f t="shared" si="15"/>
        <v>35199872.03</v>
      </c>
      <c r="D41" s="68">
        <f t="shared" si="15"/>
        <v>75.77</v>
      </c>
      <c r="E41" s="68">
        <f t="shared" si="15"/>
        <v>75.77</v>
      </c>
      <c r="F41" s="68">
        <f t="shared" si="15"/>
        <v>0</v>
      </c>
      <c r="G41" s="68">
        <f t="shared" si="15"/>
        <v>0</v>
      </c>
      <c r="H41" s="69">
        <f>D41/C41</f>
        <v>2.1525646438550418E-06</v>
      </c>
      <c r="I41" s="70">
        <f>D41</f>
        <v>75.77</v>
      </c>
      <c r="J41" s="69">
        <f>I41/D41</f>
        <v>1</v>
      </c>
      <c r="K41" s="70">
        <f>K21+K26+K35+K40</f>
        <v>215227.03</v>
      </c>
      <c r="L41" s="70">
        <f>L21+L26+L35+L40</f>
        <v>215227.03</v>
      </c>
      <c r="M41" s="70">
        <f>M21+M26+M35+M40</f>
        <v>0</v>
      </c>
      <c r="N41" s="70">
        <f>N21+N26+N35+N40</f>
        <v>0</v>
      </c>
      <c r="O41" s="71">
        <f t="shared" si="9"/>
        <v>0.006114426490430624</v>
      </c>
      <c r="P41" s="70">
        <f>P21+P26+P35+P40</f>
        <v>215227.03</v>
      </c>
      <c r="Q41" s="69">
        <f t="shared" si="14"/>
        <v>1</v>
      </c>
    </row>
    <row r="42" spans="1:17" s="14" customFormat="1" ht="63.75" customHeight="1">
      <c r="A42" s="35" t="s">
        <v>55</v>
      </c>
      <c r="B42" s="86">
        <v>823595059.23</v>
      </c>
      <c r="C42" s="86" t="s">
        <v>33</v>
      </c>
      <c r="D42" s="86">
        <v>0</v>
      </c>
      <c r="E42" s="86">
        <v>0</v>
      </c>
      <c r="F42" s="86">
        <v>0</v>
      </c>
      <c r="G42" s="86">
        <v>0</v>
      </c>
      <c r="H42" s="87">
        <v>0</v>
      </c>
      <c r="I42" s="88">
        <v>0</v>
      </c>
      <c r="J42" s="87">
        <v>0</v>
      </c>
      <c r="K42" s="88">
        <v>1015873.61</v>
      </c>
      <c r="L42" s="88">
        <v>140498.88</v>
      </c>
      <c r="M42" s="88">
        <v>294226.25</v>
      </c>
      <c r="N42" s="88">
        <v>581148.48</v>
      </c>
      <c r="O42" s="89" t="s">
        <v>33</v>
      </c>
      <c r="P42" s="88">
        <v>163513.51</v>
      </c>
      <c r="Q42" s="89">
        <v>0.16095851727066718</v>
      </c>
    </row>
    <row r="43" spans="1:17" s="13" customFormat="1" ht="20.25">
      <c r="A43" s="36" t="s">
        <v>32</v>
      </c>
      <c r="B43" s="76">
        <v>370347876.38</v>
      </c>
      <c r="C43" s="90" t="s">
        <v>33</v>
      </c>
      <c r="D43" s="46">
        <v>0</v>
      </c>
      <c r="E43" s="46">
        <v>0</v>
      </c>
      <c r="F43" s="46">
        <v>0</v>
      </c>
      <c r="G43" s="46">
        <v>0</v>
      </c>
      <c r="H43" s="81">
        <v>0</v>
      </c>
      <c r="I43" s="48">
        <v>0</v>
      </c>
      <c r="J43" s="91">
        <v>0</v>
      </c>
      <c r="K43" s="48">
        <v>848658.41</v>
      </c>
      <c r="L43" s="48">
        <v>131388.79</v>
      </c>
      <c r="M43" s="48">
        <v>136121.14</v>
      </c>
      <c r="N43" s="48">
        <v>581148.48</v>
      </c>
      <c r="O43" s="92" t="s">
        <v>33</v>
      </c>
      <c r="P43" s="48">
        <v>164880.65</v>
      </c>
      <c r="Q43" s="84">
        <v>0.1942838815442835</v>
      </c>
    </row>
    <row r="44" spans="1:17" s="13" customFormat="1" ht="20.25">
      <c r="A44" s="36" t="s">
        <v>16</v>
      </c>
      <c r="B44" s="76">
        <v>456371381.24</v>
      </c>
      <c r="C44" s="90" t="s">
        <v>33</v>
      </c>
      <c r="D44" s="46">
        <v>0</v>
      </c>
      <c r="E44" s="46">
        <v>0</v>
      </c>
      <c r="F44" s="46">
        <v>0</v>
      </c>
      <c r="G44" s="46">
        <v>0</v>
      </c>
      <c r="H44" s="81">
        <v>0</v>
      </c>
      <c r="I44" s="93" t="s">
        <v>33</v>
      </c>
      <c r="J44" s="94">
        <v>0</v>
      </c>
      <c r="K44" s="48">
        <v>164678.69</v>
      </c>
      <c r="L44" s="48">
        <v>9110.09</v>
      </c>
      <c r="M44" s="48">
        <v>155469.52</v>
      </c>
      <c r="N44" s="48">
        <v>0</v>
      </c>
      <c r="O44" s="92" t="s">
        <v>33</v>
      </c>
      <c r="P44" s="48">
        <v>0</v>
      </c>
      <c r="Q44" s="84">
        <v>0</v>
      </c>
    </row>
    <row r="45" spans="1:17" s="14" customFormat="1" ht="39.75" customHeight="1">
      <c r="A45" s="35" t="s">
        <v>19</v>
      </c>
      <c r="B45" s="86">
        <f>SUM(B46,B51,B59)</f>
        <v>544405037.7757506</v>
      </c>
      <c r="C45" s="86"/>
      <c r="D45" s="86"/>
      <c r="E45" s="86"/>
      <c r="F45" s="86"/>
      <c r="G45" s="86"/>
      <c r="H45" s="87"/>
      <c r="I45" s="95"/>
      <c r="J45" s="96"/>
      <c r="K45" s="88">
        <f>SUM(L45:N45)</f>
        <v>6042332.347469679</v>
      </c>
      <c r="L45" s="88">
        <f>SUM(L46,L51,L63,L64,L65)</f>
        <v>4450433.167905119</v>
      </c>
      <c r="M45" s="88">
        <f>SUM(M46,M51,M63,M64,M65)</f>
        <v>1365458.36956456</v>
      </c>
      <c r="N45" s="88">
        <f>SUM(N46,N51,N59,N59,N63,N64,N65)</f>
        <v>226440.81</v>
      </c>
      <c r="O45" s="89" t="s">
        <v>33</v>
      </c>
      <c r="P45" s="88">
        <f>SUM(P46,P51,P63,P64,P65)</f>
        <v>4088522.191460681</v>
      </c>
      <c r="Q45" s="87">
        <f>P45/K45</f>
        <v>0.676646360436101</v>
      </c>
    </row>
    <row r="46" spans="1:17" s="15" customFormat="1" ht="20.25">
      <c r="A46" s="77" t="s">
        <v>7</v>
      </c>
      <c r="B46" s="68">
        <f>SUM(B47:B50)</f>
        <v>121971261.803112</v>
      </c>
      <c r="C46" s="68" t="s">
        <v>33</v>
      </c>
      <c r="D46" s="68">
        <f>SUM(D47:D50)</f>
        <v>0</v>
      </c>
      <c r="E46" s="68">
        <f>SUM(E47:E50)</f>
        <v>0</v>
      </c>
      <c r="F46" s="68">
        <f>SUM(F47:F50)</f>
        <v>0</v>
      </c>
      <c r="G46" s="68">
        <v>0</v>
      </c>
      <c r="H46" s="69" t="s">
        <v>33</v>
      </c>
      <c r="I46" s="97">
        <v>0</v>
      </c>
      <c r="J46" s="98">
        <v>0</v>
      </c>
      <c r="K46" s="70">
        <f>SUM(L46:N46)</f>
        <v>2301831.94746968</v>
      </c>
      <c r="L46" s="70">
        <f>SUM(L47:L50)</f>
        <v>1736981.03790512</v>
      </c>
      <c r="M46" s="70">
        <f>SUM(M47:M50)</f>
        <v>564850.9095645599</v>
      </c>
      <c r="N46" s="70">
        <v>0</v>
      </c>
      <c r="O46" s="71" t="s">
        <v>33</v>
      </c>
      <c r="P46" s="70">
        <f>SUM(P47:P50)</f>
        <v>2242497.3014606806</v>
      </c>
      <c r="Q46" s="69">
        <f aca="true" t="shared" si="16" ref="Q46:Q62">P46/K46</f>
        <v>0.9742228592863941</v>
      </c>
    </row>
    <row r="47" spans="1:17" s="13" customFormat="1" ht="20.25">
      <c r="A47" s="72" t="s">
        <v>8</v>
      </c>
      <c r="B47" s="76">
        <v>49122061.79321826</v>
      </c>
      <c r="C47" s="76" t="s">
        <v>33</v>
      </c>
      <c r="D47" s="45">
        <v>0</v>
      </c>
      <c r="E47" s="45">
        <v>0</v>
      </c>
      <c r="F47" s="45">
        <v>0</v>
      </c>
      <c r="G47" s="45">
        <v>0</v>
      </c>
      <c r="H47" s="73">
        <v>0</v>
      </c>
      <c r="I47" s="47">
        <v>0</v>
      </c>
      <c r="J47" s="99">
        <v>0</v>
      </c>
      <c r="K47" s="100">
        <v>1708087.6519150801</v>
      </c>
      <c r="L47" s="100">
        <v>1281814.7189161202</v>
      </c>
      <c r="M47" s="100">
        <v>426272.93299895996</v>
      </c>
      <c r="N47" s="100">
        <v>0</v>
      </c>
      <c r="O47" s="85" t="s">
        <v>33</v>
      </c>
      <c r="P47" s="100">
        <v>1708087.6519150801</v>
      </c>
      <c r="Q47" s="91">
        <v>1</v>
      </c>
    </row>
    <row r="48" spans="1:17" s="13" customFormat="1" ht="20.25">
      <c r="A48" s="72" t="s">
        <v>9</v>
      </c>
      <c r="B48" s="76">
        <v>63481819.69953128</v>
      </c>
      <c r="C48" s="76" t="s">
        <v>33</v>
      </c>
      <c r="D48" s="45">
        <v>0</v>
      </c>
      <c r="E48" s="45">
        <v>0</v>
      </c>
      <c r="F48" s="45">
        <v>0</v>
      </c>
      <c r="G48" s="45">
        <v>0</v>
      </c>
      <c r="H48" s="73">
        <v>0</v>
      </c>
      <c r="I48" s="47">
        <v>0</v>
      </c>
      <c r="J48" s="99">
        <v>0</v>
      </c>
      <c r="K48" s="100">
        <v>529924.70386096</v>
      </c>
      <c r="L48" s="100">
        <v>407301.60690568</v>
      </c>
      <c r="M48" s="100">
        <v>122623.09695528</v>
      </c>
      <c r="N48" s="100">
        <v>0</v>
      </c>
      <c r="O48" s="85" t="s">
        <v>33</v>
      </c>
      <c r="P48" s="100">
        <v>475945.9078519603</v>
      </c>
      <c r="Q48" s="91">
        <v>0.8958507025897646</v>
      </c>
    </row>
    <row r="49" spans="1:17" s="13" customFormat="1" ht="20.25">
      <c r="A49" s="72" t="s">
        <v>11</v>
      </c>
      <c r="B49" s="76">
        <v>7945402.510362462</v>
      </c>
      <c r="C49" s="76" t="s">
        <v>33</v>
      </c>
      <c r="D49" s="45">
        <v>0</v>
      </c>
      <c r="E49" s="45">
        <v>0</v>
      </c>
      <c r="F49" s="45">
        <v>0</v>
      </c>
      <c r="G49" s="45">
        <v>0</v>
      </c>
      <c r="H49" s="73">
        <v>0</v>
      </c>
      <c r="I49" s="47">
        <v>0</v>
      </c>
      <c r="J49" s="99">
        <v>0</v>
      </c>
      <c r="K49" s="100">
        <v>14700.811305480001</v>
      </c>
      <c r="L49" s="100">
        <v>11025.610236120001</v>
      </c>
      <c r="M49" s="100">
        <v>3675.20106936</v>
      </c>
      <c r="N49" s="100">
        <v>0</v>
      </c>
      <c r="O49" s="85" t="s">
        <v>33</v>
      </c>
      <c r="P49" s="100">
        <v>14700.811305480001</v>
      </c>
      <c r="Q49" s="91">
        <v>1</v>
      </c>
    </row>
    <row r="50" spans="1:17" s="13" customFormat="1" ht="20.25">
      <c r="A50" s="72" t="s">
        <v>52</v>
      </c>
      <c r="B50" s="76">
        <v>1421977.8</v>
      </c>
      <c r="C50" s="76" t="s">
        <v>33</v>
      </c>
      <c r="D50" s="45">
        <v>0</v>
      </c>
      <c r="E50" s="45">
        <v>0</v>
      </c>
      <c r="F50" s="45">
        <v>0</v>
      </c>
      <c r="G50" s="45">
        <v>0</v>
      </c>
      <c r="H50" s="73">
        <v>0</v>
      </c>
      <c r="I50" s="47">
        <v>0</v>
      </c>
      <c r="J50" s="99">
        <v>0</v>
      </c>
      <c r="K50" s="100">
        <v>49118.78038816</v>
      </c>
      <c r="L50" s="100">
        <v>36839.1018472</v>
      </c>
      <c r="M50" s="100">
        <v>12279.678540960002</v>
      </c>
      <c r="N50" s="100">
        <v>0</v>
      </c>
      <c r="O50" s="85" t="s">
        <v>33</v>
      </c>
      <c r="P50" s="100">
        <v>43762.93038816</v>
      </c>
      <c r="Q50" s="91">
        <v>0.8909612584499143</v>
      </c>
    </row>
    <row r="51" spans="1:17" s="15" customFormat="1" ht="20.25">
      <c r="A51" s="77" t="s">
        <v>13</v>
      </c>
      <c r="B51" s="68">
        <f>B52+B59</f>
        <v>303205959.69131935</v>
      </c>
      <c r="C51" s="68" t="s">
        <v>33</v>
      </c>
      <c r="D51" s="68"/>
      <c r="E51" s="68"/>
      <c r="F51" s="68"/>
      <c r="G51" s="68"/>
      <c r="H51" s="69"/>
      <c r="I51" s="97"/>
      <c r="J51" s="98">
        <v>0</v>
      </c>
      <c r="K51" s="70">
        <f>SUM(L51:N51)</f>
        <v>1645092.5199999996</v>
      </c>
      <c r="L51" s="70">
        <f>SUM(L52:L58)</f>
        <v>1176041.3299999996</v>
      </c>
      <c r="M51" s="70">
        <f>SUM(M52:M58)</f>
        <v>242610.38</v>
      </c>
      <c r="N51" s="70">
        <f>SUM(N52:N58)</f>
        <v>226440.81</v>
      </c>
      <c r="O51" s="71" t="s">
        <v>33</v>
      </c>
      <c r="P51" s="70">
        <f>SUM(P52:P58)</f>
        <v>1520298.3400000003</v>
      </c>
      <c r="Q51" s="69">
        <f t="shared" si="16"/>
        <v>0.9241415431151561</v>
      </c>
    </row>
    <row r="52" spans="1:17" s="13" customFormat="1" ht="20.25">
      <c r="A52" s="101" t="s">
        <v>29</v>
      </c>
      <c r="B52" s="45">
        <v>183978143.41</v>
      </c>
      <c r="C52" s="45" t="s">
        <v>33</v>
      </c>
      <c r="D52" s="45">
        <v>0</v>
      </c>
      <c r="E52" s="45">
        <v>0</v>
      </c>
      <c r="F52" s="45">
        <v>0</v>
      </c>
      <c r="G52" s="45">
        <v>0</v>
      </c>
      <c r="H52" s="73">
        <v>0</v>
      </c>
      <c r="I52" s="47">
        <v>0</v>
      </c>
      <c r="J52" s="99">
        <v>0</v>
      </c>
      <c r="K52" s="47">
        <v>798366.09</v>
      </c>
      <c r="L52" s="47">
        <v>584992.5299999999</v>
      </c>
      <c r="M52" s="47">
        <v>111807.42</v>
      </c>
      <c r="N52" s="47">
        <v>101566.13999999998</v>
      </c>
      <c r="O52" s="75" t="s">
        <v>33</v>
      </c>
      <c r="P52" s="47">
        <v>760149.1700000002</v>
      </c>
      <c r="Q52" s="73">
        <f t="shared" si="16"/>
        <v>0.9521310831225311</v>
      </c>
    </row>
    <row r="53" spans="1:17" s="13" customFormat="1" ht="20.25">
      <c r="A53" s="78" t="s">
        <v>16</v>
      </c>
      <c r="B53" s="45">
        <v>102701592.68999998</v>
      </c>
      <c r="C53" s="45" t="s">
        <v>33</v>
      </c>
      <c r="D53" s="45">
        <v>0</v>
      </c>
      <c r="E53" s="45">
        <v>0</v>
      </c>
      <c r="F53" s="45">
        <v>0</v>
      </c>
      <c r="G53" s="45">
        <v>0</v>
      </c>
      <c r="H53" s="73">
        <v>0</v>
      </c>
      <c r="I53" s="47">
        <v>0</v>
      </c>
      <c r="J53" s="99">
        <v>0</v>
      </c>
      <c r="K53" s="47">
        <v>497120.98</v>
      </c>
      <c r="L53" s="47">
        <v>358026.68</v>
      </c>
      <c r="M53" s="47">
        <v>68226.76</v>
      </c>
      <c r="N53" s="47">
        <v>70867.54</v>
      </c>
      <c r="O53" s="75" t="s">
        <v>33</v>
      </c>
      <c r="P53" s="47">
        <v>471057.32</v>
      </c>
      <c r="Q53" s="73">
        <f t="shared" si="16"/>
        <v>0.9475707905146148</v>
      </c>
    </row>
    <row r="54" spans="1:17" s="13" customFormat="1" ht="20.25">
      <c r="A54" s="72" t="s">
        <v>32</v>
      </c>
      <c r="B54" s="45">
        <v>15618329.280000001</v>
      </c>
      <c r="C54" s="45" t="s">
        <v>33</v>
      </c>
      <c r="D54" s="45">
        <f>SUM(E54:G54)</f>
        <v>121326.26000000001</v>
      </c>
      <c r="E54" s="45">
        <v>110296.6</v>
      </c>
      <c r="F54" s="45">
        <v>11029.66</v>
      </c>
      <c r="G54" s="45">
        <v>0</v>
      </c>
      <c r="H54" s="73">
        <v>0</v>
      </c>
      <c r="I54" s="47">
        <v>0</v>
      </c>
      <c r="J54" s="99">
        <v>0</v>
      </c>
      <c r="K54" s="47">
        <v>231411.5</v>
      </c>
      <c r="L54" s="47">
        <v>179603.64999999997</v>
      </c>
      <c r="M54" s="47">
        <v>47669.259999999995</v>
      </c>
      <c r="N54" s="47">
        <v>52498.92999999999</v>
      </c>
      <c r="O54" s="75" t="s">
        <v>33</v>
      </c>
      <c r="P54" s="47">
        <v>219258.24</v>
      </c>
      <c r="Q54" s="73">
        <f t="shared" si="16"/>
        <v>0.9474820395702028</v>
      </c>
    </row>
    <row r="55" spans="1:17" s="13" customFormat="1" ht="20.25">
      <c r="A55" s="78" t="s">
        <v>8</v>
      </c>
      <c r="B55" s="45">
        <v>8690635.29</v>
      </c>
      <c r="C55" s="45" t="s">
        <v>33</v>
      </c>
      <c r="D55" s="45">
        <v>0</v>
      </c>
      <c r="E55" s="45">
        <v>0</v>
      </c>
      <c r="F55" s="45">
        <v>0</v>
      </c>
      <c r="G55" s="45">
        <v>0</v>
      </c>
      <c r="H55" s="73">
        <v>0</v>
      </c>
      <c r="I55" s="47">
        <v>0</v>
      </c>
      <c r="J55" s="99">
        <v>0</v>
      </c>
      <c r="K55" s="47">
        <v>1014.04</v>
      </c>
      <c r="L55" s="47">
        <v>811.23</v>
      </c>
      <c r="M55" s="47">
        <v>202.81</v>
      </c>
      <c r="N55" s="47">
        <v>0</v>
      </c>
      <c r="O55" s="75" t="s">
        <v>33</v>
      </c>
      <c r="P55" s="47">
        <v>1014.04</v>
      </c>
      <c r="Q55" s="73">
        <f t="shared" si="16"/>
        <v>1</v>
      </c>
    </row>
    <row r="56" spans="1:17" s="13" customFormat="1" ht="20.25">
      <c r="A56" s="78" t="s">
        <v>11</v>
      </c>
      <c r="B56" s="45">
        <v>27973852.209999997</v>
      </c>
      <c r="C56" s="45" t="s">
        <v>33</v>
      </c>
      <c r="D56" s="45">
        <v>0</v>
      </c>
      <c r="E56" s="45">
        <v>0</v>
      </c>
      <c r="F56" s="45">
        <v>0</v>
      </c>
      <c r="G56" s="45">
        <v>0</v>
      </c>
      <c r="H56" s="73">
        <v>0</v>
      </c>
      <c r="I56" s="47">
        <v>0</v>
      </c>
      <c r="J56" s="99">
        <v>0</v>
      </c>
      <c r="K56" s="47">
        <v>18980.6</v>
      </c>
      <c r="L56" s="47">
        <v>14235.88</v>
      </c>
      <c r="M56" s="47">
        <v>4738.58</v>
      </c>
      <c r="N56" s="47">
        <v>6.14</v>
      </c>
      <c r="O56" s="75" t="s">
        <v>33</v>
      </c>
      <c r="P56" s="47">
        <v>18980.6</v>
      </c>
      <c r="Q56" s="73">
        <f t="shared" si="16"/>
        <v>1</v>
      </c>
    </row>
    <row r="57" spans="1:17" s="13" customFormat="1" ht="20.25">
      <c r="A57" s="78" t="s">
        <v>10</v>
      </c>
      <c r="B57" s="45">
        <v>19722613.03999999</v>
      </c>
      <c r="C57" s="45" t="s">
        <v>33</v>
      </c>
      <c r="D57" s="45">
        <v>0</v>
      </c>
      <c r="E57" s="45">
        <v>0</v>
      </c>
      <c r="F57" s="45">
        <v>0</v>
      </c>
      <c r="G57" s="45">
        <v>0</v>
      </c>
      <c r="H57" s="73">
        <v>0</v>
      </c>
      <c r="I57" s="47">
        <v>0</v>
      </c>
      <c r="J57" s="99">
        <v>0</v>
      </c>
      <c r="K57" s="47">
        <v>2011.5300000000002</v>
      </c>
      <c r="L57" s="47">
        <v>1508.65</v>
      </c>
      <c r="M57" s="47">
        <v>502.88</v>
      </c>
      <c r="N57" s="47">
        <v>0</v>
      </c>
      <c r="O57" s="75" t="s">
        <v>33</v>
      </c>
      <c r="P57" s="47">
        <v>2011.53</v>
      </c>
      <c r="Q57" s="73">
        <f t="shared" si="16"/>
        <v>0.9999999999999999</v>
      </c>
    </row>
    <row r="58" spans="1:17" s="13" customFormat="1" ht="20.25">
      <c r="A58" s="78" t="s">
        <v>9</v>
      </c>
      <c r="B58" s="45">
        <v>9271120.900000002</v>
      </c>
      <c r="C58" s="45" t="s">
        <v>33</v>
      </c>
      <c r="D58" s="45">
        <v>0</v>
      </c>
      <c r="E58" s="45">
        <v>0</v>
      </c>
      <c r="F58" s="45">
        <v>0</v>
      </c>
      <c r="G58" s="45">
        <v>0</v>
      </c>
      <c r="H58" s="73">
        <v>0</v>
      </c>
      <c r="I58" s="47">
        <v>0</v>
      </c>
      <c r="J58" s="99">
        <v>0</v>
      </c>
      <c r="K58" s="47">
        <v>47827.439999999995</v>
      </c>
      <c r="L58" s="47">
        <v>36862.71</v>
      </c>
      <c r="M58" s="47">
        <v>9462.67</v>
      </c>
      <c r="N58" s="47">
        <v>1502.06</v>
      </c>
      <c r="O58" s="75" t="s">
        <v>33</v>
      </c>
      <c r="P58" s="47">
        <v>47827.44</v>
      </c>
      <c r="Q58" s="73">
        <f t="shared" si="16"/>
        <v>1.0000000000000002</v>
      </c>
    </row>
    <row r="59" spans="1:17" s="13" customFormat="1" ht="20.25">
      <c r="A59" s="102" t="s">
        <v>31</v>
      </c>
      <c r="B59" s="68">
        <f>SUM(B60:B62)</f>
        <v>119227816.28131932</v>
      </c>
      <c r="C59" s="68"/>
      <c r="D59" s="68">
        <f aca="true" t="shared" si="17" ref="D59:I59">SUM(D60:D62)</f>
        <v>0</v>
      </c>
      <c r="E59" s="68">
        <f t="shared" si="17"/>
        <v>0</v>
      </c>
      <c r="F59" s="68">
        <f t="shared" si="17"/>
        <v>0</v>
      </c>
      <c r="G59" s="68">
        <f t="shared" si="17"/>
        <v>0</v>
      </c>
      <c r="H59" s="69">
        <f>SUM(H60:H62)</f>
        <v>0</v>
      </c>
      <c r="I59" s="70">
        <f t="shared" si="17"/>
        <v>0</v>
      </c>
      <c r="J59" s="98">
        <v>0</v>
      </c>
      <c r="K59" s="70">
        <f>SUM(L59:N59)</f>
        <v>4156377.26</v>
      </c>
      <c r="L59" s="70">
        <f>SUM(L60:L62)</f>
        <v>2405703.61</v>
      </c>
      <c r="M59" s="70">
        <f>SUM(M60:M62)</f>
        <v>1750673.65</v>
      </c>
      <c r="N59" s="70">
        <f>SUM(N60:N62)</f>
        <v>0</v>
      </c>
      <c r="O59" s="71" t="s">
        <v>33</v>
      </c>
      <c r="P59" s="70">
        <f>SUM(P60:P62)</f>
        <v>1183593.4</v>
      </c>
      <c r="Q59" s="69">
        <f t="shared" si="16"/>
        <v>0.28476563265578064</v>
      </c>
    </row>
    <row r="60" spans="1:17" s="13" customFormat="1" ht="20.25">
      <c r="A60" s="78" t="s">
        <v>11</v>
      </c>
      <c r="B60" s="76">
        <v>92090046.662097</v>
      </c>
      <c r="C60" s="45" t="s">
        <v>33</v>
      </c>
      <c r="D60" s="45">
        <v>0</v>
      </c>
      <c r="E60" s="45">
        <v>0</v>
      </c>
      <c r="F60" s="45">
        <v>0</v>
      </c>
      <c r="G60" s="45">
        <v>0</v>
      </c>
      <c r="H60" s="73">
        <v>0</v>
      </c>
      <c r="I60" s="47">
        <v>0</v>
      </c>
      <c r="J60" s="99">
        <v>0</v>
      </c>
      <c r="K60" s="100">
        <f>SUM(L60:N60)</f>
        <v>3727544.91</v>
      </c>
      <c r="L60" s="100">
        <f>2181936.81+E60</f>
        <v>2181936.81</v>
      </c>
      <c r="M60" s="100">
        <f>1545608.1+F60</f>
        <v>1545608.1</v>
      </c>
      <c r="N60" s="100">
        <v>0</v>
      </c>
      <c r="O60" s="85" t="s">
        <v>33</v>
      </c>
      <c r="P60" s="103">
        <v>924689.58</v>
      </c>
      <c r="Q60" s="91">
        <f t="shared" si="16"/>
        <v>0.24806933312038887</v>
      </c>
    </row>
    <row r="61" spans="1:17" s="13" customFormat="1" ht="20.25">
      <c r="A61" s="78" t="s">
        <v>8</v>
      </c>
      <c r="B61" s="76">
        <v>22959622.459222317</v>
      </c>
      <c r="C61" s="45" t="s">
        <v>33</v>
      </c>
      <c r="D61" s="45">
        <v>0</v>
      </c>
      <c r="E61" s="45">
        <v>0</v>
      </c>
      <c r="F61" s="45">
        <v>0</v>
      </c>
      <c r="G61" s="45">
        <v>0</v>
      </c>
      <c r="H61" s="73">
        <v>0</v>
      </c>
      <c r="I61" s="47">
        <v>0</v>
      </c>
      <c r="J61" s="99">
        <v>0</v>
      </c>
      <c r="K61" s="100">
        <f>SUM(L61:N61)</f>
        <v>37402.7</v>
      </c>
      <c r="L61" s="100">
        <v>28052</v>
      </c>
      <c r="M61" s="100">
        <v>9350.7</v>
      </c>
      <c r="N61" s="100">
        <v>0</v>
      </c>
      <c r="O61" s="85" t="s">
        <v>33</v>
      </c>
      <c r="P61" s="103">
        <v>37402.7</v>
      </c>
      <c r="Q61" s="91">
        <f t="shared" si="16"/>
        <v>1</v>
      </c>
    </row>
    <row r="62" spans="1:17" s="13" customFormat="1" ht="20.25">
      <c r="A62" s="72" t="s">
        <v>32</v>
      </c>
      <c r="B62" s="76">
        <v>4178147.16</v>
      </c>
      <c r="C62" s="45" t="s">
        <v>33</v>
      </c>
      <c r="D62" s="45">
        <v>0</v>
      </c>
      <c r="E62" s="45">
        <v>0</v>
      </c>
      <c r="F62" s="45">
        <v>0</v>
      </c>
      <c r="G62" s="45">
        <v>0</v>
      </c>
      <c r="H62" s="73">
        <v>0</v>
      </c>
      <c r="I62" s="47">
        <v>0</v>
      </c>
      <c r="J62" s="99">
        <v>0</v>
      </c>
      <c r="K62" s="100">
        <f>SUM(L62:N62)</f>
        <v>391429.65</v>
      </c>
      <c r="L62" s="100">
        <v>195714.80000000002</v>
      </c>
      <c r="M62" s="100">
        <v>195714.84999999998</v>
      </c>
      <c r="N62" s="100">
        <v>0</v>
      </c>
      <c r="O62" s="85" t="s">
        <v>33</v>
      </c>
      <c r="P62" s="103">
        <v>221501.12000000005</v>
      </c>
      <c r="Q62" s="91">
        <f t="shared" si="16"/>
        <v>0.5658772144624201</v>
      </c>
    </row>
    <row r="63" spans="1:17" s="16" customFormat="1" ht="20.25">
      <c r="A63" s="104" t="s">
        <v>51</v>
      </c>
      <c r="B63" s="45">
        <v>14069720.09</v>
      </c>
      <c r="C63" s="45" t="s">
        <v>33</v>
      </c>
      <c r="D63" s="45">
        <v>0</v>
      </c>
      <c r="E63" s="45">
        <v>0</v>
      </c>
      <c r="F63" s="45">
        <v>0</v>
      </c>
      <c r="G63" s="45">
        <v>0</v>
      </c>
      <c r="H63" s="73">
        <v>0</v>
      </c>
      <c r="I63" s="47">
        <v>0</v>
      </c>
      <c r="J63" s="99">
        <v>0</v>
      </c>
      <c r="K63" s="47">
        <f>139212.16</f>
        <v>139212.16</v>
      </c>
      <c r="L63" s="47">
        <v>104409.1</v>
      </c>
      <c r="M63" s="47">
        <v>34803.06</v>
      </c>
      <c r="N63" s="47">
        <v>0</v>
      </c>
      <c r="O63" s="75" t="s">
        <v>33</v>
      </c>
      <c r="P63" s="47">
        <v>135446.79</v>
      </c>
      <c r="Q63" s="73">
        <v>0.9729522909492965</v>
      </c>
    </row>
    <row r="64" spans="1:17" s="33" customFormat="1" ht="20.25">
      <c r="A64" s="104" t="s">
        <v>50</v>
      </c>
      <c r="B64" s="45">
        <v>100496086.66000003</v>
      </c>
      <c r="C64" s="45" t="s">
        <v>33</v>
      </c>
      <c r="D64" s="45">
        <f>SUM(E64:F64)</f>
        <v>17570</v>
      </c>
      <c r="E64" s="45">
        <v>12299</v>
      </c>
      <c r="F64" s="45">
        <v>5271</v>
      </c>
      <c r="G64" s="45">
        <v>0</v>
      </c>
      <c r="H64" s="73">
        <v>0</v>
      </c>
      <c r="I64" s="47">
        <f>7589.85-5090</f>
        <v>2499.8500000000004</v>
      </c>
      <c r="J64" s="99">
        <v>0</v>
      </c>
      <c r="K64" s="47">
        <f>SUM(L64:M64)</f>
        <v>1533572.2199999997</v>
      </c>
      <c r="L64" s="47">
        <f>995905.19+88393.9+12299</f>
        <v>1096598.0899999999</v>
      </c>
      <c r="M64" s="47">
        <f>406492.73+25210.4+5271</f>
        <v>436974.13</v>
      </c>
      <c r="N64" s="47">
        <v>0</v>
      </c>
      <c r="O64" s="75" t="s">
        <v>33</v>
      </c>
      <c r="P64" s="47">
        <f>124380.06+2499.85</f>
        <v>126879.91</v>
      </c>
      <c r="Q64" s="73">
        <f>P64/K64</f>
        <v>0.08273487765708225</v>
      </c>
    </row>
    <row r="65" spans="1:17" s="34" customFormat="1" ht="21" thickBot="1">
      <c r="A65" s="105" t="s">
        <v>30</v>
      </c>
      <c r="B65" s="106">
        <v>23442026.810000002</v>
      </c>
      <c r="C65" s="106" t="s">
        <v>33</v>
      </c>
      <c r="D65" s="106">
        <v>0</v>
      </c>
      <c r="E65" s="106">
        <v>0</v>
      </c>
      <c r="F65" s="106">
        <v>0</v>
      </c>
      <c r="G65" s="106">
        <v>0</v>
      </c>
      <c r="H65" s="107">
        <v>0</v>
      </c>
      <c r="I65" s="108">
        <v>0</v>
      </c>
      <c r="J65" s="99">
        <v>0</v>
      </c>
      <c r="K65" s="108">
        <v>422623.5</v>
      </c>
      <c r="L65" s="108">
        <v>336403.61</v>
      </c>
      <c r="M65" s="108">
        <v>86219.89</v>
      </c>
      <c r="N65" s="108">
        <v>0</v>
      </c>
      <c r="O65" s="109" t="s">
        <v>33</v>
      </c>
      <c r="P65" s="108">
        <v>63399.85</v>
      </c>
      <c r="Q65" s="107">
        <v>0.1500149660395127</v>
      </c>
    </row>
    <row r="66" spans="1:17" s="17" customFormat="1" ht="150" customHeight="1" thickBot="1">
      <c r="A66" s="110" t="s">
        <v>56</v>
      </c>
      <c r="B66" s="111">
        <f>B67+B68+B69+B70+B71+B72+B73+B74+B75</f>
        <v>38541649.774908</v>
      </c>
      <c r="C66" s="111">
        <f>SUM(C67:C75)</f>
        <v>38541649.774908</v>
      </c>
      <c r="D66" s="112">
        <f>E66+F66+G66</f>
        <v>0</v>
      </c>
      <c r="E66" s="111">
        <f>SUM(E67:E75)</f>
        <v>0</v>
      </c>
      <c r="F66" s="111">
        <f>SUM(F67:F75)</f>
        <v>0</v>
      </c>
      <c r="G66" s="111">
        <f>SUM(G67:G75)</f>
        <v>0</v>
      </c>
      <c r="H66" s="113">
        <f>D66/C66</f>
        <v>0</v>
      </c>
      <c r="I66" s="114" t="s">
        <v>73</v>
      </c>
      <c r="J66" s="114" t="s">
        <v>73</v>
      </c>
      <c r="K66" s="111">
        <f>SUM(L66:N66)</f>
        <v>985144.1900000001</v>
      </c>
      <c r="L66" s="111">
        <f>SUM(L67:L75)</f>
        <v>819448.04</v>
      </c>
      <c r="M66" s="111">
        <f>SUM(M67:M75)</f>
        <v>114177.89</v>
      </c>
      <c r="N66" s="111">
        <f>SUM(N67:N75)</f>
        <v>51518.26</v>
      </c>
      <c r="O66" s="115">
        <f aca="true" t="shared" si="18" ref="O66:O82">K66/C66</f>
        <v>0.025560509105174954</v>
      </c>
      <c r="P66" s="114" t="s">
        <v>73</v>
      </c>
      <c r="Q66" s="116" t="s">
        <v>73</v>
      </c>
    </row>
    <row r="67" spans="1:17" s="3" customFormat="1" ht="18.75">
      <c r="A67" s="37" t="s">
        <v>20</v>
      </c>
      <c r="B67" s="117">
        <v>4835793.322056001</v>
      </c>
      <c r="C67" s="117">
        <v>4835793.322056001</v>
      </c>
      <c r="D67" s="117">
        <f>SUM(E67:G67)</f>
        <v>0</v>
      </c>
      <c r="E67" s="117">
        <v>0</v>
      </c>
      <c r="F67" s="117">
        <v>0</v>
      </c>
      <c r="G67" s="117">
        <v>0</v>
      </c>
      <c r="H67" s="118">
        <f>D67/C67</f>
        <v>0</v>
      </c>
      <c r="I67" s="117"/>
      <c r="J67" s="119"/>
      <c r="K67" s="120">
        <f>SUM(L67:N67)</f>
        <v>419639.64</v>
      </c>
      <c r="L67" s="117">
        <v>356693.67000000004</v>
      </c>
      <c r="M67" s="117">
        <v>62732.04</v>
      </c>
      <c r="N67" s="117">
        <v>213.92999999999998</v>
      </c>
      <c r="O67" s="118">
        <f t="shared" si="18"/>
        <v>0.08677782776323963</v>
      </c>
      <c r="P67" s="117"/>
      <c r="Q67" s="119"/>
    </row>
    <row r="68" spans="1:17" s="3" customFormat="1" ht="18.75">
      <c r="A68" s="38" t="s">
        <v>8</v>
      </c>
      <c r="B68" s="121">
        <v>5002968.606732</v>
      </c>
      <c r="C68" s="121">
        <v>5002968.606732</v>
      </c>
      <c r="D68" s="121">
        <f>E68+F68+G68</f>
        <v>0</v>
      </c>
      <c r="E68" s="121">
        <f>0</f>
        <v>0</v>
      </c>
      <c r="F68" s="122">
        <f>0</f>
        <v>0</v>
      </c>
      <c r="G68" s="121">
        <f>0</f>
        <v>0</v>
      </c>
      <c r="H68" s="123">
        <f>D68/C68</f>
        <v>0</v>
      </c>
      <c r="I68" s="121"/>
      <c r="J68" s="124"/>
      <c r="K68" s="125">
        <f aca="true" t="shared" si="19" ref="K68:K75">SUM(L68:N68)</f>
        <v>38488.68</v>
      </c>
      <c r="L68" s="121">
        <f>27510.38+E68+5043</f>
        <v>32553.38</v>
      </c>
      <c r="M68" s="121">
        <f>4474.38+445</f>
        <v>4919.38</v>
      </c>
      <c r="N68" s="121">
        <f>570.92+445</f>
        <v>1015.92</v>
      </c>
      <c r="O68" s="123">
        <f t="shared" si="18"/>
        <v>0.007693168401698462</v>
      </c>
      <c r="P68" s="121"/>
      <c r="Q68" s="124"/>
    </row>
    <row r="69" spans="1:17" s="3" customFormat="1" ht="18.75">
      <c r="A69" s="38" t="s">
        <v>32</v>
      </c>
      <c r="B69" s="121">
        <v>14255223.730224</v>
      </c>
      <c r="C69" s="121">
        <v>14255223.730223998</v>
      </c>
      <c r="D69" s="121">
        <v>0</v>
      </c>
      <c r="E69" s="121">
        <v>0</v>
      </c>
      <c r="F69" s="121">
        <v>0</v>
      </c>
      <c r="G69" s="121">
        <v>0</v>
      </c>
      <c r="H69" s="123">
        <f>D69/C69</f>
        <v>0</v>
      </c>
      <c r="I69" s="121"/>
      <c r="J69" s="124"/>
      <c r="K69" s="125">
        <f t="shared" si="19"/>
        <v>311538.55</v>
      </c>
      <c r="L69" s="126">
        <f>247540.55+464</f>
        <v>248004.55</v>
      </c>
      <c r="M69" s="126">
        <f>27798.04+82</f>
        <v>27880.04</v>
      </c>
      <c r="N69" s="126">
        <v>35653.96</v>
      </c>
      <c r="O69" s="123">
        <f t="shared" si="18"/>
        <v>0.021854343074214567</v>
      </c>
      <c r="P69" s="121"/>
      <c r="Q69" s="124"/>
    </row>
    <row r="70" spans="1:17" s="3" customFormat="1" ht="18" customHeight="1">
      <c r="A70" s="38" t="s">
        <v>10</v>
      </c>
      <c r="B70" s="121">
        <v>3627709.08906</v>
      </c>
      <c r="C70" s="121">
        <v>3627709.08906</v>
      </c>
      <c r="D70" s="121">
        <f aca="true" t="shared" si="20" ref="D70:D75">SUM(E70:G70)</f>
        <v>0</v>
      </c>
      <c r="E70" s="121">
        <v>0</v>
      </c>
      <c r="F70" s="121">
        <v>0</v>
      </c>
      <c r="G70" s="121">
        <v>0</v>
      </c>
      <c r="H70" s="123">
        <f>D70/C70</f>
        <v>0</v>
      </c>
      <c r="I70" s="121"/>
      <c r="J70" s="124"/>
      <c r="K70" s="127">
        <f t="shared" si="19"/>
        <v>12725.41</v>
      </c>
      <c r="L70" s="121">
        <v>9796.48</v>
      </c>
      <c r="M70" s="121">
        <v>1220.64</v>
      </c>
      <c r="N70" s="121">
        <v>1708.2900000000002</v>
      </c>
      <c r="O70" s="123">
        <f t="shared" si="18"/>
        <v>0.003507836402421498</v>
      </c>
      <c r="P70" s="121"/>
      <c r="Q70" s="124"/>
    </row>
    <row r="71" spans="1:17" s="3" customFormat="1" ht="18.75">
      <c r="A71" s="38" t="s">
        <v>21</v>
      </c>
      <c r="B71" s="121">
        <v>2180080.4379</v>
      </c>
      <c r="C71" s="121">
        <v>2180080.4379</v>
      </c>
      <c r="D71" s="121">
        <f t="shared" si="20"/>
        <v>0</v>
      </c>
      <c r="E71" s="121">
        <v>0</v>
      </c>
      <c r="F71" s="121">
        <v>0</v>
      </c>
      <c r="G71" s="121">
        <v>0</v>
      </c>
      <c r="H71" s="123">
        <v>0</v>
      </c>
      <c r="I71" s="121"/>
      <c r="J71" s="124"/>
      <c r="K71" s="127">
        <f t="shared" si="19"/>
        <v>27134.75</v>
      </c>
      <c r="L71" s="121">
        <v>23064.53</v>
      </c>
      <c r="M71" s="121">
        <v>4070.2200000000003</v>
      </c>
      <c r="N71" s="121">
        <v>0</v>
      </c>
      <c r="O71" s="123">
        <f t="shared" si="18"/>
        <v>0.012446673768669755</v>
      </c>
      <c r="P71" s="121"/>
      <c r="Q71" s="124"/>
    </row>
    <row r="72" spans="1:17" s="3" customFormat="1" ht="18.75">
      <c r="A72" s="38" t="s">
        <v>17</v>
      </c>
      <c r="B72" s="121">
        <v>2076616.4442359998</v>
      </c>
      <c r="C72" s="121">
        <v>2076616.4442359998</v>
      </c>
      <c r="D72" s="121">
        <f t="shared" si="20"/>
        <v>0</v>
      </c>
      <c r="E72" s="121">
        <v>0</v>
      </c>
      <c r="F72" s="121">
        <v>0</v>
      </c>
      <c r="G72" s="121">
        <v>0</v>
      </c>
      <c r="H72" s="123">
        <f aca="true" t="shared" si="21" ref="H72:H82">D72/C72</f>
        <v>0</v>
      </c>
      <c r="I72" s="121"/>
      <c r="J72" s="124"/>
      <c r="K72" s="127">
        <f t="shared" si="19"/>
        <v>94597.85</v>
      </c>
      <c r="L72" s="121">
        <v>80408.17000000001</v>
      </c>
      <c r="M72" s="121">
        <v>1466.76</v>
      </c>
      <c r="N72" s="121">
        <v>12722.920000000002</v>
      </c>
      <c r="O72" s="123">
        <f t="shared" si="18"/>
        <v>0.045553838438760486</v>
      </c>
      <c r="P72" s="121"/>
      <c r="Q72" s="124"/>
    </row>
    <row r="73" spans="1:17" s="3" customFormat="1" ht="18.75">
      <c r="A73" s="38" t="s">
        <v>9</v>
      </c>
      <c r="B73" s="121">
        <v>1146210.7744439999</v>
      </c>
      <c r="C73" s="121">
        <v>1146210.7744439999</v>
      </c>
      <c r="D73" s="121">
        <f t="shared" si="20"/>
        <v>0</v>
      </c>
      <c r="E73" s="121">
        <v>0</v>
      </c>
      <c r="F73" s="121">
        <v>0</v>
      </c>
      <c r="G73" s="121">
        <v>0</v>
      </c>
      <c r="H73" s="123">
        <f t="shared" si="21"/>
        <v>0</v>
      </c>
      <c r="I73" s="121"/>
      <c r="J73" s="124"/>
      <c r="K73" s="127">
        <f t="shared" si="19"/>
        <v>4823.23</v>
      </c>
      <c r="L73" s="121">
        <v>4099.75</v>
      </c>
      <c r="M73" s="121">
        <v>520.24</v>
      </c>
      <c r="N73" s="121">
        <v>203.24</v>
      </c>
      <c r="O73" s="123">
        <f t="shared" si="18"/>
        <v>0.004207978242343461</v>
      </c>
      <c r="P73" s="121"/>
      <c r="Q73" s="124"/>
    </row>
    <row r="74" spans="1:17" s="3" customFormat="1" ht="18.75">
      <c r="A74" s="38" t="s">
        <v>22</v>
      </c>
      <c r="B74" s="121">
        <v>960770.316612</v>
      </c>
      <c r="C74" s="121">
        <v>960770.316612</v>
      </c>
      <c r="D74" s="121">
        <v>0</v>
      </c>
      <c r="E74" s="121">
        <v>0</v>
      </c>
      <c r="F74" s="121">
        <v>0</v>
      </c>
      <c r="G74" s="121">
        <v>0</v>
      </c>
      <c r="H74" s="123">
        <f t="shared" si="21"/>
        <v>0</v>
      </c>
      <c r="I74" s="121"/>
      <c r="J74" s="124"/>
      <c r="K74" s="127">
        <f t="shared" si="19"/>
        <v>37367.58</v>
      </c>
      <c r="L74" s="121">
        <f>31762.45</f>
        <v>31762.45</v>
      </c>
      <c r="M74" s="121">
        <f>5605.13</f>
        <v>5605.13</v>
      </c>
      <c r="N74" s="121">
        <v>0</v>
      </c>
      <c r="O74" s="123">
        <f t="shared" si="18"/>
        <v>0.0388933539618196</v>
      </c>
      <c r="P74" s="121"/>
      <c r="Q74" s="124"/>
    </row>
    <row r="75" spans="1:17" ht="20.25" customHeight="1" thickBot="1">
      <c r="A75" s="39" t="s">
        <v>53</v>
      </c>
      <c r="B75" s="128">
        <v>4456277.053644</v>
      </c>
      <c r="C75" s="128">
        <v>4456277.053644</v>
      </c>
      <c r="D75" s="128">
        <f t="shared" si="20"/>
        <v>0</v>
      </c>
      <c r="E75" s="128">
        <v>0</v>
      </c>
      <c r="F75" s="128">
        <v>0</v>
      </c>
      <c r="G75" s="128">
        <v>0</v>
      </c>
      <c r="H75" s="129">
        <f t="shared" si="21"/>
        <v>0</v>
      </c>
      <c r="I75" s="128"/>
      <c r="J75" s="130"/>
      <c r="K75" s="131">
        <f t="shared" si="19"/>
        <v>38828.499999999985</v>
      </c>
      <c r="L75" s="128">
        <v>33065.05999999998</v>
      </c>
      <c r="M75" s="128">
        <v>5763.440000000001</v>
      </c>
      <c r="N75" s="128">
        <v>0</v>
      </c>
      <c r="O75" s="129">
        <f t="shared" si="18"/>
        <v>0.008713214984748094</v>
      </c>
      <c r="P75" s="128"/>
      <c r="Q75" s="130"/>
    </row>
    <row r="76" spans="1:17" ht="153.75" customHeight="1" thickBot="1">
      <c r="A76" s="132" t="s">
        <v>57</v>
      </c>
      <c r="B76" s="112">
        <f>B77+B78+B81+B82</f>
        <v>13173424.89</v>
      </c>
      <c r="C76" s="112">
        <f>C77+C78+C81+C82</f>
        <v>13173424.89</v>
      </c>
      <c r="D76" s="112">
        <f>+D77+D78+D81+D82</f>
        <v>37023.16</v>
      </c>
      <c r="E76" s="112">
        <f>E77+E78+E81+E82</f>
        <v>31469.690000000002</v>
      </c>
      <c r="F76" s="112">
        <f>F77+F78+F81+F82</f>
        <v>1165.96</v>
      </c>
      <c r="G76" s="112">
        <f>G77+G78+G81+G82</f>
        <v>4387.5</v>
      </c>
      <c r="H76" s="133">
        <f t="shared" si="21"/>
        <v>0.0028104430176016286</v>
      </c>
      <c r="I76" s="114" t="s">
        <v>73</v>
      </c>
      <c r="J76" s="114" t="s">
        <v>73</v>
      </c>
      <c r="K76" s="112">
        <f>K82+K81+K78+K77</f>
        <v>67554.78</v>
      </c>
      <c r="L76" s="112">
        <f>L82+L81+L78+L77</f>
        <v>57417.65</v>
      </c>
      <c r="M76" s="112">
        <f>M82+M81+M78+M77</f>
        <v>5172.8099999999995</v>
      </c>
      <c r="N76" s="112">
        <f>N82</f>
        <v>4964.469999999999</v>
      </c>
      <c r="O76" s="133">
        <f t="shared" si="18"/>
        <v>0.005128110613913403</v>
      </c>
      <c r="P76" s="114" t="s">
        <v>73</v>
      </c>
      <c r="Q76" s="116" t="s">
        <v>73</v>
      </c>
    </row>
    <row r="77" spans="1:17" ht="19.5" customHeight="1">
      <c r="A77" s="40" t="s">
        <v>20</v>
      </c>
      <c r="B77" s="117">
        <v>1418557.59</v>
      </c>
      <c r="C77" s="117">
        <v>1418557.59</v>
      </c>
      <c r="D77" s="117">
        <v>0</v>
      </c>
      <c r="E77" s="117">
        <v>0</v>
      </c>
      <c r="F77" s="117">
        <v>0</v>
      </c>
      <c r="G77" s="117">
        <v>0</v>
      </c>
      <c r="H77" s="118">
        <f t="shared" si="21"/>
        <v>0</v>
      </c>
      <c r="I77" s="117"/>
      <c r="J77" s="117"/>
      <c r="K77" s="117">
        <v>25711.38</v>
      </c>
      <c r="L77" s="117">
        <v>21854.67</v>
      </c>
      <c r="M77" s="117">
        <v>3856.71</v>
      </c>
      <c r="N77" s="117">
        <v>0</v>
      </c>
      <c r="O77" s="118">
        <f t="shared" si="18"/>
        <v>0.01812501669389397</v>
      </c>
      <c r="P77" s="117"/>
      <c r="Q77" s="119"/>
    </row>
    <row r="78" spans="1:17" s="26" customFormat="1" ht="18.75" customHeight="1">
      <c r="A78" s="41" t="s">
        <v>8</v>
      </c>
      <c r="B78" s="121">
        <v>395645.05</v>
      </c>
      <c r="C78" s="121">
        <v>395645.05</v>
      </c>
      <c r="D78" s="121">
        <v>4418.16</v>
      </c>
      <c r="E78" s="121">
        <v>3755.44</v>
      </c>
      <c r="F78" s="121">
        <v>662.71</v>
      </c>
      <c r="G78" s="121">
        <v>0</v>
      </c>
      <c r="H78" s="123">
        <f t="shared" si="21"/>
        <v>0.011166979088958652</v>
      </c>
      <c r="I78" s="121"/>
      <c r="J78" s="121"/>
      <c r="K78" s="121">
        <v>5358.38</v>
      </c>
      <c r="L78" s="121">
        <v>4554.63</v>
      </c>
      <c r="M78" s="121">
        <v>803.75</v>
      </c>
      <c r="N78" s="121">
        <v>0</v>
      </c>
      <c r="O78" s="123">
        <f t="shared" si="18"/>
        <v>0.013543402097410293</v>
      </c>
      <c r="P78" s="121"/>
      <c r="Q78" s="124"/>
    </row>
    <row r="79" spans="1:17" ht="15" customHeight="1" hidden="1">
      <c r="A79" s="41" t="s">
        <v>32</v>
      </c>
      <c r="B79" s="121">
        <v>8383496</v>
      </c>
      <c r="C79" s="121">
        <v>8383496</v>
      </c>
      <c r="D79" s="121">
        <v>3812.69</v>
      </c>
      <c r="E79" s="121">
        <v>3240.79</v>
      </c>
      <c r="F79" s="121">
        <v>0</v>
      </c>
      <c r="G79" s="121">
        <v>571.9</v>
      </c>
      <c r="H79" s="123">
        <f t="shared" si="21"/>
        <v>0.0004547852113247266</v>
      </c>
      <c r="I79" s="121"/>
      <c r="J79" s="121"/>
      <c r="K79" s="121">
        <v>3859.35</v>
      </c>
      <c r="L79" s="121">
        <v>3276.53</v>
      </c>
      <c r="M79" s="121">
        <v>6.35</v>
      </c>
      <c r="N79" s="121">
        <v>576.47</v>
      </c>
      <c r="O79" s="123">
        <f t="shared" si="18"/>
        <v>0.00046035090849927044</v>
      </c>
      <c r="P79" s="121"/>
      <c r="Q79" s="124"/>
    </row>
    <row r="80" spans="1:17" ht="18.75" customHeight="1" hidden="1">
      <c r="A80" s="41" t="s">
        <v>28</v>
      </c>
      <c r="B80" s="121">
        <v>104967</v>
      </c>
      <c r="C80" s="121">
        <v>104967</v>
      </c>
      <c r="D80" s="121">
        <v>0</v>
      </c>
      <c r="E80" s="121">
        <v>0</v>
      </c>
      <c r="F80" s="121">
        <v>0</v>
      </c>
      <c r="G80" s="121">
        <v>0</v>
      </c>
      <c r="H80" s="123">
        <f t="shared" si="21"/>
        <v>0</v>
      </c>
      <c r="I80" s="121"/>
      <c r="J80" s="121"/>
      <c r="K80" s="121">
        <v>0</v>
      </c>
      <c r="L80" s="121">
        <v>0</v>
      </c>
      <c r="M80" s="121">
        <v>0</v>
      </c>
      <c r="N80" s="121">
        <v>0</v>
      </c>
      <c r="O80" s="123">
        <f t="shared" si="18"/>
        <v>0</v>
      </c>
      <c r="P80" s="121"/>
      <c r="Q80" s="124"/>
    </row>
    <row r="81" spans="1:17" ht="19.5" customHeight="1">
      <c r="A81" s="41" t="s">
        <v>53</v>
      </c>
      <c r="B81" s="121">
        <v>1677204.31</v>
      </c>
      <c r="C81" s="121">
        <v>1677204.31</v>
      </c>
      <c r="D81" s="121">
        <v>3355</v>
      </c>
      <c r="E81" s="121">
        <v>2851.75</v>
      </c>
      <c r="F81" s="121">
        <v>503.25</v>
      </c>
      <c r="G81" s="121">
        <v>0</v>
      </c>
      <c r="H81" s="123">
        <f t="shared" si="21"/>
        <v>0.0020003525986646196</v>
      </c>
      <c r="I81" s="121"/>
      <c r="J81" s="121"/>
      <c r="K81" s="121">
        <v>3375.67</v>
      </c>
      <c r="L81" s="121">
        <v>2869.32</v>
      </c>
      <c r="M81" s="121">
        <v>506</v>
      </c>
      <c r="N81" s="121">
        <v>0</v>
      </c>
      <c r="O81" s="123">
        <f t="shared" si="18"/>
        <v>0.0020126766786092982</v>
      </c>
      <c r="P81" s="121"/>
      <c r="Q81" s="124"/>
    </row>
    <row r="82" spans="1:17" ht="18.75" customHeight="1" thickBot="1">
      <c r="A82" s="39" t="s">
        <v>32</v>
      </c>
      <c r="B82" s="128">
        <f>9570109.94+111908</f>
        <v>9682017.94</v>
      </c>
      <c r="C82" s="128">
        <f>B82</f>
        <v>9682017.94</v>
      </c>
      <c r="D82" s="128">
        <f>29250</f>
        <v>29250</v>
      </c>
      <c r="E82" s="128">
        <f>24862.5</f>
        <v>24862.5</v>
      </c>
      <c r="F82" s="128">
        <v>0</v>
      </c>
      <c r="G82" s="128">
        <v>4387.5</v>
      </c>
      <c r="H82" s="129">
        <f t="shared" si="21"/>
        <v>0.0030210644290543424</v>
      </c>
      <c r="I82" s="128"/>
      <c r="J82" s="128"/>
      <c r="K82" s="134">
        <f>33062.69+46.66</f>
        <v>33109.350000000006</v>
      </c>
      <c r="L82" s="128">
        <f>28103.29+35.74</f>
        <v>28139.030000000002</v>
      </c>
      <c r="M82" s="128">
        <f>6.35</f>
        <v>6.35</v>
      </c>
      <c r="N82" s="128">
        <f>4959.9+4.57</f>
        <v>4964.469999999999</v>
      </c>
      <c r="O82" s="129">
        <f t="shared" si="18"/>
        <v>0.0034196745146704414</v>
      </c>
      <c r="P82" s="128"/>
      <c r="Q82" s="130"/>
    </row>
    <row r="83" spans="1:17" ht="27" customHeight="1">
      <c r="A83" s="23" t="s">
        <v>65</v>
      </c>
      <c r="C83" s="19"/>
      <c r="D83" s="20"/>
      <c r="E83" s="20"/>
      <c r="F83" s="20"/>
      <c r="G83" s="20"/>
      <c r="H83" s="20"/>
      <c r="J83" s="25"/>
      <c r="L83" s="44"/>
      <c r="M83" s="25"/>
      <c r="N83" s="25"/>
      <c r="O83" s="18"/>
      <c r="P83" s="25"/>
      <c r="Q83" s="25"/>
    </row>
    <row r="84" spans="1:15" ht="15.75">
      <c r="A84" s="23" t="s">
        <v>67</v>
      </c>
      <c r="B84" s="22"/>
      <c r="C84" s="22"/>
      <c r="H84" s="18"/>
      <c r="I84" s="20"/>
      <c r="N84" s="19"/>
      <c r="O84" s="18"/>
    </row>
    <row r="85" spans="1:15" ht="26.25">
      <c r="A85" s="23" t="s">
        <v>66</v>
      </c>
      <c r="B85" s="22"/>
      <c r="C85" s="22"/>
      <c r="H85" s="18"/>
      <c r="L85" s="42"/>
      <c r="M85" s="42"/>
      <c r="N85" s="42"/>
      <c r="O85" s="42"/>
    </row>
    <row r="86" spans="2:16" ht="26.25">
      <c r="B86" s="22"/>
      <c r="C86" s="22"/>
      <c r="H86" s="18"/>
      <c r="K86" s="42" t="s">
        <v>58</v>
      </c>
      <c r="O86" s="18"/>
      <c r="P86" s="42" t="s">
        <v>59</v>
      </c>
    </row>
    <row r="87" spans="2:3" ht="15.75">
      <c r="B87" s="22"/>
      <c r="C87" s="50"/>
    </row>
    <row r="89" ht="20.25">
      <c r="A89" s="32" t="s">
        <v>72</v>
      </c>
    </row>
    <row r="90" ht="20.25">
      <c r="A90" s="24" t="s">
        <v>68</v>
      </c>
    </row>
    <row r="91" ht="20.25">
      <c r="A91" s="24" t="s">
        <v>69</v>
      </c>
    </row>
  </sheetData>
  <sheetProtection/>
  <mergeCells count="6">
    <mergeCell ref="A6:Q6"/>
    <mergeCell ref="A9:A10"/>
    <mergeCell ref="B9:B10"/>
    <mergeCell ref="D9:J9"/>
    <mergeCell ref="C9:C10"/>
    <mergeCell ref="K9:Q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2"/>
  <headerFooter>
    <oddHeader>&amp;C&amp;P/&amp;N</oddHeader>
    <oddFooter>&amp;L&amp;"Times New Roman,Regular"FMzinop3_311012_ES_fondi;Informācija par neatbilstoši veiktiem izdevumiem un atgūtiem neatbilstoši veiktiem izdevumiem uz 30.09.2012.</oddFooter>
  </headerFooter>
  <rowBreaks count="1" manualBreakCount="1">
    <brk id="5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I31" sqref="I31"/>
    </sheetView>
  </sheetViews>
  <sheetFormatPr defaultColWidth="9.140625" defaultRowHeight="15"/>
  <cols>
    <col min="2" max="2" width="21.00390625" style="0" customWidth="1"/>
    <col min="3" max="3" width="17.421875" style="0" customWidth="1"/>
  </cols>
  <sheetData>
    <row r="2" spans="2:5" ht="15">
      <c r="B2" t="s">
        <v>46</v>
      </c>
      <c r="C2" t="s">
        <v>47</v>
      </c>
      <c r="E2" s="6">
        <v>0.7098</v>
      </c>
    </row>
    <row r="3" spans="1:3" ht="15">
      <c r="A3" t="s">
        <v>43</v>
      </c>
      <c r="B3">
        <v>23756.1</v>
      </c>
      <c r="C3">
        <v>351823.2800000002</v>
      </c>
    </row>
    <row r="4" spans="1:3" ht="15">
      <c r="A4" t="s">
        <v>44</v>
      </c>
      <c r="B4">
        <v>26133.069999999996</v>
      </c>
      <c r="C4">
        <v>665233.5299999998</v>
      </c>
    </row>
    <row r="5" spans="1:3" ht="15">
      <c r="A5" t="s">
        <v>45</v>
      </c>
      <c r="B5">
        <v>636318.16</v>
      </c>
      <c r="C5">
        <v>4970592.339999999</v>
      </c>
    </row>
    <row r="6" spans="1:3" ht="15">
      <c r="A6" t="s">
        <v>48</v>
      </c>
      <c r="B6">
        <v>686207.33</v>
      </c>
      <c r="C6">
        <v>5987649.149999999</v>
      </c>
    </row>
    <row r="7" spans="2:3" ht="15">
      <c r="B7">
        <v>1027627.04</v>
      </c>
      <c r="C7">
        <v>5727726.68</v>
      </c>
    </row>
    <row r="8" spans="2:3" ht="15">
      <c r="B8" s="7">
        <f>B5/B7</f>
        <v>0.6192111877476483</v>
      </c>
      <c r="C8" s="7">
        <f>C5/C7</f>
        <v>0.8678124180324888</v>
      </c>
    </row>
    <row r="12" spans="1:2" ht="15">
      <c r="A12" s="4">
        <v>18546.37</v>
      </c>
      <c r="B12" s="5">
        <v>4362281.079999999</v>
      </c>
    </row>
    <row r="13" spans="1:2" ht="15">
      <c r="A13" s="4">
        <v>617771.79</v>
      </c>
      <c r="B13" s="5">
        <v>608311.2600000001</v>
      </c>
    </row>
    <row r="14" spans="1:2" ht="15">
      <c r="A14" s="4">
        <f>SUM(A12:A13)</f>
        <v>636318.16</v>
      </c>
      <c r="B14" s="4">
        <f>SUM(B12:B13)</f>
        <v>4970592.339999999</v>
      </c>
    </row>
    <row r="16" spans="2:3" ht="15">
      <c r="B16" t="s">
        <v>46</v>
      </c>
      <c r="C16" t="s">
        <v>47</v>
      </c>
    </row>
    <row r="17" spans="1:3" ht="15">
      <c r="A17" t="s">
        <v>43</v>
      </c>
      <c r="B17">
        <f aca="true" t="shared" si="0" ref="B17:C20">B3/$E$2</f>
        <v>33468.7235841082</v>
      </c>
      <c r="C17">
        <f t="shared" si="0"/>
        <v>495665.3705269093</v>
      </c>
    </row>
    <row r="18" spans="1:3" ht="15">
      <c r="A18" t="s">
        <v>44</v>
      </c>
      <c r="B18" s="1">
        <f t="shared" si="0"/>
        <v>36817.51197520428</v>
      </c>
      <c r="C18" s="1">
        <f t="shared" si="0"/>
        <v>937212.6373626371</v>
      </c>
    </row>
    <row r="19" spans="1:3" ht="15">
      <c r="A19" t="s">
        <v>45</v>
      </c>
      <c r="B19" s="1">
        <f t="shared" si="0"/>
        <v>896475.2888137504</v>
      </c>
      <c r="C19" s="1">
        <f t="shared" si="0"/>
        <v>7002806.903353056</v>
      </c>
    </row>
    <row r="20" spans="1:3" ht="15">
      <c r="A20" t="s">
        <v>48</v>
      </c>
      <c r="B20" s="1">
        <f t="shared" si="0"/>
        <v>966761.5243730628</v>
      </c>
      <c r="C20" s="1">
        <f t="shared" si="0"/>
        <v>8435684.911242602</v>
      </c>
    </row>
    <row r="22" ht="15">
      <c r="A2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3.pielikums</dc:title>
  <dc:subject>Informācija par neatbilstībām un neatbilstoši veiktiem izdevumiem un atgūtiem neatbilstoši veiktiem izdevumiem uz 2012.gada 30.septembri, latos (neieskaitot maksātnespējas gadījumus) (pārskati veidoti 08.10.2012.)</dc:subject>
  <dc:creator>Ojārs Daugavietis</dc:creator>
  <cp:keywords/>
  <dc:description>Ojārs Daugavietis
LR Finanšu ministrijas
Eiropas Savienības fondu uzraudzības departamenta
Ieviešanas sistēmas nodaļas
vecākais eksperts 
Tālr.: 67065549; fakss 67095697
Ojars.Daugavietis@fm.gov.lv</dc:description>
  <cp:lastModifiedBy>Sintija Laugale - Volbaka</cp:lastModifiedBy>
  <cp:lastPrinted>2012-11-13T11:06:09Z</cp:lastPrinted>
  <dcterms:created xsi:type="dcterms:W3CDTF">2010-10-05T14:48:30Z</dcterms:created>
  <dcterms:modified xsi:type="dcterms:W3CDTF">2012-11-13T11:06:13Z</dcterms:modified>
  <cp:category/>
  <cp:version/>
  <cp:contentType/>
  <cp:contentStatus/>
</cp:coreProperties>
</file>