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10680" activeTab="0"/>
  </bookViews>
  <sheets>
    <sheet name="Tabula Nr.1" sheetId="1" r:id="rId1"/>
    <sheet name="Sheet1" sheetId="2" r:id="rId2"/>
  </sheets>
  <definedNames>
    <definedName name="_xlnm.Print_Area" localSheetId="0">'Tabula Nr.1'!$A$1:$Q$94</definedName>
    <definedName name="_xlnm.Print_Titles" localSheetId="0">'Tabula Nr.1'!$11:$13</definedName>
  </definedNames>
  <calcPr fullCalcOnLoad="1"/>
</workbook>
</file>

<file path=xl/sharedStrings.xml><?xml version="1.0" encoding="utf-8"?>
<sst xmlns="http://schemas.openxmlformats.org/spreadsheetml/2006/main" count="347" uniqueCount="76">
  <si>
    <t>Fonds</t>
  </si>
  <si>
    <t>KOPĀ</t>
  </si>
  <si>
    <t>ES fondu/EEZ/Norvēģijas FI daļa, lati</t>
  </si>
  <si>
    <t>LV valsts budžeta daļa, lati</t>
  </si>
  <si>
    <t>Cits nacionālais publiskais finansējums</t>
  </si>
  <si>
    <t>Atgūtie neatbilstoši veiktie izdevumi, % no kopējiem neatbilst. veiktajiem izdevumiem</t>
  </si>
  <si>
    <t>2007.-2013.g. ES SF un KF kopā, t.sk.</t>
  </si>
  <si>
    <t>ESF</t>
  </si>
  <si>
    <t>IZM</t>
  </si>
  <si>
    <t>LM</t>
  </si>
  <si>
    <t>VeM</t>
  </si>
  <si>
    <t>EM</t>
  </si>
  <si>
    <t>VKanc</t>
  </si>
  <si>
    <t>ERAF</t>
  </si>
  <si>
    <t>ERAF (2DP)</t>
  </si>
  <si>
    <t>ERAF (3DP)</t>
  </si>
  <si>
    <t>IzM</t>
  </si>
  <si>
    <t>SM</t>
  </si>
  <si>
    <t>KM</t>
  </si>
  <si>
    <t>TP kopā</t>
  </si>
  <si>
    <t>2004.-2006.g. ES SF KOPĀ, t.sk.</t>
  </si>
  <si>
    <t>TM</t>
  </si>
  <si>
    <t>IeM</t>
  </si>
  <si>
    <t>TP</t>
  </si>
  <si>
    <t>Atgūtie neatbilstoši veiktie, lati</t>
  </si>
  <si>
    <t>ES fondu/EEZ/ Norvēģijas FI daļa, lati</t>
  </si>
  <si>
    <t xml:space="preserve">KF </t>
  </si>
  <si>
    <t>FM TP</t>
  </si>
  <si>
    <t>Konstatētie neatbilstoši veiktie izdevumi pārskata periodā (ceturksnī)</t>
  </si>
  <si>
    <t xml:space="preserve">2000. - 2006. g.ES KF KOPĀ, t.sk. </t>
  </si>
  <si>
    <t>FM</t>
  </si>
  <si>
    <t>t.sk. 1.prioritāte</t>
  </si>
  <si>
    <t>ZVFI/ ZM</t>
  </si>
  <si>
    <t xml:space="preserve">t.sk. 2.prioritāte </t>
  </si>
  <si>
    <t xml:space="preserve">Finanšu ministrs </t>
  </si>
  <si>
    <t>A.Vilks</t>
  </si>
  <si>
    <t>VARAM</t>
  </si>
  <si>
    <t>2004.-2009.gada EEZ/Norvēģijas finanšu instrumenti par prioritātēm atbildīgo ministriju griezumā</t>
  </si>
  <si>
    <t>ELVGF/ ZM**</t>
  </si>
  <si>
    <t>** Precizēti iepriekšējo ceturkšņu dati par neatbilstoši veiktajiem izdevumiem - papildus konstatētas divas neatbilstības.</t>
  </si>
  <si>
    <t>-</t>
  </si>
  <si>
    <t>LM¹</t>
  </si>
  <si>
    <r>
      <rPr>
        <sz val="10"/>
        <color indexed="8"/>
        <rFont val="Times New Roman"/>
        <family val="1"/>
      </rPr>
      <t>¹</t>
    </r>
    <r>
      <rPr>
        <sz val="10"/>
        <color indexed="8"/>
        <rFont val="Times New Roman"/>
        <family val="2"/>
      </rPr>
      <t>Kopējā neatbilstoši veikto izdevumu summa LM aktivitātēm pārskata periodā ir samazinājusies divu anulēto neatbilstību dēļ 3.1.4.2. aktivitātes ietvaros</t>
    </r>
  </si>
  <si>
    <t xml:space="preserve">EM </t>
  </si>
  <si>
    <t>***VIS dati par iepriekšējiem ceturkšņiem tika precizēti attiecībā uz atgūto neatbilstību apjomu.</t>
  </si>
  <si>
    <t>17=16/11</t>
  </si>
  <si>
    <t>15=111/3</t>
  </si>
  <si>
    <t>11=12+13+14</t>
  </si>
  <si>
    <t>8=4/3</t>
  </si>
  <si>
    <t>Neatbilstoši veiktie izd. kopā % no pieprasītās summas FS, %</t>
  </si>
  <si>
    <t>4=5+6+7</t>
  </si>
  <si>
    <t>Atgūtie neatbilstoši veiktie izdevumi pārskata periodā, lati</t>
  </si>
  <si>
    <t>10=9/4</t>
  </si>
  <si>
    <t>Atgūtie neatbilstoši veiktie izdevumi, % no kopējā neatbilstību apjoma</t>
  </si>
  <si>
    <t xml:space="preserve">Neatbilstību apjoms % no pieprasītās summas. </t>
  </si>
  <si>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Neatbilstoši veiktie izdevumi tiek ieturēti no kārtējā sparpposma maksājuma pirms tas tiek iesniegts apmakasi no donorvalstīm</t>
    </r>
  </si>
  <si>
    <t>FM TP****</t>
  </si>
  <si>
    <t>ESF TP****</t>
  </si>
  <si>
    <t>ERAF TP****</t>
  </si>
  <si>
    <t>VARAM ***</t>
  </si>
  <si>
    <t>1OP</t>
  </si>
  <si>
    <t>2OP</t>
  </si>
  <si>
    <t>3OP</t>
  </si>
  <si>
    <t>Recovered 2nd quarter</t>
  </si>
  <si>
    <t xml:space="preserve">Recovered total </t>
  </si>
  <si>
    <t>TOTAL</t>
  </si>
  <si>
    <t>3dp</t>
  </si>
  <si>
    <t>Veiktie maksājumi finansējuma saņēmējiem uz 30.09.2011. (publiskais finansējums), lati</t>
  </si>
  <si>
    <t xml:space="preserve">Kopējā pieprasītā summa un avansi (neskaitot dzēstos avansus) uz 30.09.2011 </t>
  </si>
  <si>
    <t>Neatbilstoši veiktie izdevumi līdz 30.09.2011</t>
  </si>
  <si>
    <t>**** Tehnisks precizējums neatbilstoši veikto izdevumu līdz 30.09.2011. apojomā (anulētas neatbilstības)</t>
  </si>
  <si>
    <t>S.Auniņa</t>
  </si>
  <si>
    <t>67095650, Sanita.Aunina@fm.gov.lv</t>
  </si>
  <si>
    <r>
      <t>n/a</t>
    </r>
    <r>
      <rPr>
        <b/>
        <vertAlign val="superscript"/>
        <sz val="10"/>
        <rFont val="Times New Roman"/>
        <family val="1"/>
      </rPr>
      <t>2</t>
    </r>
  </si>
  <si>
    <t>Informācija par neatbilstībām un neatbilstoši veiktiem izdevumiem un atgūtiem neatbilstoši veiktiem izdevumiem uz 30.09.2011, latos (neieskaitot maksātnespējas gadījumus) (pārskati veidoti 17.10.2011.)</t>
  </si>
  <si>
    <t xml:space="preserve">08.12.2011. </t>
  </si>
</sst>
</file>

<file path=xl/styles.xml><?xml version="1.0" encoding="utf-8"?>
<styleSheet xmlns="http://schemas.openxmlformats.org/spreadsheetml/2006/main">
  <numFmts count="3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;\(#,##0\)"/>
    <numFmt numFmtId="165" formatCode="#,##0;[Red]#,##0"/>
    <numFmt numFmtId="166" formatCode="#,##0.000"/>
    <numFmt numFmtId="167" formatCode="#,##0.0"/>
    <numFmt numFmtId="168" formatCode="0.0%"/>
    <numFmt numFmtId="169" formatCode="0.0000%"/>
    <numFmt numFmtId="170" formatCode="#,##0.0000"/>
    <numFmt numFmtId="171" formatCode="0.000000000000000000%"/>
    <numFmt numFmtId="172" formatCode="#,##0.00;\(#,##0.00\)"/>
    <numFmt numFmtId="173" formatCode="#,##0.00;[Red]#,##0.00"/>
    <numFmt numFmtId="174" formatCode="0.000%"/>
    <numFmt numFmtId="175" formatCode="#,##0.0;[Red]#,##0.0"/>
    <numFmt numFmtId="176" formatCode="0.00000%"/>
    <numFmt numFmtId="177" formatCode="0.000000%"/>
    <numFmt numFmtId="178" formatCode="0.0000000%"/>
    <numFmt numFmtId="179" formatCode="0.00000000%"/>
    <numFmt numFmtId="180" formatCode="#,##0.00000"/>
    <numFmt numFmtId="181" formatCode="0.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26]dddd\,\ yyyy&quot;. gada &quot;d\.\ mmmm"/>
    <numFmt numFmtId="192" formatCode="0.000000000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Cambria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8"/>
      <name val="Calibri"/>
      <family val="2"/>
    </font>
    <font>
      <sz val="6.5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2"/>
      <color indexed="9"/>
      <name val="Times New Roman"/>
      <family val="2"/>
    </font>
    <font>
      <sz val="11"/>
      <color indexed="20"/>
      <name val="Calibri"/>
      <family val="2"/>
    </font>
    <font>
      <sz val="12"/>
      <color indexed="20"/>
      <name val="Times New Roman"/>
      <family val="2"/>
    </font>
    <font>
      <b/>
      <sz val="11"/>
      <color indexed="52"/>
      <name val="Calibri"/>
      <family val="2"/>
    </font>
    <font>
      <b/>
      <sz val="12"/>
      <color indexed="52"/>
      <name val="Times New Roman"/>
      <family val="2"/>
    </font>
    <font>
      <b/>
      <sz val="11"/>
      <color indexed="9"/>
      <name val="Calibri"/>
      <family val="2"/>
    </font>
    <font>
      <b/>
      <sz val="12"/>
      <color indexed="9"/>
      <name val="Times New Roman"/>
      <family val="2"/>
    </font>
    <font>
      <i/>
      <sz val="11"/>
      <color indexed="23"/>
      <name val="Calibri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1"/>
      <color indexed="62"/>
      <name val="Calibri"/>
      <family val="2"/>
    </font>
    <font>
      <sz val="12"/>
      <color indexed="62"/>
      <name val="Times New Roman"/>
      <family val="2"/>
    </font>
    <font>
      <sz val="11"/>
      <color indexed="52"/>
      <name val="Calibri"/>
      <family val="2"/>
    </font>
    <font>
      <sz val="12"/>
      <color indexed="52"/>
      <name val="Times New Roman"/>
      <family val="2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b/>
      <sz val="11"/>
      <color indexed="63"/>
      <name val="Calibri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2"/>
    </font>
    <font>
      <sz val="11"/>
      <color indexed="10"/>
      <name val="Calibri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8"/>
      <color indexed="63"/>
      <name val="Tahoma"/>
      <family val="2"/>
    </font>
    <font>
      <b/>
      <sz val="11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Times New Roman"/>
      <family val="2"/>
    </font>
    <font>
      <sz val="11"/>
      <color theme="0"/>
      <name val="Calibri"/>
      <family val="2"/>
    </font>
    <font>
      <sz val="12"/>
      <color theme="0"/>
      <name val="Times New Roman"/>
      <family val="2"/>
    </font>
    <font>
      <sz val="11"/>
      <color rgb="FF9C0006"/>
      <name val="Calibri"/>
      <family val="2"/>
    </font>
    <font>
      <sz val="12"/>
      <color rgb="FF9C0006"/>
      <name val="Times New Roman"/>
      <family val="2"/>
    </font>
    <font>
      <b/>
      <sz val="11"/>
      <color rgb="FFFA7D00"/>
      <name val="Calibri"/>
      <family val="2"/>
    </font>
    <font>
      <b/>
      <sz val="12"/>
      <color rgb="FFFA7D00"/>
      <name val="Times New Roman"/>
      <family val="2"/>
    </font>
    <font>
      <b/>
      <sz val="11"/>
      <color theme="0"/>
      <name val="Calibri"/>
      <family val="2"/>
    </font>
    <font>
      <b/>
      <sz val="12"/>
      <color theme="0"/>
      <name val="Times New Roman"/>
      <family val="2"/>
    </font>
    <font>
      <i/>
      <sz val="11"/>
      <color rgb="FF7F7F7F"/>
      <name val="Calibri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theme="3"/>
      <name val="Times New Roman"/>
      <family val="2"/>
    </font>
    <font>
      <b/>
      <sz val="11"/>
      <color theme="3"/>
      <name val="Calibri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1"/>
      <color rgb="FF3F3F76"/>
      <name val="Calibri"/>
      <family val="2"/>
    </font>
    <font>
      <sz val="12"/>
      <color rgb="FF3F3F76"/>
      <name val="Times New Roman"/>
      <family val="2"/>
    </font>
    <font>
      <sz val="11"/>
      <color rgb="FFFA7D00"/>
      <name val="Calibri"/>
      <family val="2"/>
    </font>
    <font>
      <sz val="12"/>
      <color rgb="FFFA7D00"/>
      <name val="Times New Roman"/>
      <family val="2"/>
    </font>
    <font>
      <sz val="11"/>
      <color rgb="FF9C6500"/>
      <name val="Calibri"/>
      <family val="2"/>
    </font>
    <font>
      <sz val="12"/>
      <color rgb="FF9C6500"/>
      <name val="Times New Roman"/>
      <family val="2"/>
    </font>
    <font>
      <b/>
      <sz val="11"/>
      <color rgb="FF3F3F3F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2"/>
    </font>
    <font>
      <sz val="8"/>
      <color rgb="FF343434"/>
      <name val="Tahoma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/>
    </border>
    <border>
      <left style="medium"/>
      <right style="medium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8" fillId="2" borderId="0" applyNumberFormat="0" applyBorder="0" applyAlignment="0" applyProtection="0"/>
    <xf numFmtId="0" fontId="0" fillId="3" borderId="0" applyNumberFormat="0" applyBorder="0" applyAlignment="0" applyProtection="0"/>
    <xf numFmtId="0" fontId="58" fillId="3" borderId="0" applyNumberFormat="0" applyBorder="0" applyAlignment="0" applyProtection="0"/>
    <xf numFmtId="0" fontId="0" fillId="4" borderId="0" applyNumberFormat="0" applyBorder="0" applyAlignment="0" applyProtection="0"/>
    <xf numFmtId="0" fontId="58" fillId="4" borderId="0" applyNumberFormat="0" applyBorder="0" applyAlignment="0" applyProtection="0"/>
    <xf numFmtId="0" fontId="0" fillId="5" borderId="0" applyNumberFormat="0" applyBorder="0" applyAlignment="0" applyProtection="0"/>
    <xf numFmtId="0" fontId="58" fillId="5" borderId="0" applyNumberFormat="0" applyBorder="0" applyAlignment="0" applyProtection="0"/>
    <xf numFmtId="0" fontId="0" fillId="6" borderId="0" applyNumberFormat="0" applyBorder="0" applyAlignment="0" applyProtection="0"/>
    <xf numFmtId="0" fontId="58" fillId="6" borderId="0" applyNumberFormat="0" applyBorder="0" applyAlignment="0" applyProtection="0"/>
    <xf numFmtId="0" fontId="0" fillId="7" borderId="0" applyNumberFormat="0" applyBorder="0" applyAlignment="0" applyProtection="0"/>
    <xf numFmtId="0" fontId="58" fillId="7" borderId="0" applyNumberFormat="0" applyBorder="0" applyAlignment="0" applyProtection="0"/>
    <xf numFmtId="0" fontId="0" fillId="8" borderId="0" applyNumberFormat="0" applyBorder="0" applyAlignment="0" applyProtection="0"/>
    <xf numFmtId="0" fontId="58" fillId="8" borderId="0" applyNumberFormat="0" applyBorder="0" applyAlignment="0" applyProtection="0"/>
    <xf numFmtId="0" fontId="0" fillId="9" borderId="0" applyNumberFormat="0" applyBorder="0" applyAlignment="0" applyProtection="0"/>
    <xf numFmtId="0" fontId="58" fillId="9" borderId="0" applyNumberFormat="0" applyBorder="0" applyAlignment="0" applyProtection="0"/>
    <xf numFmtId="0" fontId="0" fillId="10" borderId="0" applyNumberFormat="0" applyBorder="0" applyAlignment="0" applyProtection="0"/>
    <xf numFmtId="0" fontId="58" fillId="10" borderId="0" applyNumberFormat="0" applyBorder="0" applyAlignment="0" applyProtection="0"/>
    <xf numFmtId="0" fontId="0" fillId="11" borderId="0" applyNumberFormat="0" applyBorder="0" applyAlignment="0" applyProtection="0"/>
    <xf numFmtId="0" fontId="58" fillId="11" borderId="0" applyNumberFormat="0" applyBorder="0" applyAlignment="0" applyProtection="0"/>
    <xf numFmtId="0" fontId="0" fillId="12" borderId="0" applyNumberFormat="0" applyBorder="0" applyAlignment="0" applyProtection="0"/>
    <xf numFmtId="0" fontId="58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7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84" fillId="31" borderId="0" applyNumberFormat="0" applyBorder="0" applyAlignment="0" applyProtection="0"/>
    <xf numFmtId="0" fontId="6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58" fillId="32" borderId="7" applyNumberFormat="0" applyFont="0" applyAlignment="0" applyProtection="0"/>
    <xf numFmtId="0" fontId="85" fillId="27" borderId="8" applyNumberForma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</cellStyleXfs>
  <cellXfs count="373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wrapText="1"/>
    </xf>
    <xf numFmtId="3" fontId="3" fillId="1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" fontId="5" fillId="0" borderId="0" xfId="0" applyNumberFormat="1" applyFont="1" applyFill="1" applyBorder="1" applyAlignment="1">
      <alignment horizontal="right"/>
    </xf>
    <xf numFmtId="174" fontId="5" fillId="0" borderId="0" xfId="99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0" fontId="4" fillId="33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4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4" fillId="33" borderId="19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5" fillId="0" borderId="19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0" fontId="88" fillId="35" borderId="0" xfId="0" applyFont="1" applyFill="1" applyBorder="1" applyAlignment="1">
      <alignment/>
    </xf>
    <xf numFmtId="0" fontId="92" fillId="0" borderId="0" xfId="0" applyFont="1" applyAlignment="1">
      <alignment/>
    </xf>
    <xf numFmtId="4" fontId="88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Border="1" applyAlignment="1">
      <alignment/>
    </xf>
    <xf numFmtId="174" fontId="5" fillId="35" borderId="0" xfId="99" applyNumberFormat="1" applyFont="1" applyFill="1" applyBorder="1" applyAlignment="1">
      <alignment/>
    </xf>
    <xf numFmtId="0" fontId="92" fillId="0" borderId="0" xfId="0" applyFont="1" applyBorder="1" applyAlignment="1">
      <alignment/>
    </xf>
    <xf numFmtId="173" fontId="5" fillId="0" borderId="0" xfId="0" applyNumberFormat="1" applyFont="1" applyFill="1" applyBorder="1" applyAlignment="1">
      <alignment wrapText="1"/>
    </xf>
    <xf numFmtId="10" fontId="5" fillId="0" borderId="0" xfId="99" applyNumberFormat="1" applyFont="1" applyFill="1" applyBorder="1" applyAlignment="1">
      <alignment horizontal="center" vertical="center" wrapText="1"/>
    </xf>
    <xf numFmtId="0" fontId="93" fillId="0" borderId="21" xfId="0" applyFont="1" applyBorder="1" applyAlignment="1">
      <alignment/>
    </xf>
    <xf numFmtId="0" fontId="93" fillId="0" borderId="22" xfId="0" applyFont="1" applyBorder="1" applyAlignment="1">
      <alignment/>
    </xf>
    <xf numFmtId="0" fontId="0" fillId="16" borderId="0" xfId="0" applyFill="1" applyBorder="1" applyAlignment="1">
      <alignment/>
    </xf>
    <xf numFmtId="0" fontId="0" fillId="33" borderId="0" xfId="0" applyFill="1" applyBorder="1" applyAlignment="1">
      <alignment/>
    </xf>
    <xf numFmtId="0" fontId="51" fillId="0" borderId="0" xfId="0" applyFont="1" applyFill="1" applyAlignment="1">
      <alignment/>
    </xf>
    <xf numFmtId="0" fontId="5" fillId="0" borderId="20" xfId="0" applyFont="1" applyFill="1" applyBorder="1" applyAlignment="1">
      <alignment/>
    </xf>
    <xf numFmtId="0" fontId="9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3" fontId="2" fillId="0" borderId="0" xfId="0" applyNumberFormat="1" applyFont="1" applyBorder="1" applyAlignment="1">
      <alignment wrapText="1"/>
    </xf>
    <xf numFmtId="4" fontId="51" fillId="0" borderId="0" xfId="0" applyNumberFormat="1" applyFont="1" applyFill="1" applyAlignment="1">
      <alignment/>
    </xf>
    <xf numFmtId="0" fontId="4" fillId="36" borderId="17" xfId="0" applyFont="1" applyFill="1" applyBorder="1" applyAlignment="1">
      <alignment/>
    </xf>
    <xf numFmtId="0" fontId="0" fillId="36" borderId="0" xfId="0" applyFill="1" applyAlignment="1">
      <alignment/>
    </xf>
    <xf numFmtId="0" fontId="0" fillId="33" borderId="0" xfId="0" applyFill="1" applyAlignment="1">
      <alignment/>
    </xf>
    <xf numFmtId="0" fontId="0" fillId="10" borderId="0" xfId="0" applyFill="1" applyAlignment="1">
      <alignment/>
    </xf>
    <xf numFmtId="0" fontId="5" fillId="0" borderId="17" xfId="93" applyFont="1" applyFill="1" applyBorder="1">
      <alignment/>
      <protection/>
    </xf>
    <xf numFmtId="2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10" fontId="0" fillId="33" borderId="0" xfId="99" applyNumberFormat="1" applyFont="1" applyFill="1" applyAlignment="1">
      <alignment/>
    </xf>
    <xf numFmtId="0" fontId="0" fillId="36" borderId="0" xfId="0" applyFill="1" applyBorder="1" applyAlignment="1">
      <alignment/>
    </xf>
    <xf numFmtId="0" fontId="4" fillId="10" borderId="11" xfId="0" applyFont="1" applyFill="1" applyBorder="1" applyAlignment="1">
      <alignment horizontal="center" vertical="center" wrapText="1"/>
    </xf>
    <xf numFmtId="0" fontId="93" fillId="0" borderId="0" xfId="0" applyFont="1" applyBorder="1" applyAlignment="1">
      <alignment/>
    </xf>
    <xf numFmtId="0" fontId="51" fillId="0" borderId="0" xfId="0" applyFont="1" applyAlignment="1">
      <alignment/>
    </xf>
    <xf numFmtId="0" fontId="90" fillId="34" borderId="0" xfId="0" applyFont="1" applyFill="1" applyAlignment="1">
      <alignment/>
    </xf>
    <xf numFmtId="0" fontId="0" fillId="34" borderId="0" xfId="0" applyFill="1" applyAlignment="1">
      <alignment/>
    </xf>
    <xf numFmtId="0" fontId="94" fillId="0" borderId="0" xfId="0" applyFont="1" applyAlignment="1">
      <alignment/>
    </xf>
    <xf numFmtId="10" fontId="0" fillId="0" borderId="0" xfId="99" applyNumberFormat="1" applyFont="1" applyAlignment="1">
      <alignment/>
    </xf>
    <xf numFmtId="3" fontId="5" fillId="0" borderId="19" xfId="93" applyNumberFormat="1" applyFont="1" applyFill="1" applyBorder="1">
      <alignment/>
      <protection/>
    </xf>
    <xf numFmtId="3" fontId="5" fillId="0" borderId="23" xfId="93" applyNumberFormat="1" applyFont="1" applyFill="1" applyBorder="1">
      <alignment/>
      <protection/>
    </xf>
    <xf numFmtId="4" fontId="5" fillId="0" borderId="18" xfId="0" applyNumberFormat="1" applyFont="1" applyFill="1" applyBorder="1" applyAlignment="1">
      <alignment horizontal="right"/>
    </xf>
    <xf numFmtId="10" fontId="4" fillId="0" borderId="18" xfId="99" applyNumberFormat="1" applyFont="1" applyFill="1" applyBorder="1" applyAlignment="1">
      <alignment/>
    </xf>
    <xf numFmtId="4" fontId="5" fillId="0" borderId="24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/>
    </xf>
    <xf numFmtId="10" fontId="4" fillId="0" borderId="18" xfId="99" applyNumberFormat="1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right"/>
    </xf>
    <xf numFmtId="4" fontId="5" fillId="35" borderId="18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 horizontal="right"/>
    </xf>
    <xf numFmtId="167" fontId="4" fillId="0" borderId="26" xfId="0" applyNumberFormat="1" applyFont="1" applyFill="1" applyBorder="1" applyAlignment="1">
      <alignment/>
    </xf>
    <xf numFmtId="167" fontId="5" fillId="0" borderId="18" xfId="0" applyNumberFormat="1" applyFont="1" applyFill="1" applyBorder="1" applyAlignment="1">
      <alignment horizontal="right"/>
    </xf>
    <xf numFmtId="167" fontId="5" fillId="0" borderId="23" xfId="0" applyNumberFormat="1" applyFont="1" applyFill="1" applyBorder="1" applyAlignment="1">
      <alignment/>
    </xf>
    <xf numFmtId="167" fontId="5" fillId="0" borderId="27" xfId="0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/>
    </xf>
    <xf numFmtId="4" fontId="5" fillId="0" borderId="24" xfId="0" applyNumberFormat="1" applyFont="1" applyFill="1" applyBorder="1" applyAlignment="1">
      <alignment horizontal="right"/>
    </xf>
    <xf numFmtId="4" fontId="5" fillId="0" borderId="18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23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5" fillId="0" borderId="18" xfId="0" applyNumberFormat="1" applyFont="1" applyBorder="1" applyAlignment="1">
      <alignment/>
    </xf>
    <xf numFmtId="10" fontId="5" fillId="0" borderId="18" xfId="99" applyNumberFormat="1" applyFont="1" applyBorder="1" applyAlignment="1">
      <alignment/>
    </xf>
    <xf numFmtId="4" fontId="5" fillId="0" borderId="18" xfId="0" applyNumberFormat="1" applyFont="1" applyFill="1" applyBorder="1" applyAlignment="1">
      <alignment/>
    </xf>
    <xf numFmtId="4" fontId="5" fillId="0" borderId="23" xfId="0" applyNumberFormat="1" applyFont="1" applyBorder="1" applyAlignment="1">
      <alignment/>
    </xf>
    <xf numFmtId="4" fontId="5" fillId="35" borderId="24" xfId="0" applyNumberFormat="1" applyFont="1" applyFill="1" applyBorder="1" applyAlignment="1">
      <alignment/>
    </xf>
    <xf numFmtId="4" fontId="5" fillId="0" borderId="27" xfId="0" applyNumberFormat="1" applyFont="1" applyBorder="1" applyAlignment="1">
      <alignment/>
    </xf>
    <xf numFmtId="4" fontId="5" fillId="35" borderId="18" xfId="0" applyNumberFormat="1" applyFont="1" applyFill="1" applyBorder="1" applyAlignment="1">
      <alignment/>
    </xf>
    <xf numFmtId="4" fontId="5" fillId="35" borderId="18" xfId="99" applyNumberFormat="1" applyFont="1" applyFill="1" applyBorder="1" applyAlignment="1">
      <alignment/>
    </xf>
    <xf numFmtId="4" fontId="5" fillId="35" borderId="27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2" fontId="5" fillId="0" borderId="18" xfId="99" applyNumberFormat="1" applyFont="1" applyFill="1" applyBorder="1" applyAlignment="1">
      <alignment/>
    </xf>
    <xf numFmtId="10" fontId="4" fillId="33" borderId="28" xfId="99" applyNumberFormat="1" applyFont="1" applyFill="1" applyBorder="1" applyAlignment="1">
      <alignment horizontal="center"/>
    </xf>
    <xf numFmtId="10" fontId="4" fillId="33" borderId="29" xfId="99" applyNumberFormat="1" applyFont="1" applyFill="1" applyBorder="1" applyAlignment="1">
      <alignment horizontal="center"/>
    </xf>
    <xf numFmtId="10" fontId="4" fillId="33" borderId="18" xfId="99" applyNumberFormat="1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/>
    </xf>
    <xf numFmtId="10" fontId="4" fillId="0" borderId="28" xfId="99" applyNumberFormat="1" applyFont="1" applyFill="1" applyBorder="1" applyAlignment="1">
      <alignment horizontal="center"/>
    </xf>
    <xf numFmtId="10" fontId="4" fillId="0" borderId="29" xfId="99" applyNumberFormat="1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/>
    </xf>
    <xf numFmtId="3" fontId="5" fillId="0" borderId="18" xfId="99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4" fontId="4" fillId="33" borderId="23" xfId="0" applyNumberFormat="1" applyFont="1" applyFill="1" applyBorder="1" applyAlignment="1">
      <alignment/>
    </xf>
    <xf numFmtId="4" fontId="4" fillId="33" borderId="26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10" fontId="4" fillId="36" borderId="18" xfId="99" applyNumberFormat="1" applyFont="1" applyFill="1" applyBorder="1" applyAlignment="1">
      <alignment/>
    </xf>
    <xf numFmtId="4" fontId="4" fillId="36" borderId="31" xfId="0" applyNumberFormat="1" applyFont="1" applyFill="1" applyBorder="1" applyAlignment="1">
      <alignment/>
    </xf>
    <xf numFmtId="4" fontId="4" fillId="36" borderId="27" xfId="0" applyNumberFormat="1" applyFont="1" applyFill="1" applyBorder="1" applyAlignment="1">
      <alignment/>
    </xf>
    <xf numFmtId="4" fontId="4" fillId="35" borderId="24" xfId="0" applyNumberFormat="1" applyFont="1" applyFill="1" applyBorder="1" applyAlignment="1">
      <alignment/>
    </xf>
    <xf numFmtId="4" fontId="4" fillId="33" borderId="24" xfId="0" applyNumberFormat="1" applyFont="1" applyFill="1" applyBorder="1" applyAlignment="1">
      <alignment/>
    </xf>
    <xf numFmtId="3" fontId="92" fillId="0" borderId="0" xfId="0" applyNumberFormat="1" applyFont="1" applyAlignment="1">
      <alignment/>
    </xf>
    <xf numFmtId="4" fontId="92" fillId="0" borderId="0" xfId="0" applyNumberFormat="1" applyFont="1" applyAlignment="1">
      <alignment/>
    </xf>
    <xf numFmtId="0" fontId="5" fillId="35" borderId="17" xfId="0" applyFont="1" applyFill="1" applyBorder="1" applyAlignment="1">
      <alignment wrapText="1"/>
    </xf>
    <xf numFmtId="3" fontId="5" fillId="0" borderId="17" xfId="0" applyNumberFormat="1" applyFont="1" applyFill="1" applyBorder="1" applyAlignment="1">
      <alignment wrapText="1"/>
    </xf>
    <xf numFmtId="3" fontId="5" fillId="0" borderId="19" xfId="0" applyNumberFormat="1" applyFont="1" applyFill="1" applyBorder="1" applyAlignment="1">
      <alignment wrapText="1"/>
    </xf>
    <xf numFmtId="173" fontId="93" fillId="35" borderId="24" xfId="0" applyNumberFormat="1" applyFont="1" applyFill="1" applyBorder="1" applyAlignment="1">
      <alignment/>
    </xf>
    <xf numFmtId="173" fontId="93" fillId="35" borderId="0" xfId="0" applyNumberFormat="1" applyFont="1" applyFill="1" applyAlignment="1">
      <alignment/>
    </xf>
    <xf numFmtId="173" fontId="5" fillId="35" borderId="32" xfId="0" applyNumberFormat="1" applyFont="1" applyFill="1" applyBorder="1" applyAlignment="1">
      <alignment wrapText="1"/>
    </xf>
    <xf numFmtId="174" fontId="5" fillId="35" borderId="32" xfId="99" applyNumberFormat="1" applyFont="1" applyFill="1" applyBorder="1" applyAlignment="1">
      <alignment/>
    </xf>
    <xf numFmtId="173" fontId="5" fillId="0" borderId="18" xfId="0" applyNumberFormat="1" applyFont="1" applyBorder="1" applyAlignment="1">
      <alignment/>
    </xf>
    <xf numFmtId="173" fontId="5" fillId="0" borderId="33" xfId="0" applyNumberFormat="1" applyFont="1" applyBorder="1" applyAlignment="1">
      <alignment/>
    </xf>
    <xf numFmtId="173" fontId="93" fillId="0" borderId="31" xfId="0" applyNumberFormat="1" applyFont="1" applyBorder="1" applyAlignment="1">
      <alignment/>
    </xf>
    <xf numFmtId="173" fontId="5" fillId="35" borderId="18" xfId="0" applyNumberFormat="1" applyFont="1" applyFill="1" applyBorder="1" applyAlignment="1">
      <alignment wrapText="1"/>
    </xf>
    <xf numFmtId="10" fontId="5" fillId="0" borderId="33" xfId="99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wrapText="1"/>
    </xf>
    <xf numFmtId="3" fontId="5" fillId="0" borderId="29" xfId="0" applyNumberFormat="1" applyFont="1" applyFill="1" applyBorder="1" applyAlignment="1">
      <alignment wrapText="1"/>
    </xf>
    <xf numFmtId="3" fontId="5" fillId="35" borderId="29" xfId="0" applyNumberFormat="1" applyFont="1" applyFill="1" applyBorder="1" applyAlignment="1">
      <alignment wrapText="1"/>
    </xf>
    <xf numFmtId="3" fontId="5" fillId="35" borderId="20" xfId="0" applyNumberFormat="1" applyFont="1" applyFill="1" applyBorder="1" applyAlignment="1">
      <alignment wrapText="1"/>
    </xf>
    <xf numFmtId="174" fontId="5" fillId="0" borderId="33" xfId="99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3" fontId="5" fillId="0" borderId="17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10" fontId="5" fillId="0" borderId="18" xfId="99" applyNumberFormat="1" applyFont="1" applyFill="1" applyBorder="1" applyAlignment="1">
      <alignment horizontal="center" vertical="center" wrapText="1"/>
    </xf>
    <xf numFmtId="173" fontId="5" fillId="0" borderId="31" xfId="0" applyNumberFormat="1" applyFont="1" applyFill="1" applyBorder="1" applyAlignment="1">
      <alignment wrapText="1"/>
    </xf>
    <xf numFmtId="165" fontId="5" fillId="35" borderId="18" xfId="0" applyNumberFormat="1" applyFont="1" applyFill="1" applyBorder="1" applyAlignment="1">
      <alignment wrapText="1"/>
    </xf>
    <xf numFmtId="173" fontId="93" fillId="0" borderId="34" xfId="0" applyNumberFormat="1" applyFont="1" applyBorder="1" applyAlignment="1">
      <alignment/>
    </xf>
    <xf numFmtId="0" fontId="5" fillId="0" borderId="35" xfId="0" applyFont="1" applyBorder="1" applyAlignment="1">
      <alignment/>
    </xf>
    <xf numFmtId="3" fontId="5" fillId="0" borderId="35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173" fontId="5" fillId="35" borderId="37" xfId="0" applyNumberFormat="1" applyFont="1" applyFill="1" applyBorder="1" applyAlignment="1">
      <alignment wrapText="1"/>
    </xf>
    <xf numFmtId="173" fontId="5" fillId="35" borderId="38" xfId="0" applyNumberFormat="1" applyFont="1" applyFill="1" applyBorder="1" applyAlignment="1">
      <alignment/>
    </xf>
    <xf numFmtId="173" fontId="5" fillId="35" borderId="38" xfId="0" applyNumberFormat="1" applyFont="1" applyFill="1" applyBorder="1" applyAlignment="1">
      <alignment wrapText="1"/>
    </xf>
    <xf numFmtId="173" fontId="5" fillId="0" borderId="38" xfId="0" applyNumberFormat="1" applyFont="1" applyBorder="1" applyAlignment="1">
      <alignment/>
    </xf>
    <xf numFmtId="173" fontId="5" fillId="0" borderId="39" xfId="0" applyNumberFormat="1" applyFont="1" applyBorder="1" applyAlignment="1">
      <alignment/>
    </xf>
    <xf numFmtId="173" fontId="5" fillId="0" borderId="40" xfId="0" applyNumberFormat="1" applyFont="1" applyFill="1" applyBorder="1" applyAlignment="1">
      <alignment wrapText="1"/>
    </xf>
    <xf numFmtId="10" fontId="5" fillId="0" borderId="39" xfId="99" applyNumberFormat="1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/>
    </xf>
    <xf numFmtId="0" fontId="53" fillId="0" borderId="18" xfId="0" applyFont="1" applyFill="1" applyBorder="1" applyAlignment="1">
      <alignment/>
    </xf>
    <xf numFmtId="9" fontId="4" fillId="0" borderId="18" xfId="99" applyFont="1" applyFill="1" applyBorder="1" applyAlignment="1">
      <alignment/>
    </xf>
    <xf numFmtId="4" fontId="4" fillId="33" borderId="33" xfId="0" applyNumberFormat="1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172" fontId="4" fillId="0" borderId="18" xfId="0" applyNumberFormat="1" applyFont="1" applyFill="1" applyBorder="1" applyAlignment="1">
      <alignment/>
    </xf>
    <xf numFmtId="4" fontId="4" fillId="0" borderId="33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4" fontId="4" fillId="33" borderId="30" xfId="0" applyNumberFormat="1" applyFont="1" applyFill="1" applyBorder="1" applyAlignment="1">
      <alignment/>
    </xf>
    <xf numFmtId="4" fontId="4" fillId="0" borderId="30" xfId="0" applyNumberFormat="1" applyFont="1" applyFill="1" applyBorder="1" applyAlignment="1">
      <alignment/>
    </xf>
    <xf numFmtId="3" fontId="4" fillId="36" borderId="19" xfId="0" applyNumberFormat="1" applyFont="1" applyFill="1" applyBorder="1" applyAlignment="1">
      <alignment/>
    </xf>
    <xf numFmtId="3" fontId="4" fillId="36" borderId="23" xfId="0" applyNumberFormat="1" applyFont="1" applyFill="1" applyBorder="1" applyAlignment="1">
      <alignment/>
    </xf>
    <xf numFmtId="4" fontId="4" fillId="36" borderId="26" xfId="0" applyNumberFormat="1" applyFont="1" applyFill="1" applyBorder="1" applyAlignment="1">
      <alignment/>
    </xf>
    <xf numFmtId="4" fontId="4" fillId="36" borderId="18" xfId="0" applyNumberFormat="1" applyFont="1" applyFill="1" applyBorder="1" applyAlignment="1">
      <alignment/>
    </xf>
    <xf numFmtId="168" fontId="4" fillId="36" borderId="28" xfId="99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3" fontId="4" fillId="33" borderId="23" xfId="0" applyNumberFormat="1" applyFont="1" applyFill="1" applyBorder="1" applyAlignment="1">
      <alignment/>
    </xf>
    <xf numFmtId="10" fontId="4" fillId="33" borderId="18" xfId="99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 horizontal="right"/>
    </xf>
    <xf numFmtId="4" fontId="4" fillId="36" borderId="19" xfId="0" applyNumberFormat="1" applyFont="1" applyFill="1" applyBorder="1" applyAlignment="1">
      <alignment/>
    </xf>
    <xf numFmtId="4" fontId="4" fillId="36" borderId="23" xfId="0" applyNumberFormat="1" applyFont="1" applyFill="1" applyBorder="1" applyAlignment="1">
      <alignment/>
    </xf>
    <xf numFmtId="4" fontId="4" fillId="36" borderId="17" xfId="0" applyNumberFormat="1" applyFont="1" applyFill="1" applyBorder="1" applyAlignment="1">
      <alignment/>
    </xf>
    <xf numFmtId="10" fontId="4" fillId="36" borderId="28" xfId="99" applyNumberFormat="1" applyFont="1" applyFill="1" applyBorder="1" applyAlignment="1">
      <alignment/>
    </xf>
    <xf numFmtId="10" fontId="4" fillId="0" borderId="32" xfId="99" applyNumberFormat="1" applyFont="1" applyFill="1" applyBorder="1" applyAlignment="1">
      <alignment wrapText="1"/>
    </xf>
    <xf numFmtId="10" fontId="4" fillId="36" borderId="32" xfId="99" applyNumberFormat="1" applyFont="1" applyFill="1" applyBorder="1" applyAlignment="1">
      <alignment wrapText="1"/>
    </xf>
    <xf numFmtId="10" fontId="4" fillId="0" borderId="18" xfId="99" applyNumberFormat="1" applyFont="1" applyFill="1" applyBorder="1" applyAlignment="1">
      <alignment wrapText="1"/>
    </xf>
    <xf numFmtId="10" fontId="4" fillId="0" borderId="41" xfId="99" applyNumberFormat="1" applyFont="1" applyFill="1" applyBorder="1" applyAlignment="1">
      <alignment wrapText="1"/>
    </xf>
    <xf numFmtId="10" fontId="4" fillId="0" borderId="42" xfId="99" applyNumberFormat="1" applyFont="1" applyFill="1" applyBorder="1" applyAlignment="1">
      <alignment wrapText="1"/>
    </xf>
    <xf numFmtId="10" fontId="4" fillId="36" borderId="41" xfId="99" applyNumberFormat="1" applyFont="1" applyFill="1" applyBorder="1" applyAlignment="1">
      <alignment wrapText="1"/>
    </xf>
    <xf numFmtId="10" fontId="4" fillId="33" borderId="42" xfId="99" applyNumberFormat="1" applyFont="1" applyFill="1" applyBorder="1" applyAlignment="1">
      <alignment wrapText="1"/>
    </xf>
    <xf numFmtId="10" fontId="4" fillId="33" borderId="30" xfId="99" applyNumberFormat="1" applyFont="1" applyFill="1" applyBorder="1" applyAlignment="1">
      <alignment wrapText="1"/>
    </xf>
    <xf numFmtId="10" fontId="4" fillId="36" borderId="43" xfId="99" applyNumberFormat="1" applyFont="1" applyFill="1" applyBorder="1" applyAlignment="1">
      <alignment wrapText="1"/>
    </xf>
    <xf numFmtId="10" fontId="4" fillId="0" borderId="30" xfId="99" applyNumberFormat="1" applyFont="1" applyFill="1" applyBorder="1" applyAlignment="1">
      <alignment wrapText="1"/>
    </xf>
    <xf numFmtId="10" fontId="4" fillId="0" borderId="44" xfId="99" applyNumberFormat="1" applyFont="1" applyFill="1" applyBorder="1" applyAlignment="1">
      <alignment wrapText="1"/>
    </xf>
    <xf numFmtId="10" fontId="4" fillId="0" borderId="43" xfId="99" applyNumberFormat="1" applyFont="1" applyFill="1" applyBorder="1" applyAlignment="1">
      <alignment wrapText="1"/>
    </xf>
    <xf numFmtId="10" fontId="4" fillId="33" borderId="43" xfId="99" applyNumberFormat="1" applyFont="1" applyFill="1" applyBorder="1" applyAlignment="1">
      <alignment wrapText="1"/>
    </xf>
    <xf numFmtId="10" fontId="5" fillId="0" borderId="44" xfId="99" applyNumberFormat="1" applyFont="1" applyFill="1" applyBorder="1" applyAlignment="1">
      <alignment wrapText="1"/>
    </xf>
    <xf numFmtId="10" fontId="5" fillId="0" borderId="30" xfId="99" applyNumberFormat="1" applyFont="1" applyFill="1" applyBorder="1" applyAlignment="1">
      <alignment wrapText="1"/>
    </xf>
    <xf numFmtId="10" fontId="4" fillId="36" borderId="30" xfId="99" applyNumberFormat="1" applyFont="1" applyFill="1" applyBorder="1" applyAlignment="1">
      <alignment wrapText="1"/>
    </xf>
    <xf numFmtId="10" fontId="4" fillId="0" borderId="45" xfId="99" applyNumberFormat="1" applyFont="1" applyFill="1" applyBorder="1" applyAlignment="1">
      <alignment wrapText="1"/>
    </xf>
    <xf numFmtId="4" fontId="95" fillId="0" borderId="42" xfId="99" applyNumberFormat="1" applyFont="1" applyFill="1" applyBorder="1" applyAlignment="1">
      <alignment horizontal="center" vertical="center" wrapText="1"/>
    </xf>
    <xf numFmtId="9" fontId="4" fillId="35" borderId="24" xfId="99" applyFont="1" applyFill="1" applyBorder="1" applyAlignment="1">
      <alignment/>
    </xf>
    <xf numFmtId="4" fontId="4" fillId="35" borderId="18" xfId="0" applyNumberFormat="1" applyFont="1" applyFill="1" applyBorder="1" applyAlignment="1">
      <alignment/>
    </xf>
    <xf numFmtId="10" fontId="4" fillId="0" borderId="46" xfId="99" applyNumberFormat="1" applyFont="1" applyFill="1" applyBorder="1" applyAlignment="1">
      <alignment horizontal="center" vertical="center" wrapText="1"/>
    </xf>
    <xf numFmtId="10" fontId="4" fillId="0" borderId="42" xfId="99" applyNumberFormat="1" applyFont="1" applyFill="1" applyBorder="1" applyAlignment="1">
      <alignment horizontal="center" vertical="center" wrapText="1"/>
    </xf>
    <xf numFmtId="10" fontId="4" fillId="0" borderId="32" xfId="99" applyNumberFormat="1" applyFont="1" applyFill="1" applyBorder="1" applyAlignment="1">
      <alignment horizontal="center" vertical="center" wrapText="1"/>
    </xf>
    <xf numFmtId="10" fontId="4" fillId="0" borderId="33" xfId="99" applyNumberFormat="1" applyFont="1" applyFill="1" applyBorder="1" applyAlignment="1">
      <alignment horizontal="center" vertical="center" wrapText="1"/>
    </xf>
    <xf numFmtId="10" fontId="4" fillId="33" borderId="46" xfId="99" applyNumberFormat="1" applyFont="1" applyFill="1" applyBorder="1" applyAlignment="1">
      <alignment horizontal="center" vertical="center" wrapText="1"/>
    </xf>
    <xf numFmtId="10" fontId="4" fillId="0" borderId="47" xfId="99" applyNumberFormat="1" applyFont="1" applyFill="1" applyBorder="1" applyAlignment="1">
      <alignment horizontal="center" vertical="center" wrapText="1"/>
    </xf>
    <xf numFmtId="4" fontId="4" fillId="35" borderId="33" xfId="0" applyNumberFormat="1" applyFont="1" applyFill="1" applyBorder="1" applyAlignment="1">
      <alignment/>
    </xf>
    <xf numFmtId="9" fontId="4" fillId="35" borderId="18" xfId="99" applyFont="1" applyFill="1" applyBorder="1" applyAlignment="1">
      <alignment/>
    </xf>
    <xf numFmtId="4" fontId="4" fillId="35" borderId="25" xfId="0" applyNumberFormat="1" applyFont="1" applyFill="1" applyBorder="1" applyAlignment="1">
      <alignment/>
    </xf>
    <xf numFmtId="9" fontId="4" fillId="33" borderId="18" xfId="99" applyFont="1" applyFill="1" applyBorder="1" applyAlignment="1">
      <alignment/>
    </xf>
    <xf numFmtId="9" fontId="4" fillId="0" borderId="24" xfId="99" applyFont="1" applyFill="1" applyBorder="1" applyAlignment="1">
      <alignment/>
    </xf>
    <xf numFmtId="4" fontId="4" fillId="33" borderId="25" xfId="0" applyNumberFormat="1" applyFont="1" applyFill="1" applyBorder="1" applyAlignment="1">
      <alignment/>
    </xf>
    <xf numFmtId="4" fontId="4" fillId="35" borderId="48" xfId="0" applyNumberFormat="1" applyFont="1" applyFill="1" applyBorder="1" applyAlignment="1">
      <alignment/>
    </xf>
    <xf numFmtId="4" fontId="4" fillId="35" borderId="45" xfId="0" applyNumberFormat="1" applyFont="1" applyFill="1" applyBorder="1" applyAlignment="1">
      <alignment/>
    </xf>
    <xf numFmtId="10" fontId="4" fillId="0" borderId="18" xfId="99" applyNumberFormat="1" applyFont="1" applyFill="1" applyBorder="1" applyAlignment="1">
      <alignment horizontal="center" vertical="center" wrapText="1"/>
    </xf>
    <xf numFmtId="4" fontId="4" fillId="33" borderId="26" xfId="0" applyNumberFormat="1" applyFont="1" applyFill="1" applyBorder="1" applyAlignment="1">
      <alignment horizontal="right"/>
    </xf>
    <xf numFmtId="167" fontId="5" fillId="0" borderId="26" xfId="0" applyNumberFormat="1" applyFont="1" applyFill="1" applyBorder="1" applyAlignment="1">
      <alignment/>
    </xf>
    <xf numFmtId="4" fontId="4" fillId="35" borderId="46" xfId="0" applyNumberFormat="1" applyFont="1" applyFill="1" applyBorder="1" applyAlignment="1">
      <alignment/>
    </xf>
    <xf numFmtId="10" fontId="4" fillId="0" borderId="49" xfId="99" applyNumberFormat="1" applyFont="1" applyFill="1" applyBorder="1" applyAlignment="1">
      <alignment horizontal="center" vertical="center" wrapText="1"/>
    </xf>
    <xf numFmtId="10" fontId="4" fillId="33" borderId="42" xfId="99" applyNumberFormat="1" applyFont="1" applyFill="1" applyBorder="1" applyAlignment="1">
      <alignment horizontal="center" vertical="center" wrapText="1"/>
    </xf>
    <xf numFmtId="4" fontId="4" fillId="0" borderId="33" xfId="99" applyNumberFormat="1" applyFont="1" applyFill="1" applyBorder="1" applyAlignment="1">
      <alignment/>
    </xf>
    <xf numFmtId="4" fontId="4" fillId="0" borderId="48" xfId="0" applyNumberFormat="1" applyFont="1" applyFill="1" applyBorder="1" applyAlignment="1">
      <alignment/>
    </xf>
    <xf numFmtId="0" fontId="4" fillId="0" borderId="50" xfId="0" applyFont="1" applyBorder="1" applyAlignment="1">
      <alignment/>
    </xf>
    <xf numFmtId="10" fontId="4" fillId="0" borderId="50" xfId="99" applyNumberFormat="1" applyFont="1" applyFill="1" applyBorder="1" applyAlignment="1">
      <alignment horizontal="center"/>
    </xf>
    <xf numFmtId="10" fontId="4" fillId="0" borderId="51" xfId="99" applyNumberFormat="1" applyFont="1" applyFill="1" applyBorder="1" applyAlignment="1">
      <alignment horizontal="center"/>
    </xf>
    <xf numFmtId="10" fontId="4" fillId="0" borderId="42" xfId="99" applyNumberFormat="1" applyFont="1" applyFill="1" applyBorder="1" applyAlignment="1">
      <alignment horizontal="center"/>
    </xf>
    <xf numFmtId="4" fontId="4" fillId="35" borderId="42" xfId="0" applyNumberFormat="1" applyFont="1" applyFill="1" applyBorder="1" applyAlignment="1">
      <alignment/>
    </xf>
    <xf numFmtId="9" fontId="4" fillId="0" borderId="42" xfId="99" applyFont="1" applyFill="1" applyBorder="1" applyAlignment="1">
      <alignment/>
    </xf>
    <xf numFmtId="173" fontId="93" fillId="35" borderId="27" xfId="0" applyNumberFormat="1" applyFont="1" applyFill="1" applyBorder="1" applyAlignment="1">
      <alignment/>
    </xf>
    <xf numFmtId="173" fontId="5" fillId="0" borderId="32" xfId="0" applyNumberFormat="1" applyFont="1" applyBorder="1" applyAlignment="1">
      <alignment/>
    </xf>
    <xf numFmtId="173" fontId="5" fillId="0" borderId="49" xfId="0" applyNumberFormat="1" applyFont="1" applyBorder="1" applyAlignment="1">
      <alignment/>
    </xf>
    <xf numFmtId="10" fontId="5" fillId="0" borderId="49" xfId="99" applyNumberFormat="1" applyFont="1" applyFill="1" applyBorder="1" applyAlignment="1">
      <alignment horizontal="center" vertical="center" wrapText="1"/>
    </xf>
    <xf numFmtId="4" fontId="4" fillId="16" borderId="12" xfId="0" applyNumberFormat="1" applyFont="1" applyFill="1" applyBorder="1" applyAlignment="1">
      <alignment wrapText="1"/>
    </xf>
    <xf numFmtId="4" fontId="12" fillId="16" borderId="52" xfId="0" applyNumberFormat="1" applyFont="1" applyFill="1" applyBorder="1" applyAlignment="1">
      <alignment/>
    </xf>
    <xf numFmtId="4" fontId="12" fillId="16" borderId="16" xfId="0" applyNumberFormat="1" applyFont="1" applyFill="1" applyBorder="1" applyAlignment="1">
      <alignment/>
    </xf>
    <xf numFmtId="4" fontId="12" fillId="16" borderId="53" xfId="0" applyNumberFormat="1" applyFont="1" applyFill="1" applyBorder="1" applyAlignment="1">
      <alignment/>
    </xf>
    <xf numFmtId="4" fontId="12" fillId="16" borderId="13" xfId="0" applyNumberFormat="1" applyFont="1" applyFill="1" applyBorder="1" applyAlignment="1">
      <alignment/>
    </xf>
    <xf numFmtId="10" fontId="4" fillId="10" borderId="13" xfId="99" applyNumberFormat="1" applyFont="1" applyFill="1" applyBorder="1" applyAlignment="1">
      <alignment/>
    </xf>
    <xf numFmtId="173" fontId="4" fillId="10" borderId="13" xfId="0" applyNumberFormat="1" applyFont="1" applyFill="1" applyBorder="1" applyAlignment="1">
      <alignment wrapText="1"/>
    </xf>
    <xf numFmtId="168" fontId="4" fillId="10" borderId="16" xfId="0" applyNumberFormat="1" applyFont="1" applyFill="1" applyBorder="1" applyAlignment="1">
      <alignment wrapText="1"/>
    </xf>
    <xf numFmtId="0" fontId="12" fillId="16" borderId="12" xfId="0" applyFont="1" applyFill="1" applyBorder="1" applyAlignment="1">
      <alignment/>
    </xf>
    <xf numFmtId="0" fontId="12" fillId="16" borderId="13" xfId="0" applyFont="1" applyFill="1" applyBorder="1" applyAlignment="1">
      <alignment/>
    </xf>
    <xf numFmtId="10" fontId="4" fillId="10" borderId="13" xfId="99" applyNumberFormat="1" applyFont="1" applyFill="1" applyBorder="1" applyAlignment="1">
      <alignment wrapText="1"/>
    </xf>
    <xf numFmtId="0" fontId="4" fillId="36" borderId="54" xfId="0" applyFont="1" applyFill="1" applyBorder="1" applyAlignment="1">
      <alignment/>
    </xf>
    <xf numFmtId="4" fontId="4" fillId="36" borderId="55" xfId="0" applyNumberFormat="1" applyFont="1" applyFill="1" applyBorder="1" applyAlignment="1">
      <alignment/>
    </xf>
    <xf numFmtId="4" fontId="4" fillId="36" borderId="44" xfId="0" applyNumberFormat="1" applyFont="1" applyFill="1" applyBorder="1" applyAlignment="1">
      <alignment/>
    </xf>
    <xf numFmtId="4" fontId="4" fillId="36" borderId="0" xfId="0" applyNumberFormat="1" applyFont="1" applyFill="1" applyBorder="1" applyAlignment="1">
      <alignment/>
    </xf>
    <xf numFmtId="4" fontId="4" fillId="36" borderId="42" xfId="0" applyNumberFormat="1" applyFont="1" applyFill="1" applyBorder="1" applyAlignment="1">
      <alignment/>
    </xf>
    <xf numFmtId="10" fontId="4" fillId="36" borderId="42" xfId="99" applyNumberFormat="1" applyFont="1" applyFill="1" applyBorder="1" applyAlignment="1">
      <alignment/>
    </xf>
    <xf numFmtId="168" fontId="4" fillId="36" borderId="56" xfId="99" applyNumberFormat="1" applyFont="1" applyFill="1" applyBorder="1" applyAlignment="1">
      <alignment/>
    </xf>
    <xf numFmtId="4" fontId="4" fillId="36" borderId="46" xfId="0" applyNumberFormat="1" applyFont="1" applyFill="1" applyBorder="1" applyAlignment="1">
      <alignment/>
    </xf>
    <xf numFmtId="4" fontId="5" fillId="36" borderId="42" xfId="0" applyNumberFormat="1" applyFont="1" applyFill="1" applyBorder="1" applyAlignment="1">
      <alignment horizontal="right"/>
    </xf>
    <xf numFmtId="10" fontId="4" fillId="36" borderId="57" xfId="99" applyNumberFormat="1" applyFont="1" applyFill="1" applyBorder="1" applyAlignment="1">
      <alignment wrapText="1"/>
    </xf>
    <xf numFmtId="0" fontId="4" fillId="0" borderId="32" xfId="0" applyFont="1" applyFill="1" applyBorder="1" applyAlignment="1">
      <alignment wrapText="1"/>
    </xf>
    <xf numFmtId="4" fontId="95" fillId="0" borderId="43" xfId="0" applyNumberFormat="1" applyFont="1" applyFill="1" applyBorder="1" applyAlignment="1">
      <alignment/>
    </xf>
    <xf numFmtId="10" fontId="95" fillId="0" borderId="23" xfId="99" applyNumberFormat="1" applyFont="1" applyFill="1" applyBorder="1" applyAlignment="1">
      <alignment horizontal="center"/>
    </xf>
    <xf numFmtId="2" fontId="95" fillId="0" borderId="17" xfId="99" applyNumberFormat="1" applyFont="1" applyFill="1" applyBorder="1" applyAlignment="1">
      <alignment horizontal="center"/>
    </xf>
    <xf numFmtId="10" fontId="95" fillId="0" borderId="32" xfId="99" applyNumberFormat="1" applyFont="1" applyFill="1" applyBorder="1" applyAlignment="1">
      <alignment horizontal="center"/>
    </xf>
    <xf numFmtId="2" fontId="95" fillId="0" borderId="32" xfId="99" applyNumberFormat="1" applyFont="1" applyFill="1" applyBorder="1" applyAlignment="1">
      <alignment horizontal="center"/>
    </xf>
    <xf numFmtId="4" fontId="95" fillId="0" borderId="32" xfId="0" applyNumberFormat="1" applyFont="1" applyFill="1" applyBorder="1" applyAlignment="1">
      <alignment/>
    </xf>
    <xf numFmtId="4" fontId="92" fillId="0" borderId="27" xfId="0" applyNumberFormat="1" applyFont="1" applyFill="1" applyBorder="1" applyAlignment="1">
      <alignment/>
    </xf>
    <xf numFmtId="4" fontId="92" fillId="0" borderId="32" xfId="0" applyNumberFormat="1" applyFont="1" applyFill="1" applyBorder="1" applyAlignment="1">
      <alignment/>
    </xf>
    <xf numFmtId="4" fontId="92" fillId="0" borderId="49" xfId="0" applyNumberFormat="1" applyFont="1" applyFill="1" applyBorder="1" applyAlignment="1">
      <alignment/>
    </xf>
    <xf numFmtId="4" fontId="95" fillId="0" borderId="41" xfId="99" applyNumberFormat="1" applyFont="1" applyFill="1" applyBorder="1" applyAlignment="1">
      <alignment horizontal="center" vertical="center" wrapText="1"/>
    </xf>
    <xf numFmtId="4" fontId="95" fillId="0" borderId="43" xfId="99" applyNumberFormat="1" applyFont="1" applyFill="1" applyBorder="1" applyAlignment="1">
      <alignment wrapText="1"/>
    </xf>
    <xf numFmtId="0" fontId="4" fillId="16" borderId="12" xfId="0" applyFont="1" applyFill="1" applyBorder="1" applyAlignment="1">
      <alignment wrapText="1"/>
    </xf>
    <xf numFmtId="4" fontId="95" fillId="16" borderId="52" xfId="0" applyNumberFormat="1" applyFont="1" applyFill="1" applyBorder="1" applyAlignment="1">
      <alignment/>
    </xf>
    <xf numFmtId="10" fontId="95" fillId="16" borderId="16" xfId="99" applyNumberFormat="1" applyFont="1" applyFill="1" applyBorder="1" applyAlignment="1">
      <alignment horizontal="center"/>
    </xf>
    <xf numFmtId="2" fontId="95" fillId="16" borderId="53" xfId="99" applyNumberFormat="1" applyFont="1" applyFill="1" applyBorder="1" applyAlignment="1">
      <alignment horizontal="center"/>
    </xf>
    <xf numFmtId="10" fontId="95" fillId="16" borderId="13" xfId="99" applyNumberFormat="1" applyFont="1" applyFill="1" applyBorder="1" applyAlignment="1">
      <alignment horizontal="center"/>
    </xf>
    <xf numFmtId="2" fontId="95" fillId="16" borderId="13" xfId="99" applyNumberFormat="1" applyFont="1" applyFill="1" applyBorder="1" applyAlignment="1">
      <alignment horizontal="center"/>
    </xf>
    <xf numFmtId="4" fontId="95" fillId="16" borderId="13" xfId="0" applyNumberFormat="1" applyFont="1" applyFill="1" applyBorder="1" applyAlignment="1">
      <alignment/>
    </xf>
    <xf numFmtId="4" fontId="96" fillId="16" borderId="15" xfId="0" applyNumberFormat="1" applyFont="1" applyFill="1" applyBorder="1" applyAlignment="1">
      <alignment/>
    </xf>
    <xf numFmtId="4" fontId="96" fillId="16" borderId="13" xfId="0" applyNumberFormat="1" applyFont="1" applyFill="1" applyBorder="1" applyAlignment="1">
      <alignment/>
    </xf>
    <xf numFmtId="4" fontId="96" fillId="16" borderId="14" xfId="0" applyNumberFormat="1" applyFont="1" applyFill="1" applyBorder="1" applyAlignment="1">
      <alignment/>
    </xf>
    <xf numFmtId="4" fontId="95" fillId="16" borderId="13" xfId="99" applyNumberFormat="1" applyFont="1" applyFill="1" applyBorder="1" applyAlignment="1">
      <alignment horizontal="center" vertical="center" wrapText="1"/>
    </xf>
    <xf numFmtId="4" fontId="95" fillId="16" borderId="16" xfId="99" applyNumberFormat="1" applyFont="1" applyFill="1" applyBorder="1" applyAlignment="1">
      <alignment wrapText="1"/>
    </xf>
    <xf numFmtId="0" fontId="4" fillId="0" borderId="42" xfId="0" applyFont="1" applyFill="1" applyBorder="1" applyAlignment="1">
      <alignment wrapText="1"/>
    </xf>
    <xf numFmtId="4" fontId="95" fillId="0" borderId="45" xfId="0" applyNumberFormat="1" applyFont="1" applyFill="1" applyBorder="1" applyAlignment="1">
      <alignment/>
    </xf>
    <xf numFmtId="10" fontId="95" fillId="0" borderId="56" xfId="99" applyNumberFormat="1" applyFont="1" applyFill="1" applyBorder="1" applyAlignment="1">
      <alignment horizontal="center"/>
    </xf>
    <xf numFmtId="10" fontId="95" fillId="0" borderId="42" xfId="99" applyNumberFormat="1" applyFont="1" applyFill="1" applyBorder="1" applyAlignment="1">
      <alignment horizontal="center"/>
    </xf>
    <xf numFmtId="4" fontId="92" fillId="0" borderId="58" xfId="0" applyNumberFormat="1" applyFont="1" applyFill="1" applyBorder="1" applyAlignment="1">
      <alignment/>
    </xf>
    <xf numFmtId="4" fontId="92" fillId="0" borderId="42" xfId="0" applyNumberFormat="1" applyFont="1" applyFill="1" applyBorder="1" applyAlignment="1">
      <alignment/>
    </xf>
    <xf numFmtId="4" fontId="92" fillId="0" borderId="46" xfId="0" applyNumberFormat="1" applyFont="1" applyFill="1" applyBorder="1" applyAlignment="1">
      <alignment/>
    </xf>
    <xf numFmtId="4" fontId="95" fillId="0" borderId="45" xfId="99" applyNumberFormat="1" applyFont="1" applyFill="1" applyBorder="1" applyAlignment="1">
      <alignment wrapText="1"/>
    </xf>
    <xf numFmtId="0" fontId="4" fillId="33" borderId="32" xfId="0" applyFont="1" applyFill="1" applyBorder="1" applyAlignment="1">
      <alignment/>
    </xf>
    <xf numFmtId="10" fontId="4" fillId="33" borderId="23" xfId="99" applyNumberFormat="1" applyFont="1" applyFill="1" applyBorder="1" applyAlignment="1">
      <alignment horizontal="center"/>
    </xf>
    <xf numFmtId="10" fontId="4" fillId="33" borderId="17" xfId="99" applyNumberFormat="1" applyFont="1" applyFill="1" applyBorder="1" applyAlignment="1">
      <alignment horizontal="center"/>
    </xf>
    <xf numFmtId="10" fontId="4" fillId="33" borderId="32" xfId="99" applyNumberFormat="1" applyFont="1" applyFill="1" applyBorder="1" applyAlignment="1">
      <alignment horizontal="center"/>
    </xf>
    <xf numFmtId="4" fontId="4" fillId="33" borderId="27" xfId="0" applyNumberFormat="1" applyFont="1" applyFill="1" applyBorder="1" applyAlignment="1">
      <alignment/>
    </xf>
    <xf numFmtId="4" fontId="4" fillId="33" borderId="32" xfId="0" applyNumberFormat="1" applyFont="1" applyFill="1" applyBorder="1" applyAlignment="1">
      <alignment/>
    </xf>
    <xf numFmtId="10" fontId="4" fillId="33" borderId="32" xfId="99" applyNumberFormat="1" applyFont="1" applyFill="1" applyBorder="1" applyAlignment="1">
      <alignment horizontal="center" vertical="center" wrapText="1"/>
    </xf>
    <xf numFmtId="9" fontId="4" fillId="33" borderId="27" xfId="99" applyFont="1" applyFill="1" applyBorder="1" applyAlignment="1">
      <alignment/>
    </xf>
    <xf numFmtId="4" fontId="4" fillId="16" borderId="16" xfId="0" applyNumberFormat="1" applyFont="1" applyFill="1" applyBorder="1" applyAlignment="1">
      <alignment/>
    </xf>
    <xf numFmtId="10" fontId="4" fillId="16" borderId="16" xfId="99" applyNumberFormat="1" applyFont="1" applyFill="1" applyBorder="1" applyAlignment="1">
      <alignment horizontal="center"/>
    </xf>
    <xf numFmtId="10" fontId="4" fillId="16" borderId="53" xfId="99" applyNumberFormat="1" applyFont="1" applyFill="1" applyBorder="1" applyAlignment="1">
      <alignment horizontal="center"/>
    </xf>
    <xf numFmtId="10" fontId="4" fillId="16" borderId="13" xfId="99" applyNumberFormat="1" applyFont="1" applyFill="1" applyBorder="1" applyAlignment="1">
      <alignment horizontal="center"/>
    </xf>
    <xf numFmtId="4" fontId="4" fillId="16" borderId="15" xfId="0" applyNumberFormat="1" applyFont="1" applyFill="1" applyBorder="1" applyAlignment="1">
      <alignment/>
    </xf>
    <xf numFmtId="4" fontId="4" fillId="16" borderId="14" xfId="0" applyNumberFormat="1" applyFont="1" applyFill="1" applyBorder="1" applyAlignment="1">
      <alignment/>
    </xf>
    <xf numFmtId="4" fontId="4" fillId="16" borderId="13" xfId="0" applyNumberFormat="1" applyFont="1" applyFill="1" applyBorder="1" applyAlignment="1">
      <alignment/>
    </xf>
    <xf numFmtId="10" fontId="4" fillId="16" borderId="14" xfId="99" applyNumberFormat="1" applyFont="1" applyFill="1" applyBorder="1" applyAlignment="1">
      <alignment horizontal="center" vertical="center" wrapText="1"/>
    </xf>
    <xf numFmtId="9" fontId="4" fillId="16" borderId="52" xfId="99" applyFont="1" applyFill="1" applyBorder="1" applyAlignment="1">
      <alignment/>
    </xf>
    <xf numFmtId="4" fontId="4" fillId="36" borderId="32" xfId="0" applyNumberFormat="1" applyFont="1" applyFill="1" applyBorder="1" applyAlignment="1">
      <alignment/>
    </xf>
    <xf numFmtId="10" fontId="4" fillId="36" borderId="32" xfId="99" applyNumberFormat="1" applyFont="1" applyFill="1" applyBorder="1" applyAlignment="1">
      <alignment/>
    </xf>
    <xf numFmtId="10" fontId="4" fillId="36" borderId="23" xfId="99" applyNumberFormat="1" applyFont="1" applyFill="1" applyBorder="1" applyAlignment="1">
      <alignment/>
    </xf>
    <xf numFmtId="0" fontId="4" fillId="10" borderId="53" xfId="0" applyFont="1" applyFill="1" applyBorder="1" applyAlignment="1">
      <alignment wrapText="1"/>
    </xf>
    <xf numFmtId="3" fontId="4" fillId="10" borderId="11" xfId="0" applyNumberFormat="1" applyFont="1" applyFill="1" applyBorder="1" applyAlignment="1">
      <alignment wrapText="1"/>
    </xf>
    <xf numFmtId="3" fontId="4" fillId="10" borderId="16" xfId="0" applyNumberFormat="1" applyFont="1" applyFill="1" applyBorder="1" applyAlignment="1">
      <alignment wrapText="1"/>
    </xf>
    <xf numFmtId="4" fontId="4" fillId="10" borderId="16" xfId="0" applyNumberFormat="1" applyFont="1" applyFill="1" applyBorder="1" applyAlignment="1">
      <alignment/>
    </xf>
    <xf numFmtId="4" fontId="4" fillId="10" borderId="15" xfId="0" applyNumberFormat="1" applyFont="1" applyFill="1" applyBorder="1" applyAlignment="1">
      <alignment wrapText="1"/>
    </xf>
    <xf numFmtId="10" fontId="4" fillId="10" borderId="15" xfId="99" applyNumberFormat="1" applyFont="1" applyFill="1" applyBorder="1" applyAlignment="1">
      <alignment/>
    </xf>
    <xf numFmtId="4" fontId="4" fillId="10" borderId="13" xfId="0" applyNumberFormat="1" applyFont="1" applyFill="1" applyBorder="1" applyAlignment="1">
      <alignment wrapText="1"/>
    </xf>
    <xf numFmtId="10" fontId="4" fillId="10" borderId="52" xfId="99" applyNumberFormat="1" applyFont="1" applyFill="1" applyBorder="1" applyAlignment="1">
      <alignment/>
    </xf>
    <xf numFmtId="4" fontId="4" fillId="10" borderId="12" xfId="0" applyNumberFormat="1" applyFont="1" applyFill="1" applyBorder="1" applyAlignment="1">
      <alignment wrapText="1"/>
    </xf>
    <xf numFmtId="10" fontId="4" fillId="10" borderId="16" xfId="99" applyNumberFormat="1" applyFont="1" applyFill="1" applyBorder="1" applyAlignment="1">
      <alignment wrapText="1"/>
    </xf>
    <xf numFmtId="4" fontId="4" fillId="36" borderId="59" xfId="0" applyNumberFormat="1" applyFont="1" applyFill="1" applyBorder="1" applyAlignment="1">
      <alignment/>
    </xf>
    <xf numFmtId="4" fontId="4" fillId="10" borderId="53" xfId="0" applyNumberFormat="1" applyFont="1" applyFill="1" applyBorder="1" applyAlignment="1">
      <alignment wrapText="1"/>
    </xf>
    <xf numFmtId="4" fontId="4" fillId="36" borderId="60" xfId="0" applyNumberFormat="1" applyFont="1" applyFill="1" applyBorder="1" applyAlignment="1">
      <alignment/>
    </xf>
    <xf numFmtId="10" fontId="4" fillId="33" borderId="33" xfId="99" applyNumberFormat="1" applyFont="1" applyFill="1" applyBorder="1" applyAlignment="1">
      <alignment wrapText="1"/>
    </xf>
    <xf numFmtId="4" fontId="4" fillId="33" borderId="33" xfId="0" applyNumberFormat="1" applyFont="1" applyFill="1" applyBorder="1" applyAlignment="1">
      <alignment horizontal="right"/>
    </xf>
    <xf numFmtId="10" fontId="4" fillId="36" borderId="18" xfId="99" applyNumberFormat="1" applyFont="1" applyFill="1" applyBorder="1" applyAlignment="1">
      <alignment wrapText="1"/>
    </xf>
    <xf numFmtId="10" fontId="5" fillId="36" borderId="44" xfId="99" applyNumberFormat="1" applyFont="1" applyFill="1" applyBorder="1" applyAlignment="1">
      <alignment wrapText="1"/>
    </xf>
    <xf numFmtId="4" fontId="4" fillId="36" borderId="18" xfId="0" applyNumberFormat="1" applyFont="1" applyFill="1" applyBorder="1" applyAlignment="1">
      <alignment horizontal="right"/>
    </xf>
    <xf numFmtId="4" fontId="4" fillId="36" borderId="24" xfId="0" applyNumberFormat="1" applyFont="1" applyFill="1" applyBorder="1" applyAlignment="1">
      <alignment horizontal="right"/>
    </xf>
    <xf numFmtId="4" fontId="4" fillId="36" borderId="29" xfId="0" applyNumberFormat="1" applyFont="1" applyFill="1" applyBorder="1" applyAlignment="1">
      <alignment horizontal="right"/>
    </xf>
    <xf numFmtId="4" fontId="4" fillId="36" borderId="27" xfId="0" applyNumberFormat="1" applyFont="1" applyFill="1" applyBorder="1" applyAlignment="1">
      <alignment horizontal="right"/>
    </xf>
    <xf numFmtId="168" fontId="4" fillId="36" borderId="28" xfId="99" applyNumberFormat="1" applyFont="1" applyFill="1" applyBorder="1" applyAlignment="1">
      <alignment horizontal="center"/>
    </xf>
    <xf numFmtId="10" fontId="95" fillId="36" borderId="52" xfId="99" applyNumberFormat="1" applyFont="1" applyFill="1" applyBorder="1" applyAlignment="1">
      <alignment horizontal="center"/>
    </xf>
    <xf numFmtId="10" fontId="95" fillId="36" borderId="43" xfId="99" applyNumberFormat="1" applyFont="1" applyFill="1" applyBorder="1" applyAlignment="1">
      <alignment horizontal="center"/>
    </xf>
    <xf numFmtId="10" fontId="95" fillId="36" borderId="45" xfId="99" applyNumberFormat="1" applyFont="1" applyFill="1" applyBorder="1" applyAlignment="1">
      <alignment horizontal="center"/>
    </xf>
    <xf numFmtId="168" fontId="4" fillId="36" borderId="52" xfId="99" applyNumberFormat="1" applyFont="1" applyFill="1" applyBorder="1" applyAlignment="1">
      <alignment horizontal="center"/>
    </xf>
    <xf numFmtId="168" fontId="4" fillId="36" borderId="43" xfId="99" applyNumberFormat="1" applyFont="1" applyFill="1" applyBorder="1" applyAlignment="1">
      <alignment horizontal="center"/>
    </xf>
    <xf numFmtId="168" fontId="4" fillId="36" borderId="30" xfId="99" applyNumberFormat="1" applyFont="1" applyFill="1" applyBorder="1" applyAlignment="1">
      <alignment horizontal="center"/>
    </xf>
    <xf numFmtId="168" fontId="4" fillId="36" borderId="45" xfId="99" applyNumberFormat="1" applyFont="1" applyFill="1" applyBorder="1" applyAlignment="1">
      <alignment horizontal="center"/>
    </xf>
    <xf numFmtId="4" fontId="95" fillId="0" borderId="61" xfId="99" applyNumberFormat="1" applyFont="1" applyFill="1" applyBorder="1" applyAlignment="1">
      <alignment horizontal="right"/>
    </xf>
    <xf numFmtId="4" fontId="95" fillId="0" borderId="42" xfId="99" applyNumberFormat="1" applyFont="1" applyFill="1" applyBorder="1" applyAlignment="1">
      <alignment horizontal="center"/>
    </xf>
    <xf numFmtId="4" fontId="95" fillId="0" borderId="42" xfId="99" applyNumberFormat="1" applyFont="1" applyFill="1" applyBorder="1" applyAlignment="1">
      <alignment horizontal="right"/>
    </xf>
    <xf numFmtId="4" fontId="5" fillId="0" borderId="18" xfId="99" applyNumberFormat="1" applyFont="1" applyFill="1" applyBorder="1" applyAlignment="1">
      <alignment/>
    </xf>
    <xf numFmtId="4" fontId="4" fillId="0" borderId="26" xfId="93" applyNumberFormat="1" applyFont="1" applyFill="1" applyBorder="1">
      <alignment/>
      <protection/>
    </xf>
    <xf numFmtId="4" fontId="5" fillId="0" borderId="18" xfId="93" applyNumberFormat="1" applyFont="1" applyFill="1" applyBorder="1" applyAlignment="1">
      <alignment horizontal="right"/>
      <protection/>
    </xf>
    <xf numFmtId="4" fontId="5" fillId="0" borderId="23" xfId="93" applyNumberFormat="1" applyFont="1" applyFill="1" applyBorder="1">
      <alignment/>
      <protection/>
    </xf>
    <xf numFmtId="4" fontId="5" fillId="0" borderId="62" xfId="0" applyNumberFormat="1" applyFont="1" applyFill="1" applyBorder="1" applyAlignment="1">
      <alignment horizontal="right" vertical="center"/>
    </xf>
    <xf numFmtId="4" fontId="5" fillId="0" borderId="24" xfId="93" applyNumberFormat="1" applyFont="1" applyFill="1" applyBorder="1" applyAlignment="1">
      <alignment horizontal="right"/>
      <protection/>
    </xf>
    <xf numFmtId="4" fontId="5" fillId="0" borderId="18" xfId="100" applyNumberFormat="1" applyFont="1" applyFill="1" applyBorder="1" applyAlignment="1">
      <alignment horizontal="right"/>
    </xf>
    <xf numFmtId="4" fontId="5" fillId="0" borderId="27" xfId="93" applyNumberFormat="1" applyFont="1" applyFill="1" applyBorder="1" applyAlignment="1">
      <alignment horizontal="right"/>
      <protection/>
    </xf>
    <xf numFmtId="10" fontId="4" fillId="0" borderId="30" xfId="100" applyNumberFormat="1" applyFont="1" applyFill="1" applyBorder="1" applyAlignment="1">
      <alignment wrapText="1"/>
    </xf>
    <xf numFmtId="10" fontId="4" fillId="0" borderId="44" xfId="100" applyNumberFormat="1" applyFont="1" applyFill="1" applyBorder="1" applyAlignment="1">
      <alignment wrapText="1"/>
    </xf>
    <xf numFmtId="10" fontId="4" fillId="0" borderId="43" xfId="100" applyNumberFormat="1" applyFont="1" applyFill="1" applyBorder="1" applyAlignment="1">
      <alignment wrapText="1"/>
    </xf>
    <xf numFmtId="173" fontId="4" fillId="10" borderId="63" xfId="0" applyNumberFormat="1" applyFont="1" applyFill="1" applyBorder="1" applyAlignment="1">
      <alignment wrapText="1"/>
    </xf>
    <xf numFmtId="173" fontId="4" fillId="10" borderId="64" xfId="0" applyNumberFormat="1" applyFont="1" applyFill="1" applyBorder="1" applyAlignment="1">
      <alignment wrapText="1"/>
    </xf>
    <xf numFmtId="10" fontId="4" fillId="0" borderId="30" xfId="99" applyNumberFormat="1" applyFont="1" applyFill="1" applyBorder="1" applyAlignment="1">
      <alignment horizontal="center"/>
    </xf>
    <xf numFmtId="10" fontId="4" fillId="0" borderId="65" xfId="99" applyNumberFormat="1" applyFont="1" applyFill="1" applyBorder="1" applyAlignment="1">
      <alignment horizontal="center"/>
    </xf>
    <xf numFmtId="10" fontId="4" fillId="0" borderId="38" xfId="99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97" fillId="0" borderId="0" xfId="0" applyFont="1" applyAlignment="1">
      <alignment/>
    </xf>
    <xf numFmtId="3" fontId="58" fillId="0" borderId="0" xfId="0" applyNumberFormat="1" applyFont="1" applyAlignment="1">
      <alignment/>
    </xf>
    <xf numFmtId="0" fontId="9" fillId="0" borderId="0" xfId="0" applyFont="1" applyAlignment="1">
      <alignment horizontal="left" vertical="center" wrapText="1"/>
    </xf>
    <xf numFmtId="168" fontId="0" fillId="0" borderId="0" xfId="99" applyNumberFormat="1" applyFont="1" applyFill="1" applyAlignment="1">
      <alignment/>
    </xf>
    <xf numFmtId="168" fontId="4" fillId="0" borderId="28" xfId="99" applyNumberFormat="1" applyFont="1" applyFill="1" applyBorder="1" applyAlignment="1">
      <alignment/>
    </xf>
    <xf numFmtId="168" fontId="5" fillId="0" borderId="28" xfId="99" applyNumberFormat="1" applyFont="1" applyFill="1" applyBorder="1" applyAlignment="1">
      <alignment/>
    </xf>
    <xf numFmtId="168" fontId="4" fillId="0" borderId="28" xfId="100" applyNumberFormat="1" applyFont="1" applyFill="1" applyBorder="1" applyAlignment="1">
      <alignment/>
    </xf>
    <xf numFmtId="168" fontId="4" fillId="0" borderId="28" xfId="100" applyNumberFormat="1" applyFont="1" applyFill="1" applyBorder="1" applyAlignment="1">
      <alignment horizontal="center"/>
    </xf>
    <xf numFmtId="168" fontId="4" fillId="0" borderId="28" xfId="99" applyNumberFormat="1" applyFont="1" applyFill="1" applyBorder="1" applyAlignment="1">
      <alignment horizontal="center"/>
    </xf>
    <xf numFmtId="2" fontId="4" fillId="10" borderId="11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7" fillId="0" borderId="0" xfId="0" applyFont="1" applyFill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98" fillId="0" borderId="0" xfId="0" applyFont="1" applyAlignment="1">
      <alignment horizontal="center" wrapText="1"/>
    </xf>
    <xf numFmtId="0" fontId="3" fillId="10" borderId="66" xfId="0" applyFont="1" applyFill="1" applyBorder="1" applyAlignment="1">
      <alignment horizontal="center" vertical="center"/>
    </xf>
    <xf numFmtId="0" fontId="3" fillId="10" borderId="55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wrapText="1"/>
    </xf>
    <xf numFmtId="0" fontId="51" fillId="35" borderId="0" xfId="0" applyFont="1" applyFill="1" applyAlignment="1">
      <alignment/>
    </xf>
    <xf numFmtId="3" fontId="3" fillId="10" borderId="22" xfId="0" applyNumberFormat="1" applyFont="1" applyFill="1" applyBorder="1" applyAlignment="1">
      <alignment horizontal="center" vertical="center" wrapText="1"/>
    </xf>
    <xf numFmtId="3" fontId="3" fillId="10" borderId="54" xfId="0" applyNumberFormat="1" applyFont="1" applyFill="1" applyBorder="1" applyAlignment="1">
      <alignment horizontal="center" vertical="center" wrapText="1"/>
    </xf>
    <xf numFmtId="3" fontId="3" fillId="10" borderId="11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te" xfId="95"/>
    <cellStyle name="Note 2" xfId="96"/>
    <cellStyle name="Output" xfId="97"/>
    <cellStyle name="Output 2" xfId="98"/>
    <cellStyle name="Percent" xfId="99"/>
    <cellStyle name="Percent 2" xfId="100"/>
    <cellStyle name="Title" xfId="101"/>
    <cellStyle name="Total" xfId="102"/>
    <cellStyle name="Total 2" xfId="103"/>
    <cellStyle name="Warning Text" xfId="104"/>
    <cellStyle name="Warning Text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20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34"/>
          <c:w val="0.7315"/>
          <c:h val="0.928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Recovered 2nd quarter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0,03 (49,06%)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0,03 (17,58%)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0,89 (61,92%)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0,96 (56,06%)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Sheet1!$A$17:$A$20</c:f>
              <c:strCache/>
            </c:strRef>
          </c:cat>
          <c:val>
            <c:numRef>
              <c:f>Sheet1!$B$17:$B$20</c:f>
              <c:numCache/>
            </c:numRef>
          </c:val>
          <c:shape val="box"/>
        </c:ser>
        <c:ser>
          <c:idx val="1"/>
          <c:order val="1"/>
          <c:tx>
            <c:strRef>
              <c:f>Sheet1!$C$16</c:f>
              <c:strCache>
                <c:ptCount val="1"/>
                <c:pt idx="0">
                  <c:v>Recovered total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0,49 (80,76%)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0,93 (55,89%)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7,00 (86,78%)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8,43 (81,42%)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Sheet1!$A$17:$A$20</c:f>
              <c:strCache/>
            </c:strRef>
          </c:cat>
          <c:val>
            <c:numRef>
              <c:f>Sheet1!$C$17:$C$20</c:f>
              <c:numCache/>
            </c:numRef>
          </c:val>
          <c:shape val="box"/>
        </c:ser>
        <c:shape val="box"/>
        <c:axId val="15380248"/>
        <c:axId val="4204505"/>
      </c:bar3DChart>
      <c:catAx>
        <c:axId val="15380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4505"/>
        <c:crosses val="autoZero"/>
        <c:auto val="1"/>
        <c:lblOffset val="100"/>
        <c:tickLblSkip val="1"/>
        <c:noMultiLvlLbl val="0"/>
      </c:catAx>
      <c:valAx>
        <c:axId val="42045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80248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4145"/>
          <c:w val="0.2895"/>
          <c:h val="0.1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0</xdr:row>
      <xdr:rowOff>0</xdr:rowOff>
    </xdr:from>
    <xdr:to>
      <xdr:col>17</xdr:col>
      <xdr:colOff>28575</xdr:colOff>
      <xdr:row>7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696575" y="0"/>
          <a:ext cx="6057900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pielikums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Informatīvajam ziņojumam par Eiropas Savienības struktūrfondu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un Kohēzijas fonda, Eiropas Ekonomikas zonas finanšu instrumenta,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Norvēģijas valdības divpusējā finanšu instrumenta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un Latvijas–Šveices sadarbības programmas apguvi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līdz 2011.gada 30.septembrim.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11</xdr:row>
      <xdr:rowOff>104775</xdr:rowOff>
    </xdr:from>
    <xdr:to>
      <xdr:col>13</xdr:col>
      <xdr:colOff>361950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5057775" y="2133600"/>
        <a:ext cx="45720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Y94"/>
  <sheetViews>
    <sheetView tabSelected="1" view="pageBreakPreview" zoomScale="60" zoomScaleNormal="80" zoomScalePageLayoutView="85" workbookViewId="0" topLeftCell="A1">
      <selection activeCell="A92" sqref="A92"/>
    </sheetView>
  </sheetViews>
  <sheetFormatPr defaultColWidth="9.140625" defaultRowHeight="15"/>
  <cols>
    <col min="1" max="1" width="19.421875" style="0" customWidth="1"/>
    <col min="2" max="3" width="18.140625" style="9" customWidth="1"/>
    <col min="4" max="4" width="14.28125" style="0" customWidth="1"/>
    <col min="5" max="5" width="13.8515625" style="0" customWidth="1"/>
    <col min="6" max="6" width="16.28125" style="0" customWidth="1"/>
    <col min="7" max="7" width="13.140625" style="0" customWidth="1"/>
    <col min="8" max="8" width="12.28125" style="0" customWidth="1"/>
    <col min="9" max="9" width="13.421875" style="0" customWidth="1"/>
    <col min="10" max="10" width="17.140625" style="0" customWidth="1"/>
    <col min="11" max="11" width="13.28125" style="0" customWidth="1"/>
    <col min="12" max="12" width="13.140625" style="0" customWidth="1"/>
    <col min="13" max="13" width="12.57421875" style="0" customWidth="1"/>
    <col min="14" max="14" width="14.8515625" style="0" customWidth="1"/>
    <col min="15" max="15" width="12.57421875" style="0" customWidth="1"/>
    <col min="16" max="16" width="15.7109375" style="0" customWidth="1"/>
    <col min="17" max="17" width="12.57421875" style="0" customWidth="1"/>
    <col min="18" max="18" width="11.7109375" style="8" customWidth="1"/>
    <col min="19" max="19" width="10.7109375" style="8" customWidth="1"/>
    <col min="20" max="20" width="11.57421875" style="8" customWidth="1"/>
    <col min="21" max="21" width="10.140625" style="8" customWidth="1"/>
    <col min="22" max="22" width="10.57421875" style="8" customWidth="1"/>
    <col min="23" max="23" width="10.28125" style="8" customWidth="1"/>
  </cols>
  <sheetData>
    <row r="4" ht="14.25">
      <c r="D4" s="16"/>
    </row>
    <row r="5" ht="14.25" hidden="1"/>
    <row r="6" spans="2:23" s="12" customFormat="1" ht="14.25">
      <c r="B6" s="9"/>
      <c r="C6" s="9"/>
      <c r="R6" s="8"/>
      <c r="S6" s="8"/>
      <c r="T6" s="8"/>
      <c r="U6" s="8"/>
      <c r="V6" s="8"/>
      <c r="W6" s="8"/>
    </row>
    <row r="7" spans="2:23" s="12" customFormat="1" ht="43.5" customHeight="1">
      <c r="B7" s="9"/>
      <c r="C7" s="9"/>
      <c r="R7" s="8"/>
      <c r="S7" s="8"/>
      <c r="T7" s="8"/>
      <c r="U7" s="8"/>
      <c r="V7" s="8"/>
      <c r="W7" s="8"/>
    </row>
    <row r="8" spans="1:17" ht="18.75" customHeight="1">
      <c r="A8" s="365" t="s">
        <v>74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</row>
    <row r="9" ht="1.5" customHeight="1" hidden="1" thickBot="1"/>
    <row r="10" spans="1:17" ht="12" customHeight="1" thickBot="1">
      <c r="A10" s="1"/>
      <c r="B10" s="10"/>
      <c r="C10" s="4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 customHeight="1" thickBot="1">
      <c r="A11" s="366" t="s">
        <v>0</v>
      </c>
      <c r="B11" s="370" t="s">
        <v>67</v>
      </c>
      <c r="C11" s="372" t="s">
        <v>68</v>
      </c>
      <c r="D11" s="361" t="s">
        <v>28</v>
      </c>
      <c r="E11" s="361"/>
      <c r="F11" s="361"/>
      <c r="G11" s="361"/>
      <c r="H11" s="361"/>
      <c r="I11" s="361"/>
      <c r="J11" s="361"/>
      <c r="K11" s="361" t="s">
        <v>69</v>
      </c>
      <c r="L11" s="362"/>
      <c r="M11" s="362"/>
      <c r="N11" s="362"/>
      <c r="O11" s="362"/>
      <c r="P11" s="362"/>
      <c r="Q11" s="362"/>
    </row>
    <row r="12" spans="1:17" ht="114" customHeight="1" thickBot="1">
      <c r="A12" s="367"/>
      <c r="B12" s="371"/>
      <c r="C12" s="372"/>
      <c r="D12" s="58" t="s">
        <v>1</v>
      </c>
      <c r="E12" s="58" t="s">
        <v>25</v>
      </c>
      <c r="F12" s="58" t="s">
        <v>3</v>
      </c>
      <c r="G12" s="58" t="s">
        <v>4</v>
      </c>
      <c r="H12" s="58" t="s">
        <v>49</v>
      </c>
      <c r="I12" s="58" t="s">
        <v>51</v>
      </c>
      <c r="J12" s="58" t="s">
        <v>53</v>
      </c>
      <c r="K12" s="58" t="s">
        <v>1</v>
      </c>
      <c r="L12" s="58" t="s">
        <v>2</v>
      </c>
      <c r="M12" s="58" t="s">
        <v>3</v>
      </c>
      <c r="N12" s="58" t="s">
        <v>4</v>
      </c>
      <c r="O12" s="58" t="s">
        <v>54</v>
      </c>
      <c r="P12" s="58" t="s">
        <v>24</v>
      </c>
      <c r="Q12" s="58" t="s">
        <v>5</v>
      </c>
    </row>
    <row r="13" spans="1:17" ht="15.75" customHeight="1" thickBot="1">
      <c r="A13" s="2">
        <v>1</v>
      </c>
      <c r="B13" s="11">
        <v>2</v>
      </c>
      <c r="C13" s="11">
        <v>3</v>
      </c>
      <c r="D13" s="3" t="s">
        <v>50</v>
      </c>
      <c r="E13" s="4">
        <v>5</v>
      </c>
      <c r="F13" s="4">
        <v>6</v>
      </c>
      <c r="G13" s="4">
        <v>7</v>
      </c>
      <c r="H13" s="4" t="s">
        <v>48</v>
      </c>
      <c r="I13" s="5">
        <v>9</v>
      </c>
      <c r="J13" s="5" t="s">
        <v>52</v>
      </c>
      <c r="K13" s="3" t="s">
        <v>47</v>
      </c>
      <c r="L13" s="6">
        <v>12</v>
      </c>
      <c r="M13" s="6">
        <v>13</v>
      </c>
      <c r="N13" s="4">
        <v>14</v>
      </c>
      <c r="O13" s="4" t="s">
        <v>46</v>
      </c>
      <c r="P13" s="4">
        <v>16</v>
      </c>
      <c r="Q13" s="7" t="s">
        <v>45</v>
      </c>
    </row>
    <row r="14" spans="1:17" s="52" customFormat="1" ht="34.5" customHeight="1" thickBot="1">
      <c r="A14" s="302" t="s">
        <v>6</v>
      </c>
      <c r="B14" s="303">
        <f>SUM(B15,B24,B38)</f>
        <v>1306915217.8999999</v>
      </c>
      <c r="C14" s="304">
        <f>SUM(C15,C24,C38)</f>
        <v>1343018755.15</v>
      </c>
      <c r="D14" s="305">
        <f>E14+F14+G14</f>
        <v>3036554.81</v>
      </c>
      <c r="E14" s="306">
        <f>SUM(E15,E24,E38)</f>
        <v>2994427.17</v>
      </c>
      <c r="F14" s="306">
        <f>SUM(F15,F24,F38)</f>
        <v>27398.33</v>
      </c>
      <c r="G14" s="306">
        <f>SUM(G15,G24,G38)</f>
        <v>14729.31</v>
      </c>
      <c r="H14" s="307">
        <f aca="true" t="shared" si="0" ref="H14:H30">D14/C14</f>
        <v>0.002260992110762333</v>
      </c>
      <c r="I14" s="308">
        <f>SUM(I15,I24,I38)</f>
        <v>2550372.4799999995</v>
      </c>
      <c r="J14" s="309">
        <f>I14/D14</f>
        <v>0.8398901516946435</v>
      </c>
      <c r="K14" s="310">
        <f>SUM(L14:N14)</f>
        <v>9695085.879999999</v>
      </c>
      <c r="L14" s="306">
        <f>SUM(L15,L24,L38,)</f>
        <v>8960746.09</v>
      </c>
      <c r="M14" s="313">
        <f>SUM(M15,M24,M38,)</f>
        <v>389025.67000000004</v>
      </c>
      <c r="N14" s="308">
        <f>SUM(N15,N24,N38,)</f>
        <v>345314.12</v>
      </c>
      <c r="O14" s="239">
        <f>K14/C14</f>
        <v>0.007218876015560309</v>
      </c>
      <c r="P14" s="308">
        <f>SUM(P15,P24,P38,)</f>
        <v>8237767.3</v>
      </c>
      <c r="Q14" s="311">
        <f>P14/K14</f>
        <v>0.8496848199141481</v>
      </c>
    </row>
    <row r="15" spans="1:23" s="60" customFormat="1" ht="14.25">
      <c r="A15" s="49" t="s">
        <v>7</v>
      </c>
      <c r="B15" s="173">
        <f>SUM(B16:B23)</f>
        <v>248691377.04000002</v>
      </c>
      <c r="C15" s="174">
        <f>SUM(C16:C23)</f>
        <v>248600064.92</v>
      </c>
      <c r="D15" s="166">
        <f>E15+F15+G15</f>
        <v>124804.45000000001</v>
      </c>
      <c r="E15" s="299">
        <f>SUM(E16:E23)</f>
        <v>111152.01000000001</v>
      </c>
      <c r="F15" s="299">
        <f>SUM(F16:F23)</f>
        <v>13639.7</v>
      </c>
      <c r="G15" s="299">
        <f>SUM(G16:G23)</f>
        <v>12.74</v>
      </c>
      <c r="H15" s="300">
        <f t="shared" si="0"/>
        <v>0.0005020290322134966</v>
      </c>
      <c r="I15" s="299">
        <f>SUM(I16:I23)</f>
        <v>83825.67</v>
      </c>
      <c r="J15" s="301">
        <f>I15/D15</f>
        <v>0.6716560988009641</v>
      </c>
      <c r="K15" s="312">
        <f>SUM(K16:K23)</f>
        <v>560635.77</v>
      </c>
      <c r="L15" s="114">
        <f>SUM(L16:L23)</f>
        <v>499853.75</v>
      </c>
      <c r="M15" s="175">
        <f>SUM(M16:M23)</f>
        <v>60021.44</v>
      </c>
      <c r="N15" s="314">
        <f>SUM(N16:N23)</f>
        <v>760.58</v>
      </c>
      <c r="O15" s="178">
        <f aca="true" t="shared" si="1" ref="O15:O43">K15/C15</f>
        <v>0.002255171454522402</v>
      </c>
      <c r="P15" s="114">
        <f>SUM(P16:P22)</f>
        <v>461578.71</v>
      </c>
      <c r="Q15" s="185">
        <f>P15/K15</f>
        <v>0.8233129862548728</v>
      </c>
      <c r="R15" s="48"/>
      <c r="S15" s="42"/>
      <c r="T15" s="42"/>
      <c r="U15" s="42"/>
      <c r="V15" s="42"/>
      <c r="W15" s="42"/>
    </row>
    <row r="16" spans="1:18" s="8" customFormat="1" ht="14.25">
      <c r="A16" s="19" t="s">
        <v>8</v>
      </c>
      <c r="B16" s="70">
        <v>94753274.25</v>
      </c>
      <c r="C16" s="97">
        <v>94214452.09999998</v>
      </c>
      <c r="D16" s="74">
        <f>E16+F16+G16</f>
        <v>71074.99000000002</v>
      </c>
      <c r="E16" s="89">
        <v>60584.67000000001</v>
      </c>
      <c r="F16" s="89">
        <v>10477.58</v>
      </c>
      <c r="G16" s="89">
        <v>12.74</v>
      </c>
      <c r="H16" s="68">
        <f t="shared" si="0"/>
        <v>0.0007543958322292259</v>
      </c>
      <c r="I16" s="89">
        <v>37583.72</v>
      </c>
      <c r="J16" s="356">
        <f>I16/D16</f>
        <v>0.5287896628617181</v>
      </c>
      <c r="K16" s="105">
        <f>L16+M16+N16</f>
        <v>268522.97000000003</v>
      </c>
      <c r="L16" s="89">
        <v>229147.04</v>
      </c>
      <c r="M16" s="89">
        <v>38615.35</v>
      </c>
      <c r="N16" s="334">
        <v>760.58</v>
      </c>
      <c r="O16" s="177">
        <f t="shared" si="1"/>
        <v>0.0028501250499762773</v>
      </c>
      <c r="P16" s="96">
        <v>239177.15000000002</v>
      </c>
      <c r="Q16" s="187">
        <f>P16/K16</f>
        <v>0.8907139303576153</v>
      </c>
      <c r="R16" s="25"/>
    </row>
    <row r="17" spans="1:18" s="8" customFormat="1" ht="14.25">
      <c r="A17" s="19" t="s">
        <v>9</v>
      </c>
      <c r="B17" s="70">
        <v>117798792.53000002</v>
      </c>
      <c r="C17" s="97">
        <v>117999384.05</v>
      </c>
      <c r="D17" s="74">
        <f aca="true" t="shared" si="2" ref="D17:D23">E17+F17+G17</f>
        <v>32528.619999999995</v>
      </c>
      <c r="E17" s="89">
        <v>29492.249999999996</v>
      </c>
      <c r="F17" s="89">
        <v>3036.37</v>
      </c>
      <c r="G17" s="89">
        <v>0</v>
      </c>
      <c r="H17" s="68">
        <f t="shared" si="0"/>
        <v>0.0002756677101485259</v>
      </c>
      <c r="I17" s="89">
        <v>45246.25</v>
      </c>
      <c r="J17" s="356">
        <f aca="true" t="shared" si="3" ref="J17:J43">I17/D17</f>
        <v>1.3909674004000172</v>
      </c>
      <c r="K17" s="105">
        <f aca="true" t="shared" si="4" ref="K17:K22">L17+M17+N17</f>
        <v>154664.5</v>
      </c>
      <c r="L17" s="89">
        <v>133662.57</v>
      </c>
      <c r="M17" s="89">
        <v>21001.93</v>
      </c>
      <c r="N17" s="106">
        <v>0</v>
      </c>
      <c r="O17" s="179">
        <f t="shared" si="1"/>
        <v>0.0013107229435576023</v>
      </c>
      <c r="P17" s="96">
        <v>148651.73</v>
      </c>
      <c r="Q17" s="193">
        <f aca="true" t="shared" si="5" ref="Q17:Q23">P17/K17</f>
        <v>0.9611237872944342</v>
      </c>
      <c r="R17" s="355"/>
    </row>
    <row r="18" spans="1:17" s="8" customFormat="1" ht="14.25">
      <c r="A18" s="19" t="s">
        <v>10</v>
      </c>
      <c r="B18" s="70">
        <v>5403513.92</v>
      </c>
      <c r="C18" s="97">
        <v>5403513.92</v>
      </c>
      <c r="D18" s="74">
        <f t="shared" si="2"/>
        <v>0</v>
      </c>
      <c r="E18" s="89">
        <v>0</v>
      </c>
      <c r="F18" s="89">
        <v>0</v>
      </c>
      <c r="G18" s="89">
        <v>0</v>
      </c>
      <c r="H18" s="68">
        <f t="shared" si="0"/>
        <v>0</v>
      </c>
      <c r="I18" s="89">
        <v>0</v>
      </c>
      <c r="J18" s="356">
        <v>0</v>
      </c>
      <c r="K18" s="105">
        <f t="shared" si="4"/>
        <v>0</v>
      </c>
      <c r="L18" s="107">
        <v>0</v>
      </c>
      <c r="M18" s="107">
        <v>0</v>
      </c>
      <c r="N18" s="106">
        <v>0</v>
      </c>
      <c r="O18" s="177">
        <f t="shared" si="1"/>
        <v>0</v>
      </c>
      <c r="P18" s="108">
        <v>0</v>
      </c>
      <c r="Q18" s="193">
        <v>0</v>
      </c>
    </row>
    <row r="19" spans="1:17" s="8" customFormat="1" ht="14.25">
      <c r="A19" s="19" t="s">
        <v>11</v>
      </c>
      <c r="B19" s="70">
        <v>18715626.91</v>
      </c>
      <c r="C19" s="97">
        <v>18779339.21</v>
      </c>
      <c r="D19" s="74">
        <f t="shared" si="2"/>
        <v>0</v>
      </c>
      <c r="E19" s="89">
        <v>0</v>
      </c>
      <c r="F19" s="89">
        <v>0</v>
      </c>
      <c r="G19" s="89">
        <v>0</v>
      </c>
      <c r="H19" s="68">
        <f t="shared" si="0"/>
        <v>0</v>
      </c>
      <c r="I19" s="89">
        <v>0</v>
      </c>
      <c r="J19" s="356">
        <v>0</v>
      </c>
      <c r="K19" s="105">
        <f t="shared" si="4"/>
        <v>73111.45</v>
      </c>
      <c r="L19" s="89">
        <v>73111.45</v>
      </c>
      <c r="M19" s="107">
        <v>0</v>
      </c>
      <c r="N19" s="106">
        <v>0</v>
      </c>
      <c r="O19" s="179">
        <f t="shared" si="1"/>
        <v>0.0038931854407884673</v>
      </c>
      <c r="P19" s="108">
        <v>64442.55</v>
      </c>
      <c r="Q19" s="193">
        <f t="shared" si="5"/>
        <v>0.8814289690602499</v>
      </c>
    </row>
    <row r="20" spans="1:17" s="8" customFormat="1" ht="14.25">
      <c r="A20" s="19" t="s">
        <v>12</v>
      </c>
      <c r="B20" s="70">
        <v>3116811.16</v>
      </c>
      <c r="C20" s="97">
        <v>3259315.8099999996</v>
      </c>
      <c r="D20" s="74">
        <f t="shared" si="2"/>
        <v>21170.039999999997</v>
      </c>
      <c r="E20" s="89">
        <v>21044.289999999997</v>
      </c>
      <c r="F20" s="89">
        <v>125.75</v>
      </c>
      <c r="G20" s="89">
        <v>0</v>
      </c>
      <c r="H20" s="68">
        <f t="shared" si="0"/>
        <v>0.006495240484229112</v>
      </c>
      <c r="I20" s="89">
        <v>964.8999999999999</v>
      </c>
      <c r="J20" s="356">
        <f t="shared" si="3"/>
        <v>0.04557856291249331</v>
      </c>
      <c r="K20" s="105">
        <f t="shared" si="4"/>
        <v>23034.469999999998</v>
      </c>
      <c r="L20" s="89">
        <v>22630.309999999998</v>
      </c>
      <c r="M20" s="89">
        <v>404.16</v>
      </c>
      <c r="N20" s="108">
        <v>0</v>
      </c>
      <c r="O20" s="180">
        <f t="shared" si="1"/>
        <v>0.0070672715817618175</v>
      </c>
      <c r="P20" s="96">
        <v>2803.7799999999997</v>
      </c>
      <c r="Q20" s="193">
        <f t="shared" si="5"/>
        <v>0.12172105544429718</v>
      </c>
    </row>
    <row r="21" spans="1:17" s="8" customFormat="1" ht="14.25">
      <c r="A21" s="19" t="s">
        <v>36</v>
      </c>
      <c r="B21" s="70">
        <v>2774037.0100000002</v>
      </c>
      <c r="C21" s="97">
        <v>2775518.55</v>
      </c>
      <c r="D21" s="74">
        <f t="shared" si="2"/>
        <v>0</v>
      </c>
      <c r="E21" s="89">
        <v>0</v>
      </c>
      <c r="F21" s="89">
        <v>0</v>
      </c>
      <c r="G21" s="89">
        <v>0</v>
      </c>
      <c r="H21" s="68">
        <f t="shared" si="0"/>
        <v>0</v>
      </c>
      <c r="I21" s="98">
        <v>0</v>
      </c>
      <c r="J21" s="356">
        <v>0</v>
      </c>
      <c r="K21" s="105">
        <f t="shared" si="4"/>
        <v>6503.5</v>
      </c>
      <c r="L21" s="89">
        <v>6503.5</v>
      </c>
      <c r="M21" s="107">
        <v>0</v>
      </c>
      <c r="N21" s="106">
        <v>0</v>
      </c>
      <c r="O21" s="181">
        <f t="shared" si="1"/>
        <v>0.0023431657482527006</v>
      </c>
      <c r="P21" s="96">
        <v>6503.5</v>
      </c>
      <c r="Q21" s="193">
        <v>1</v>
      </c>
    </row>
    <row r="22" spans="1:17" s="8" customFormat="1" ht="14.25">
      <c r="A22" s="19" t="s">
        <v>30</v>
      </c>
      <c r="B22" s="70">
        <v>699563.36</v>
      </c>
      <c r="C22" s="97">
        <v>699563.36</v>
      </c>
      <c r="D22" s="74">
        <f t="shared" si="2"/>
        <v>0</v>
      </c>
      <c r="E22" s="89">
        <v>0</v>
      </c>
      <c r="F22" s="89">
        <v>0</v>
      </c>
      <c r="G22" s="89">
        <v>0</v>
      </c>
      <c r="H22" s="68">
        <f t="shared" si="0"/>
        <v>0</v>
      </c>
      <c r="I22" s="89">
        <v>0</v>
      </c>
      <c r="J22" s="356">
        <v>0</v>
      </c>
      <c r="K22" s="105">
        <f t="shared" si="4"/>
        <v>0</v>
      </c>
      <c r="L22" s="107">
        <v>0</v>
      </c>
      <c r="M22" s="107">
        <v>0</v>
      </c>
      <c r="N22" s="106">
        <v>0</v>
      </c>
      <c r="O22" s="181">
        <f t="shared" si="1"/>
        <v>0</v>
      </c>
      <c r="P22" s="108">
        <v>0</v>
      </c>
      <c r="Q22" s="193">
        <v>0</v>
      </c>
    </row>
    <row r="23" spans="1:17" s="8" customFormat="1" ht="14.25">
      <c r="A23" s="19" t="s">
        <v>27</v>
      </c>
      <c r="B23" s="83">
        <v>5429757.9</v>
      </c>
      <c r="C23" s="85">
        <v>5468977.92</v>
      </c>
      <c r="D23" s="74">
        <f t="shared" si="2"/>
        <v>30.799999999999997</v>
      </c>
      <c r="E23" s="89">
        <v>30.799999999999997</v>
      </c>
      <c r="F23" s="89">
        <v>0</v>
      </c>
      <c r="G23" s="89">
        <v>0</v>
      </c>
      <c r="H23" s="68">
        <f t="shared" si="0"/>
        <v>5.6317652860445265E-06</v>
      </c>
      <c r="I23" s="89">
        <v>30.799999999999997</v>
      </c>
      <c r="J23" s="356">
        <f t="shared" si="3"/>
        <v>1</v>
      </c>
      <c r="K23" s="105">
        <v>34798.88</v>
      </c>
      <c r="L23" s="105">
        <v>34798.88</v>
      </c>
      <c r="M23" s="108">
        <v>0</v>
      </c>
      <c r="N23" s="108">
        <v>0</v>
      </c>
      <c r="O23" s="179">
        <f t="shared" si="1"/>
        <v>0.006362958583676271</v>
      </c>
      <c r="P23" s="96">
        <v>34798.88</v>
      </c>
      <c r="Q23" s="186">
        <f t="shared" si="5"/>
        <v>1</v>
      </c>
    </row>
    <row r="24" spans="1:17" s="50" customFormat="1" ht="14.25">
      <c r="A24" s="49" t="s">
        <v>13</v>
      </c>
      <c r="B24" s="164">
        <f>B25+B29</f>
        <v>666725160.72</v>
      </c>
      <c r="C24" s="165">
        <f>C25+C29</f>
        <v>686932435.95</v>
      </c>
      <c r="D24" s="166">
        <f aca="true" t="shared" si="6" ref="D24:D29">E24+F24+G24</f>
        <v>2911660.6499999994</v>
      </c>
      <c r="E24" s="167">
        <f>E25+E29</f>
        <v>2883185.4499999997</v>
      </c>
      <c r="F24" s="167">
        <f>F25+F29</f>
        <v>13758.630000000001</v>
      </c>
      <c r="G24" s="167">
        <f>G25+G29</f>
        <v>14716.57</v>
      </c>
      <c r="H24" s="112">
        <f t="shared" si="0"/>
        <v>0.00423864196480006</v>
      </c>
      <c r="I24" s="167">
        <f>I25+I29</f>
        <v>2466457.0999999996</v>
      </c>
      <c r="J24" s="168">
        <f t="shared" si="3"/>
        <v>0.8470963468905623</v>
      </c>
      <c r="K24" s="113">
        <f>SUM(L24:N24)</f>
        <v>8526015.14</v>
      </c>
      <c r="L24" s="166">
        <f>L25+L29</f>
        <v>7925332.4399999995</v>
      </c>
      <c r="M24" s="167">
        <f>M25+M29</f>
        <v>295485.53</v>
      </c>
      <c r="N24" s="167">
        <f>N25+N29</f>
        <v>305197.17</v>
      </c>
      <c r="O24" s="182">
        <f t="shared" si="1"/>
        <v>0.012411723036791621</v>
      </c>
      <c r="P24" s="167">
        <f>P25+P29</f>
        <v>7167753.62</v>
      </c>
      <c r="Q24" s="192">
        <f aca="true" t="shared" si="7" ref="Q24:Q29">P24/K24</f>
        <v>0.8406921055502605</v>
      </c>
    </row>
    <row r="25" spans="1:17" ht="14.25">
      <c r="A25" s="17" t="s">
        <v>14</v>
      </c>
      <c r="B25" s="169">
        <f>SUM(B26:B28)</f>
        <v>245353648.45999998</v>
      </c>
      <c r="C25" s="170">
        <f>SUM(C26:C28)</f>
        <v>250763816.11000004</v>
      </c>
      <c r="D25" s="110">
        <f t="shared" si="6"/>
        <v>2526310.2399999998</v>
      </c>
      <c r="E25" s="111">
        <f>SUM(E26:E28)</f>
        <v>2524421.05</v>
      </c>
      <c r="F25" s="111">
        <f>SUM(F26:F28)</f>
        <v>0</v>
      </c>
      <c r="G25" s="111">
        <f>SUM(G26:G28)</f>
        <v>1889.1899999999996</v>
      </c>
      <c r="H25" s="171">
        <f t="shared" si="0"/>
        <v>0.010074460818110252</v>
      </c>
      <c r="I25" s="111">
        <f>SUM(I26:I28)</f>
        <v>2154013.03</v>
      </c>
      <c r="J25" s="176">
        <f t="shared" si="3"/>
        <v>0.852632030656694</v>
      </c>
      <c r="K25" s="116">
        <f>L25+M25+N25</f>
        <v>3335677.7899999996</v>
      </c>
      <c r="L25" s="111">
        <f>SUM(L26:L28)</f>
        <v>3270621.0799999996</v>
      </c>
      <c r="M25" s="111">
        <f>SUM(M26:M28)</f>
        <v>62950.16000000001</v>
      </c>
      <c r="N25" s="111">
        <f>SUM(N26:N28)</f>
        <v>2106.5499999999997</v>
      </c>
      <c r="O25" s="183">
        <f t="shared" si="1"/>
        <v>0.013302069819103292</v>
      </c>
      <c r="P25" s="111">
        <f>SUM(P26:P28)</f>
        <v>2721705.7200000007</v>
      </c>
      <c r="Q25" s="184">
        <f>P25/K25</f>
        <v>0.8159378367297283</v>
      </c>
    </row>
    <row r="26" spans="1:17" s="8" customFormat="1" ht="14.25">
      <c r="A26" s="19" t="s">
        <v>8</v>
      </c>
      <c r="B26" s="83">
        <v>10795489.91</v>
      </c>
      <c r="C26" s="85">
        <v>10992706.040000001</v>
      </c>
      <c r="D26" s="86">
        <f t="shared" si="6"/>
        <v>56923.07000000001</v>
      </c>
      <c r="E26" s="87">
        <v>55033.880000000005</v>
      </c>
      <c r="F26" s="87">
        <v>0</v>
      </c>
      <c r="G26" s="87">
        <v>1889.1899999999996</v>
      </c>
      <c r="H26" s="88">
        <f t="shared" si="0"/>
        <v>0.005178258182550291</v>
      </c>
      <c r="I26" s="89">
        <v>55332.11999999999</v>
      </c>
      <c r="J26" s="357">
        <f t="shared" si="3"/>
        <v>0.9720508749791601</v>
      </c>
      <c r="K26" s="91">
        <f>L26+M26+N26</f>
        <v>77889.58</v>
      </c>
      <c r="L26" s="92">
        <v>75783.03</v>
      </c>
      <c r="M26" s="93">
        <v>0</v>
      </c>
      <c r="N26" s="94">
        <v>2106.5499999999997</v>
      </c>
      <c r="O26" s="181">
        <f t="shared" si="1"/>
        <v>0.007085569259887167</v>
      </c>
      <c r="P26" s="89">
        <v>76298.63999999998</v>
      </c>
      <c r="Q26" s="190">
        <f>P26/K26</f>
        <v>0.9795744180415401</v>
      </c>
    </row>
    <row r="27" spans="1:17" ht="14.25">
      <c r="A27" s="18" t="s">
        <v>43</v>
      </c>
      <c r="B27" s="84">
        <v>229328965.54999998</v>
      </c>
      <c r="C27" s="90">
        <v>234436541.92000005</v>
      </c>
      <c r="D27" s="86">
        <f t="shared" si="6"/>
        <v>2469246.65</v>
      </c>
      <c r="E27" s="87">
        <f>5469246.42-2999999.77</f>
        <v>2469246.65</v>
      </c>
      <c r="F27" s="87">
        <v>0</v>
      </c>
      <c r="G27" s="87">
        <v>0</v>
      </c>
      <c r="H27" s="88">
        <f t="shared" si="0"/>
        <v>0.010532686712477675</v>
      </c>
      <c r="I27" s="89">
        <v>2098540.3899999997</v>
      </c>
      <c r="J27" s="357">
        <f t="shared" si="3"/>
        <v>0.8498707044919954</v>
      </c>
      <c r="K27" s="91">
        <f>L27+M27+N27</f>
        <v>3176681.64</v>
      </c>
      <c r="L27" s="95">
        <f>6113731.25-2999999.77</f>
        <v>3113731.48</v>
      </c>
      <c r="M27" s="93">
        <v>62950.16000000001</v>
      </c>
      <c r="N27" s="94">
        <v>0</v>
      </c>
      <c r="O27" s="179">
        <f t="shared" si="1"/>
        <v>0.013550283645985626</v>
      </c>
      <c r="P27" s="96">
        <v>2564371.6700000004</v>
      </c>
      <c r="Q27" s="191">
        <f>P27/K27</f>
        <v>0.8072485570193935</v>
      </c>
    </row>
    <row r="28" spans="1:17" s="8" customFormat="1" ht="14.25">
      <c r="A28" s="19" t="s">
        <v>27</v>
      </c>
      <c r="B28" s="84">
        <v>5229193</v>
      </c>
      <c r="C28" s="90">
        <v>5334568.15</v>
      </c>
      <c r="D28" s="86">
        <f t="shared" si="6"/>
        <v>140.52</v>
      </c>
      <c r="E28" s="89">
        <v>140.52</v>
      </c>
      <c r="F28" s="87">
        <v>0</v>
      </c>
      <c r="G28" s="87">
        <v>0</v>
      </c>
      <c r="H28" s="88">
        <f t="shared" si="0"/>
        <v>2.6341401224764557E-05</v>
      </c>
      <c r="I28" s="89">
        <f>D28</f>
        <v>140.52</v>
      </c>
      <c r="J28" s="357">
        <f t="shared" si="3"/>
        <v>1</v>
      </c>
      <c r="K28" s="105">
        <f>L28+M28+N28</f>
        <v>81106.57</v>
      </c>
      <c r="L28" s="96">
        <v>81106.57</v>
      </c>
      <c r="M28" s="96">
        <v>0</v>
      </c>
      <c r="N28" s="96">
        <v>0</v>
      </c>
      <c r="O28" s="179">
        <f t="shared" si="1"/>
        <v>0.015203961730248024</v>
      </c>
      <c r="P28" s="89">
        <f>L28-71.16</f>
        <v>81035.41</v>
      </c>
      <c r="Q28" s="191">
        <f t="shared" si="7"/>
        <v>0.9991226358111309</v>
      </c>
    </row>
    <row r="29" spans="1:20" s="51" customFormat="1" ht="14.25">
      <c r="A29" s="49" t="s">
        <v>15</v>
      </c>
      <c r="B29" s="164">
        <f>SUM(B30:B37)</f>
        <v>421371512.26</v>
      </c>
      <c r="C29" s="165">
        <f>SUM(C30:C37)</f>
        <v>436168619.84</v>
      </c>
      <c r="D29" s="166">
        <f t="shared" si="6"/>
        <v>385350.4100000001</v>
      </c>
      <c r="E29" s="319">
        <f>SUM(E30:E37)</f>
        <v>358764.4000000001</v>
      </c>
      <c r="F29" s="319">
        <f>SUM(F30:F37)</f>
        <v>13758.630000000001</v>
      </c>
      <c r="G29" s="319">
        <f>SUM(G30:G37)</f>
        <v>12827.38</v>
      </c>
      <c r="H29" s="112">
        <f t="shared" si="0"/>
        <v>0.0008834895324229387</v>
      </c>
      <c r="I29" s="319">
        <f>SUM(I30:I37)</f>
        <v>312444.07</v>
      </c>
      <c r="J29" s="168">
        <f t="shared" si="3"/>
        <v>0.8108050799790246</v>
      </c>
      <c r="K29" s="320">
        <f>SUM(L29:N29)</f>
        <v>5190337.350000001</v>
      </c>
      <c r="L29" s="321">
        <f>SUM(L30:L37)</f>
        <v>4654711.36</v>
      </c>
      <c r="M29" s="319">
        <f>SUM(M30:M37)</f>
        <v>232535.37</v>
      </c>
      <c r="N29" s="320">
        <f>SUM(N30:N37)</f>
        <v>303090.62</v>
      </c>
      <c r="O29" s="317">
        <f t="shared" si="1"/>
        <v>0.011899841285931976</v>
      </c>
      <c r="P29" s="322">
        <f>SUM(P30:P37)</f>
        <v>4446047.899999999</v>
      </c>
      <c r="Q29" s="318">
        <f t="shared" si="7"/>
        <v>0.8566009490693315</v>
      </c>
      <c r="R29" s="54"/>
      <c r="S29" s="55"/>
      <c r="T29" s="56"/>
    </row>
    <row r="30" spans="1:19" s="42" customFormat="1" ht="14.25">
      <c r="A30" s="53" t="s">
        <v>16</v>
      </c>
      <c r="B30" s="65">
        <v>75312957.1</v>
      </c>
      <c r="C30" s="66">
        <v>77308333.85</v>
      </c>
      <c r="D30" s="335">
        <f>SUM(E30:G30)</f>
        <v>13911.59</v>
      </c>
      <c r="E30" s="336">
        <v>11824.77</v>
      </c>
      <c r="F30" s="336">
        <v>0</v>
      </c>
      <c r="G30" s="336">
        <v>2086.82</v>
      </c>
      <c r="H30" s="68">
        <f t="shared" si="0"/>
        <v>0.00017994942210231065</v>
      </c>
      <c r="I30" s="336">
        <v>13911.6</v>
      </c>
      <c r="J30" s="358">
        <f>I30/D30</f>
        <v>1.0000007188250948</v>
      </c>
      <c r="K30" s="339">
        <v>1562985.2799999996</v>
      </c>
      <c r="L30" s="336">
        <v>1341640.41</v>
      </c>
      <c r="M30" s="336">
        <v>174576.22</v>
      </c>
      <c r="N30" s="340">
        <v>46768.95</v>
      </c>
      <c r="O30" s="180">
        <f>K30/C30</f>
        <v>0.02021755226328681</v>
      </c>
      <c r="P30" s="341">
        <v>1562985.52</v>
      </c>
      <c r="Q30" s="342">
        <f>P30/K30</f>
        <v>1.0000001535523102</v>
      </c>
      <c r="S30" s="48"/>
    </row>
    <row r="31" spans="1:17" s="42" customFormat="1" ht="16.5" customHeight="1">
      <c r="A31" s="19" t="s">
        <v>41</v>
      </c>
      <c r="B31" s="65">
        <v>6373046.2</v>
      </c>
      <c r="C31" s="337">
        <v>7101484.93</v>
      </c>
      <c r="D31" s="335">
        <f aca="true" t="shared" si="8" ref="D31:D36">SUM(E31:G31)</f>
        <v>0</v>
      </c>
      <c r="E31" s="67">
        <v>0</v>
      </c>
      <c r="F31" s="67">
        <v>0</v>
      </c>
      <c r="G31" s="67">
        <v>0</v>
      </c>
      <c r="H31" s="68">
        <f aca="true" t="shared" si="9" ref="H31:H36">D31/C31</f>
        <v>0</v>
      </c>
      <c r="I31" s="67">
        <v>0</v>
      </c>
      <c r="J31" s="359" t="s">
        <v>40</v>
      </c>
      <c r="K31" s="69">
        <f aca="true" t="shared" si="10" ref="K31:K36">SUM(L31:N31)</f>
        <v>27054.850000000002</v>
      </c>
      <c r="L31" s="67">
        <f>12604.44+10392.18</f>
        <v>22996.620000000003</v>
      </c>
      <c r="M31" s="67">
        <f>2224.32+1833.91</f>
        <v>4058.2300000000005</v>
      </c>
      <c r="N31" s="67">
        <v>0</v>
      </c>
      <c r="O31" s="181">
        <f aca="true" t="shared" si="11" ref="O31:O36">K31/C31</f>
        <v>0.003809745464037759</v>
      </c>
      <c r="P31" s="67">
        <v>27054.85</v>
      </c>
      <c r="Q31" s="342">
        <f aca="true" t="shared" si="12" ref="Q31:Q36">P31/K31</f>
        <v>0.9999999999999999</v>
      </c>
    </row>
    <row r="32" spans="1:18" s="42" customFormat="1" ht="14.25">
      <c r="A32" s="19" t="s">
        <v>10</v>
      </c>
      <c r="B32" s="65">
        <v>63263907.05</v>
      </c>
      <c r="C32" s="66">
        <v>64498993.55</v>
      </c>
      <c r="D32" s="335">
        <f t="shared" si="8"/>
        <v>43675.83</v>
      </c>
      <c r="E32" s="338">
        <f>92.68+37720.88</f>
        <v>37813.56</v>
      </c>
      <c r="F32" s="67">
        <v>5862.27</v>
      </c>
      <c r="G32" s="67">
        <v>0</v>
      </c>
      <c r="H32" s="68">
        <f t="shared" si="9"/>
        <v>0.0006771552174088149</v>
      </c>
      <c r="I32" s="67">
        <f>92.68+1677.5</f>
        <v>1770.18</v>
      </c>
      <c r="J32" s="358">
        <f>I32/D32</f>
        <v>0.040529968176906996</v>
      </c>
      <c r="K32" s="81">
        <f t="shared" si="10"/>
        <v>135196.03</v>
      </c>
      <c r="L32" s="82">
        <v>128191.97</v>
      </c>
      <c r="M32" s="82">
        <v>7003.18</v>
      </c>
      <c r="N32" s="82">
        <v>0.88</v>
      </c>
      <c r="O32" s="181">
        <f t="shared" si="11"/>
        <v>0.002096095187829485</v>
      </c>
      <c r="P32" s="67">
        <f>45734.99+I32</f>
        <v>47505.17</v>
      </c>
      <c r="Q32" s="343">
        <f t="shared" si="12"/>
        <v>0.3513799184783754</v>
      </c>
      <c r="R32" s="48"/>
    </row>
    <row r="33" spans="1:17" s="42" customFormat="1" ht="14.25">
      <c r="A33" s="19" t="s">
        <v>17</v>
      </c>
      <c r="B33" s="65">
        <v>48665730.67</v>
      </c>
      <c r="C33" s="66">
        <v>51009695.44</v>
      </c>
      <c r="D33" s="335">
        <f t="shared" si="8"/>
        <v>14104.68</v>
      </c>
      <c r="E33" s="67">
        <v>11957.94</v>
      </c>
      <c r="F33" s="67">
        <v>573.39</v>
      </c>
      <c r="G33" s="67">
        <v>1573.3500000000001</v>
      </c>
      <c r="H33" s="68">
        <f t="shared" si="9"/>
        <v>0.00027650978658734764</v>
      </c>
      <c r="I33" s="67">
        <v>12489.05</v>
      </c>
      <c r="J33" s="358">
        <f>I33/D33</f>
        <v>0.8854543314701219</v>
      </c>
      <c r="K33" s="69">
        <f t="shared" si="10"/>
        <v>81107.31</v>
      </c>
      <c r="L33" s="67">
        <v>65610.31</v>
      </c>
      <c r="M33" s="67">
        <v>3361.6300000000006</v>
      </c>
      <c r="N33" s="67">
        <v>12135.369999999999</v>
      </c>
      <c r="O33" s="181">
        <f t="shared" si="11"/>
        <v>0.0015900371351050748</v>
      </c>
      <c r="P33" s="67">
        <v>77418.38</v>
      </c>
      <c r="Q33" s="342">
        <f t="shared" si="12"/>
        <v>0.9545179096680683</v>
      </c>
    </row>
    <row r="34" spans="1:17" s="42" customFormat="1" ht="14.25">
      <c r="A34" s="19" t="s">
        <v>18</v>
      </c>
      <c r="B34" s="65">
        <v>5556946.44</v>
      </c>
      <c r="C34" s="66">
        <v>5779963.25</v>
      </c>
      <c r="D34" s="335">
        <f t="shared" si="8"/>
        <v>0</v>
      </c>
      <c r="E34" s="67">
        <v>0</v>
      </c>
      <c r="F34" s="67">
        <v>0</v>
      </c>
      <c r="G34" s="67">
        <v>0</v>
      </c>
      <c r="H34" s="68">
        <f t="shared" si="9"/>
        <v>0</v>
      </c>
      <c r="I34" s="67">
        <v>0</v>
      </c>
      <c r="J34" s="359" t="s">
        <v>40</v>
      </c>
      <c r="K34" s="69">
        <f t="shared" si="10"/>
        <v>1464</v>
      </c>
      <c r="L34" s="67">
        <v>1244.26</v>
      </c>
      <c r="M34" s="67">
        <v>0</v>
      </c>
      <c r="N34" s="67">
        <v>219.74</v>
      </c>
      <c r="O34" s="181">
        <f t="shared" si="11"/>
        <v>0.00025328880767537754</v>
      </c>
      <c r="P34" s="67">
        <v>1464</v>
      </c>
      <c r="Q34" s="344">
        <f t="shared" si="12"/>
        <v>1</v>
      </c>
    </row>
    <row r="35" spans="1:17" s="42" customFormat="1" ht="14.25">
      <c r="A35" s="19" t="s">
        <v>36</v>
      </c>
      <c r="B35" s="65">
        <v>203090335.35</v>
      </c>
      <c r="C35" s="66">
        <v>210980619</v>
      </c>
      <c r="D35" s="335">
        <f>SUM(E35:G35)</f>
        <v>310196.62000000005</v>
      </c>
      <c r="E35" s="67">
        <f>339785.4-46267.73+447</f>
        <v>293964.67000000004</v>
      </c>
      <c r="F35" s="67">
        <f>7229.88+53</f>
        <v>7282.88</v>
      </c>
      <c r="G35" s="67">
        <f>17613.96-8164.89-500</f>
        <v>8949.07</v>
      </c>
      <c r="H35" s="68">
        <f t="shared" si="9"/>
        <v>0.001470261209158743</v>
      </c>
      <c r="I35" s="67">
        <f>272270.57+10000</f>
        <v>282270.57</v>
      </c>
      <c r="J35" s="358">
        <f>I35/D35</f>
        <v>0.9099730680495486</v>
      </c>
      <c r="K35" s="69">
        <f>SUM(L35:N35)</f>
        <v>3013401.8099999996</v>
      </c>
      <c r="L35" s="67">
        <f>2795055.32-46267.73+447</f>
        <v>2749234.59</v>
      </c>
      <c r="M35" s="67">
        <f>36907.36+53</f>
        <v>36960.36</v>
      </c>
      <c r="N35" s="67">
        <f>235871.75-8164.89-500</f>
        <v>227206.86</v>
      </c>
      <c r="O35" s="181">
        <f t="shared" si="11"/>
        <v>0.014282837088462612</v>
      </c>
      <c r="P35" s="67">
        <f>2351951.19+10000</f>
        <v>2361951.19</v>
      </c>
      <c r="Q35" s="344">
        <f t="shared" si="12"/>
        <v>0.7838155476517751</v>
      </c>
    </row>
    <row r="36" spans="1:18" s="42" customFormat="1" ht="14.25">
      <c r="A36" s="19" t="s">
        <v>11</v>
      </c>
      <c r="B36" s="65">
        <v>7553241.16</v>
      </c>
      <c r="C36" s="66">
        <v>7811470.61</v>
      </c>
      <c r="D36" s="335">
        <f t="shared" si="8"/>
        <v>3109.2400000000002</v>
      </c>
      <c r="E36" s="67">
        <v>2851.01</v>
      </c>
      <c r="F36" s="67">
        <v>40.09</v>
      </c>
      <c r="G36" s="67">
        <v>218.14</v>
      </c>
      <c r="H36" s="68">
        <f t="shared" si="9"/>
        <v>0.0003980351658776836</v>
      </c>
      <c r="I36" s="67">
        <v>1650.22</v>
      </c>
      <c r="J36" s="358">
        <f>I36/D36</f>
        <v>0.5307470635911026</v>
      </c>
      <c r="K36" s="75">
        <f t="shared" si="10"/>
        <v>280526.35000000003</v>
      </c>
      <c r="L36" s="67">
        <v>257191.78</v>
      </c>
      <c r="M36" s="67">
        <v>6575.75</v>
      </c>
      <c r="N36" s="67">
        <v>16758.82</v>
      </c>
      <c r="O36" s="179">
        <f t="shared" si="11"/>
        <v>0.03591210464785965</v>
      </c>
      <c r="P36" s="75">
        <v>279067.37</v>
      </c>
      <c r="Q36" s="343">
        <f t="shared" si="12"/>
        <v>0.994799133842507</v>
      </c>
      <c r="R36" s="48"/>
    </row>
    <row r="37" spans="1:25" s="8" customFormat="1" ht="14.25">
      <c r="A37" s="19" t="s">
        <v>56</v>
      </c>
      <c r="B37" s="83">
        <v>11555348.29</v>
      </c>
      <c r="C37" s="85">
        <v>11678059.21</v>
      </c>
      <c r="D37" s="74">
        <f>E37+F37+G37</f>
        <v>352.45</v>
      </c>
      <c r="E37" s="67">
        <v>352.45</v>
      </c>
      <c r="F37" s="89">
        <v>0</v>
      </c>
      <c r="G37" s="89">
        <v>0</v>
      </c>
      <c r="H37" s="68">
        <f>D37/C37</f>
        <v>3.018052860172131E-05</v>
      </c>
      <c r="I37" s="67">
        <f>D37</f>
        <v>352.45</v>
      </c>
      <c r="J37" s="356">
        <f t="shared" si="3"/>
        <v>1</v>
      </c>
      <c r="K37" s="75">
        <v>88601.42</v>
      </c>
      <c r="L37" s="75">
        <v>88601.42</v>
      </c>
      <c r="M37" s="96">
        <v>0</v>
      </c>
      <c r="N37" s="96">
        <v>0</v>
      </c>
      <c r="O37" s="177">
        <f t="shared" si="1"/>
        <v>0.0075869986961643425</v>
      </c>
      <c r="P37" s="75">
        <v>88601.42</v>
      </c>
      <c r="Q37" s="186">
        <f>P37/K37</f>
        <v>1</v>
      </c>
      <c r="R37" s="13"/>
      <c r="S37" s="13"/>
      <c r="T37" s="13"/>
      <c r="U37" s="13"/>
      <c r="V37" s="14"/>
      <c r="W37" s="13"/>
      <c r="X37" s="14"/>
      <c r="Y37" s="15"/>
    </row>
    <row r="38" spans="1:17" s="51" customFormat="1" ht="14.25">
      <c r="A38" s="17" t="s">
        <v>26</v>
      </c>
      <c r="B38" s="169">
        <f>SUM(B39:B42)</f>
        <v>391498680.1399999</v>
      </c>
      <c r="C38" s="170">
        <f>SUM(C39:C42)</f>
        <v>407486254.28000003</v>
      </c>
      <c r="D38" s="110">
        <f>E38+F38+G38</f>
        <v>89.71</v>
      </c>
      <c r="E38" s="111">
        <f>SUM(E39:E42)</f>
        <v>89.71</v>
      </c>
      <c r="F38" s="111">
        <f>SUM(F39:F42)</f>
        <v>0</v>
      </c>
      <c r="G38" s="111">
        <f>SUM(G39:G42)</f>
        <v>0</v>
      </c>
      <c r="H38" s="171">
        <f>D38/C38</f>
        <v>2.2015466548316176E-07</v>
      </c>
      <c r="I38" s="111">
        <f>SUM(I39:I42)</f>
        <v>89.71</v>
      </c>
      <c r="J38" s="168">
        <f t="shared" si="3"/>
        <v>1</v>
      </c>
      <c r="K38" s="212">
        <f>SUM(L38:N38)</f>
        <v>608434.9700000001</v>
      </c>
      <c r="L38" s="316">
        <f>SUM(L39:L42)</f>
        <v>535559.9000000001</v>
      </c>
      <c r="M38" s="172">
        <f>SUM(M39:M42)</f>
        <v>33518.7</v>
      </c>
      <c r="N38" s="172">
        <f>SUM(N39:N42)</f>
        <v>39356.369999999995</v>
      </c>
      <c r="O38" s="315">
        <f t="shared" si="1"/>
        <v>0.0014931423173404033</v>
      </c>
      <c r="P38" s="172">
        <f>SUM(P39:P42)</f>
        <v>608434.9700000001</v>
      </c>
      <c r="Q38" s="189">
        <f>P38/K38</f>
        <v>1</v>
      </c>
    </row>
    <row r="39" spans="1:17" s="42" customFormat="1" ht="14.25">
      <c r="A39" s="19" t="s">
        <v>59</v>
      </c>
      <c r="B39" s="65">
        <v>227267306.39</v>
      </c>
      <c r="C39" s="66">
        <v>229952806.9</v>
      </c>
      <c r="D39" s="74">
        <f>E39+F39+G39</f>
        <v>0</v>
      </c>
      <c r="E39" s="67">
        <v>0</v>
      </c>
      <c r="F39" s="67">
        <v>0</v>
      </c>
      <c r="G39" s="67">
        <v>0</v>
      </c>
      <c r="H39" s="68">
        <f>D39/C39</f>
        <v>0</v>
      </c>
      <c r="I39" s="67">
        <v>0</v>
      </c>
      <c r="J39" s="356">
        <v>0</v>
      </c>
      <c r="K39" s="69">
        <f>SUM(L39:N39)</f>
        <v>434918.18000000005</v>
      </c>
      <c r="L39" s="67">
        <v>373218.2900000001</v>
      </c>
      <c r="M39" s="67">
        <v>29197.86</v>
      </c>
      <c r="N39" s="67">
        <v>32502.03</v>
      </c>
      <c r="O39" s="180">
        <f t="shared" si="1"/>
        <v>0.0018913366871365642</v>
      </c>
      <c r="P39" s="73">
        <f>K39</f>
        <v>434918.18000000005</v>
      </c>
      <c r="Q39" s="188">
        <f aca="true" t="shared" si="13" ref="Q39:Q46">P39/K39</f>
        <v>1</v>
      </c>
    </row>
    <row r="40" spans="1:17" s="42" customFormat="1" ht="14.25">
      <c r="A40" s="19" t="s">
        <v>17</v>
      </c>
      <c r="B40" s="70">
        <v>151637204.51</v>
      </c>
      <c r="C40" s="70">
        <v>164605860.7</v>
      </c>
      <c r="D40" s="67">
        <v>0</v>
      </c>
      <c r="E40" s="67">
        <v>0</v>
      </c>
      <c r="F40" s="67">
        <v>0</v>
      </c>
      <c r="G40" s="67">
        <v>0</v>
      </c>
      <c r="H40" s="68">
        <v>0</v>
      </c>
      <c r="I40" s="67">
        <v>0</v>
      </c>
      <c r="J40" s="360" t="s">
        <v>40</v>
      </c>
      <c r="K40" s="69">
        <v>74501.2</v>
      </c>
      <c r="L40" s="69">
        <v>63326.020000000004</v>
      </c>
      <c r="M40" s="69">
        <v>4320.84</v>
      </c>
      <c r="N40" s="72">
        <v>6854.34</v>
      </c>
      <c r="O40" s="181">
        <f t="shared" si="1"/>
        <v>0.00045260356881084005</v>
      </c>
      <c r="P40" s="67">
        <v>74501.2</v>
      </c>
      <c r="Q40" s="187">
        <f t="shared" si="13"/>
        <v>1</v>
      </c>
    </row>
    <row r="41" spans="1:17" s="42" customFormat="1" ht="14.25">
      <c r="A41" s="19" t="s">
        <v>11</v>
      </c>
      <c r="B41" s="80">
        <v>10915660.209999999</v>
      </c>
      <c r="C41" s="78">
        <v>11223630.74</v>
      </c>
      <c r="D41" s="76">
        <v>0</v>
      </c>
      <c r="E41" s="77">
        <v>0</v>
      </c>
      <c r="F41" s="77">
        <v>0</v>
      </c>
      <c r="G41" s="77">
        <v>0</v>
      </c>
      <c r="H41" s="68">
        <f>D41/C41</f>
        <v>0</v>
      </c>
      <c r="I41" s="77">
        <v>0</v>
      </c>
      <c r="J41" s="356">
        <v>0</v>
      </c>
      <c r="K41" s="213">
        <f>SUM(L41:N41)</f>
        <v>93043.49</v>
      </c>
      <c r="L41" s="77">
        <v>93043.49</v>
      </c>
      <c r="M41" s="79">
        <v>0</v>
      </c>
      <c r="N41" s="79">
        <v>0</v>
      </c>
      <c r="O41" s="181">
        <f t="shared" si="1"/>
        <v>0.00828996357376597</v>
      </c>
      <c r="P41" s="67">
        <v>93043.48999999999</v>
      </c>
      <c r="Q41" s="186">
        <f t="shared" si="13"/>
        <v>0.9999999999999999</v>
      </c>
    </row>
    <row r="42" spans="1:24" s="15" customFormat="1" ht="14.25">
      <c r="A42" s="20" t="s">
        <v>56</v>
      </c>
      <c r="B42" s="83">
        <v>1678509.03</v>
      </c>
      <c r="C42" s="85">
        <v>1703955.94</v>
      </c>
      <c r="D42" s="74">
        <f>E42+F42+G42</f>
        <v>89.71</v>
      </c>
      <c r="E42" s="67">
        <v>89.71</v>
      </c>
      <c r="F42" s="89">
        <v>0</v>
      </c>
      <c r="G42" s="89">
        <v>0</v>
      </c>
      <c r="H42" s="68">
        <f>D42/C42</f>
        <v>5.26480749261627E-05</v>
      </c>
      <c r="I42" s="67">
        <f>D42</f>
        <v>89.71</v>
      </c>
      <c r="J42" s="356">
        <f t="shared" si="3"/>
        <v>1</v>
      </c>
      <c r="K42" s="69">
        <f>L42+M42+N42</f>
        <v>5972.1</v>
      </c>
      <c r="L42" s="67">
        <v>5972.1</v>
      </c>
      <c r="M42" s="96">
        <v>0</v>
      </c>
      <c r="N42" s="86">
        <v>0</v>
      </c>
      <c r="O42" s="179">
        <f t="shared" si="1"/>
        <v>0.0035048441452071822</v>
      </c>
      <c r="P42" s="67">
        <v>5972.1</v>
      </c>
      <c r="Q42" s="186">
        <f t="shared" si="13"/>
        <v>1</v>
      </c>
      <c r="R42" s="13"/>
      <c r="S42" s="13"/>
      <c r="T42" s="13"/>
      <c r="U42" s="13"/>
      <c r="V42" s="14"/>
      <c r="W42" s="13"/>
      <c r="X42" s="14"/>
    </row>
    <row r="43" spans="1:17" s="57" customFormat="1" ht="15" thickBot="1">
      <c r="A43" s="240" t="s">
        <v>19</v>
      </c>
      <c r="B43" s="241">
        <f aca="true" t="shared" si="14" ref="B43:G43">B23+B28+B37+B42</f>
        <v>23892808.22</v>
      </c>
      <c r="C43" s="242">
        <f t="shared" si="14"/>
        <v>24185561.220000003</v>
      </c>
      <c r="D43" s="243">
        <f t="shared" si="14"/>
        <v>613.48</v>
      </c>
      <c r="E43" s="244">
        <f t="shared" si="14"/>
        <v>613.48</v>
      </c>
      <c r="F43" s="244">
        <f t="shared" si="14"/>
        <v>0</v>
      </c>
      <c r="G43" s="244">
        <f t="shared" si="14"/>
        <v>0</v>
      </c>
      <c r="H43" s="245">
        <f>D43/C43</f>
        <v>2.536554741978404E-05</v>
      </c>
      <c r="I43" s="244">
        <f>D43</f>
        <v>613.48</v>
      </c>
      <c r="J43" s="246">
        <f t="shared" si="3"/>
        <v>1</v>
      </c>
      <c r="K43" s="243">
        <f>K23+K28+K37+K42</f>
        <v>210478.97</v>
      </c>
      <c r="L43" s="247">
        <f>K43</f>
        <v>210478.97</v>
      </c>
      <c r="M43" s="244">
        <v>0</v>
      </c>
      <c r="N43" s="244">
        <v>0</v>
      </c>
      <c r="O43" s="182">
        <f t="shared" si="1"/>
        <v>0.008702670493581376</v>
      </c>
      <c r="P43" s="248">
        <f>K43</f>
        <v>210478.97</v>
      </c>
      <c r="Q43" s="249">
        <f t="shared" si="13"/>
        <v>1</v>
      </c>
    </row>
    <row r="44" spans="1:17" s="40" customFormat="1" ht="27" thickBot="1">
      <c r="A44" s="262" t="s">
        <v>29</v>
      </c>
      <c r="B44" s="263">
        <v>823595059.23</v>
      </c>
      <c r="C44" s="264" t="s">
        <v>40</v>
      </c>
      <c r="D44" s="265" t="s">
        <v>40</v>
      </c>
      <c r="E44" s="266" t="s">
        <v>40</v>
      </c>
      <c r="F44" s="267" t="s">
        <v>40</v>
      </c>
      <c r="G44" s="266" t="s">
        <v>40</v>
      </c>
      <c r="H44" s="266" t="s">
        <v>40</v>
      </c>
      <c r="I44" s="268">
        <v>3632.35</v>
      </c>
      <c r="J44" s="324" t="s">
        <v>40</v>
      </c>
      <c r="K44" s="269">
        <v>1010701.88</v>
      </c>
      <c r="L44" s="270">
        <v>140498.88</v>
      </c>
      <c r="M44" s="270">
        <v>288955.07</v>
      </c>
      <c r="N44" s="271">
        <v>581148.48</v>
      </c>
      <c r="O44" s="272" t="s">
        <v>40</v>
      </c>
      <c r="P44" s="270">
        <v>153527.4</v>
      </c>
      <c r="Q44" s="273">
        <f t="shared" si="13"/>
        <v>0.15190176553347262</v>
      </c>
    </row>
    <row r="45" spans="1:17" s="15" customFormat="1" ht="14.25">
      <c r="A45" s="250" t="s">
        <v>36</v>
      </c>
      <c r="B45" s="251">
        <v>360507310.42</v>
      </c>
      <c r="C45" s="252" t="s">
        <v>40</v>
      </c>
      <c r="D45" s="253" t="s">
        <v>40</v>
      </c>
      <c r="E45" s="254" t="s">
        <v>40</v>
      </c>
      <c r="F45" s="255" t="s">
        <v>40</v>
      </c>
      <c r="G45" s="254" t="s">
        <v>40</v>
      </c>
      <c r="H45" s="254" t="s">
        <v>40</v>
      </c>
      <c r="I45" s="256">
        <v>3632.35</v>
      </c>
      <c r="J45" s="325" t="s">
        <v>40</v>
      </c>
      <c r="K45" s="257">
        <v>846023.19</v>
      </c>
      <c r="L45" s="258">
        <v>131388.79</v>
      </c>
      <c r="M45" s="258">
        <v>133485.55</v>
      </c>
      <c r="N45" s="259">
        <v>581148.48</v>
      </c>
      <c r="O45" s="260" t="s">
        <v>40</v>
      </c>
      <c r="P45" s="258">
        <v>153527.4</v>
      </c>
      <c r="Q45" s="261">
        <f t="shared" si="13"/>
        <v>0.181469493761749</v>
      </c>
    </row>
    <row r="46" spans="1:17" s="15" customFormat="1" ht="15" thickBot="1">
      <c r="A46" s="274" t="s">
        <v>17</v>
      </c>
      <c r="B46" s="275">
        <v>463087748.81</v>
      </c>
      <c r="C46" s="276" t="s">
        <v>40</v>
      </c>
      <c r="D46" s="331">
        <v>153861.86</v>
      </c>
      <c r="E46" s="332" t="s">
        <v>40</v>
      </c>
      <c r="F46" s="333">
        <v>153861.86</v>
      </c>
      <c r="G46" s="277" t="s">
        <v>40</v>
      </c>
      <c r="H46" s="277" t="s">
        <v>40</v>
      </c>
      <c r="I46" s="277" t="s">
        <v>40</v>
      </c>
      <c r="J46" s="326" t="s">
        <v>40</v>
      </c>
      <c r="K46" s="278">
        <v>164678.69</v>
      </c>
      <c r="L46" s="279">
        <v>9110.09</v>
      </c>
      <c r="M46" s="279">
        <v>155469.52</v>
      </c>
      <c r="N46" s="280">
        <v>0</v>
      </c>
      <c r="O46" s="194" t="s">
        <v>40</v>
      </c>
      <c r="P46" s="279">
        <v>0</v>
      </c>
      <c r="Q46" s="281">
        <f t="shared" si="13"/>
        <v>0</v>
      </c>
    </row>
    <row r="47" spans="1:17" s="40" customFormat="1" ht="27" thickBot="1">
      <c r="A47" s="262" t="s">
        <v>20</v>
      </c>
      <c r="B47" s="290">
        <f>SUM(B48,B53,B61)</f>
        <v>544405037.7757506</v>
      </c>
      <c r="C47" s="291" t="s">
        <v>40</v>
      </c>
      <c r="D47" s="292" t="s">
        <v>40</v>
      </c>
      <c r="E47" s="293" t="s">
        <v>40</v>
      </c>
      <c r="F47" s="293" t="s">
        <v>40</v>
      </c>
      <c r="G47" s="293" t="s">
        <v>40</v>
      </c>
      <c r="H47" s="293" t="s">
        <v>40</v>
      </c>
      <c r="I47" s="293" t="s">
        <v>40</v>
      </c>
      <c r="J47" s="327" t="s">
        <v>40</v>
      </c>
      <c r="K47" s="294">
        <f>SUM(L47:N47)</f>
        <v>5797113.04746968</v>
      </c>
      <c r="L47" s="295">
        <f>SUM(L48,L53,L65,L66,L67)</f>
        <v>4260905.267905121</v>
      </c>
      <c r="M47" s="296">
        <f>SUM(M48,M53,M65,M66,M67)</f>
        <v>1309766.9695645599</v>
      </c>
      <c r="N47" s="296">
        <f>SUM(N48,N53,N61,N61,N65,N66,N67)</f>
        <v>226440.81</v>
      </c>
      <c r="O47" s="297" t="s">
        <v>40</v>
      </c>
      <c r="P47" s="295">
        <f>SUM(P48,P53,P65,P66,P67)</f>
        <v>4084272.341460681</v>
      </c>
      <c r="Q47" s="298">
        <f>P47/K47</f>
        <v>0.7045355693457421</v>
      </c>
    </row>
    <row r="48" spans="1:17" s="41" customFormat="1" ht="14.25">
      <c r="A48" s="282" t="s">
        <v>7</v>
      </c>
      <c r="B48" s="109">
        <f>SUM(B49:B52)</f>
        <v>121971261.803112</v>
      </c>
      <c r="C48" s="283" t="s">
        <v>40</v>
      </c>
      <c r="D48" s="284" t="s">
        <v>40</v>
      </c>
      <c r="E48" s="285" t="s">
        <v>40</v>
      </c>
      <c r="F48" s="285" t="s">
        <v>40</v>
      </c>
      <c r="G48" s="285" t="s">
        <v>40</v>
      </c>
      <c r="H48" s="285" t="s">
        <v>40</v>
      </c>
      <c r="I48" s="285" t="s">
        <v>40</v>
      </c>
      <c r="J48" s="328" t="s">
        <v>40</v>
      </c>
      <c r="K48" s="286">
        <f>SUM(L48:N48)</f>
        <v>2301231.9474696806</v>
      </c>
      <c r="L48" s="287">
        <f>SUM(L49:L52)</f>
        <v>1736381.0379051205</v>
      </c>
      <c r="M48" s="110">
        <f>SUM(M49:M52)</f>
        <v>564850.9095645599</v>
      </c>
      <c r="N48" s="287">
        <v>0</v>
      </c>
      <c r="O48" s="288" t="s">
        <v>40</v>
      </c>
      <c r="P48" s="286">
        <f>SUM(P49:P52)</f>
        <v>2240747.3014606806</v>
      </c>
      <c r="Q48" s="289">
        <f aca="true" t="shared" si="15" ref="Q48:Q67">P48/K48</f>
        <v>0.9737164060860941</v>
      </c>
    </row>
    <row r="49" spans="1:23" s="26" customFormat="1" ht="14.25">
      <c r="A49" s="27" t="s">
        <v>8</v>
      </c>
      <c r="B49" s="102">
        <v>49122061.79321826</v>
      </c>
      <c r="C49" s="103" t="s">
        <v>40</v>
      </c>
      <c r="D49" s="104" t="s">
        <v>40</v>
      </c>
      <c r="E49" s="71" t="s">
        <v>40</v>
      </c>
      <c r="F49" s="71" t="s">
        <v>40</v>
      </c>
      <c r="G49" s="71" t="s">
        <v>40</v>
      </c>
      <c r="H49" s="71" t="s">
        <v>40</v>
      </c>
      <c r="I49" s="71" t="s">
        <v>40</v>
      </c>
      <c r="J49" s="329" t="s">
        <v>40</v>
      </c>
      <c r="K49" s="205">
        <v>1708087.6519150801</v>
      </c>
      <c r="L49" s="203">
        <v>1281814.7189161202</v>
      </c>
      <c r="M49" s="196">
        <v>426272.93299895996</v>
      </c>
      <c r="N49" s="196">
        <v>0</v>
      </c>
      <c r="O49" s="197" t="s">
        <v>40</v>
      </c>
      <c r="P49" s="196">
        <v>1708087.6519150801</v>
      </c>
      <c r="Q49" s="195">
        <v>1</v>
      </c>
      <c r="R49" s="15"/>
      <c r="S49" s="15"/>
      <c r="T49" s="15"/>
      <c r="U49" s="15"/>
      <c r="V49" s="15"/>
      <c r="W49" s="15"/>
    </row>
    <row r="50" spans="1:23" s="26" customFormat="1" ht="14.25">
      <c r="A50" s="27" t="s">
        <v>9</v>
      </c>
      <c r="B50" s="102">
        <v>63481819.69953128</v>
      </c>
      <c r="C50" s="103" t="s">
        <v>40</v>
      </c>
      <c r="D50" s="104" t="s">
        <v>40</v>
      </c>
      <c r="E50" s="71" t="s">
        <v>40</v>
      </c>
      <c r="F50" s="71" t="s">
        <v>40</v>
      </c>
      <c r="G50" s="71" t="s">
        <v>40</v>
      </c>
      <c r="H50" s="71" t="s">
        <v>40</v>
      </c>
      <c r="I50" s="71" t="s">
        <v>40</v>
      </c>
      <c r="J50" s="329" t="s">
        <v>40</v>
      </c>
      <c r="K50" s="205">
        <v>529324.7038609602</v>
      </c>
      <c r="L50" s="203">
        <v>406701.60690568027</v>
      </c>
      <c r="M50" s="196">
        <v>122623.09695528</v>
      </c>
      <c r="N50" s="196">
        <v>0</v>
      </c>
      <c r="O50" s="198" t="s">
        <v>40</v>
      </c>
      <c r="P50" s="203">
        <v>474195.9078519603</v>
      </c>
      <c r="Q50" s="204">
        <v>0.8958507025897646</v>
      </c>
      <c r="R50" s="15"/>
      <c r="S50" s="15"/>
      <c r="T50" s="15"/>
      <c r="U50" s="15"/>
      <c r="V50" s="15"/>
      <c r="W50" s="15"/>
    </row>
    <row r="51" spans="1:23" s="26" customFormat="1" ht="14.25">
      <c r="A51" s="27" t="s">
        <v>11</v>
      </c>
      <c r="B51" s="102">
        <v>7945402.510362462</v>
      </c>
      <c r="C51" s="103" t="s">
        <v>40</v>
      </c>
      <c r="D51" s="104" t="s">
        <v>40</v>
      </c>
      <c r="E51" s="71" t="s">
        <v>40</v>
      </c>
      <c r="F51" s="71" t="s">
        <v>40</v>
      </c>
      <c r="G51" s="71" t="s">
        <v>40</v>
      </c>
      <c r="H51" s="71" t="s">
        <v>40</v>
      </c>
      <c r="I51" s="71" t="s">
        <v>40</v>
      </c>
      <c r="J51" s="329" t="s">
        <v>40</v>
      </c>
      <c r="K51" s="115">
        <v>14700.811305480001</v>
      </c>
      <c r="L51" s="205">
        <v>11025.610236120001</v>
      </c>
      <c r="M51" s="196">
        <v>3675.20106936</v>
      </c>
      <c r="N51" s="115">
        <v>0</v>
      </c>
      <c r="O51" s="200" t="s">
        <v>40</v>
      </c>
      <c r="P51" s="203">
        <v>14700.811305480001</v>
      </c>
      <c r="Q51" s="204">
        <v>1</v>
      </c>
      <c r="R51" s="15"/>
      <c r="S51" s="15"/>
      <c r="T51" s="15"/>
      <c r="U51" s="15"/>
      <c r="V51" s="15"/>
      <c r="W51" s="15"/>
    </row>
    <row r="52" spans="1:23" s="26" customFormat="1" ht="14.25">
      <c r="A52" s="27" t="s">
        <v>57</v>
      </c>
      <c r="B52" s="102">
        <v>1421977.8</v>
      </c>
      <c r="C52" s="103" t="s">
        <v>40</v>
      </c>
      <c r="D52" s="104" t="s">
        <v>40</v>
      </c>
      <c r="E52" s="71" t="s">
        <v>40</v>
      </c>
      <c r="F52" s="71" t="s">
        <v>40</v>
      </c>
      <c r="G52" s="71" t="s">
        <v>40</v>
      </c>
      <c r="H52" s="71" t="s">
        <v>40</v>
      </c>
      <c r="I52" s="71" t="s">
        <v>40</v>
      </c>
      <c r="J52" s="329" t="s">
        <v>40</v>
      </c>
      <c r="K52" s="115">
        <v>49118.78038816</v>
      </c>
      <c r="L52" s="205">
        <v>36839.1018472</v>
      </c>
      <c r="M52" s="196">
        <v>12279.678540960002</v>
      </c>
      <c r="N52" s="196">
        <v>0</v>
      </c>
      <c r="O52" s="198" t="s">
        <v>40</v>
      </c>
      <c r="P52" s="205">
        <v>43762.93038816</v>
      </c>
      <c r="Q52" s="204">
        <v>0.8909612584499143</v>
      </c>
      <c r="R52" s="15"/>
      <c r="S52" s="15"/>
      <c r="T52" s="15"/>
      <c r="U52" s="15"/>
      <c r="V52" s="15"/>
      <c r="W52" s="15"/>
    </row>
    <row r="53" spans="1:17" s="15" customFormat="1" ht="14.25">
      <c r="A53" s="24" t="s">
        <v>13</v>
      </c>
      <c r="B53" s="162">
        <f>B54+B61</f>
        <v>303205959.69131935</v>
      </c>
      <c r="C53" s="99" t="s">
        <v>40</v>
      </c>
      <c r="D53" s="100" t="s">
        <v>40</v>
      </c>
      <c r="E53" s="101" t="s">
        <v>40</v>
      </c>
      <c r="F53" s="101" t="s">
        <v>40</v>
      </c>
      <c r="G53" s="101" t="s">
        <v>40</v>
      </c>
      <c r="H53" s="101" t="s">
        <v>40</v>
      </c>
      <c r="I53" s="101" t="s">
        <v>40</v>
      </c>
      <c r="J53" s="329" t="s">
        <v>40</v>
      </c>
      <c r="K53" s="208">
        <f>SUM(L53:N53)</f>
        <v>1645092.5199999996</v>
      </c>
      <c r="L53" s="157">
        <f>SUM(L54:L60)</f>
        <v>1176041.3299999996</v>
      </c>
      <c r="M53" s="111">
        <f>SUM(M54:M60)</f>
        <v>242610.38</v>
      </c>
      <c r="N53" s="111">
        <f>SUM(N54:N60)</f>
        <v>226440.81</v>
      </c>
      <c r="O53" s="201" t="s">
        <v>40</v>
      </c>
      <c r="P53" s="157">
        <f>SUM(P54:P60)</f>
        <v>1520298.3400000003</v>
      </c>
      <c r="Q53" s="206">
        <f t="shared" si="15"/>
        <v>0.9241415431151561</v>
      </c>
    </row>
    <row r="54" spans="1:17" s="15" customFormat="1" ht="14.25">
      <c r="A54" s="21" t="s">
        <v>31</v>
      </c>
      <c r="B54" s="163">
        <f>SUM(B55:B60)</f>
        <v>183978143.41</v>
      </c>
      <c r="C54" s="103" t="s">
        <v>40</v>
      </c>
      <c r="D54" s="104" t="s">
        <v>40</v>
      </c>
      <c r="E54" s="71" t="s">
        <v>40</v>
      </c>
      <c r="F54" s="71" t="s">
        <v>40</v>
      </c>
      <c r="G54" s="71" t="s">
        <v>40</v>
      </c>
      <c r="H54" s="71" t="s">
        <v>40</v>
      </c>
      <c r="I54" s="71" t="s">
        <v>40</v>
      </c>
      <c r="J54" s="329" t="s">
        <v>40</v>
      </c>
      <c r="K54" s="205">
        <v>798366.09</v>
      </c>
      <c r="L54" s="203">
        <v>584992.5299999999</v>
      </c>
      <c r="M54" s="196">
        <v>111807.42</v>
      </c>
      <c r="N54" s="196">
        <v>101566.13999999998</v>
      </c>
      <c r="O54" s="198" t="s">
        <v>40</v>
      </c>
      <c r="P54" s="161">
        <v>760149.1700000002</v>
      </c>
      <c r="Q54" s="207">
        <f t="shared" si="15"/>
        <v>0.9521310831225311</v>
      </c>
    </row>
    <row r="55" spans="1:17" s="15" customFormat="1" ht="14.25">
      <c r="A55" s="23" t="s">
        <v>17</v>
      </c>
      <c r="B55" s="163">
        <v>102701592.68999998</v>
      </c>
      <c r="C55" s="103" t="s">
        <v>40</v>
      </c>
      <c r="D55" s="104" t="s">
        <v>40</v>
      </c>
      <c r="E55" s="71" t="s">
        <v>40</v>
      </c>
      <c r="F55" s="71" t="s">
        <v>40</v>
      </c>
      <c r="G55" s="71" t="s">
        <v>40</v>
      </c>
      <c r="H55" s="71" t="s">
        <v>40</v>
      </c>
      <c r="I55" s="71" t="s">
        <v>40</v>
      </c>
      <c r="J55" s="329" t="s">
        <v>40</v>
      </c>
      <c r="K55" s="205">
        <v>497120.98</v>
      </c>
      <c r="L55" s="203">
        <v>358026.68</v>
      </c>
      <c r="M55" s="196">
        <v>68226.76</v>
      </c>
      <c r="N55" s="196">
        <v>70867.54</v>
      </c>
      <c r="O55" s="197" t="s">
        <v>40</v>
      </c>
      <c r="P55" s="160">
        <v>471057.32</v>
      </c>
      <c r="Q55" s="156">
        <f t="shared" si="15"/>
        <v>0.9475707905146148</v>
      </c>
    </row>
    <row r="56" spans="1:17" s="15" customFormat="1" ht="14.25">
      <c r="A56" s="43" t="s">
        <v>36</v>
      </c>
      <c r="B56" s="163">
        <v>15618329.280000001</v>
      </c>
      <c r="C56" s="103" t="s">
        <v>40</v>
      </c>
      <c r="D56" s="104" t="s">
        <v>40</v>
      </c>
      <c r="E56" s="71" t="s">
        <v>40</v>
      </c>
      <c r="F56" s="71" t="s">
        <v>40</v>
      </c>
      <c r="G56" s="71" t="s">
        <v>40</v>
      </c>
      <c r="H56" s="71" t="s">
        <v>40</v>
      </c>
      <c r="I56" s="71" t="s">
        <v>40</v>
      </c>
      <c r="J56" s="329" t="s">
        <v>40</v>
      </c>
      <c r="K56" s="154">
        <v>231411.5</v>
      </c>
      <c r="L56" s="155">
        <v>179603.64999999997</v>
      </c>
      <c r="M56" s="155">
        <v>47669.259999999995</v>
      </c>
      <c r="N56" s="155">
        <v>52498.92999999999</v>
      </c>
      <c r="O56" s="198" t="s">
        <v>40</v>
      </c>
      <c r="P56" s="155">
        <v>219258.24</v>
      </c>
      <c r="Q56" s="156">
        <f t="shared" si="15"/>
        <v>0.9474820395702028</v>
      </c>
    </row>
    <row r="57" spans="1:17" s="15" customFormat="1" ht="14.25">
      <c r="A57" s="23" t="s">
        <v>8</v>
      </c>
      <c r="B57" s="163">
        <v>8690635.29</v>
      </c>
      <c r="C57" s="103" t="s">
        <v>40</v>
      </c>
      <c r="D57" s="104" t="s">
        <v>40</v>
      </c>
      <c r="E57" s="71" t="s">
        <v>40</v>
      </c>
      <c r="F57" s="71" t="s">
        <v>40</v>
      </c>
      <c r="G57" s="71" t="s">
        <v>40</v>
      </c>
      <c r="H57" s="71" t="s">
        <v>40</v>
      </c>
      <c r="I57" s="71" t="s">
        <v>40</v>
      </c>
      <c r="J57" s="329" t="s">
        <v>40</v>
      </c>
      <c r="K57" s="205">
        <v>1014.04</v>
      </c>
      <c r="L57" s="203">
        <v>811.23</v>
      </c>
      <c r="M57" s="196">
        <v>202.81</v>
      </c>
      <c r="N57" s="115">
        <v>0</v>
      </c>
      <c r="O57" s="200" t="s">
        <v>40</v>
      </c>
      <c r="P57" s="160">
        <v>1014.04</v>
      </c>
      <c r="Q57" s="156">
        <f t="shared" si="15"/>
        <v>1</v>
      </c>
    </row>
    <row r="58" spans="1:17" s="15" customFormat="1" ht="14.25">
      <c r="A58" s="22" t="s">
        <v>11</v>
      </c>
      <c r="B58" s="163">
        <v>27973852.209999997</v>
      </c>
      <c r="C58" s="103" t="s">
        <v>40</v>
      </c>
      <c r="D58" s="104" t="s">
        <v>40</v>
      </c>
      <c r="E58" s="71" t="s">
        <v>40</v>
      </c>
      <c r="F58" s="71" t="s">
        <v>40</v>
      </c>
      <c r="G58" s="71" t="s">
        <v>40</v>
      </c>
      <c r="H58" s="71" t="s">
        <v>40</v>
      </c>
      <c r="I58" s="71" t="s">
        <v>40</v>
      </c>
      <c r="J58" s="323" t="s">
        <v>40</v>
      </c>
      <c r="K58" s="205">
        <v>18980.6</v>
      </c>
      <c r="L58" s="203">
        <v>14235.88</v>
      </c>
      <c r="M58" s="196">
        <v>4738.58</v>
      </c>
      <c r="N58" s="196">
        <v>6.14</v>
      </c>
      <c r="O58" s="200" t="s">
        <v>40</v>
      </c>
      <c r="P58" s="160">
        <v>18980.6</v>
      </c>
      <c r="Q58" s="156">
        <f t="shared" si="15"/>
        <v>1</v>
      </c>
    </row>
    <row r="59" spans="1:17" s="15" customFormat="1" ht="14.25">
      <c r="A59" s="22" t="s">
        <v>10</v>
      </c>
      <c r="B59" s="163">
        <v>19722613.03999999</v>
      </c>
      <c r="C59" s="103" t="s">
        <v>40</v>
      </c>
      <c r="D59" s="104" t="s">
        <v>40</v>
      </c>
      <c r="E59" s="71" t="s">
        <v>40</v>
      </c>
      <c r="F59" s="71" t="s">
        <v>40</v>
      </c>
      <c r="G59" s="71" t="s">
        <v>40</v>
      </c>
      <c r="H59" s="71" t="s">
        <v>40</v>
      </c>
      <c r="I59" s="71" t="s">
        <v>40</v>
      </c>
      <c r="J59" s="323" t="s">
        <v>40</v>
      </c>
      <c r="K59" s="205">
        <v>2011.5300000000002</v>
      </c>
      <c r="L59" s="196">
        <v>1508.65</v>
      </c>
      <c r="M59" s="205">
        <v>502.88</v>
      </c>
      <c r="N59" s="196">
        <v>0</v>
      </c>
      <c r="O59" s="200" t="s">
        <v>40</v>
      </c>
      <c r="P59" s="160">
        <v>2011.53</v>
      </c>
      <c r="Q59" s="156">
        <f t="shared" si="15"/>
        <v>0.9999999999999999</v>
      </c>
    </row>
    <row r="60" spans="1:17" s="15" customFormat="1" ht="14.25">
      <c r="A60" s="22" t="s">
        <v>9</v>
      </c>
      <c r="B60" s="163">
        <v>9271120.900000002</v>
      </c>
      <c r="C60" s="103" t="s">
        <v>40</v>
      </c>
      <c r="D60" s="104" t="s">
        <v>40</v>
      </c>
      <c r="E60" s="71" t="s">
        <v>40</v>
      </c>
      <c r="F60" s="71" t="s">
        <v>40</v>
      </c>
      <c r="G60" s="71" t="s">
        <v>40</v>
      </c>
      <c r="H60" s="71" t="s">
        <v>40</v>
      </c>
      <c r="I60" s="71" t="s">
        <v>40</v>
      </c>
      <c r="J60" s="323" t="s">
        <v>40</v>
      </c>
      <c r="K60" s="205">
        <v>47827.439999999995</v>
      </c>
      <c r="L60" s="203">
        <v>36862.71</v>
      </c>
      <c r="M60" s="196">
        <v>9462.67</v>
      </c>
      <c r="N60" s="196">
        <v>1502.06</v>
      </c>
      <c r="O60" s="202" t="s">
        <v>40</v>
      </c>
      <c r="P60" s="160">
        <v>47827.44</v>
      </c>
      <c r="Q60" s="156">
        <f t="shared" si="15"/>
        <v>1.0000000000000002</v>
      </c>
    </row>
    <row r="61" spans="1:17" s="15" customFormat="1" ht="14.25">
      <c r="A61" s="24" t="s">
        <v>33</v>
      </c>
      <c r="B61" s="162">
        <f>SUM(B62:B64)</f>
        <v>119227816.28131932</v>
      </c>
      <c r="C61" s="99" t="s">
        <v>40</v>
      </c>
      <c r="D61" s="100" t="s">
        <v>40</v>
      </c>
      <c r="E61" s="101" t="s">
        <v>40</v>
      </c>
      <c r="F61" s="101" t="s">
        <v>40</v>
      </c>
      <c r="G61" s="101" t="s">
        <v>40</v>
      </c>
      <c r="H61" s="101" t="s">
        <v>40</v>
      </c>
      <c r="I61" s="101" t="s">
        <v>40</v>
      </c>
      <c r="J61" s="323" t="s">
        <v>40</v>
      </c>
      <c r="K61" s="116">
        <f>SUM(L61:N61)</f>
        <v>3474538.08</v>
      </c>
      <c r="L61" s="111">
        <f>SUM(L62:L64)</f>
        <v>1966030.3699999999</v>
      </c>
      <c r="M61" s="111">
        <f>SUM(M62:M64)</f>
        <v>1508507.71</v>
      </c>
      <c r="N61" s="157">
        <f>SUM(N62:N64)</f>
        <v>0</v>
      </c>
      <c r="O61" s="216" t="s">
        <v>40</v>
      </c>
      <c r="P61" s="157">
        <f>SUM(P62:P64)</f>
        <v>1183593.4</v>
      </c>
      <c r="Q61" s="206">
        <f t="shared" si="15"/>
        <v>0.3406476984129067</v>
      </c>
    </row>
    <row r="62" spans="1:17" s="15" customFormat="1" ht="14.25">
      <c r="A62" s="22" t="s">
        <v>11</v>
      </c>
      <c r="B62" s="163">
        <v>92090046.662097</v>
      </c>
      <c r="C62" s="103" t="s">
        <v>40</v>
      </c>
      <c r="D62" s="104" t="s">
        <v>40</v>
      </c>
      <c r="E62" s="71" t="s">
        <v>40</v>
      </c>
      <c r="F62" s="71" t="s">
        <v>40</v>
      </c>
      <c r="G62" s="71" t="s">
        <v>40</v>
      </c>
      <c r="H62" s="71" t="s">
        <v>40</v>
      </c>
      <c r="I62" s="71" t="s">
        <v>40</v>
      </c>
      <c r="J62" s="323" t="s">
        <v>40</v>
      </c>
      <c r="K62" s="158">
        <f>SUM(L62:N62)</f>
        <v>3045705.73</v>
      </c>
      <c r="L62" s="159">
        <v>1742263.5699999998</v>
      </c>
      <c r="M62" s="159">
        <v>1303442.1600000001</v>
      </c>
      <c r="N62" s="160">
        <v>0</v>
      </c>
      <c r="O62" s="211" t="s">
        <v>40</v>
      </c>
      <c r="P62" s="217">
        <v>924689.58</v>
      </c>
      <c r="Q62" s="156">
        <f t="shared" si="15"/>
        <v>0.30360437349277336</v>
      </c>
    </row>
    <row r="63" spans="1:17" s="15" customFormat="1" ht="14.25">
      <c r="A63" s="22" t="s">
        <v>8</v>
      </c>
      <c r="B63" s="163">
        <v>22959622.459222317</v>
      </c>
      <c r="C63" s="103" t="s">
        <v>40</v>
      </c>
      <c r="D63" s="104" t="s">
        <v>40</v>
      </c>
      <c r="E63" s="71" t="s">
        <v>40</v>
      </c>
      <c r="F63" s="71" t="s">
        <v>40</v>
      </c>
      <c r="G63" s="71" t="s">
        <v>40</v>
      </c>
      <c r="H63" s="71" t="s">
        <v>40</v>
      </c>
      <c r="I63" s="71" t="s">
        <v>40</v>
      </c>
      <c r="J63" s="323" t="s">
        <v>40</v>
      </c>
      <c r="K63" s="158">
        <f>SUM(L63:N63)</f>
        <v>37402.7</v>
      </c>
      <c r="L63" s="161">
        <v>28052</v>
      </c>
      <c r="M63" s="161">
        <v>9350.7</v>
      </c>
      <c r="N63" s="160">
        <v>0</v>
      </c>
      <c r="O63" s="211" t="s">
        <v>40</v>
      </c>
      <c r="P63" s="217">
        <v>37402.7</v>
      </c>
      <c r="Q63" s="156">
        <f t="shared" si="15"/>
        <v>1</v>
      </c>
    </row>
    <row r="64" spans="1:17" s="15" customFormat="1" ht="14.25">
      <c r="A64" s="27" t="s">
        <v>36</v>
      </c>
      <c r="B64" s="163">
        <v>4178147.16</v>
      </c>
      <c r="C64" s="103" t="s">
        <v>40</v>
      </c>
      <c r="D64" s="104" t="s">
        <v>40</v>
      </c>
      <c r="E64" s="71" t="s">
        <v>40</v>
      </c>
      <c r="F64" s="71" t="s">
        <v>40</v>
      </c>
      <c r="G64" s="71" t="s">
        <v>40</v>
      </c>
      <c r="H64" s="71" t="s">
        <v>40</v>
      </c>
      <c r="I64" s="71" t="s">
        <v>40</v>
      </c>
      <c r="J64" s="323" t="s">
        <v>40</v>
      </c>
      <c r="K64" s="158">
        <f>SUM(L64:N64)</f>
        <v>391429.65</v>
      </c>
      <c r="L64" s="159">
        <v>195714.80000000002</v>
      </c>
      <c r="M64" s="159">
        <v>195714.84999999998</v>
      </c>
      <c r="N64" s="160">
        <v>0</v>
      </c>
      <c r="O64" s="199" t="s">
        <v>40</v>
      </c>
      <c r="P64" s="217">
        <v>221501.12000000005</v>
      </c>
      <c r="Q64" s="156">
        <f t="shared" si="15"/>
        <v>0.5658772144624201</v>
      </c>
    </row>
    <row r="65" spans="1:17" s="28" customFormat="1" ht="14.25">
      <c r="A65" s="21" t="s">
        <v>58</v>
      </c>
      <c r="B65" s="163">
        <v>14069720.09</v>
      </c>
      <c r="C65" s="103" t="s">
        <v>40</v>
      </c>
      <c r="D65" s="104" t="s">
        <v>40</v>
      </c>
      <c r="E65" s="71" t="s">
        <v>40</v>
      </c>
      <c r="F65" s="71" t="s">
        <v>40</v>
      </c>
      <c r="G65" s="71" t="s">
        <v>40</v>
      </c>
      <c r="H65" s="71" t="s">
        <v>40</v>
      </c>
      <c r="I65" s="71" t="s">
        <v>40</v>
      </c>
      <c r="J65" s="323" t="s">
        <v>40</v>
      </c>
      <c r="K65" s="205">
        <v>139212.16</v>
      </c>
      <c r="L65" s="203">
        <f>104409.1</f>
        <v>104409.1</v>
      </c>
      <c r="M65" s="196">
        <v>34803.06</v>
      </c>
      <c r="N65" s="115">
        <v>0</v>
      </c>
      <c r="O65" s="215" t="s">
        <v>40</v>
      </c>
      <c r="P65" s="160">
        <v>135446.79</v>
      </c>
      <c r="Q65" s="156">
        <f t="shared" si="15"/>
        <v>0.9729522909492965</v>
      </c>
    </row>
    <row r="66" spans="1:19" s="28" customFormat="1" ht="14.25">
      <c r="A66" s="21" t="s">
        <v>38</v>
      </c>
      <c r="B66" s="163">
        <v>100496086.66000003</v>
      </c>
      <c r="C66" s="103" t="s">
        <v>40</v>
      </c>
      <c r="D66" s="104" t="s">
        <v>40</v>
      </c>
      <c r="E66" s="71" t="s">
        <v>40</v>
      </c>
      <c r="F66" s="71" t="s">
        <v>40</v>
      </c>
      <c r="G66" s="71" t="s">
        <v>40</v>
      </c>
      <c r="H66" s="71" t="s">
        <v>40</v>
      </c>
      <c r="I66" s="71" t="s">
        <v>40</v>
      </c>
      <c r="J66" s="323" t="s">
        <v>40</v>
      </c>
      <c r="K66" s="205">
        <f>L66+M66</f>
        <v>1288952.9200000002</v>
      </c>
      <c r="L66" s="203">
        <f>820250.9+1520.75+44.28+44276.4+41577.86</f>
        <v>907670.1900000001</v>
      </c>
      <c r="M66" s="196">
        <f>356086.41+14.78+651.75+12650.4+11879.39</f>
        <v>381282.73000000004</v>
      </c>
      <c r="N66" s="196">
        <v>0</v>
      </c>
      <c r="O66" s="211" t="s">
        <v>40</v>
      </c>
      <c r="P66" s="160">
        <v>124380.06</v>
      </c>
      <c r="Q66" s="156">
        <f t="shared" si="15"/>
        <v>0.09649697678639806</v>
      </c>
      <c r="S66" s="31"/>
    </row>
    <row r="67" spans="1:23" s="29" customFormat="1" ht="15" thickBot="1">
      <c r="A67" s="219" t="s">
        <v>32</v>
      </c>
      <c r="B67" s="210">
        <v>23442026.810000002</v>
      </c>
      <c r="C67" s="220" t="s">
        <v>40</v>
      </c>
      <c r="D67" s="221" t="s">
        <v>40</v>
      </c>
      <c r="E67" s="222" t="s">
        <v>40</v>
      </c>
      <c r="F67" s="222" t="s">
        <v>40</v>
      </c>
      <c r="G67" s="222" t="s">
        <v>40</v>
      </c>
      <c r="H67" s="222" t="s">
        <v>40</v>
      </c>
      <c r="I67" s="222" t="s">
        <v>40</v>
      </c>
      <c r="J67" s="330" t="s">
        <v>40</v>
      </c>
      <c r="K67" s="209">
        <v>422623.5</v>
      </c>
      <c r="L67" s="214">
        <v>336403.61</v>
      </c>
      <c r="M67" s="223">
        <v>86219.89</v>
      </c>
      <c r="N67" s="223">
        <v>0</v>
      </c>
      <c r="O67" s="198" t="s">
        <v>40</v>
      </c>
      <c r="P67" s="218">
        <v>63399.85</v>
      </c>
      <c r="Q67" s="224">
        <f t="shared" si="15"/>
        <v>0.1500149660395127</v>
      </c>
      <c r="R67" s="31"/>
      <c r="S67" s="31"/>
      <c r="T67" s="28"/>
      <c r="U67" s="28"/>
      <c r="V67" s="28"/>
      <c r="W67" s="28"/>
    </row>
    <row r="68" spans="1:23" s="46" customFormat="1" ht="81.75" customHeight="1" thickBot="1">
      <c r="A68" s="229" t="s">
        <v>37</v>
      </c>
      <c r="B68" s="230">
        <f>B69+B70+B71+B72+B73+B74+B75+B76</f>
        <v>45026104</v>
      </c>
      <c r="C68" s="231">
        <f>C76+C75+C74+C73+C72+C71+C70+C69</f>
        <v>2570350.427444</v>
      </c>
      <c r="D68" s="232">
        <f>SUM(D69:D76)</f>
        <v>79911.26000000001</v>
      </c>
      <c r="E68" s="233">
        <f aca="true" t="shared" si="16" ref="E68:N68">SUM(E69:E76)</f>
        <v>67489.65190000001</v>
      </c>
      <c r="F68" s="233">
        <f t="shared" si="16"/>
        <v>7348.629499999999</v>
      </c>
      <c r="G68" s="233">
        <f t="shared" si="16"/>
        <v>5072.978599999998</v>
      </c>
      <c r="H68" s="234">
        <f>D68/C68</f>
        <v>0.03108963631836968</v>
      </c>
      <c r="I68" s="235" t="s">
        <v>73</v>
      </c>
      <c r="J68" s="236" t="s">
        <v>73</v>
      </c>
      <c r="K68" s="237">
        <f t="shared" si="16"/>
        <v>769570.52</v>
      </c>
      <c r="L68" s="238">
        <f t="shared" si="16"/>
        <v>637200.46</v>
      </c>
      <c r="M68" s="238">
        <f t="shared" si="16"/>
        <v>87742.86</v>
      </c>
      <c r="N68" s="238">
        <f t="shared" si="16"/>
        <v>44627.200000000004</v>
      </c>
      <c r="O68" s="239">
        <f>K68/C68</f>
        <v>0.2994029575824313</v>
      </c>
      <c r="P68" s="345" t="s">
        <v>73</v>
      </c>
      <c r="Q68" s="346" t="s">
        <v>73</v>
      </c>
      <c r="R68" s="45"/>
      <c r="S68" s="45"/>
      <c r="T68" s="45"/>
      <c r="U68" s="45"/>
      <c r="V68" s="45"/>
      <c r="W68" s="45"/>
    </row>
    <row r="69" spans="1:23" s="46" customFormat="1" ht="13.5">
      <c r="A69" s="119" t="s">
        <v>21</v>
      </c>
      <c r="B69" s="120">
        <f>10223995-5060389</f>
        <v>5163606</v>
      </c>
      <c r="C69" s="121">
        <v>291172</v>
      </c>
      <c r="D69" s="225">
        <f aca="true" t="shared" si="17" ref="D69:D75">SUM(E69:G69)</f>
        <v>28123.809999999998</v>
      </c>
      <c r="E69" s="123">
        <v>23905.2385</v>
      </c>
      <c r="F69" s="124">
        <v>4218.5715</v>
      </c>
      <c r="G69" s="124">
        <v>0</v>
      </c>
      <c r="H69" s="125">
        <f>D69/C69</f>
        <v>0.09658830519418075</v>
      </c>
      <c r="I69" s="226"/>
      <c r="J69" s="227"/>
      <c r="K69" s="143">
        <f aca="true" t="shared" si="18" ref="K69:K76">SUM(L69:N69)</f>
        <v>398615.33</v>
      </c>
      <c r="L69" s="124">
        <v>338823.01</v>
      </c>
      <c r="M69" s="124">
        <v>59578.38999999999</v>
      </c>
      <c r="N69" s="124">
        <v>213.92999999999998</v>
      </c>
      <c r="O69" s="228">
        <f aca="true" t="shared" si="19" ref="O69:O76">K69/B69</f>
        <v>0.07719708475046315</v>
      </c>
      <c r="P69" s="71" t="s">
        <v>40</v>
      </c>
      <c r="Q69" s="347" t="s">
        <v>40</v>
      </c>
      <c r="R69" s="45"/>
      <c r="S69" s="45"/>
      <c r="T69" s="45"/>
      <c r="U69" s="45"/>
      <c r="V69" s="45"/>
      <c r="W69" s="45"/>
    </row>
    <row r="70" spans="1:23" s="46" customFormat="1" ht="13.5">
      <c r="A70" s="131" t="s">
        <v>8</v>
      </c>
      <c r="B70" s="132">
        <v>5554874</v>
      </c>
      <c r="C70" s="121">
        <v>221107</v>
      </c>
      <c r="D70" s="122">
        <f t="shared" si="17"/>
        <v>8951.04</v>
      </c>
      <c r="E70" s="129">
        <v>7542.9765</v>
      </c>
      <c r="F70" s="129">
        <v>252.43349999999995</v>
      </c>
      <c r="G70" s="129">
        <v>1155.6300000000003</v>
      </c>
      <c r="H70" s="125">
        <f aca="true" t="shared" si="20" ref="H70:H75">D70/C70</f>
        <v>0.04048284314833995</v>
      </c>
      <c r="I70" s="126"/>
      <c r="J70" s="127"/>
      <c r="K70" s="128">
        <f t="shared" si="18"/>
        <v>23087.7</v>
      </c>
      <c r="L70" s="129">
        <v>19461.02</v>
      </c>
      <c r="M70" s="129">
        <v>2471.04</v>
      </c>
      <c r="N70" s="129">
        <v>1155.64</v>
      </c>
      <c r="O70" s="130">
        <f>K70/B70</f>
        <v>0.004156295894380322</v>
      </c>
      <c r="P70" s="71" t="s">
        <v>40</v>
      </c>
      <c r="Q70" s="347" t="s">
        <v>40</v>
      </c>
      <c r="R70" s="45"/>
      <c r="S70" s="45"/>
      <c r="T70" s="45"/>
      <c r="U70" s="45"/>
      <c r="V70" s="45"/>
      <c r="W70" s="45"/>
    </row>
    <row r="71" spans="1:23" s="46" customFormat="1" ht="13.5">
      <c r="A71" s="119" t="s">
        <v>36</v>
      </c>
      <c r="B71" s="133">
        <f>8924798+9607860</f>
        <v>18532658</v>
      </c>
      <c r="C71" s="134">
        <v>1337565</v>
      </c>
      <c r="D71" s="122">
        <f t="shared" si="17"/>
        <v>23362.98</v>
      </c>
      <c r="E71" s="129">
        <v>19595.5014</v>
      </c>
      <c r="F71" s="129">
        <v>2.700000000000001</v>
      </c>
      <c r="G71" s="123">
        <v>3764.778599999998</v>
      </c>
      <c r="H71" s="125">
        <f t="shared" si="20"/>
        <v>0.017466799744311493</v>
      </c>
      <c r="I71" s="126"/>
      <c r="J71" s="127"/>
      <c r="K71" s="128">
        <f t="shared" si="18"/>
        <v>139010.14000000004</v>
      </c>
      <c r="L71" s="129">
        <v>102347.04000000002</v>
      </c>
      <c r="M71" s="129">
        <v>7498.240000000001</v>
      </c>
      <c r="N71" s="129">
        <v>29164.860000000004</v>
      </c>
      <c r="O71" s="135">
        <f t="shared" si="19"/>
        <v>0.007500820443565086</v>
      </c>
      <c r="P71" s="71" t="s">
        <v>40</v>
      </c>
      <c r="Q71" s="347" t="s">
        <v>40</v>
      </c>
      <c r="R71" s="45"/>
      <c r="S71" s="45"/>
      <c r="T71" s="45"/>
      <c r="U71" s="45"/>
      <c r="V71" s="45"/>
      <c r="W71" s="45"/>
    </row>
    <row r="72" spans="1:23" s="46" customFormat="1" ht="18" customHeight="1">
      <c r="A72" s="131" t="s">
        <v>10</v>
      </c>
      <c r="B72" s="132">
        <v>3720491</v>
      </c>
      <c r="C72" s="136">
        <v>157959</v>
      </c>
      <c r="D72" s="122">
        <f t="shared" si="17"/>
        <v>948.8499999999999</v>
      </c>
      <c r="E72" s="129">
        <v>700.04</v>
      </c>
      <c r="F72" s="129">
        <v>98.49</v>
      </c>
      <c r="G72" s="129">
        <v>150.32</v>
      </c>
      <c r="H72" s="125">
        <f t="shared" si="20"/>
        <v>0.006006938509360024</v>
      </c>
      <c r="I72" s="126"/>
      <c r="J72" s="127"/>
      <c r="K72" s="128">
        <f t="shared" si="18"/>
        <v>12724.75</v>
      </c>
      <c r="L72" s="129">
        <v>9795.919999999998</v>
      </c>
      <c r="M72" s="129">
        <v>1220.54</v>
      </c>
      <c r="N72" s="129">
        <v>1708.2900000000002</v>
      </c>
      <c r="O72" s="130">
        <f t="shared" si="19"/>
        <v>0.0034201802934075098</v>
      </c>
      <c r="P72" s="71" t="s">
        <v>40</v>
      </c>
      <c r="Q72" s="347" t="s">
        <v>40</v>
      </c>
      <c r="R72" s="45"/>
      <c r="S72" s="45"/>
      <c r="T72" s="45"/>
      <c r="U72" s="45"/>
      <c r="V72" s="45"/>
      <c r="W72" s="45"/>
    </row>
    <row r="73" spans="1:23" s="46" customFormat="1" ht="13.5">
      <c r="A73" s="137" t="s">
        <v>22</v>
      </c>
      <c r="B73" s="138">
        <v>2376405</v>
      </c>
      <c r="C73" s="139">
        <v>175826.801916</v>
      </c>
      <c r="D73" s="122">
        <f t="shared" si="17"/>
        <v>5637.29</v>
      </c>
      <c r="E73" s="129">
        <v>4791.6965</v>
      </c>
      <c r="F73" s="129">
        <v>845.5935000000002</v>
      </c>
      <c r="G73" s="129">
        <v>0</v>
      </c>
      <c r="H73" s="125">
        <f>D73/C73</f>
        <v>0.032061608006117154</v>
      </c>
      <c r="I73" s="126"/>
      <c r="J73" s="127"/>
      <c r="K73" s="128">
        <f t="shared" si="18"/>
        <v>27134.75</v>
      </c>
      <c r="L73" s="129">
        <v>23064.53</v>
      </c>
      <c r="M73" s="129">
        <v>4070.2200000000003</v>
      </c>
      <c r="N73" s="129">
        <v>0</v>
      </c>
      <c r="O73" s="140">
        <f t="shared" si="19"/>
        <v>0.011418403007904797</v>
      </c>
      <c r="P73" s="71" t="s">
        <v>40</v>
      </c>
      <c r="Q73" s="347" t="s">
        <v>40</v>
      </c>
      <c r="R73" s="45"/>
      <c r="S73" s="45"/>
      <c r="T73" s="45"/>
      <c r="U73" s="45"/>
      <c r="V73" s="45"/>
      <c r="W73" s="45"/>
    </row>
    <row r="74" spans="1:23" s="46" customFormat="1" ht="13.5">
      <c r="A74" s="119" t="s">
        <v>18</v>
      </c>
      <c r="B74" s="132">
        <f>2378595+5060389</f>
        <v>7438984</v>
      </c>
      <c r="C74" s="136">
        <v>364742.625528</v>
      </c>
      <c r="D74" s="122">
        <f t="shared" si="17"/>
        <v>6821.71</v>
      </c>
      <c r="E74" s="129">
        <v>5798.4535</v>
      </c>
      <c r="F74" s="129">
        <v>1021.0065000000004</v>
      </c>
      <c r="G74" s="129">
        <v>2.25</v>
      </c>
      <c r="H74" s="125">
        <f t="shared" si="20"/>
        <v>0.018702804450466733</v>
      </c>
      <c r="I74" s="126"/>
      <c r="J74" s="127"/>
      <c r="K74" s="141">
        <f t="shared" si="18"/>
        <v>126807.04000000001</v>
      </c>
      <c r="L74" s="129">
        <v>107846.74</v>
      </c>
      <c r="M74" s="142">
        <v>6779.06</v>
      </c>
      <c r="N74" s="129">
        <v>12181.240000000002</v>
      </c>
      <c r="O74" s="130">
        <f t="shared" si="19"/>
        <v>0.017046284815238212</v>
      </c>
      <c r="P74" s="71" t="s">
        <v>40</v>
      </c>
      <c r="Q74" s="347" t="s">
        <v>40</v>
      </c>
      <c r="R74" s="45"/>
      <c r="S74" s="45"/>
      <c r="T74" s="45"/>
      <c r="U74" s="45"/>
      <c r="V74" s="45"/>
      <c r="W74" s="45"/>
    </row>
    <row r="75" spans="1:23" s="46" customFormat="1" ht="13.5">
      <c r="A75" s="131" t="s">
        <v>9</v>
      </c>
      <c r="B75" s="132">
        <v>1257537</v>
      </c>
      <c r="C75" s="121">
        <v>21978</v>
      </c>
      <c r="D75" s="122">
        <f t="shared" si="17"/>
        <v>3019.63</v>
      </c>
      <c r="E75" s="129">
        <v>2566.6855</v>
      </c>
      <c r="F75" s="129">
        <v>452.94450000000006</v>
      </c>
      <c r="G75" s="129">
        <v>0</v>
      </c>
      <c r="H75" s="125">
        <f t="shared" si="20"/>
        <v>0.13739330239330239</v>
      </c>
      <c r="I75" s="126"/>
      <c r="J75" s="127"/>
      <c r="K75" s="143">
        <f t="shared" si="18"/>
        <v>4823.23</v>
      </c>
      <c r="L75" s="129">
        <v>4099.75</v>
      </c>
      <c r="M75" s="129">
        <v>520.24</v>
      </c>
      <c r="N75" s="129">
        <v>203.24</v>
      </c>
      <c r="O75" s="135">
        <f t="shared" si="19"/>
        <v>0.0038354577241067256</v>
      </c>
      <c r="P75" s="71" t="s">
        <v>40</v>
      </c>
      <c r="Q75" s="347" t="s">
        <v>40</v>
      </c>
      <c r="R75" s="45"/>
      <c r="S75" s="45"/>
      <c r="T75" s="45"/>
      <c r="U75" s="45"/>
      <c r="V75" s="45"/>
      <c r="W75" s="45"/>
    </row>
    <row r="76" spans="1:23" s="46" customFormat="1" ht="14.25" thickBot="1">
      <c r="A76" s="144" t="s">
        <v>23</v>
      </c>
      <c r="B76" s="145">
        <v>981549</v>
      </c>
      <c r="C76" s="146">
        <v>0</v>
      </c>
      <c r="D76" s="147">
        <f>SUM(E76:G76)</f>
        <v>3045.95</v>
      </c>
      <c r="E76" s="148">
        <v>2589.06</v>
      </c>
      <c r="F76" s="148">
        <v>456.8899999999999</v>
      </c>
      <c r="G76" s="149">
        <v>0</v>
      </c>
      <c r="H76" s="125">
        <v>0</v>
      </c>
      <c r="I76" s="150"/>
      <c r="J76" s="151"/>
      <c r="K76" s="152">
        <f t="shared" si="18"/>
        <v>37367.58</v>
      </c>
      <c r="L76" s="149">
        <v>31762.450000000004</v>
      </c>
      <c r="M76" s="149">
        <v>5605.129999999999</v>
      </c>
      <c r="N76" s="149">
        <v>0</v>
      </c>
      <c r="O76" s="153">
        <f t="shared" si="19"/>
        <v>0.03807000974989532</v>
      </c>
      <c r="P76" s="349" t="s">
        <v>40</v>
      </c>
      <c r="Q76" s="348" t="s">
        <v>40</v>
      </c>
      <c r="R76" s="45"/>
      <c r="S76" s="45"/>
      <c r="T76" s="45"/>
      <c r="U76" s="45"/>
      <c r="V76" s="45"/>
      <c r="W76" s="45"/>
    </row>
    <row r="77" spans="1:23" s="30" customFormat="1" ht="15" customHeight="1">
      <c r="A77" s="39" t="s">
        <v>42</v>
      </c>
      <c r="B77" s="38"/>
      <c r="C77" s="38"/>
      <c r="D77" s="38"/>
      <c r="E77" s="59"/>
      <c r="F77" s="33"/>
      <c r="G77" s="32"/>
      <c r="H77" s="34"/>
      <c r="I77" s="35"/>
      <c r="J77" s="35"/>
      <c r="K77" s="36"/>
      <c r="L77" s="36"/>
      <c r="M77" s="36"/>
      <c r="N77" s="36"/>
      <c r="O77" s="37"/>
      <c r="P77" s="35"/>
      <c r="Q77" s="35"/>
      <c r="R77" s="44"/>
      <c r="S77" s="44"/>
      <c r="T77" s="44"/>
      <c r="U77" s="44"/>
      <c r="V77" s="44"/>
      <c r="W77" s="44"/>
    </row>
    <row r="78" spans="1:11" ht="14.25">
      <c r="A78" s="363" t="s">
        <v>55</v>
      </c>
      <c r="B78" s="363"/>
      <c r="C78" s="363"/>
      <c r="D78" s="363"/>
      <c r="E78" s="363"/>
      <c r="F78" s="363"/>
      <c r="G78" s="363"/>
      <c r="H78" s="363"/>
      <c r="I78" s="363"/>
      <c r="J78" s="363"/>
      <c r="K78" s="363"/>
    </row>
    <row r="79" spans="1:11" ht="14.25" hidden="1">
      <c r="A79" s="368"/>
      <c r="B79" s="369"/>
      <c r="C79" s="369"/>
      <c r="D79" s="369"/>
      <c r="E79" s="369"/>
      <c r="F79" s="369"/>
      <c r="G79" s="369"/>
      <c r="H79" s="369"/>
      <c r="I79" s="369"/>
      <c r="J79" s="369"/>
      <c r="K79" s="369"/>
    </row>
    <row r="80" spans="1:11" ht="14.25" hidden="1">
      <c r="A80" s="368"/>
      <c r="B80" s="369"/>
      <c r="C80" s="369"/>
      <c r="D80" s="369"/>
      <c r="E80" s="369"/>
      <c r="F80" s="369"/>
      <c r="G80" s="369"/>
      <c r="H80" s="369"/>
      <c r="I80" s="369"/>
      <c r="J80" s="369"/>
      <c r="K80" s="369"/>
    </row>
    <row r="81" spans="1:17" ht="14.25">
      <c r="A81" s="364" t="s">
        <v>39</v>
      </c>
      <c r="B81" s="364"/>
      <c r="C81" s="364"/>
      <c r="D81" s="364"/>
      <c r="E81" s="364"/>
      <c r="F81" s="364"/>
      <c r="G81" s="364"/>
      <c r="H81" s="364"/>
      <c r="I81" s="364"/>
      <c r="J81" s="364"/>
      <c r="K81" s="364"/>
      <c r="L81" s="364"/>
      <c r="M81" s="364"/>
      <c r="N81" s="364"/>
      <c r="O81" s="364"/>
      <c r="P81" s="364"/>
      <c r="Q81" s="364"/>
    </row>
    <row r="82" spans="1:23" s="12" customFormat="1" ht="16.5" customHeight="1">
      <c r="A82" s="364" t="s">
        <v>44</v>
      </c>
      <c r="B82" s="364"/>
      <c r="C82" s="364"/>
      <c r="D82" s="364"/>
      <c r="E82" s="364"/>
      <c r="F82" s="364"/>
      <c r="G82" s="364"/>
      <c r="H82" s="364"/>
      <c r="I82" s="364"/>
      <c r="J82" s="364"/>
      <c r="K82" s="364"/>
      <c r="L82" s="364"/>
      <c r="M82" s="364"/>
      <c r="N82" s="364"/>
      <c r="O82" s="364"/>
      <c r="P82" s="364"/>
      <c r="Q82" s="364"/>
      <c r="R82" s="8"/>
      <c r="S82" s="8"/>
      <c r="T82" s="8"/>
      <c r="U82" s="8"/>
      <c r="V82" s="8"/>
      <c r="W82" s="8"/>
    </row>
    <row r="83" spans="1:23" s="12" customFormat="1" ht="14.25">
      <c r="A83" s="364" t="s">
        <v>70</v>
      </c>
      <c r="B83" s="364"/>
      <c r="C83" s="364"/>
      <c r="D83" s="364"/>
      <c r="E83" s="364"/>
      <c r="F83" s="364"/>
      <c r="G83" s="364"/>
      <c r="H83" s="364"/>
      <c r="I83" s="364"/>
      <c r="J83" s="364"/>
      <c r="K83" s="364"/>
      <c r="L83" s="364"/>
      <c r="M83" s="364"/>
      <c r="N83" s="364"/>
      <c r="O83" s="364"/>
      <c r="P83" s="364"/>
      <c r="Q83" s="364"/>
      <c r="R83" s="8"/>
      <c r="S83" s="8"/>
      <c r="T83" s="8"/>
      <c r="U83" s="8"/>
      <c r="V83" s="8"/>
      <c r="W83" s="8"/>
    </row>
    <row r="84" spans="1:23" s="12" customFormat="1" ht="14.25">
      <c r="A84" s="354"/>
      <c r="B84" s="354"/>
      <c r="C84" s="354"/>
      <c r="D84" s="354"/>
      <c r="E84" s="354"/>
      <c r="F84" s="354"/>
      <c r="G84" s="354"/>
      <c r="H84" s="354"/>
      <c r="I84" s="354"/>
      <c r="J84" s="354"/>
      <c r="K84" s="354"/>
      <c r="L84" s="354"/>
      <c r="M84" s="354"/>
      <c r="N84" s="354"/>
      <c r="O84" s="354"/>
      <c r="P84" s="354"/>
      <c r="Q84" s="354"/>
      <c r="R84" s="8"/>
      <c r="S84" s="8"/>
      <c r="T84" s="8"/>
      <c r="U84" s="8"/>
      <c r="V84" s="8"/>
      <c r="W84" s="8"/>
    </row>
    <row r="85" spans="1:23" s="12" customFormat="1" ht="14.25">
      <c r="A85" s="354"/>
      <c r="B85" s="354"/>
      <c r="C85" s="354"/>
      <c r="D85" s="354"/>
      <c r="E85" s="354"/>
      <c r="F85" s="354"/>
      <c r="G85" s="354"/>
      <c r="H85" s="354"/>
      <c r="I85" s="354"/>
      <c r="J85" s="354"/>
      <c r="K85" s="354"/>
      <c r="L85" s="354"/>
      <c r="M85" s="354"/>
      <c r="N85" s="354"/>
      <c r="O85" s="354"/>
      <c r="P85" s="354"/>
      <c r="Q85" s="354"/>
      <c r="R85" s="8"/>
      <c r="S85" s="8"/>
      <c r="T85" s="8"/>
      <c r="U85" s="8"/>
      <c r="V85" s="8"/>
      <c r="W85" s="8"/>
    </row>
    <row r="86" spans="1:23" s="12" customFormat="1" ht="14.25">
      <c r="A86" s="354"/>
      <c r="B86" s="354"/>
      <c r="C86" s="354"/>
      <c r="D86" s="354"/>
      <c r="E86" s="354"/>
      <c r="F86" s="354"/>
      <c r="G86" s="354"/>
      <c r="H86" s="354"/>
      <c r="I86" s="354"/>
      <c r="J86" s="354"/>
      <c r="K86" s="354"/>
      <c r="L86" s="354"/>
      <c r="M86" s="354"/>
      <c r="N86" s="354"/>
      <c r="O86" s="354"/>
      <c r="P86" s="354"/>
      <c r="Q86" s="354"/>
      <c r="R86" s="8"/>
      <c r="S86" s="8"/>
      <c r="T86" s="8"/>
      <c r="U86" s="8"/>
      <c r="V86" s="8"/>
      <c r="W86" s="8"/>
    </row>
    <row r="87" spans="1:23" s="12" customFormat="1" ht="14.25">
      <c r="A87" s="354"/>
      <c r="B87" s="354"/>
      <c r="C87" s="354"/>
      <c r="D87" s="354"/>
      <c r="E87" s="354"/>
      <c r="F87" s="354"/>
      <c r="G87" s="354"/>
      <c r="H87" s="354"/>
      <c r="I87" s="354"/>
      <c r="J87" s="354"/>
      <c r="K87" s="354"/>
      <c r="L87" s="354"/>
      <c r="M87" s="354"/>
      <c r="N87" s="354"/>
      <c r="O87" s="354"/>
      <c r="P87" s="354"/>
      <c r="Q87" s="354"/>
      <c r="R87" s="8"/>
      <c r="S87" s="8"/>
      <c r="T87" s="8"/>
      <c r="U87" s="8"/>
      <c r="V87" s="8"/>
      <c r="W87" s="8"/>
    </row>
    <row r="88" spans="1:23" s="12" customFormat="1" ht="14.25">
      <c r="A88" s="354"/>
      <c r="B88" s="354"/>
      <c r="C88" s="354"/>
      <c r="D88" s="354"/>
      <c r="E88" s="354"/>
      <c r="F88" s="354"/>
      <c r="G88" s="354"/>
      <c r="H88" s="354"/>
      <c r="I88" s="354"/>
      <c r="J88" s="354"/>
      <c r="K88" s="354"/>
      <c r="L88" s="354"/>
      <c r="M88" s="354"/>
      <c r="N88" s="354"/>
      <c r="O88" s="354"/>
      <c r="P88" s="354"/>
      <c r="Q88" s="354"/>
      <c r="R88" s="8"/>
      <c r="S88" s="8"/>
      <c r="T88" s="8"/>
      <c r="U88" s="8"/>
      <c r="V88" s="8"/>
      <c r="W88" s="8"/>
    </row>
    <row r="89" spans="1:23" s="12" customFormat="1" ht="14.25">
      <c r="A89" s="354"/>
      <c r="B89" s="354"/>
      <c r="C89" s="354"/>
      <c r="D89" s="354"/>
      <c r="E89" s="354"/>
      <c r="F89" s="354"/>
      <c r="G89" s="354"/>
      <c r="H89" s="354"/>
      <c r="I89" s="354"/>
      <c r="J89" s="354"/>
      <c r="K89" s="354"/>
      <c r="L89" s="354"/>
      <c r="M89" s="354"/>
      <c r="N89" s="354"/>
      <c r="O89" s="354"/>
      <c r="P89" s="354"/>
      <c r="Q89" s="354"/>
      <c r="R89" s="8"/>
      <c r="S89" s="8"/>
      <c r="T89" s="8"/>
      <c r="U89" s="8"/>
      <c r="V89" s="8"/>
      <c r="W89" s="8"/>
    </row>
    <row r="90" spans="1:23" s="12" customFormat="1" ht="14.25">
      <c r="A90" s="354"/>
      <c r="B90" s="354"/>
      <c r="C90" s="354"/>
      <c r="D90" s="354"/>
      <c r="E90" s="354"/>
      <c r="F90" s="354"/>
      <c r="G90" s="354"/>
      <c r="H90" s="354"/>
      <c r="I90" s="354"/>
      <c r="J90" s="354"/>
      <c r="K90" s="354"/>
      <c r="L90" s="354"/>
      <c r="M90" s="354"/>
      <c r="N90" s="354"/>
      <c r="O90" s="354"/>
      <c r="P90" s="354"/>
      <c r="Q90" s="354"/>
      <c r="R90" s="8"/>
      <c r="S90" s="8"/>
      <c r="T90" s="8"/>
      <c r="U90" s="8"/>
      <c r="V90" s="8"/>
      <c r="W90" s="8"/>
    </row>
    <row r="91" spans="1:17" ht="21">
      <c r="A91" s="350"/>
      <c r="B91" s="351"/>
      <c r="C91" s="117"/>
      <c r="D91" s="118"/>
      <c r="E91" s="118"/>
      <c r="F91" s="118"/>
      <c r="G91" s="118"/>
      <c r="H91" s="118"/>
      <c r="I91" s="30"/>
      <c r="J91" s="30"/>
      <c r="K91" s="352" t="s">
        <v>34</v>
      </c>
      <c r="L91" s="352"/>
      <c r="M91" s="352"/>
      <c r="N91" s="352"/>
      <c r="O91" s="352"/>
      <c r="P91" s="352" t="s">
        <v>35</v>
      </c>
      <c r="Q91" s="350"/>
    </row>
    <row r="92" spans="1:16" ht="15">
      <c r="A92" s="353" t="s">
        <v>75</v>
      </c>
      <c r="C92" s="117"/>
      <c r="D92" s="30"/>
      <c r="E92" s="30"/>
      <c r="F92" s="30"/>
      <c r="G92" s="30"/>
      <c r="H92" s="30"/>
      <c r="I92" s="118"/>
      <c r="J92" s="30"/>
      <c r="K92" s="30"/>
      <c r="L92" s="30"/>
      <c r="M92" s="30"/>
      <c r="N92" s="30"/>
      <c r="O92" s="30"/>
      <c r="P92" s="30"/>
    </row>
    <row r="93" spans="1:16" ht="15">
      <c r="A93" s="353" t="s">
        <v>71</v>
      </c>
      <c r="C93" s="117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</row>
    <row r="94" ht="15">
      <c r="A94" s="353" t="s">
        <v>72</v>
      </c>
    </row>
  </sheetData>
  <sheetProtection/>
  <mergeCells count="12">
    <mergeCell ref="D11:J11"/>
    <mergeCell ref="C11:C12"/>
    <mergeCell ref="K11:Q11"/>
    <mergeCell ref="A78:K78"/>
    <mergeCell ref="A81:Q81"/>
    <mergeCell ref="A83:Q83"/>
    <mergeCell ref="A82:Q82"/>
    <mergeCell ref="A8:Q8"/>
    <mergeCell ref="A11:A12"/>
    <mergeCell ref="A80:K80"/>
    <mergeCell ref="A79:K79"/>
    <mergeCell ref="B11:B12"/>
  </mergeCells>
  <printOptions/>
  <pageMargins left="0.5118110236220472" right="0.5118110236220472" top="0.7480314960629921" bottom="1.4173228346456694" header="0.31496062992125984" footer="0.31496062992125984"/>
  <pageSetup fitToHeight="0" fitToWidth="1" horizontalDpi="600" verticalDpi="600" orientation="landscape" paperSize="9" scale="54" r:id="rId2"/>
  <headerFooter>
    <oddHeader>&amp;C&amp;P</oddHeader>
    <oddFooter>&amp;L&amp;F; Informācija par neatbilstoši veiktiem izdevumiem un atgūtiem neatbilstoši veiktiem izdevumiem uz 31.03.2011, latos (neieskaitot maksātnespējas gadījumus)</oddFooter>
  </headerFooter>
  <rowBreaks count="2" manualBreakCount="2">
    <brk id="43" max="16" man="1"/>
    <brk id="67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I31" sqref="I31"/>
    </sheetView>
  </sheetViews>
  <sheetFormatPr defaultColWidth="9.140625" defaultRowHeight="15"/>
  <cols>
    <col min="2" max="2" width="21.00390625" style="0" customWidth="1"/>
    <col min="3" max="3" width="17.421875" style="0" customWidth="1"/>
  </cols>
  <sheetData>
    <row r="2" spans="2:5" ht="14.25">
      <c r="B2" t="s">
        <v>63</v>
      </c>
      <c r="C2" t="s">
        <v>64</v>
      </c>
      <c r="E2" s="63">
        <v>0.7098</v>
      </c>
    </row>
    <row r="3" spans="1:3" ht="14.25">
      <c r="A3" t="s">
        <v>60</v>
      </c>
      <c r="B3">
        <v>23756.1</v>
      </c>
      <c r="C3">
        <v>351823.2800000002</v>
      </c>
    </row>
    <row r="4" spans="1:3" ht="14.25">
      <c r="A4" t="s">
        <v>61</v>
      </c>
      <c r="B4">
        <v>26133.069999999996</v>
      </c>
      <c r="C4">
        <v>665233.5299999998</v>
      </c>
    </row>
    <row r="5" spans="1:3" ht="14.25">
      <c r="A5" t="s">
        <v>62</v>
      </c>
      <c r="B5">
        <v>636318.16</v>
      </c>
      <c r="C5">
        <v>4970592.339999999</v>
      </c>
    </row>
    <row r="6" spans="1:3" ht="14.25">
      <c r="A6" t="s">
        <v>65</v>
      </c>
      <c r="B6">
        <v>686207.33</v>
      </c>
      <c r="C6">
        <v>5987649.149999999</v>
      </c>
    </row>
    <row r="7" spans="2:3" ht="14.25">
      <c r="B7">
        <v>1027627.04</v>
      </c>
      <c r="C7">
        <v>5727726.68</v>
      </c>
    </row>
    <row r="8" spans="2:3" ht="14.25">
      <c r="B8" s="64">
        <f>B5/B7</f>
        <v>0.6192111877476483</v>
      </c>
      <c r="C8" s="64">
        <f>C5/C7</f>
        <v>0.8678124180324888</v>
      </c>
    </row>
    <row r="12" spans="1:2" ht="14.25">
      <c r="A12" s="61">
        <v>18546.37</v>
      </c>
      <c r="B12" s="62">
        <v>4362281.079999999</v>
      </c>
    </row>
    <row r="13" spans="1:2" ht="14.25">
      <c r="A13" s="61">
        <v>617771.79</v>
      </c>
      <c r="B13" s="62">
        <v>608311.2600000001</v>
      </c>
    </row>
    <row r="14" spans="1:2" ht="14.25">
      <c r="A14" s="61">
        <f>SUM(A12:A13)</f>
        <v>636318.16</v>
      </c>
      <c r="B14" s="61">
        <f>SUM(B12:B13)</f>
        <v>4970592.339999999</v>
      </c>
    </row>
    <row r="16" spans="2:3" ht="14.25">
      <c r="B16" t="s">
        <v>63</v>
      </c>
      <c r="C16" t="s">
        <v>64</v>
      </c>
    </row>
    <row r="17" spans="1:3" ht="14.25">
      <c r="A17" t="s">
        <v>60</v>
      </c>
      <c r="B17">
        <f aca="true" t="shared" si="0" ref="B17:C20">B3/$E$2</f>
        <v>33468.7235841082</v>
      </c>
      <c r="C17">
        <f t="shared" si="0"/>
        <v>495665.3705269093</v>
      </c>
    </row>
    <row r="18" spans="1:3" ht="14.25">
      <c r="A18" t="s">
        <v>61</v>
      </c>
      <c r="B18" s="12">
        <f t="shared" si="0"/>
        <v>36817.51197520428</v>
      </c>
      <c r="C18" s="12">
        <f t="shared" si="0"/>
        <v>937212.6373626371</v>
      </c>
    </row>
    <row r="19" spans="1:3" ht="14.25">
      <c r="A19" t="s">
        <v>62</v>
      </c>
      <c r="B19" s="12">
        <f t="shared" si="0"/>
        <v>896475.2888137504</v>
      </c>
      <c r="C19" s="12">
        <f t="shared" si="0"/>
        <v>7002806.903353056</v>
      </c>
    </row>
    <row r="20" spans="1:3" ht="14.25">
      <c r="A20" t="s">
        <v>65</v>
      </c>
      <c r="B20" s="12">
        <f t="shared" si="0"/>
        <v>966761.5243730628</v>
      </c>
      <c r="C20" s="12">
        <f t="shared" si="0"/>
        <v>8435684.911242602</v>
      </c>
    </row>
    <row r="22" ht="14.25">
      <c r="A22" t="s">
        <v>66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Informatīvā ziņojuma 4.pielikums</dc:title>
  <dc:subject>Informācija par neatbilstībām un neatbilstoši veiktiem izdevumiem un atgūtiem neatbilstoši veiktiem izdevumiem uz 31.03.2011, latos (neieskaitot maksātnespējas gadījumus)</dc:subject>
  <dc:creator>Sanita Auniņa</dc:creator>
  <cp:keywords/>
  <dc:description>Sanita Auniņa
LR Finanšu ministrijas
Eiropas Savienības fondu uzraudzības departamenta
Ieviešanas sistēmas nodaļas
vecākā referente
Tālr.: 67095650; fakss 67095697
E-pasts: Sanita.Aunina@fm.gov.lv</dc:description>
  <cp:lastModifiedBy>Gatis Meļņiks</cp:lastModifiedBy>
  <cp:lastPrinted>2011-12-08T08:47:21Z</cp:lastPrinted>
  <dcterms:created xsi:type="dcterms:W3CDTF">2010-10-05T14:48:30Z</dcterms:created>
  <dcterms:modified xsi:type="dcterms:W3CDTF">2011-12-08T09:15:25Z</dcterms:modified>
  <cp:category/>
  <cp:version/>
  <cp:contentType/>
  <cp:contentStatus/>
</cp:coreProperties>
</file>