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40" activeTab="0"/>
  </bookViews>
  <sheets>
    <sheet name="Tabula Nr.1" sheetId="1" r:id="rId1"/>
  </sheets>
  <definedNames>
    <definedName name="_xlnm.Print_Area" localSheetId="0">'Tabula Nr.1'!$A$1:$Q$87</definedName>
    <definedName name="_xlnm.Print_Titles" localSheetId="0">'Tabula Nr.1'!$11:$13</definedName>
  </definedNames>
  <calcPr fullCalcOnLoad="1"/>
</workbook>
</file>

<file path=xl/sharedStrings.xml><?xml version="1.0" encoding="utf-8"?>
<sst xmlns="http://schemas.openxmlformats.org/spreadsheetml/2006/main" count="353" uniqueCount="69">
  <si>
    <t>Fonds</t>
  </si>
  <si>
    <t>KOPĀ</t>
  </si>
  <si>
    <t>ES fondu/EEZ/Norvēģijas FI daļa, lati</t>
  </si>
  <si>
    <t>LV valsts budžeta daļa, lati</t>
  </si>
  <si>
    <t>Cits nacionālais publiskais finansējums</t>
  </si>
  <si>
    <t>Atgūtie neatbilstoši veiktie izdevumi, % no kopējiem neatbilst. veiktajiem izdevumiem</t>
  </si>
  <si>
    <t>2007.-2013.g. ES SF un KF kopā, t.sk.</t>
  </si>
  <si>
    <t>ESF</t>
  </si>
  <si>
    <t>IZM</t>
  </si>
  <si>
    <t>LM</t>
  </si>
  <si>
    <t>VeM</t>
  </si>
  <si>
    <t>EM</t>
  </si>
  <si>
    <t>VKanc</t>
  </si>
  <si>
    <t>ERAF</t>
  </si>
  <si>
    <t>ERAF (2DP)</t>
  </si>
  <si>
    <t>ERAF (3DP)</t>
  </si>
  <si>
    <t>IzM</t>
  </si>
  <si>
    <t>SM</t>
  </si>
  <si>
    <t>KM</t>
  </si>
  <si>
    <t>TP kopā</t>
  </si>
  <si>
    <t>2004.-2006.g. ES SF KOPĀ, t.sk.</t>
  </si>
  <si>
    <t>TM</t>
  </si>
  <si>
    <t>IeM</t>
  </si>
  <si>
    <t>TP</t>
  </si>
  <si>
    <t>Atgūtie neatbilstoši veiktie, lati</t>
  </si>
  <si>
    <t>ES fondu/EEZ/ Norvēģijas FI daļa, lati</t>
  </si>
  <si>
    <t xml:space="preserve">KF </t>
  </si>
  <si>
    <t>FM TP</t>
  </si>
  <si>
    <t>Konstatētie neatbilstoši veiktie izdevumi pārskata periodā (ceturksnī)</t>
  </si>
  <si>
    <t xml:space="preserve">2000. - 2006. g.ES KF KOPĀ, t.sk. </t>
  </si>
  <si>
    <t>FM</t>
  </si>
  <si>
    <t>t.sk. 1.prioritāte</t>
  </si>
  <si>
    <t>ZVFI/ ZM</t>
  </si>
  <si>
    <t xml:space="preserve">t.sk. 2.prioritāte </t>
  </si>
  <si>
    <t xml:space="preserve">Finanšu ministrs </t>
  </si>
  <si>
    <t>A.Vilks</t>
  </si>
  <si>
    <t>O.Daugavietis</t>
  </si>
  <si>
    <t>67095549, Ojars.Daugavietis@fm.gov.lv</t>
  </si>
  <si>
    <t>VARAM</t>
  </si>
  <si>
    <t>2004.-2009.gada EEZ/Norvēģijas finanšu instrumenti par prioritātēm atbildīgo ministriju griezumā</t>
  </si>
  <si>
    <t>ELVGF/ ZM**</t>
  </si>
  <si>
    <t>** Precizēti iepriekšējo ceturkšņu dati par neatbilstoši veiktajiem izdevumiem - papildus konstatētas divas neatbilstības.</t>
  </si>
  <si>
    <t>-</t>
  </si>
  <si>
    <t>LM¹</t>
  </si>
  <si>
    <r>
      <rPr>
        <sz val="10"/>
        <color indexed="8"/>
        <rFont val="Times New Roman"/>
        <family val="1"/>
      </rPr>
      <t>¹</t>
    </r>
    <r>
      <rPr>
        <sz val="10"/>
        <color indexed="8"/>
        <rFont val="Times New Roman"/>
        <family val="2"/>
      </rPr>
      <t>Kopējā neatbilstoši veikto izdevumu summa LM aktivitātēm pārskata periodā ir samazinājusies divu anulēto neatbilstību dēļ 3.1.4.2. aktivitātes ietvaros</t>
    </r>
  </si>
  <si>
    <t xml:space="preserve">EM </t>
  </si>
  <si>
    <t>***VIS dati par iepriekšējiem ceturkšņiem tika precizēti attiecībā uz atgūto neatbilstību apjomu.</t>
  </si>
  <si>
    <t>17=16/11</t>
  </si>
  <si>
    <t>15=111/3</t>
  </si>
  <si>
    <t>11=12+13+14</t>
  </si>
  <si>
    <t>8=4/3</t>
  </si>
  <si>
    <t>Neatbilstoši veiktie izd. kopā % no pieprasītās summas FS, %</t>
  </si>
  <si>
    <t>4=5+6+7</t>
  </si>
  <si>
    <t>Veiktie maksājumi finansējuma saņēmējiem uz 30.06.2011. (publiskais finansējums), lati</t>
  </si>
  <si>
    <t>Neatbilstoši veiktie izdevumi līdz 30.06.2011</t>
  </si>
  <si>
    <t>Informācija par neatbilstībām un neatbilstoši veiktiem izdevumiem un atgūtiem neatbilstoši veiktiem izdevumiem uz 30.06.2011, latos (neieskaitot maksātnespējas gadījumus)</t>
  </si>
  <si>
    <t>Atgūtie neatbilstoši veiktie izdevumi pārskata periodā, lati</t>
  </si>
  <si>
    <t xml:space="preserve">Kopējā pieprasītā summa un avansi (neskaitot dzēstos avansus) uz 30.06.2011 </t>
  </si>
  <si>
    <t>10=9/4</t>
  </si>
  <si>
    <t>Atgūtie neatbilstoši veiktie izdevumi, % no kopējā neatbilstību apjoma</t>
  </si>
  <si>
    <t xml:space="preserve">Neatbilstību apjoms % no pieprasītās summas. 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</si>
  <si>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Neatbilstoši veiktie izdevumi tiek ieturēti no kārtējā sparpposma maksājuma pirms tas tiek iesniegts apmakasi no donorvalstīm</t>
    </r>
  </si>
  <si>
    <r>
      <t>n/a</t>
    </r>
    <r>
      <rPr>
        <b/>
        <vertAlign val="superscript"/>
        <sz val="10"/>
        <rFont val="Times New Roman"/>
        <family val="1"/>
      </rPr>
      <t>2</t>
    </r>
  </si>
  <si>
    <t>FM TP****</t>
  </si>
  <si>
    <t>ESF TP****</t>
  </si>
  <si>
    <t>ERAF TP****</t>
  </si>
  <si>
    <t>VARAM ***</t>
  </si>
  <si>
    <t>**** Tehnisks precizējums neatbilstoši veikto izdevumu līdz 30.06.2011. apojomā (anulētas neatbilstības)</t>
  </si>
  <si>
    <t>22.07.2011. 14:25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</si>
</sst>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#,##0;[Red]#,##0"/>
    <numFmt numFmtId="166" formatCode="#,##0.000"/>
    <numFmt numFmtId="167" formatCode="#,##0.0"/>
    <numFmt numFmtId="168" formatCode="0.0%"/>
    <numFmt numFmtId="169" formatCode="0.0000%"/>
    <numFmt numFmtId="170" formatCode="#,##0.0000"/>
    <numFmt numFmtId="171" formatCode="0.000000000000000000%"/>
    <numFmt numFmtId="172" formatCode="#,##0.00;\(#,##0.00\)"/>
    <numFmt numFmtId="173" formatCode="#,##0.00;[Red]#,##0.00"/>
    <numFmt numFmtId="174" formatCode="0.000%"/>
    <numFmt numFmtId="175" formatCode="#,##0.0;[Red]#,##0.0"/>
    <numFmt numFmtId="176" formatCode="0.00000%"/>
    <numFmt numFmtId="177" formatCode="0.000000%"/>
    <numFmt numFmtId="178" formatCode="0.0000000%"/>
    <numFmt numFmtId="179" formatCode="0.00000000%"/>
    <numFmt numFmtId="180" formatCode="#,##0.00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6]dddd\,\ yyyy&quot;. gada &quot;d\.\ mmm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80" fillId="31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14" fillId="32" borderId="7" applyNumberFormat="0" applyFon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wrapText="1"/>
    </xf>
    <xf numFmtId="3" fontId="3" fillId="1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/>
    </xf>
    <xf numFmtId="174" fontId="5" fillId="0" borderId="0" xfId="10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4" fillId="10" borderId="1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19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35" borderId="0" xfId="0" applyFont="1" applyFill="1" applyBorder="1" applyAlignment="1">
      <alignment/>
    </xf>
    <xf numFmtId="0" fontId="88" fillId="0" borderId="0" xfId="0" applyFont="1" applyAlignment="1">
      <alignment/>
    </xf>
    <xf numFmtId="4" fontId="4" fillId="16" borderId="21" xfId="0" applyNumberFormat="1" applyFont="1" applyFill="1" applyBorder="1" applyAlignment="1">
      <alignment wrapText="1"/>
    </xf>
    <xf numFmtId="0" fontId="89" fillId="0" borderId="0" xfId="0" applyFont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4" fontId="8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174" fontId="5" fillId="35" borderId="0" xfId="100" applyNumberFormat="1" applyFont="1" applyFill="1" applyBorder="1" applyAlignment="1">
      <alignment/>
    </xf>
    <xf numFmtId="0" fontId="89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wrapText="1"/>
    </xf>
    <xf numFmtId="10" fontId="5" fillId="0" borderId="0" xfId="100" applyNumberFormat="1" applyFont="1" applyFill="1" applyBorder="1" applyAlignment="1">
      <alignment horizontal="center" vertical="center" wrapText="1"/>
    </xf>
    <xf numFmtId="0" fontId="90" fillId="0" borderId="24" xfId="0" applyFont="1" applyBorder="1" applyAlignment="1">
      <alignment/>
    </xf>
    <xf numFmtId="0" fontId="90" fillId="0" borderId="25" xfId="0" applyFont="1" applyBorder="1" applyAlignment="1">
      <alignment/>
    </xf>
    <xf numFmtId="0" fontId="4" fillId="16" borderId="18" xfId="0" applyFont="1" applyFill="1" applyBorder="1" applyAlignment="1">
      <alignment wrapText="1"/>
    </xf>
    <xf numFmtId="0" fontId="0" fillId="16" borderId="0" xfId="0" applyFill="1" applyBorder="1" applyAlignment="1">
      <alignment/>
    </xf>
    <xf numFmtId="0" fontId="0" fillId="33" borderId="0" xfId="0" applyFill="1" applyBorder="1" applyAlignment="1">
      <alignment/>
    </xf>
    <xf numFmtId="0" fontId="50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89" fillId="0" borderId="0" xfId="0" applyFont="1" applyFill="1" applyAlignment="1">
      <alignment/>
    </xf>
    <xf numFmtId="173" fontId="4" fillId="10" borderId="26" xfId="0" applyNumberFormat="1" applyFont="1" applyFill="1" applyBorder="1" applyAlignment="1">
      <alignment wrapText="1"/>
    </xf>
    <xf numFmtId="0" fontId="11" fillId="16" borderId="26" xfId="0" applyFont="1" applyFill="1" applyBorder="1" applyAlignment="1">
      <alignment/>
    </xf>
    <xf numFmtId="10" fontId="4" fillId="10" borderId="26" xfId="100" applyNumberFormat="1" applyFont="1" applyFill="1" applyBorder="1" applyAlignment="1">
      <alignment wrapText="1"/>
    </xf>
    <xf numFmtId="173" fontId="4" fillId="10" borderId="27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3" fontId="5" fillId="0" borderId="28" xfId="0" applyNumberFormat="1" applyFont="1" applyFill="1" applyBorder="1" applyAlignment="1">
      <alignment wrapText="1"/>
    </xf>
    <xf numFmtId="10" fontId="4" fillId="0" borderId="29" xfId="100" applyNumberFormat="1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/>
    </xf>
    <xf numFmtId="165" fontId="5" fillId="0" borderId="18" xfId="0" applyNumberFormat="1" applyFont="1" applyFill="1" applyBorder="1" applyAlignment="1">
      <alignment wrapText="1"/>
    </xf>
    <xf numFmtId="173" fontId="5" fillId="0" borderId="30" xfId="0" applyNumberFormat="1" applyFont="1" applyFill="1" applyBorder="1" applyAlignment="1">
      <alignment wrapText="1"/>
    </xf>
    <xf numFmtId="173" fontId="5" fillId="0" borderId="31" xfId="0" applyNumberFormat="1" applyFont="1" applyFill="1" applyBorder="1" applyAlignment="1">
      <alignment wrapText="1"/>
    </xf>
    <xf numFmtId="4" fontId="4" fillId="33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4" fillId="36" borderId="22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9" fontId="5" fillId="0" borderId="22" xfId="100" applyFont="1" applyFill="1" applyBorder="1" applyAlignment="1">
      <alignment/>
    </xf>
    <xf numFmtId="0" fontId="50" fillId="0" borderId="18" xfId="0" applyFont="1" applyFill="1" applyBorder="1" applyAlignment="1">
      <alignment/>
    </xf>
    <xf numFmtId="9" fontId="5" fillId="0" borderId="18" xfId="100" applyFont="1" applyFill="1" applyBorder="1" applyAlignment="1">
      <alignment/>
    </xf>
    <xf numFmtId="4" fontId="5" fillId="0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10" fontId="4" fillId="0" borderId="34" xfId="100" applyNumberFormat="1" applyFont="1" applyFill="1" applyBorder="1" applyAlignment="1">
      <alignment wrapText="1"/>
    </xf>
    <xf numFmtId="4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167" fontId="5" fillId="0" borderId="19" xfId="0" applyNumberFormat="1" applyFont="1" applyFill="1" applyBorder="1" applyAlignment="1">
      <alignment/>
    </xf>
    <xf numFmtId="4" fontId="50" fillId="0" borderId="18" xfId="0" applyNumberFormat="1" applyFont="1" applyFill="1" applyBorder="1" applyAlignment="1">
      <alignment/>
    </xf>
    <xf numFmtId="167" fontId="5" fillId="0" borderId="3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2" fillId="0" borderId="0" xfId="0" applyNumberFormat="1" applyFont="1" applyBorder="1" applyAlignment="1">
      <alignment wrapText="1"/>
    </xf>
    <xf numFmtId="4" fontId="5" fillId="0" borderId="35" xfId="0" applyNumberFormat="1" applyFont="1" applyFill="1" applyBorder="1" applyAlignment="1">
      <alignment/>
    </xf>
    <xf numFmtId="4" fontId="5" fillId="0" borderId="18" xfId="100" applyNumberFormat="1" applyFont="1" applyFill="1" applyBorder="1" applyAlignment="1">
      <alignment/>
    </xf>
    <xf numFmtId="3" fontId="5" fillId="0" borderId="18" xfId="10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4" fontId="4" fillId="16" borderId="22" xfId="0" applyNumberFormat="1" applyFont="1" applyFill="1" applyBorder="1" applyAlignment="1">
      <alignment/>
    </xf>
    <xf numFmtId="9" fontId="4" fillId="16" borderId="22" xfId="100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9" fontId="5" fillId="33" borderId="22" xfId="100" applyFont="1" applyFill="1" applyBorder="1" applyAlignment="1">
      <alignment/>
    </xf>
    <xf numFmtId="9" fontId="5" fillId="35" borderId="22" xfId="100" applyFont="1" applyFill="1" applyBorder="1" applyAlignment="1">
      <alignment/>
    </xf>
    <xf numFmtId="10" fontId="4" fillId="0" borderId="34" xfId="100" applyNumberFormat="1" applyFont="1" applyFill="1" applyBorder="1" applyAlignment="1">
      <alignment horizontal="center" wrapText="1"/>
    </xf>
    <xf numFmtId="4" fontId="50" fillId="0" borderId="0" xfId="0" applyNumberFormat="1" applyFont="1" applyFill="1" applyAlignment="1">
      <alignment/>
    </xf>
    <xf numFmtId="10" fontId="4" fillId="33" borderId="34" xfId="100" applyNumberFormat="1" applyFont="1" applyFill="1" applyBorder="1" applyAlignment="1">
      <alignment wrapText="1"/>
    </xf>
    <xf numFmtId="4" fontId="90" fillId="0" borderId="19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5" borderId="18" xfId="100" applyNumberFormat="1" applyFont="1" applyFill="1" applyBorder="1" applyAlignment="1">
      <alignment/>
    </xf>
    <xf numFmtId="10" fontId="5" fillId="0" borderId="34" xfId="100" applyNumberFormat="1" applyFont="1" applyFill="1" applyBorder="1" applyAlignment="1">
      <alignment wrapText="1"/>
    </xf>
    <xf numFmtId="4" fontId="5" fillId="35" borderId="35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10" fontId="4" fillId="0" borderId="26" xfId="100" applyNumberFormat="1" applyFont="1" applyFill="1" applyBorder="1" applyAlignment="1">
      <alignment wrapText="1"/>
    </xf>
    <xf numFmtId="0" fontId="5" fillId="0" borderId="17" xfId="93" applyFont="1" applyFill="1" applyBorder="1">
      <alignment/>
      <protection/>
    </xf>
    <xf numFmtId="3" fontId="5" fillId="0" borderId="19" xfId="93" applyNumberFormat="1" applyFont="1" applyFill="1" applyBorder="1">
      <alignment/>
      <protection/>
    </xf>
    <xf numFmtId="4" fontId="5" fillId="0" borderId="35" xfId="93" applyNumberFormat="1" applyFont="1" applyFill="1" applyBorder="1" applyAlignment="1">
      <alignment horizontal="right"/>
      <protection/>
    </xf>
    <xf numFmtId="4" fontId="5" fillId="0" borderId="18" xfId="93" applyNumberFormat="1" applyFont="1" applyFill="1" applyBorder="1" applyAlignment="1">
      <alignment horizontal="right"/>
      <protection/>
    </xf>
    <xf numFmtId="4" fontId="5" fillId="0" borderId="18" xfId="101" applyNumberFormat="1" applyFont="1" applyFill="1" applyBorder="1" applyAlignment="1">
      <alignment horizontal="right"/>
    </xf>
    <xf numFmtId="10" fontId="4" fillId="0" borderId="34" xfId="101" applyNumberFormat="1" applyFont="1" applyFill="1" applyBorder="1" applyAlignment="1">
      <alignment wrapText="1"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0" fontId="0" fillId="33" borderId="0" xfId="100" applyNumberFormat="1" applyFont="1" applyFill="1" applyAlignment="1">
      <alignment/>
    </xf>
    <xf numFmtId="4" fontId="5" fillId="36" borderId="18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10" fontId="91" fillId="0" borderId="34" xfId="100" applyNumberFormat="1" applyFont="1" applyFill="1" applyBorder="1" applyAlignment="1">
      <alignment wrapText="1"/>
    </xf>
    <xf numFmtId="4" fontId="5" fillId="0" borderId="32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0" borderId="32" xfId="93" applyNumberFormat="1" applyFont="1" applyFill="1" applyBorder="1" applyAlignment="1">
      <alignment horizontal="right"/>
      <protection/>
    </xf>
    <xf numFmtId="167" fontId="5" fillId="0" borderId="36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4" fillId="16" borderId="32" xfId="0" applyNumberFormat="1" applyFont="1" applyFill="1" applyBorder="1" applyAlignment="1">
      <alignment/>
    </xf>
    <xf numFmtId="4" fontId="5" fillId="33" borderId="32" xfId="0" applyNumberFormat="1" applyFont="1" applyFill="1" applyBorder="1" applyAlignment="1">
      <alignment/>
    </xf>
    <xf numFmtId="4" fontId="4" fillId="36" borderId="32" xfId="0" applyNumberFormat="1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11" fillId="16" borderId="37" xfId="0" applyFont="1" applyFill="1" applyBorder="1" applyAlignment="1">
      <alignment/>
    </xf>
    <xf numFmtId="173" fontId="5" fillId="0" borderId="32" xfId="0" applyNumberFormat="1" applyFont="1" applyBorder="1" applyAlignment="1">
      <alignment/>
    </xf>
    <xf numFmtId="173" fontId="5" fillId="35" borderId="35" xfId="0" applyNumberFormat="1" applyFont="1" applyFill="1" applyBorder="1" applyAlignment="1">
      <alignment/>
    </xf>
    <xf numFmtId="173" fontId="5" fillId="35" borderId="32" xfId="0" applyNumberFormat="1" applyFont="1" applyFill="1" applyBorder="1" applyAlignment="1">
      <alignment/>
    </xf>
    <xf numFmtId="173" fontId="5" fillId="0" borderId="32" xfId="0" applyNumberFormat="1" applyFont="1" applyFill="1" applyBorder="1" applyAlignment="1">
      <alignment wrapText="1"/>
    </xf>
    <xf numFmtId="173" fontId="5" fillId="0" borderId="35" xfId="0" applyNumberFormat="1" applyFont="1" applyBorder="1" applyAlignment="1">
      <alignment/>
    </xf>
    <xf numFmtId="4" fontId="5" fillId="0" borderId="36" xfId="0" applyNumberFormat="1" applyFont="1" applyFill="1" applyBorder="1" applyAlignment="1">
      <alignment/>
    </xf>
    <xf numFmtId="10" fontId="4" fillId="0" borderId="33" xfId="10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4" fontId="4" fillId="36" borderId="19" xfId="0" applyNumberFormat="1" applyFont="1" applyFill="1" applyBorder="1" applyAlignment="1">
      <alignment/>
    </xf>
    <xf numFmtId="4" fontId="11" fillId="16" borderId="27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wrapText="1"/>
    </xf>
    <xf numFmtId="4" fontId="5" fillId="35" borderId="38" xfId="0" applyNumberFormat="1" applyFont="1" applyFill="1" applyBorder="1" applyAlignment="1">
      <alignment wrapText="1"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90" fillId="0" borderId="36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4" fontId="5" fillId="0" borderId="36" xfId="0" applyNumberFormat="1" applyFont="1" applyBorder="1" applyAlignment="1">
      <alignment/>
    </xf>
    <xf numFmtId="3" fontId="5" fillId="0" borderId="36" xfId="93" applyNumberFormat="1" applyFont="1" applyFill="1" applyBorder="1">
      <alignment/>
      <protection/>
    </xf>
    <xf numFmtId="4" fontId="4" fillId="36" borderId="36" xfId="0" applyNumberFormat="1" applyFont="1" applyFill="1" applyBorder="1" applyAlignment="1">
      <alignment/>
    </xf>
    <xf numFmtId="10" fontId="92" fillId="16" borderId="40" xfId="100" applyNumberFormat="1" applyFont="1" applyFill="1" applyBorder="1" applyAlignment="1">
      <alignment horizontal="center"/>
    </xf>
    <xf numFmtId="10" fontId="91" fillId="0" borderId="40" xfId="100" applyNumberFormat="1" applyFont="1" applyFill="1" applyBorder="1" applyAlignment="1">
      <alignment horizontal="center"/>
    </xf>
    <xf numFmtId="10" fontId="4" fillId="16" borderId="40" xfId="100" applyNumberFormat="1" applyFont="1" applyFill="1" applyBorder="1" applyAlignment="1">
      <alignment horizontal="center"/>
    </xf>
    <xf numFmtId="10" fontId="4" fillId="33" borderId="40" xfId="100" applyNumberFormat="1" applyFont="1" applyFill="1" applyBorder="1" applyAlignment="1">
      <alignment horizontal="center"/>
    </xf>
    <xf numFmtId="10" fontId="4" fillId="0" borderId="40" xfId="100" applyNumberFormat="1" applyFont="1" applyFill="1" applyBorder="1" applyAlignment="1">
      <alignment horizontal="center"/>
    </xf>
    <xf numFmtId="10" fontId="92" fillId="33" borderId="40" xfId="100" applyNumberFormat="1" applyFont="1" applyFill="1" applyBorder="1" applyAlignment="1">
      <alignment horizontal="center"/>
    </xf>
    <xf numFmtId="4" fontId="11" fillId="16" borderId="34" xfId="0" applyNumberFormat="1" applyFont="1" applyFill="1" applyBorder="1" applyAlignment="1">
      <alignment/>
    </xf>
    <xf numFmtId="4" fontId="5" fillId="0" borderId="40" xfId="0" applyNumberFormat="1" applyFont="1" applyFill="1" applyBorder="1" applyAlignment="1">
      <alignment wrapText="1"/>
    </xf>
    <xf numFmtId="4" fontId="5" fillId="35" borderId="40" xfId="0" applyNumberFormat="1" applyFont="1" applyFill="1" applyBorder="1" applyAlignment="1">
      <alignment wrapText="1"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Fill="1" applyBorder="1" applyAlignment="1">
      <alignment/>
    </xf>
    <xf numFmtId="4" fontId="91" fillId="0" borderId="38" xfId="0" applyNumberFormat="1" applyFont="1" applyFill="1" applyBorder="1" applyAlignment="1">
      <alignment/>
    </xf>
    <xf numFmtId="4" fontId="4" fillId="16" borderId="42" xfId="0" applyNumberFormat="1" applyFont="1" applyFill="1" applyBorder="1" applyAlignment="1">
      <alignment/>
    </xf>
    <xf numFmtId="4" fontId="4" fillId="33" borderId="40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4" fontId="4" fillId="33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/>
    </xf>
    <xf numFmtId="4" fontId="4" fillId="33" borderId="43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4" fillId="0" borderId="43" xfId="93" applyNumberFormat="1" applyFont="1" applyFill="1" applyBorder="1">
      <alignment/>
      <protection/>
    </xf>
    <xf numFmtId="167" fontId="4" fillId="0" borderId="43" xfId="0" applyNumberFormat="1" applyFont="1" applyFill="1" applyBorder="1" applyAlignment="1">
      <alignment/>
    </xf>
    <xf numFmtId="10" fontId="91" fillId="0" borderId="44" xfId="100" applyNumberFormat="1" applyFont="1" applyFill="1" applyBorder="1" applyAlignment="1">
      <alignment horizontal="center"/>
    </xf>
    <xf numFmtId="10" fontId="4" fillId="16" borderId="44" xfId="100" applyNumberFormat="1" applyFont="1" applyFill="1" applyBorder="1" applyAlignment="1">
      <alignment horizontal="center"/>
    </xf>
    <xf numFmtId="10" fontId="4" fillId="33" borderId="44" xfId="100" applyNumberFormat="1" applyFont="1" applyFill="1" applyBorder="1" applyAlignment="1">
      <alignment horizontal="center"/>
    </xf>
    <xf numFmtId="10" fontId="4" fillId="0" borderId="44" xfId="100" applyNumberFormat="1" applyFont="1" applyFill="1" applyBorder="1" applyAlignment="1">
      <alignment horizontal="center"/>
    </xf>
    <xf numFmtId="4" fontId="11" fillId="16" borderId="45" xfId="0" applyNumberFormat="1" applyFont="1" applyFill="1" applyBorder="1" applyAlignment="1">
      <alignment/>
    </xf>
    <xf numFmtId="173" fontId="5" fillId="0" borderId="44" xfId="0" applyNumberFormat="1" applyFont="1" applyFill="1" applyBorder="1" applyAlignment="1">
      <alignment/>
    </xf>
    <xf numFmtId="173" fontId="5" fillId="0" borderId="46" xfId="0" applyNumberFormat="1" applyFont="1" applyFill="1" applyBorder="1" applyAlignment="1">
      <alignment wrapText="1"/>
    </xf>
    <xf numFmtId="168" fontId="4" fillId="33" borderId="40" xfId="100" applyNumberFormat="1" applyFont="1" applyFill="1" applyBorder="1" applyAlignment="1">
      <alignment horizontal="center"/>
    </xf>
    <xf numFmtId="10" fontId="91" fillId="33" borderId="40" xfId="100" applyNumberFormat="1" applyFont="1" applyFill="1" applyBorder="1" applyAlignment="1">
      <alignment horizontal="center"/>
    </xf>
    <xf numFmtId="168" fontId="4" fillId="16" borderId="40" xfId="100" applyNumberFormat="1" applyFont="1" applyFill="1" applyBorder="1" applyAlignment="1">
      <alignment horizontal="center"/>
    </xf>
    <xf numFmtId="168" fontId="4" fillId="10" borderId="34" xfId="0" applyNumberFormat="1" applyFont="1" applyFill="1" applyBorder="1" applyAlignment="1">
      <alignment wrapText="1"/>
    </xf>
    <xf numFmtId="0" fontId="90" fillId="0" borderId="0" xfId="0" applyFont="1" applyBorder="1" applyAlignment="1">
      <alignment/>
    </xf>
    <xf numFmtId="10" fontId="4" fillId="0" borderId="18" xfId="100" applyNumberFormat="1" applyFont="1" applyFill="1" applyBorder="1" applyAlignment="1">
      <alignment/>
    </xf>
    <xf numFmtId="2" fontId="5" fillId="0" borderId="18" xfId="100" applyNumberFormat="1" applyFont="1" applyFill="1" applyBorder="1" applyAlignment="1">
      <alignment/>
    </xf>
    <xf numFmtId="10" fontId="4" fillId="0" borderId="18" xfId="100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right"/>
    </xf>
    <xf numFmtId="4" fontId="4" fillId="36" borderId="18" xfId="0" applyNumberFormat="1" applyFont="1" applyFill="1" applyBorder="1" applyAlignment="1">
      <alignment/>
    </xf>
    <xf numFmtId="10" fontId="91" fillId="0" borderId="18" xfId="100" applyNumberFormat="1" applyFont="1" applyFill="1" applyBorder="1" applyAlignment="1">
      <alignment horizontal="center"/>
    </xf>
    <xf numFmtId="10" fontId="4" fillId="16" borderId="18" xfId="100" applyNumberFormat="1" applyFont="1" applyFill="1" applyBorder="1" applyAlignment="1">
      <alignment horizontal="center"/>
    </xf>
    <xf numFmtId="10" fontId="4" fillId="33" borderId="18" xfId="100" applyNumberFormat="1" applyFont="1" applyFill="1" applyBorder="1" applyAlignment="1">
      <alignment horizontal="center"/>
    </xf>
    <xf numFmtId="10" fontId="4" fillId="33" borderId="18" xfId="100" applyNumberFormat="1" applyFont="1" applyFill="1" applyBorder="1" applyAlignment="1">
      <alignment/>
    </xf>
    <xf numFmtId="10" fontId="4" fillId="36" borderId="18" xfId="100" applyNumberFormat="1" applyFont="1" applyFill="1" applyBorder="1" applyAlignment="1">
      <alignment/>
    </xf>
    <xf numFmtId="4" fontId="11" fillId="16" borderId="18" xfId="0" applyNumberFormat="1" applyFont="1" applyFill="1" applyBorder="1" applyAlignment="1">
      <alignment/>
    </xf>
    <xf numFmtId="10" fontId="4" fillId="10" borderId="18" xfId="100" applyNumberFormat="1" applyFont="1" applyFill="1" applyBorder="1" applyAlignment="1">
      <alignment/>
    </xf>
    <xf numFmtId="173" fontId="4" fillId="10" borderId="18" xfId="0" applyNumberFormat="1" applyFont="1" applyFill="1" applyBorder="1" applyAlignment="1">
      <alignment wrapText="1"/>
    </xf>
    <xf numFmtId="173" fontId="5" fillId="0" borderId="18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4" fillId="33" borderId="36" xfId="0" applyNumberFormat="1" applyFont="1" applyFill="1" applyBorder="1" applyAlignment="1">
      <alignment/>
    </xf>
    <xf numFmtId="4" fontId="4" fillId="36" borderId="35" xfId="0" applyNumberFormat="1" applyFont="1" applyFill="1" applyBorder="1" applyAlignment="1">
      <alignment/>
    </xf>
    <xf numFmtId="10" fontId="4" fillId="36" borderId="34" xfId="100" applyNumberFormat="1" applyFont="1" applyFill="1" applyBorder="1" applyAlignment="1">
      <alignment wrapText="1"/>
    </xf>
    <xf numFmtId="0" fontId="50" fillId="0" borderId="0" xfId="0" applyFont="1" applyAlignment="1">
      <alignment/>
    </xf>
    <xf numFmtId="4" fontId="91" fillId="16" borderId="38" xfId="0" applyNumberFormat="1" applyFont="1" applyFill="1" applyBorder="1" applyAlignment="1">
      <alignment/>
    </xf>
    <xf numFmtId="4" fontId="91" fillId="16" borderId="18" xfId="0" applyNumberFormat="1" applyFont="1" applyFill="1" applyBorder="1" applyAlignment="1">
      <alignment/>
    </xf>
    <xf numFmtId="4" fontId="91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84" fillId="16" borderId="32" xfId="0" applyFont="1" applyFill="1" applyBorder="1" applyAlignment="1">
      <alignment/>
    </xf>
    <xf numFmtId="0" fontId="84" fillId="16" borderId="18" xfId="0" applyFont="1" applyFill="1" applyBorder="1" applyAlignment="1">
      <alignment/>
    </xf>
    <xf numFmtId="0" fontId="84" fillId="16" borderId="29" xfId="0" applyFont="1" applyFill="1" applyBorder="1" applyAlignment="1">
      <alignment/>
    </xf>
    <xf numFmtId="10" fontId="91" fillId="16" borderId="34" xfId="100" applyNumberFormat="1" applyFont="1" applyFill="1" applyBorder="1" applyAlignment="1">
      <alignment wrapText="1"/>
    </xf>
    <xf numFmtId="10" fontId="91" fillId="16" borderId="40" xfId="100" applyNumberFormat="1" applyFont="1" applyFill="1" applyBorder="1" applyAlignment="1">
      <alignment horizontal="center"/>
    </xf>
    <xf numFmtId="10" fontId="91" fillId="16" borderId="18" xfId="100" applyNumberFormat="1" applyFont="1" applyFill="1" applyBorder="1" applyAlignment="1">
      <alignment horizontal="center"/>
    </xf>
    <xf numFmtId="10" fontId="5" fillId="0" borderId="18" xfId="10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91" fillId="0" borderId="44" xfId="100" applyNumberFormat="1" applyFont="1" applyFill="1" applyBorder="1" applyAlignment="1">
      <alignment horizontal="center"/>
    </xf>
    <xf numFmtId="2" fontId="91" fillId="16" borderId="44" xfId="100" applyNumberFormat="1" applyFont="1" applyFill="1" applyBorder="1" applyAlignment="1">
      <alignment horizontal="center"/>
    </xf>
    <xf numFmtId="2" fontId="91" fillId="16" borderId="18" xfId="100" applyNumberFormat="1" applyFont="1" applyFill="1" applyBorder="1" applyAlignment="1">
      <alignment horizontal="center"/>
    </xf>
    <xf numFmtId="2" fontId="91" fillId="0" borderId="18" xfId="100" applyNumberFormat="1" applyFont="1" applyFill="1" applyBorder="1" applyAlignment="1">
      <alignment horizontal="center"/>
    </xf>
    <xf numFmtId="10" fontId="91" fillId="0" borderId="26" xfId="100" applyNumberFormat="1" applyFont="1" applyFill="1" applyBorder="1" applyAlignment="1">
      <alignment horizontal="center" vertical="center" wrapText="1"/>
    </xf>
    <xf numFmtId="10" fontId="91" fillId="16" borderId="26" xfId="100" applyNumberFormat="1" applyFont="1" applyFill="1" applyBorder="1" applyAlignment="1">
      <alignment horizontal="center" vertical="center" wrapText="1"/>
    </xf>
    <xf numFmtId="10" fontId="91" fillId="33" borderId="26" xfId="10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10" fontId="4" fillId="33" borderId="26" xfId="10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10" fontId="4" fillId="0" borderId="26" xfId="100" applyNumberFormat="1" applyFont="1" applyFill="1" applyBorder="1" applyAlignment="1">
      <alignment horizontal="center" vertical="center" wrapText="1"/>
    </xf>
    <xf numFmtId="4" fontId="4" fillId="35" borderId="3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33" borderId="38" xfId="0" applyNumberFormat="1" applyFont="1" applyFill="1" applyBorder="1" applyAlignment="1">
      <alignment/>
    </xf>
    <xf numFmtId="4" fontId="5" fillId="35" borderId="38" xfId="0" applyNumberFormat="1" applyFont="1" applyFill="1" applyBorder="1" applyAlignment="1">
      <alignment/>
    </xf>
    <xf numFmtId="4" fontId="4" fillId="36" borderId="43" xfId="0" applyNumberFormat="1" applyFont="1" applyFill="1" applyBorder="1" applyAlignment="1">
      <alignment/>
    </xf>
    <xf numFmtId="4" fontId="4" fillId="36" borderId="17" xfId="0" applyNumberFormat="1" applyFont="1" applyFill="1" applyBorder="1" applyAlignment="1">
      <alignment/>
    </xf>
    <xf numFmtId="10" fontId="4" fillId="36" borderId="26" xfId="100" applyNumberFormat="1" applyFont="1" applyFill="1" applyBorder="1" applyAlignment="1">
      <alignment wrapText="1"/>
    </xf>
    <xf numFmtId="3" fontId="4" fillId="10" borderId="47" xfId="0" applyNumberFormat="1" applyFont="1" applyFill="1" applyBorder="1" applyAlignment="1">
      <alignment wrapText="1"/>
    </xf>
    <xf numFmtId="3" fontId="4" fillId="10" borderId="34" xfId="0" applyNumberFormat="1" applyFont="1" applyFill="1" applyBorder="1" applyAlignment="1">
      <alignment wrapText="1"/>
    </xf>
    <xf numFmtId="4" fontId="4" fillId="10" borderId="36" xfId="0" applyNumberFormat="1" applyFont="1" applyFill="1" applyBorder="1" applyAlignment="1">
      <alignment/>
    </xf>
    <xf numFmtId="4" fontId="4" fillId="10" borderId="48" xfId="0" applyNumberFormat="1" applyFont="1" applyFill="1" applyBorder="1" applyAlignment="1">
      <alignment wrapText="1"/>
    </xf>
    <xf numFmtId="10" fontId="4" fillId="10" borderId="48" xfId="100" applyNumberFormat="1" applyFont="1" applyFill="1" applyBorder="1" applyAlignment="1">
      <alignment/>
    </xf>
    <xf numFmtId="4" fontId="4" fillId="10" borderId="49" xfId="0" applyNumberFormat="1" applyFont="1" applyFill="1" applyBorder="1" applyAlignment="1">
      <alignment wrapText="1"/>
    </xf>
    <xf numFmtId="4" fontId="4" fillId="10" borderId="37" xfId="0" applyNumberFormat="1" applyFont="1" applyFill="1" applyBorder="1" applyAlignment="1">
      <alignment wrapText="1"/>
    </xf>
    <xf numFmtId="4" fontId="4" fillId="10" borderId="21" xfId="0" applyNumberFormat="1" applyFont="1" applyFill="1" applyBorder="1" applyAlignment="1">
      <alignment wrapText="1"/>
    </xf>
    <xf numFmtId="4" fontId="4" fillId="10" borderId="26" xfId="0" applyNumberFormat="1" applyFont="1" applyFill="1" applyBorder="1" applyAlignment="1">
      <alignment wrapText="1"/>
    </xf>
    <xf numFmtId="10" fontId="4" fillId="10" borderId="34" xfId="10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/>
    </xf>
    <xf numFmtId="4" fontId="4" fillId="36" borderId="50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 horizontal="right"/>
    </xf>
    <xf numFmtId="4" fontId="4" fillId="33" borderId="32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10" fontId="4" fillId="33" borderId="26" xfId="100" applyNumberFormat="1" applyFont="1" applyFill="1" applyBorder="1" applyAlignment="1">
      <alignment wrapText="1"/>
    </xf>
    <xf numFmtId="4" fontId="4" fillId="33" borderId="35" xfId="0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 horizontal="right"/>
    </xf>
    <xf numFmtId="2" fontId="4" fillId="10" borderId="11" xfId="0" applyNumberFormat="1" applyFont="1" applyFill="1" applyBorder="1" applyAlignment="1">
      <alignment horizont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3" fillId="10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0" fontId="50" fillId="35" borderId="0" xfId="0" applyFont="1" applyFill="1" applyAlignment="1">
      <alignment/>
    </xf>
    <xf numFmtId="3" fontId="3" fillId="10" borderId="25" xfId="0" applyNumberFormat="1" applyFont="1" applyFill="1" applyBorder="1" applyAlignment="1">
      <alignment horizontal="center" vertical="center" wrapText="1"/>
    </xf>
    <xf numFmtId="3" fontId="3" fillId="10" borderId="53" xfId="0" applyNumberFormat="1" applyFont="1" applyFill="1" applyBorder="1" applyAlignment="1">
      <alignment horizontal="center" vertical="center" wrapText="1"/>
    </xf>
    <xf numFmtId="10" fontId="4" fillId="10" borderId="27" xfId="100" applyNumberFormat="1" applyFont="1" applyFill="1" applyBorder="1" applyAlignment="1">
      <alignment/>
    </xf>
    <xf numFmtId="10" fontId="4" fillId="33" borderId="40" xfId="100" applyNumberFormat="1" applyFont="1" applyFill="1" applyBorder="1" applyAlignment="1">
      <alignment/>
    </xf>
    <xf numFmtId="10" fontId="4" fillId="36" borderId="40" xfId="100" applyNumberFormat="1" applyFont="1" applyFill="1" applyBorder="1" applyAlignment="1">
      <alignment/>
    </xf>
    <xf numFmtId="10" fontId="4" fillId="33" borderId="40" xfId="101" applyNumberFormat="1" applyFont="1" applyFill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Note 2 2" xfId="97"/>
    <cellStyle name="Output" xfId="98"/>
    <cellStyle name="Output 2" xfId="99"/>
    <cellStyle name="Percent" xfId="100"/>
    <cellStyle name="Percent 2" xfId="101"/>
    <cellStyle name="Percent 2 2" xfId="102"/>
    <cellStyle name="Percent 3" xfId="103"/>
    <cellStyle name="Title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0</xdr:rowOff>
    </xdr:from>
    <xdr:to>
      <xdr:col>17</xdr:col>
      <xdr:colOff>28575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0"/>
          <a:ext cx="72104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Informatīvajam ziņojumam par ārvalstu finanšu resursu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(struktūrfondu un Kohēzijas fonda, Eiropas Ekonomikas zonas finanšu instrumenta, Norvēģijas valdības divpusējā finanšu instrumenta un Latvijas–Šveices sadarbības programmas) apguvi līdz 30.06.2011.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86"/>
  <sheetViews>
    <sheetView tabSelected="1" view="pageBreakPreview" zoomScale="70" zoomScaleNormal="80" zoomScaleSheetLayoutView="70" zoomScalePageLayoutView="70" workbookViewId="0" topLeftCell="B11">
      <selection activeCell="K18" sqref="K18"/>
    </sheetView>
  </sheetViews>
  <sheetFormatPr defaultColWidth="9.140625" defaultRowHeight="15"/>
  <cols>
    <col min="1" max="1" width="19.421875" style="0" customWidth="1"/>
    <col min="2" max="3" width="18.140625" style="9" customWidth="1"/>
    <col min="4" max="4" width="14.28125" style="0" customWidth="1"/>
    <col min="5" max="5" width="13.8515625" style="0" customWidth="1"/>
    <col min="6" max="6" width="16.28125" style="0" customWidth="1"/>
    <col min="7" max="7" width="13.140625" style="0" customWidth="1"/>
    <col min="8" max="8" width="12.28125" style="0" customWidth="1"/>
    <col min="9" max="9" width="13.421875" style="0" customWidth="1"/>
    <col min="10" max="10" width="17.140625" style="0" customWidth="1"/>
    <col min="11" max="11" width="13.28125" style="0" customWidth="1"/>
    <col min="12" max="12" width="13.140625" style="0" customWidth="1"/>
    <col min="13" max="13" width="12.57421875" style="0" customWidth="1"/>
    <col min="14" max="14" width="14.8515625" style="0" customWidth="1"/>
    <col min="15" max="15" width="12.57421875" style="0" customWidth="1"/>
    <col min="16" max="16" width="15.7109375" style="0" customWidth="1"/>
    <col min="17" max="17" width="12.57421875" style="0" customWidth="1"/>
    <col min="18" max="18" width="11.7109375" style="8" customWidth="1"/>
    <col min="19" max="19" width="10.7109375" style="8" customWidth="1"/>
    <col min="20" max="20" width="11.57421875" style="8" customWidth="1"/>
    <col min="21" max="21" width="10.140625" style="8" customWidth="1"/>
    <col min="22" max="22" width="10.57421875" style="8" customWidth="1"/>
    <col min="23" max="23" width="10.28125" style="8" customWidth="1"/>
  </cols>
  <sheetData>
    <row r="4" ht="15">
      <c r="D4" s="16"/>
    </row>
    <row r="5" ht="15" hidden="1"/>
    <row r="6" spans="2:23" s="12" customFormat="1" ht="15">
      <c r="B6" s="9"/>
      <c r="C6" s="9"/>
      <c r="R6" s="8"/>
      <c r="S6" s="8"/>
      <c r="T6" s="8"/>
      <c r="U6" s="8"/>
      <c r="V6" s="8"/>
      <c r="W6" s="8"/>
    </row>
    <row r="7" spans="2:23" s="12" customFormat="1" ht="9.75" customHeight="1">
      <c r="B7" s="9"/>
      <c r="C7" s="9"/>
      <c r="R7" s="8"/>
      <c r="S7" s="8"/>
      <c r="T7" s="8"/>
      <c r="U7" s="8"/>
      <c r="V7" s="8"/>
      <c r="W7" s="8"/>
    </row>
    <row r="8" spans="1:16" ht="15.75">
      <c r="A8" s="266" t="s">
        <v>55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ht="1.5" customHeight="1" hidden="1" thickBot="1"/>
    <row r="10" spans="1:17" ht="12" customHeight="1" thickBot="1">
      <c r="A10" s="1"/>
      <c r="B10" s="10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thickBot="1">
      <c r="A11" s="267" t="s">
        <v>0</v>
      </c>
      <c r="B11" s="271" t="s">
        <v>53</v>
      </c>
      <c r="C11" s="262" t="s">
        <v>57</v>
      </c>
      <c r="D11" s="261" t="s">
        <v>28</v>
      </c>
      <c r="E11" s="261"/>
      <c r="F11" s="261"/>
      <c r="G11" s="261"/>
      <c r="H11" s="261"/>
      <c r="I11" s="261"/>
      <c r="J11" s="261"/>
      <c r="K11" s="261" t="s">
        <v>54</v>
      </c>
      <c r="L11" s="263"/>
      <c r="M11" s="263"/>
      <c r="N11" s="263"/>
      <c r="O11" s="263"/>
      <c r="P11" s="263"/>
      <c r="Q11" s="263"/>
    </row>
    <row r="12" spans="1:17" ht="82.5" customHeight="1" thickBot="1">
      <c r="A12" s="268"/>
      <c r="B12" s="272"/>
      <c r="C12" s="262"/>
      <c r="D12" s="170" t="s">
        <v>1</v>
      </c>
      <c r="E12" s="170" t="s">
        <v>25</v>
      </c>
      <c r="F12" s="170" t="s">
        <v>3</v>
      </c>
      <c r="G12" s="170" t="s">
        <v>4</v>
      </c>
      <c r="H12" s="170" t="s">
        <v>51</v>
      </c>
      <c r="I12" s="170" t="s">
        <v>56</v>
      </c>
      <c r="J12" s="170" t="s">
        <v>59</v>
      </c>
      <c r="K12" s="170" t="s">
        <v>1</v>
      </c>
      <c r="L12" s="170" t="s">
        <v>2</v>
      </c>
      <c r="M12" s="170" t="s">
        <v>3</v>
      </c>
      <c r="N12" s="170" t="s">
        <v>4</v>
      </c>
      <c r="O12" s="170" t="s">
        <v>60</v>
      </c>
      <c r="P12" s="170" t="s">
        <v>24</v>
      </c>
      <c r="Q12" s="170" t="s">
        <v>5</v>
      </c>
    </row>
    <row r="13" spans="1:17" ht="15.75" customHeight="1" thickBot="1">
      <c r="A13" s="2">
        <v>1</v>
      </c>
      <c r="B13" s="11">
        <v>2</v>
      </c>
      <c r="C13" s="11">
        <v>3</v>
      </c>
      <c r="D13" s="3" t="s">
        <v>52</v>
      </c>
      <c r="E13" s="4">
        <v>5</v>
      </c>
      <c r="F13" s="4">
        <v>6</v>
      </c>
      <c r="G13" s="4">
        <v>7</v>
      </c>
      <c r="H13" s="4" t="s">
        <v>50</v>
      </c>
      <c r="I13" s="5">
        <v>9</v>
      </c>
      <c r="J13" s="5" t="s">
        <v>58</v>
      </c>
      <c r="K13" s="3" t="s">
        <v>49</v>
      </c>
      <c r="L13" s="6">
        <v>12</v>
      </c>
      <c r="M13" s="6">
        <v>13</v>
      </c>
      <c r="N13" s="4">
        <v>14</v>
      </c>
      <c r="O13" s="4" t="s">
        <v>48</v>
      </c>
      <c r="P13" s="4">
        <v>16</v>
      </c>
      <c r="Q13" s="7" t="s">
        <v>47</v>
      </c>
    </row>
    <row r="14" spans="1:17" s="109" customFormat="1" ht="27" thickBot="1">
      <c r="A14" s="17" t="s">
        <v>6</v>
      </c>
      <c r="B14" s="240">
        <f>SUM(B15,B24,B38)</f>
        <v>1185485521.08</v>
      </c>
      <c r="C14" s="241">
        <f>SUM(C15,C24,C38)</f>
        <v>1253623880.2000003</v>
      </c>
      <c r="D14" s="242">
        <f>E14+F14+G14</f>
        <v>1229191.7900000003</v>
      </c>
      <c r="E14" s="243">
        <f>SUM(E15,E24,E38)</f>
        <v>1111223.5100000002</v>
      </c>
      <c r="F14" s="243">
        <f>SUM(F15,F24,F38)</f>
        <v>91644.59</v>
      </c>
      <c r="G14" s="243">
        <f>SUM(G15,G24,G38)</f>
        <v>26323.69</v>
      </c>
      <c r="H14" s="244">
        <f>D14/C14</f>
        <v>0.0009805108289767882</v>
      </c>
      <c r="I14" s="245">
        <f>SUM(I15,I24,I38)</f>
        <v>635249.69</v>
      </c>
      <c r="J14" s="273">
        <f>I14/D14</f>
        <v>0.5168027440209308</v>
      </c>
      <c r="K14" s="246">
        <f>SUM(L14:N14)</f>
        <v>7335908.470000001</v>
      </c>
      <c r="L14" s="247">
        <f>SUM(L15,L24,L38,)</f>
        <v>6604749.880000001</v>
      </c>
      <c r="M14" s="247">
        <f>SUM(M15,M24,M38,)</f>
        <v>529638.45</v>
      </c>
      <c r="N14" s="247">
        <f>SUM(N15,N24,N38,)</f>
        <v>201520.13999999996</v>
      </c>
      <c r="O14" s="55">
        <f>K14/C14</f>
        <v>0.005851761908707137</v>
      </c>
      <c r="P14" s="248">
        <f>SUM(P15,P24,P38,)</f>
        <v>5963271.929999999</v>
      </c>
      <c r="Q14" s="249">
        <f>P14/K14</f>
        <v>0.8128879953160045</v>
      </c>
    </row>
    <row r="15" spans="1:23" s="206" customFormat="1" ht="15.75" thickBot="1">
      <c r="A15" s="18" t="s">
        <v>7</v>
      </c>
      <c r="B15" s="202">
        <f>SUM(B16:B23)</f>
        <v>221207412.75</v>
      </c>
      <c r="C15" s="203">
        <f>SUM(C16:C23)</f>
        <v>222585386.03000003</v>
      </c>
      <c r="D15" s="172">
        <f>E15+F15+G15</f>
        <v>52974.840000000004</v>
      </c>
      <c r="E15" s="66">
        <f>SUM(E16:E23)</f>
        <v>47103.310000000005</v>
      </c>
      <c r="F15" s="66">
        <f>SUM(F16:F23)</f>
        <v>5871.53</v>
      </c>
      <c r="G15" s="66">
        <f>SUM(G16:G23)</f>
        <v>0</v>
      </c>
      <c r="H15" s="197">
        <f>D15/C15</f>
        <v>0.00023799783509983024</v>
      </c>
      <c r="I15" s="66">
        <f>SUM(I16:I23)</f>
        <v>23596.37</v>
      </c>
      <c r="J15" s="274">
        <f>I15/D15</f>
        <v>0.44542597957822994</v>
      </c>
      <c r="K15" s="130">
        <f>SUM(K16:K23)</f>
        <v>442140.02999999997</v>
      </c>
      <c r="L15" s="68">
        <f>SUM(L16:L23)</f>
        <v>394066.55999999994</v>
      </c>
      <c r="M15" s="68">
        <f>SUM(M16:M23)</f>
        <v>47325.630000000005</v>
      </c>
      <c r="N15" s="68">
        <f>SUM(N16:N23)</f>
        <v>747.84</v>
      </c>
      <c r="O15" s="55">
        <f aca="true" t="shared" si="0" ref="O15:O43">K15/C15</f>
        <v>0.0019863839126455876</v>
      </c>
      <c r="P15" s="204">
        <f>SUM(P16:P22)</f>
        <v>351422.01</v>
      </c>
      <c r="Q15" s="205">
        <f>P15/K15</f>
        <v>0.7948206137318081</v>
      </c>
      <c r="R15" s="98"/>
      <c r="S15" s="50"/>
      <c r="T15" s="50"/>
      <c r="U15" s="50"/>
      <c r="V15" s="50"/>
      <c r="W15" s="50"/>
    </row>
    <row r="16" spans="1:18" s="8" customFormat="1" ht="15.75" thickBot="1">
      <c r="A16" s="20" t="s">
        <v>8</v>
      </c>
      <c r="B16" s="79">
        <v>83127436.35000001</v>
      </c>
      <c r="C16" s="140">
        <v>82731183.37</v>
      </c>
      <c r="D16" s="171">
        <f>E16+F16+G16</f>
        <v>13681.95</v>
      </c>
      <c r="E16" s="67">
        <v>11839.07</v>
      </c>
      <c r="F16" s="67">
        <v>1842.88</v>
      </c>
      <c r="G16" s="67">
        <v>0</v>
      </c>
      <c r="H16" s="188">
        <f>D16/C16</f>
        <v>0.00016537839110568496</v>
      </c>
      <c r="I16" s="67">
        <v>11157.42</v>
      </c>
      <c r="J16" s="274">
        <f aca="true" t="shared" si="1" ref="J16:J43">I16/D16</f>
        <v>0.8154846348656442</v>
      </c>
      <c r="K16" s="123">
        <f>L16+M16+N16</f>
        <v>203740.52</v>
      </c>
      <c r="L16" s="67">
        <v>173911.02</v>
      </c>
      <c r="M16" s="67">
        <v>29081.66</v>
      </c>
      <c r="N16" s="87">
        <v>747.84</v>
      </c>
      <c r="O16" s="110">
        <f t="shared" si="0"/>
        <v>0.002462681079863296</v>
      </c>
      <c r="P16" s="86">
        <v>201593.43000000002</v>
      </c>
      <c r="Q16" s="77">
        <f>P16/K16</f>
        <v>0.9894616446448651</v>
      </c>
      <c r="R16" s="27"/>
    </row>
    <row r="17" spans="1:17" s="8" customFormat="1" ht="15.75" thickBot="1">
      <c r="A17" s="20" t="s">
        <v>9</v>
      </c>
      <c r="B17" s="79">
        <v>104467467.58999999</v>
      </c>
      <c r="C17" s="140">
        <v>105770377.78</v>
      </c>
      <c r="D17" s="171">
        <v>31419</v>
      </c>
      <c r="E17" s="67">
        <v>27595.75</v>
      </c>
      <c r="F17" s="67">
        <v>3823.25</v>
      </c>
      <c r="G17" s="67">
        <v>0</v>
      </c>
      <c r="H17" s="188">
        <f aca="true" t="shared" si="2" ref="H17:H76">D17/C17</f>
        <v>0.0002970491422972017</v>
      </c>
      <c r="I17" s="67">
        <v>11611.67</v>
      </c>
      <c r="J17" s="274">
        <f t="shared" si="1"/>
        <v>0.36957477959196666</v>
      </c>
      <c r="K17" s="123">
        <f aca="true" t="shared" si="3" ref="K17:K22">L17+M17+N17</f>
        <v>122135.88</v>
      </c>
      <c r="L17" s="67">
        <v>104170.32</v>
      </c>
      <c r="M17" s="67">
        <v>17965.56</v>
      </c>
      <c r="N17" s="88">
        <v>0</v>
      </c>
      <c r="O17" s="110">
        <f t="shared" si="0"/>
        <v>0.0011547267066970288</v>
      </c>
      <c r="P17" s="86">
        <v>83409.68</v>
      </c>
      <c r="Q17" s="77">
        <f aca="true" t="shared" si="4" ref="Q17:Q23">P17/K17</f>
        <v>0.6829252796148028</v>
      </c>
    </row>
    <row r="18" spans="1:17" s="8" customFormat="1" ht="15.75" thickBot="1">
      <c r="A18" s="20" t="s">
        <v>10</v>
      </c>
      <c r="B18" s="79">
        <v>5176760.5</v>
      </c>
      <c r="C18" s="140">
        <v>5176760.5</v>
      </c>
      <c r="D18" s="171">
        <f aca="true" t="shared" si="5" ref="D18:D23">E18+F18+G18</f>
        <v>0</v>
      </c>
      <c r="E18" s="67">
        <v>0</v>
      </c>
      <c r="F18" s="67">
        <v>0</v>
      </c>
      <c r="G18" s="67">
        <v>0</v>
      </c>
      <c r="H18" s="188">
        <f t="shared" si="2"/>
        <v>0</v>
      </c>
      <c r="I18" s="67">
        <v>0</v>
      </c>
      <c r="J18" s="274">
        <v>0</v>
      </c>
      <c r="K18" s="123">
        <f t="shared" si="3"/>
        <v>0</v>
      </c>
      <c r="L18" s="89">
        <v>0</v>
      </c>
      <c r="M18" s="89">
        <v>0</v>
      </c>
      <c r="N18" s="88">
        <v>0</v>
      </c>
      <c r="O18" s="110">
        <f t="shared" si="0"/>
        <v>0</v>
      </c>
      <c r="P18" s="90">
        <v>0</v>
      </c>
      <c r="Q18" s="77">
        <v>0</v>
      </c>
    </row>
    <row r="19" spans="1:17" s="8" customFormat="1" ht="15.75" thickBot="1">
      <c r="A19" s="20" t="s">
        <v>11</v>
      </c>
      <c r="B19" s="79">
        <v>18201880.97</v>
      </c>
      <c r="C19" s="140">
        <v>18265593.27</v>
      </c>
      <c r="D19" s="171">
        <f t="shared" si="5"/>
        <v>0.01</v>
      </c>
      <c r="E19" s="67">
        <v>0.01</v>
      </c>
      <c r="F19" s="67">
        <v>0</v>
      </c>
      <c r="G19" s="67">
        <v>0</v>
      </c>
      <c r="H19" s="188">
        <f t="shared" si="2"/>
        <v>5.474774266666894E-10</v>
      </c>
      <c r="I19" s="67">
        <v>0</v>
      </c>
      <c r="J19" s="274">
        <v>0</v>
      </c>
      <c r="K19" s="123">
        <v>73111.44999999998</v>
      </c>
      <c r="L19" s="67">
        <v>73111.44999999998</v>
      </c>
      <c r="M19" s="89">
        <v>0</v>
      </c>
      <c r="N19" s="88">
        <v>0</v>
      </c>
      <c r="O19" s="110">
        <f t="shared" si="0"/>
        <v>0.0040026868505870315</v>
      </c>
      <c r="P19" s="90">
        <v>64580.020000000004</v>
      </c>
      <c r="Q19" s="77">
        <f t="shared" si="4"/>
        <v>0.8833092490984656</v>
      </c>
    </row>
    <row r="20" spans="1:17" s="8" customFormat="1" ht="15.75" thickBot="1">
      <c r="A20" s="20" t="s">
        <v>12</v>
      </c>
      <c r="B20" s="79">
        <v>2505006.3800000004</v>
      </c>
      <c r="C20" s="140">
        <v>2648612.84</v>
      </c>
      <c r="D20" s="171">
        <f t="shared" si="5"/>
        <v>1370.2</v>
      </c>
      <c r="E20" s="67">
        <v>1164.8</v>
      </c>
      <c r="F20" s="67">
        <v>205.4</v>
      </c>
      <c r="G20" s="67">
        <v>0</v>
      </c>
      <c r="H20" s="188">
        <f t="shared" si="2"/>
        <v>0.0005173274022185893</v>
      </c>
      <c r="I20" s="67">
        <v>827.1</v>
      </c>
      <c r="J20" s="274">
        <f t="shared" si="1"/>
        <v>0.6036345059115458</v>
      </c>
      <c r="K20" s="123">
        <f t="shared" si="3"/>
        <v>1864.43</v>
      </c>
      <c r="L20" s="67">
        <v>1586.02</v>
      </c>
      <c r="M20" s="67">
        <v>278.41</v>
      </c>
      <c r="N20" s="90">
        <v>0</v>
      </c>
      <c r="O20" s="110">
        <f t="shared" si="0"/>
        <v>0.0007039269657848522</v>
      </c>
      <c r="P20" s="86">
        <v>1838.88</v>
      </c>
      <c r="Q20" s="77">
        <f t="shared" si="4"/>
        <v>0.9862960797670066</v>
      </c>
    </row>
    <row r="21" spans="1:17" s="8" customFormat="1" ht="15.75" thickBot="1">
      <c r="A21" s="20" t="s">
        <v>38</v>
      </c>
      <c r="B21" s="79">
        <v>2471372.13</v>
      </c>
      <c r="C21" s="140">
        <v>2667462.8</v>
      </c>
      <c r="D21" s="171">
        <v>6503.5</v>
      </c>
      <c r="E21" s="67">
        <v>6503.5</v>
      </c>
      <c r="F21" s="67">
        <v>0</v>
      </c>
      <c r="G21" s="67">
        <v>0</v>
      </c>
      <c r="H21" s="188">
        <f t="shared" si="2"/>
        <v>0.0024380846098397326</v>
      </c>
      <c r="I21" s="189">
        <v>0</v>
      </c>
      <c r="J21" s="274">
        <v>0</v>
      </c>
      <c r="K21" s="123">
        <v>6503.5</v>
      </c>
      <c r="L21" s="89">
        <v>6503.5</v>
      </c>
      <c r="M21" s="89">
        <v>0</v>
      </c>
      <c r="N21" s="88">
        <v>0</v>
      </c>
      <c r="O21" s="110">
        <f t="shared" si="0"/>
        <v>0.0024380846098397326</v>
      </c>
      <c r="P21" s="90">
        <v>0</v>
      </c>
      <c r="Q21" s="77">
        <v>0</v>
      </c>
    </row>
    <row r="22" spans="1:17" s="8" customFormat="1" ht="15.75" thickBot="1">
      <c r="A22" s="20" t="s">
        <v>30</v>
      </c>
      <c r="B22" s="79">
        <v>489923.87</v>
      </c>
      <c r="C22" s="140">
        <v>519614.67</v>
      </c>
      <c r="D22" s="171">
        <f t="shared" si="5"/>
        <v>0</v>
      </c>
      <c r="E22" s="67">
        <v>0</v>
      </c>
      <c r="F22" s="67">
        <v>0</v>
      </c>
      <c r="G22" s="67">
        <v>0</v>
      </c>
      <c r="H22" s="188">
        <f t="shared" si="2"/>
        <v>0</v>
      </c>
      <c r="I22" s="67">
        <v>0</v>
      </c>
      <c r="J22" s="274">
        <v>0</v>
      </c>
      <c r="K22" s="123">
        <f t="shared" si="3"/>
        <v>0</v>
      </c>
      <c r="L22" s="89">
        <v>0</v>
      </c>
      <c r="M22" s="89">
        <v>0</v>
      </c>
      <c r="N22" s="88">
        <v>0</v>
      </c>
      <c r="O22" s="110">
        <f t="shared" si="0"/>
        <v>0</v>
      </c>
      <c r="P22" s="90">
        <v>0</v>
      </c>
      <c r="Q22" s="77">
        <v>0</v>
      </c>
    </row>
    <row r="23" spans="1:17" s="8" customFormat="1" ht="15.75" thickBot="1">
      <c r="A23" s="20" t="s">
        <v>27</v>
      </c>
      <c r="B23" s="250">
        <v>4767564.96</v>
      </c>
      <c r="C23" s="138">
        <v>4805780.8</v>
      </c>
      <c r="D23" s="171">
        <f t="shared" si="5"/>
        <v>0.18</v>
      </c>
      <c r="E23" s="67">
        <v>0.18</v>
      </c>
      <c r="F23" s="67">
        <v>0</v>
      </c>
      <c r="G23" s="67">
        <v>0</v>
      </c>
      <c r="H23" s="188">
        <f t="shared" si="2"/>
        <v>3.745489182527842E-08</v>
      </c>
      <c r="I23" s="67">
        <f>D23</f>
        <v>0.18</v>
      </c>
      <c r="J23" s="274">
        <f t="shared" si="1"/>
        <v>1</v>
      </c>
      <c r="K23" s="123">
        <f>L23+M23+N23</f>
        <v>34784.25</v>
      </c>
      <c r="L23" s="70">
        <v>34784.25</v>
      </c>
      <c r="M23" s="90">
        <v>0</v>
      </c>
      <c r="N23" s="90">
        <v>0</v>
      </c>
      <c r="O23" s="110">
        <f t="shared" si="0"/>
        <v>0.007238001783185784</v>
      </c>
      <c r="P23" s="86">
        <v>34784.25</v>
      </c>
      <c r="Q23" s="77">
        <f t="shared" si="4"/>
        <v>1</v>
      </c>
    </row>
    <row r="24" spans="1:17" s="107" customFormat="1" ht="15.75" thickBot="1">
      <c r="A24" s="106" t="s">
        <v>13</v>
      </c>
      <c r="B24" s="251">
        <f>B25+B29</f>
        <v>588851320.54</v>
      </c>
      <c r="C24" s="252">
        <f>C25+C29</f>
        <v>635654097.86</v>
      </c>
      <c r="D24" s="237">
        <f aca="true" t="shared" si="6" ref="D24:D29">E24+F24+G24</f>
        <v>1154780.32</v>
      </c>
      <c r="E24" s="192">
        <f>E25+E29</f>
        <v>1043403.5900000001</v>
      </c>
      <c r="F24" s="192">
        <f>F25+F29</f>
        <v>85440.91</v>
      </c>
      <c r="G24" s="192">
        <f>G25+G29</f>
        <v>25935.82</v>
      </c>
      <c r="H24" s="197">
        <f t="shared" si="2"/>
        <v>0.00181668036733767</v>
      </c>
      <c r="I24" s="192">
        <f>I25+I29</f>
        <v>611653.32</v>
      </c>
      <c r="J24" s="275">
        <f t="shared" si="1"/>
        <v>0.5296707169377461</v>
      </c>
      <c r="K24" s="204">
        <f>SUM(L24:N24)</f>
        <v>6285423.180000001</v>
      </c>
      <c r="L24" s="253">
        <f>L25+L29</f>
        <v>5675213.130000001</v>
      </c>
      <c r="M24" s="253">
        <f>M25+M29</f>
        <v>448794.11999999994</v>
      </c>
      <c r="N24" s="253">
        <f>N25+N29</f>
        <v>161415.92999999996</v>
      </c>
      <c r="O24" s="239">
        <f t="shared" si="0"/>
        <v>0.009888118712929838</v>
      </c>
      <c r="P24" s="192">
        <f>P25+P29</f>
        <v>5003504.659999999</v>
      </c>
      <c r="Q24" s="205">
        <f aca="true" t="shared" si="7" ref="Q24:Q29">P24/K24</f>
        <v>0.7960489718370878</v>
      </c>
    </row>
    <row r="25" spans="1:17" ht="15.75" thickBot="1">
      <c r="A25" s="18" t="s">
        <v>14</v>
      </c>
      <c r="B25" s="141">
        <f>SUM(B26:B28)</f>
        <v>227749184.17</v>
      </c>
      <c r="C25" s="149">
        <f>SUM(C26:C28)</f>
        <v>230728205.70999998</v>
      </c>
      <c r="D25" s="172">
        <f t="shared" si="6"/>
        <v>148635.54999999996</v>
      </c>
      <c r="E25" s="66">
        <f>SUM(E26:E28)</f>
        <v>148411.22999999998</v>
      </c>
      <c r="F25" s="66">
        <f>SUM(F26:F28)</f>
        <v>6.96</v>
      </c>
      <c r="G25" s="66">
        <f>SUM(G26:G28)</f>
        <v>217.36</v>
      </c>
      <c r="H25" s="196">
        <f>D25/C25</f>
        <v>0.0006442019064926051</v>
      </c>
      <c r="I25" s="66">
        <f>SUM(I26:I28)</f>
        <v>26133.069999999996</v>
      </c>
      <c r="J25" s="274">
        <f t="shared" si="1"/>
        <v>0.17581978201042753</v>
      </c>
      <c r="K25" s="93">
        <f>L25+M25+N25</f>
        <v>1190283.2000000002</v>
      </c>
      <c r="L25" s="66">
        <f>SUM(L26:L28)</f>
        <v>1127115.6800000002</v>
      </c>
      <c r="M25" s="66">
        <f>SUM(M26:M28)</f>
        <v>62950.159999999996</v>
      </c>
      <c r="N25" s="66">
        <f>SUM(N26:N28)</f>
        <v>217.36</v>
      </c>
      <c r="O25" s="258">
        <f t="shared" si="0"/>
        <v>0.005158810975611952</v>
      </c>
      <c r="P25" s="66">
        <f>SUM(P26:P28)</f>
        <v>665304.6899999998</v>
      </c>
      <c r="Q25" s="99">
        <f t="shared" si="7"/>
        <v>0.5589465515433636</v>
      </c>
    </row>
    <row r="26" spans="1:17" s="8" customFormat="1" ht="15.75" thickBot="1">
      <c r="A26" s="20" t="s">
        <v>8</v>
      </c>
      <c r="B26" s="250">
        <v>8777973.78</v>
      </c>
      <c r="C26" s="138">
        <v>8807272.780000001</v>
      </c>
      <c r="D26" s="173">
        <f t="shared" si="6"/>
        <v>20416.77</v>
      </c>
      <c r="E26" s="62">
        <v>20199.41</v>
      </c>
      <c r="F26" s="62">
        <v>0</v>
      </c>
      <c r="G26" s="62">
        <v>217.36</v>
      </c>
      <c r="H26" s="217">
        <f>D26/C26</f>
        <v>0.0023181716417780803</v>
      </c>
      <c r="I26" s="67">
        <v>20199.43</v>
      </c>
      <c r="J26" s="274">
        <f t="shared" si="1"/>
        <v>0.9893548293878023</v>
      </c>
      <c r="K26" s="124">
        <f>L26+M26+N26</f>
        <v>20966.510000000002</v>
      </c>
      <c r="L26" s="101">
        <v>20749.15</v>
      </c>
      <c r="M26" s="102">
        <v>0</v>
      </c>
      <c r="N26" s="103">
        <v>217.36</v>
      </c>
      <c r="O26" s="110">
        <f t="shared" si="0"/>
        <v>0.0023805905101079426</v>
      </c>
      <c r="P26" s="67">
        <v>20966.52000000002</v>
      </c>
      <c r="Q26" s="104">
        <f t="shared" si="7"/>
        <v>1.0000004769511004</v>
      </c>
    </row>
    <row r="27" spans="1:17" ht="15.75" thickBot="1">
      <c r="A27" s="19" t="s">
        <v>45</v>
      </c>
      <c r="B27" s="254">
        <v>214242931.44</v>
      </c>
      <c r="C27" s="150">
        <v>217095533.14999998</v>
      </c>
      <c r="D27" s="173">
        <f t="shared" si="6"/>
        <v>128214.81999999999</v>
      </c>
      <c r="E27" s="62">
        <v>128207.85999999999</v>
      </c>
      <c r="F27" s="62">
        <v>6.96</v>
      </c>
      <c r="G27" s="62">
        <v>0</v>
      </c>
      <c r="H27" s="217">
        <f>D27/C27</f>
        <v>0.0005905917000669528</v>
      </c>
      <c r="I27" s="67">
        <v>5929.679999999997</v>
      </c>
      <c r="J27" s="274">
        <f t="shared" si="1"/>
        <v>0.04624800783559964</v>
      </c>
      <c r="K27" s="124">
        <f>L27+M27+N27</f>
        <v>1088350.6400000001</v>
      </c>
      <c r="L27" s="105">
        <v>1025400.4800000002</v>
      </c>
      <c r="M27" s="102">
        <v>62950.159999999996</v>
      </c>
      <c r="N27" s="103">
        <v>0</v>
      </c>
      <c r="O27" s="110">
        <f t="shared" si="0"/>
        <v>0.0050132336866093655</v>
      </c>
      <c r="P27" s="86">
        <v>563372.1199999998</v>
      </c>
      <c r="Q27" s="104">
        <f t="shared" si="7"/>
        <v>0.5176384331432007</v>
      </c>
    </row>
    <row r="28" spans="1:17" s="8" customFormat="1" ht="15.75" thickBot="1">
      <c r="A28" s="20" t="s">
        <v>27</v>
      </c>
      <c r="B28" s="254">
        <v>4728278.95</v>
      </c>
      <c r="C28" s="150">
        <v>4825399.78</v>
      </c>
      <c r="D28" s="173">
        <f t="shared" si="6"/>
        <v>3.96</v>
      </c>
      <c r="E28" s="67">
        <v>3.96</v>
      </c>
      <c r="F28" s="62">
        <v>0</v>
      </c>
      <c r="G28" s="62">
        <v>0</v>
      </c>
      <c r="H28" s="217">
        <f>D28/C28</f>
        <v>8.206573922461612E-07</v>
      </c>
      <c r="I28" s="67">
        <f>D28</f>
        <v>3.96</v>
      </c>
      <c r="J28" s="274">
        <f t="shared" si="1"/>
        <v>1</v>
      </c>
      <c r="K28" s="123">
        <f>L28+M28+N28</f>
        <v>80966.05</v>
      </c>
      <c r="L28" s="86">
        <v>80966.05</v>
      </c>
      <c r="M28" s="86">
        <v>0</v>
      </c>
      <c r="N28" s="86">
        <v>0</v>
      </c>
      <c r="O28" s="110">
        <f t="shared" si="0"/>
        <v>0.016779138245826337</v>
      </c>
      <c r="P28" s="67">
        <v>80966.05</v>
      </c>
      <c r="Q28" s="104">
        <f t="shared" si="7"/>
        <v>1</v>
      </c>
    </row>
    <row r="29" spans="1:20" s="108" customFormat="1" ht="15.75" thickBot="1">
      <c r="A29" s="18" t="s">
        <v>15</v>
      </c>
      <c r="B29" s="141">
        <f>SUM(B30:B37)</f>
        <v>361102136.37</v>
      </c>
      <c r="C29" s="149">
        <f>SUM(C30:C37)</f>
        <v>404925892.15000004</v>
      </c>
      <c r="D29" s="172">
        <f t="shared" si="6"/>
        <v>1006144.77</v>
      </c>
      <c r="E29" s="255">
        <f>SUM(E30:E37)</f>
        <v>894992.3600000001</v>
      </c>
      <c r="F29" s="255">
        <f>SUM(F30:F37)</f>
        <v>85433.95</v>
      </c>
      <c r="G29" s="255">
        <f>SUM(G30:G37)</f>
        <v>25718.46</v>
      </c>
      <c r="H29" s="196">
        <f t="shared" si="2"/>
        <v>0.0024847627417890223</v>
      </c>
      <c r="I29" s="255">
        <f>SUM(I30:I37)</f>
        <v>585520.25</v>
      </c>
      <c r="J29" s="274">
        <f t="shared" si="1"/>
        <v>0.5819443359030728</v>
      </c>
      <c r="K29" s="256">
        <f>SUM(L29:N29)</f>
        <v>5095139.98</v>
      </c>
      <c r="L29" s="257">
        <f>SUM(L30:L37)</f>
        <v>4548097.45</v>
      </c>
      <c r="M29" s="257">
        <f>SUM(M30:M37)</f>
        <v>385843.95999999996</v>
      </c>
      <c r="N29" s="257">
        <f>SUM(N30:N37)</f>
        <v>161198.56999999998</v>
      </c>
      <c r="O29" s="258">
        <f t="shared" si="0"/>
        <v>0.012582894990850736</v>
      </c>
      <c r="P29" s="259">
        <f>SUM(P30:P37)</f>
        <v>4338199.97</v>
      </c>
      <c r="Q29" s="104">
        <f t="shared" si="7"/>
        <v>0.8514388195474071</v>
      </c>
      <c r="R29" s="117"/>
      <c r="S29" s="118"/>
      <c r="T29" s="119"/>
    </row>
    <row r="30" spans="1:17" s="50" customFormat="1" ht="15.75" thickBot="1">
      <c r="A30" s="111" t="s">
        <v>16</v>
      </c>
      <c r="B30" s="112">
        <f>60592715.12+9292613.15</f>
        <v>69885328.27</v>
      </c>
      <c r="C30" s="151">
        <f>67327221.9+9678565.37</f>
        <v>77005787.27000001</v>
      </c>
      <c r="D30" s="174">
        <f>SUM(E30:G30)</f>
        <v>180177.36000000002</v>
      </c>
      <c r="E30" s="114">
        <v>154649.39</v>
      </c>
      <c r="F30" s="114">
        <v>23600.78</v>
      </c>
      <c r="G30" s="114">
        <v>1927.19</v>
      </c>
      <c r="H30" s="188">
        <f t="shared" si="2"/>
        <v>0.002339789857199391</v>
      </c>
      <c r="I30" s="114">
        <v>180074.35</v>
      </c>
      <c r="J30" s="276">
        <f>I30/D30</f>
        <v>0.9994282855515254</v>
      </c>
      <c r="K30" s="125">
        <f>SUM(L30:N30)</f>
        <v>1549073.69</v>
      </c>
      <c r="L30" s="114">
        <v>1329815.34</v>
      </c>
      <c r="M30" s="114">
        <f>174576.22</f>
        <v>174576.22</v>
      </c>
      <c r="N30" s="115">
        <f>44682.13</f>
        <v>44682.13</v>
      </c>
      <c r="O30" s="110">
        <f t="shared" si="0"/>
        <v>0.020116328199705186</v>
      </c>
      <c r="P30" s="113">
        <f>1548539.89+6050-5515.08</f>
        <v>1549074.8099999998</v>
      </c>
      <c r="Q30" s="116">
        <f>P30/B30</f>
        <v>0.022165951686099163</v>
      </c>
    </row>
    <row r="31" spans="1:17" s="50" customFormat="1" ht="16.5" customHeight="1" thickBot="1">
      <c r="A31" s="20" t="s">
        <v>43</v>
      </c>
      <c r="B31" s="112">
        <v>5636391.95</v>
      </c>
      <c r="C31" s="151">
        <v>6486998.88</v>
      </c>
      <c r="D31" s="174">
        <v>9929.85</v>
      </c>
      <c r="E31" s="76">
        <v>8440.37</v>
      </c>
      <c r="F31" s="76">
        <v>1489.48</v>
      </c>
      <c r="G31" s="76">
        <v>0</v>
      </c>
      <c r="H31" s="188">
        <f t="shared" si="2"/>
        <v>0.0015307309564388271</v>
      </c>
      <c r="I31" s="76">
        <v>9929.85</v>
      </c>
      <c r="J31" s="274">
        <v>0</v>
      </c>
      <c r="K31" s="74">
        <v>27054.85</v>
      </c>
      <c r="L31" s="76">
        <v>22996.62</v>
      </c>
      <c r="M31" s="76">
        <v>4058.23</v>
      </c>
      <c r="N31" s="76">
        <v>0</v>
      </c>
      <c r="O31" s="110">
        <f t="shared" si="0"/>
        <v>0.004170626587190038</v>
      </c>
      <c r="P31" s="76">
        <v>27054.85</v>
      </c>
      <c r="Q31" s="77">
        <f>P31/K31</f>
        <v>1</v>
      </c>
    </row>
    <row r="32" spans="1:17" s="50" customFormat="1" ht="15.75" thickBot="1">
      <c r="A32" s="20" t="s">
        <v>10</v>
      </c>
      <c r="B32" s="112">
        <v>53197527.71</v>
      </c>
      <c r="C32" s="151">
        <v>56843043.84</v>
      </c>
      <c r="D32" s="174">
        <f>SUM(E32:G32)</f>
        <v>296100.78</v>
      </c>
      <c r="E32" s="76">
        <v>256480.48</v>
      </c>
      <c r="F32" s="76">
        <v>39620.3</v>
      </c>
      <c r="G32" s="76">
        <v>0</v>
      </c>
      <c r="H32" s="188">
        <f t="shared" si="2"/>
        <v>0.005209094376322547</v>
      </c>
      <c r="I32" s="76">
        <v>299926.55</v>
      </c>
      <c r="J32" s="274">
        <f t="shared" si="1"/>
        <v>1.0129204995677483</v>
      </c>
      <c r="K32" s="74">
        <f>SUM(L32:N32)</f>
        <v>386078.06</v>
      </c>
      <c r="L32" s="76">
        <v>345315.97</v>
      </c>
      <c r="M32" s="76">
        <v>40761.21</v>
      </c>
      <c r="N32" s="76">
        <v>0.88</v>
      </c>
      <c r="O32" s="110">
        <f t="shared" si="0"/>
        <v>0.006792001868983657</v>
      </c>
      <c r="P32" s="76">
        <v>344118.62</v>
      </c>
      <c r="Q32" s="77">
        <f>P32/K32</f>
        <v>0.8913187659511136</v>
      </c>
    </row>
    <row r="33" spans="1:17" s="50" customFormat="1" ht="15.75" thickBot="1">
      <c r="A33" s="20" t="s">
        <v>17</v>
      </c>
      <c r="B33" s="112">
        <v>39068117.87</v>
      </c>
      <c r="C33" s="151">
        <v>45258257.74</v>
      </c>
      <c r="D33" s="174">
        <f>SUM(E33:G33)</f>
        <v>4965.410000000001</v>
      </c>
      <c r="E33" s="76">
        <v>4199.97</v>
      </c>
      <c r="F33" s="76">
        <v>133.48000000000002</v>
      </c>
      <c r="G33" s="76">
        <v>631.96</v>
      </c>
      <c r="H33" s="188">
        <f t="shared" si="2"/>
        <v>0.00010971279602775094</v>
      </c>
      <c r="I33" s="76">
        <v>2902.1</v>
      </c>
      <c r="J33" s="274">
        <f t="shared" si="1"/>
        <v>0.5844633172285872</v>
      </c>
      <c r="K33" s="74">
        <f>SUM(L33:N33)</f>
        <v>67002.63</v>
      </c>
      <c r="L33" s="76">
        <v>53652.37</v>
      </c>
      <c r="M33" s="76">
        <v>2788.2400000000007</v>
      </c>
      <c r="N33" s="76">
        <v>10562.02</v>
      </c>
      <c r="O33" s="110">
        <f t="shared" si="0"/>
        <v>0.0014804509352727903</v>
      </c>
      <c r="P33" s="76">
        <v>64939.32</v>
      </c>
      <c r="Q33" s="77">
        <f>P33/K33</f>
        <v>0.9692055371557803</v>
      </c>
    </row>
    <row r="34" spans="1:17" s="50" customFormat="1" ht="15.75" thickBot="1">
      <c r="A34" s="20" t="s">
        <v>18</v>
      </c>
      <c r="B34" s="112">
        <v>3326586.99</v>
      </c>
      <c r="C34" s="151">
        <v>3669816.03</v>
      </c>
      <c r="D34" s="174">
        <f>SUM(E34:G34)</f>
        <v>1464</v>
      </c>
      <c r="E34" s="76">
        <v>1244.26</v>
      </c>
      <c r="F34" s="76">
        <v>0</v>
      </c>
      <c r="G34" s="76">
        <v>219.74</v>
      </c>
      <c r="H34" s="188">
        <f t="shared" si="2"/>
        <v>0.0003989300793369743</v>
      </c>
      <c r="I34" s="76">
        <v>1464</v>
      </c>
      <c r="J34" s="156" t="s">
        <v>42</v>
      </c>
      <c r="K34" s="74">
        <f>SUM(L34:N34)</f>
        <v>1464</v>
      </c>
      <c r="L34" s="76">
        <v>1244.26</v>
      </c>
      <c r="M34" s="76">
        <v>0</v>
      </c>
      <c r="N34" s="76">
        <v>219.74</v>
      </c>
      <c r="O34" s="110">
        <f t="shared" si="0"/>
        <v>0.0003989300793369743</v>
      </c>
      <c r="P34" s="76">
        <v>1464</v>
      </c>
      <c r="Q34" s="97" t="s">
        <v>42</v>
      </c>
    </row>
    <row r="35" spans="1:17" s="50" customFormat="1" ht="15.75" thickBot="1">
      <c r="A35" s="20" t="s">
        <v>38</v>
      </c>
      <c r="B35" s="112">
        <f>26389038.01+130171469+16260660.24</f>
        <v>172821167.25</v>
      </c>
      <c r="C35" s="151">
        <f>28418469.74+152663031+16484561.1</f>
        <v>197566061.84</v>
      </c>
      <c r="D35" s="174">
        <f>SUM(E35:G35)</f>
        <v>504430.7</v>
      </c>
      <c r="E35" s="76">
        <f>305274.44+143212.89+14453.5</f>
        <v>462940.83</v>
      </c>
      <c r="F35" s="76">
        <f>10226.61+9873.78</f>
        <v>20100.39</v>
      </c>
      <c r="G35" s="76">
        <f>5990.39+15399.09</f>
        <v>21389.48</v>
      </c>
      <c r="H35" s="188">
        <f t="shared" si="2"/>
        <v>0.0025532254644449817</v>
      </c>
      <c r="I35" s="76">
        <f>26321.25+60422.59+3561.33</f>
        <v>90305.17</v>
      </c>
      <c r="J35" s="274">
        <f>I35/D35</f>
        <v>0.17902393728216778</v>
      </c>
      <c r="K35" s="74">
        <f>SUM(L35:N35)</f>
        <v>2698577.3500000006</v>
      </c>
      <c r="L35" s="76">
        <f>475473.53+1925913.58+50872.72</f>
        <v>2452259.8300000005</v>
      </c>
      <c r="M35" s="76">
        <f>29268.15+127856.25</f>
        <v>157124.4</v>
      </c>
      <c r="N35" s="76">
        <f>15748+73445.12</f>
        <v>89193.12</v>
      </c>
      <c r="O35" s="110">
        <f t="shared" si="0"/>
        <v>0.013659113943291832</v>
      </c>
      <c r="P35" s="76">
        <f>351910.18+1599076.88+60276.75</f>
        <v>2011263.8099999998</v>
      </c>
      <c r="Q35" s="77">
        <v>0.8429870859299367</v>
      </c>
    </row>
    <row r="36" spans="1:18" s="50" customFormat="1" ht="15.75" thickBot="1">
      <c r="A36" s="20" t="s">
        <v>11</v>
      </c>
      <c r="B36" s="112">
        <v>6767343.78</v>
      </c>
      <c r="C36" s="151">
        <v>7602582.970000001</v>
      </c>
      <c r="D36" s="174">
        <f>SUM(E36:G36)</f>
        <v>9076.27</v>
      </c>
      <c r="E36" s="76">
        <v>7036.660000000001</v>
      </c>
      <c r="F36" s="76">
        <v>489.52</v>
      </c>
      <c r="G36" s="76">
        <v>1550.09</v>
      </c>
      <c r="H36" s="188">
        <f t="shared" si="2"/>
        <v>0.0011938403087233917</v>
      </c>
      <c r="I36" s="76">
        <v>917.83</v>
      </c>
      <c r="J36" s="274">
        <f t="shared" si="1"/>
        <v>0.10112414020296884</v>
      </c>
      <c r="K36" s="78">
        <f>SUM(L36:N36)</f>
        <v>277417.11</v>
      </c>
      <c r="L36" s="76">
        <v>254340.77</v>
      </c>
      <c r="M36" s="81">
        <v>6535.66</v>
      </c>
      <c r="N36" s="76">
        <v>16540.68</v>
      </c>
      <c r="O36" s="110">
        <f t="shared" si="0"/>
        <v>0.03648984971222221</v>
      </c>
      <c r="P36" s="78">
        <v>251812.27</v>
      </c>
      <c r="Q36" s="77">
        <f>P36/K36</f>
        <v>0.9077027368643557</v>
      </c>
      <c r="R36" s="98"/>
    </row>
    <row r="37" spans="1:25" s="8" customFormat="1" ht="15.75" thickBot="1">
      <c r="A37" s="20" t="s">
        <v>63</v>
      </c>
      <c r="B37" s="250">
        <v>10399672.55</v>
      </c>
      <c r="C37" s="138">
        <v>10493343.58</v>
      </c>
      <c r="D37" s="171">
        <f>E37+F37+G37</f>
        <v>0.4</v>
      </c>
      <c r="E37" s="76">
        <v>0.4</v>
      </c>
      <c r="F37" s="67">
        <v>0</v>
      </c>
      <c r="G37" s="67">
        <v>0</v>
      </c>
      <c r="H37" s="188">
        <f t="shared" si="2"/>
        <v>3.811940369153528E-08</v>
      </c>
      <c r="I37" s="76">
        <f>D37</f>
        <v>0.4</v>
      </c>
      <c r="J37" s="274">
        <f t="shared" si="1"/>
        <v>1</v>
      </c>
      <c r="K37" s="78">
        <f>L37+N37</f>
        <v>88472.29</v>
      </c>
      <c r="L37" s="78">
        <v>88472.29</v>
      </c>
      <c r="M37" s="86">
        <v>0</v>
      </c>
      <c r="N37" s="86">
        <v>0</v>
      </c>
      <c r="O37" s="110">
        <f t="shared" si="0"/>
        <v>0.008431277345061449</v>
      </c>
      <c r="P37" s="78">
        <v>88472.29</v>
      </c>
      <c r="Q37" s="77">
        <f>P37/K37</f>
        <v>1</v>
      </c>
      <c r="R37" s="13"/>
      <c r="S37" s="13"/>
      <c r="T37" s="13"/>
      <c r="U37" s="13"/>
      <c r="V37" s="14"/>
      <c r="W37" s="13"/>
      <c r="X37" s="14"/>
      <c r="Y37" s="15"/>
    </row>
    <row r="38" spans="1:17" s="108" customFormat="1" ht="15.75" thickBot="1">
      <c r="A38" s="18" t="s">
        <v>26</v>
      </c>
      <c r="B38" s="141">
        <f>SUM(B39:B42)</f>
        <v>375426787.79</v>
      </c>
      <c r="C38" s="149">
        <f>SUM(C39:C42)</f>
        <v>395384396.31000006</v>
      </c>
      <c r="D38" s="172">
        <f>E38+F38+G38</f>
        <v>21436.63</v>
      </c>
      <c r="E38" s="66">
        <f>SUM(E39:E42)</f>
        <v>20716.61</v>
      </c>
      <c r="F38" s="66">
        <f>SUM(F39:F42)</f>
        <v>332.15</v>
      </c>
      <c r="G38" s="66">
        <f>SUM(G39:G42)</f>
        <v>387.87</v>
      </c>
      <c r="H38" s="196">
        <f t="shared" si="2"/>
        <v>5.4217187628195295E-05</v>
      </c>
      <c r="I38" s="66"/>
      <c r="J38" s="274">
        <f t="shared" si="1"/>
        <v>0</v>
      </c>
      <c r="K38" s="259">
        <f>SUM(L38:N38)</f>
        <v>608345.26</v>
      </c>
      <c r="L38" s="260">
        <f>SUM(L39:L42)</f>
        <v>535470.1900000001</v>
      </c>
      <c r="M38" s="260">
        <f>SUM(M39:M42)</f>
        <v>33518.7</v>
      </c>
      <c r="N38" s="260">
        <f>SUM(N39:N42)</f>
        <v>39356.369999999995</v>
      </c>
      <c r="O38" s="258">
        <f t="shared" si="0"/>
        <v>0.0015386172688591094</v>
      </c>
      <c r="P38" s="260">
        <f>SUM(P39:P42)</f>
        <v>608345.2600000001</v>
      </c>
      <c r="Q38" s="99">
        <f>P38/K38</f>
        <v>1.0000000000000002</v>
      </c>
    </row>
    <row r="39" spans="1:17" s="50" customFormat="1" ht="15.75" thickBot="1">
      <c r="A39" s="20" t="s">
        <v>66</v>
      </c>
      <c r="B39" s="112">
        <v>221627503.78000006</v>
      </c>
      <c r="C39" s="151">
        <v>241264523.28</v>
      </c>
      <c r="D39" s="171">
        <f>E39+F39+G39</f>
        <v>16817.579999999998</v>
      </c>
      <c r="E39" s="76">
        <v>16097.56</v>
      </c>
      <c r="F39" s="76">
        <v>332.15</v>
      </c>
      <c r="G39" s="76">
        <v>387.87</v>
      </c>
      <c r="H39" s="188">
        <f t="shared" si="2"/>
        <v>6.97059798571476E-05</v>
      </c>
      <c r="I39" s="76">
        <v>13927.32</v>
      </c>
      <c r="J39" s="274">
        <f t="shared" si="1"/>
        <v>0.8281405529214073</v>
      </c>
      <c r="K39" s="74">
        <f>SUM(L39:N39)</f>
        <v>434918.17999999993</v>
      </c>
      <c r="L39" s="76">
        <v>373218.29</v>
      </c>
      <c r="M39" s="76">
        <v>29197.86</v>
      </c>
      <c r="N39" s="76">
        <v>32502.03</v>
      </c>
      <c r="O39" s="110">
        <f t="shared" si="0"/>
        <v>0.0018026611376064387</v>
      </c>
      <c r="P39" s="76">
        <f>436187.59-1269.41</f>
        <v>434918.18000000005</v>
      </c>
      <c r="Q39" s="77">
        <f aca="true" t="shared" si="8" ref="Q39:Q46">P39/K39</f>
        <v>1.0000000000000002</v>
      </c>
    </row>
    <row r="40" spans="1:17" s="50" customFormat="1" ht="15.75" thickBot="1">
      <c r="A40" s="20" t="s">
        <v>17</v>
      </c>
      <c r="B40" s="79">
        <v>145561412.82</v>
      </c>
      <c r="C40" s="140">
        <v>146994611.55</v>
      </c>
      <c r="D40" s="139" t="s">
        <v>42</v>
      </c>
      <c r="E40" s="190" t="s">
        <v>42</v>
      </c>
      <c r="F40" s="190" t="s">
        <v>42</v>
      </c>
      <c r="G40" s="190" t="s">
        <v>42</v>
      </c>
      <c r="H40" s="188">
        <v>0</v>
      </c>
      <c r="I40" s="190" t="s">
        <v>42</v>
      </c>
      <c r="J40" s="156" t="s">
        <v>42</v>
      </c>
      <c r="K40" s="74">
        <v>74501.2</v>
      </c>
      <c r="L40" s="74">
        <v>63326.020000000004</v>
      </c>
      <c r="M40" s="74">
        <v>4320.84</v>
      </c>
      <c r="N40" s="75">
        <v>6854.34</v>
      </c>
      <c r="O40" s="110">
        <f t="shared" si="0"/>
        <v>0.000506829462756589</v>
      </c>
      <c r="P40" s="76">
        <v>74501.2</v>
      </c>
      <c r="Q40" s="77">
        <f t="shared" si="8"/>
        <v>1</v>
      </c>
    </row>
    <row r="41" spans="1:17" s="50" customFormat="1" ht="15.75" thickBot="1">
      <c r="A41" s="20" t="s">
        <v>11</v>
      </c>
      <c r="B41" s="80">
        <v>6732920.99</v>
      </c>
      <c r="C41" s="126">
        <v>5612266.68</v>
      </c>
      <c r="D41" s="175">
        <f>SUM(E41:G41)</f>
        <v>4618.92</v>
      </c>
      <c r="E41" s="191">
        <v>4618.92</v>
      </c>
      <c r="F41" s="191">
        <v>0</v>
      </c>
      <c r="G41" s="191">
        <v>0</v>
      </c>
      <c r="H41" s="188">
        <f t="shared" si="2"/>
        <v>0.0008230043694217325</v>
      </c>
      <c r="I41" s="191">
        <v>4618.92</v>
      </c>
      <c r="J41" s="274">
        <f>I41/D41</f>
        <v>1</v>
      </c>
      <c r="K41" s="126">
        <f>SUM(L41:N41)</f>
        <v>93043.49</v>
      </c>
      <c r="L41" s="82">
        <v>93043.49</v>
      </c>
      <c r="M41" s="82">
        <v>0</v>
      </c>
      <c r="N41" s="82">
        <v>0</v>
      </c>
      <c r="O41" s="110">
        <f t="shared" si="0"/>
        <v>0.016578593873946133</v>
      </c>
      <c r="P41" s="76">
        <v>93043.48999999999</v>
      </c>
      <c r="Q41" s="77">
        <f t="shared" si="8"/>
        <v>0.9999999999999999</v>
      </c>
    </row>
    <row r="42" spans="1:24" s="15" customFormat="1" ht="15.75" thickBot="1">
      <c r="A42" s="21" t="s">
        <v>63</v>
      </c>
      <c r="B42" s="100">
        <v>1504950.2</v>
      </c>
      <c r="C42" s="148">
        <v>1512994.8</v>
      </c>
      <c r="D42" s="171">
        <f>E42+F42+G42</f>
        <v>0.13</v>
      </c>
      <c r="E42" s="76">
        <v>0.13</v>
      </c>
      <c r="F42" s="67">
        <v>0</v>
      </c>
      <c r="G42" s="67">
        <v>0</v>
      </c>
      <c r="H42" s="188">
        <f t="shared" si="2"/>
        <v>8.592230455782135E-08</v>
      </c>
      <c r="I42" s="76">
        <f>D42</f>
        <v>0.13</v>
      </c>
      <c r="J42" s="274">
        <f t="shared" si="1"/>
        <v>1</v>
      </c>
      <c r="K42" s="74">
        <f>L42+M42+N42</f>
        <v>5882.39</v>
      </c>
      <c r="L42" s="76">
        <v>5882.39</v>
      </c>
      <c r="M42" s="86">
        <v>0</v>
      </c>
      <c r="N42" s="173">
        <v>0</v>
      </c>
      <c r="O42" s="110">
        <f t="shared" si="0"/>
        <v>0.003887911577752944</v>
      </c>
      <c r="P42" s="76">
        <v>5882.39</v>
      </c>
      <c r="Q42" s="77">
        <f t="shared" si="8"/>
        <v>1</v>
      </c>
      <c r="R42" s="13"/>
      <c r="S42" s="13"/>
      <c r="T42" s="13"/>
      <c r="U42" s="13"/>
      <c r="V42" s="14"/>
      <c r="W42" s="13"/>
      <c r="X42" s="14"/>
    </row>
    <row r="43" spans="1:17" s="121" customFormat="1" ht="15.75" thickBot="1">
      <c r="A43" s="106" t="s">
        <v>19</v>
      </c>
      <c r="B43" s="142">
        <f aca="true" t="shared" si="9" ref="B43:G43">B23+B28+B37+B42</f>
        <v>21400466.66</v>
      </c>
      <c r="C43" s="152">
        <f t="shared" si="9"/>
        <v>21637518.96</v>
      </c>
      <c r="D43" s="237">
        <f t="shared" si="9"/>
        <v>4.67</v>
      </c>
      <c r="E43" s="192">
        <f t="shared" si="9"/>
        <v>4.67</v>
      </c>
      <c r="F43" s="192">
        <f t="shared" si="9"/>
        <v>0</v>
      </c>
      <c r="G43" s="192">
        <f t="shared" si="9"/>
        <v>0</v>
      </c>
      <c r="H43" s="197">
        <f t="shared" si="2"/>
        <v>2.15828811456302E-07</v>
      </c>
      <c r="I43" s="192">
        <f>D43</f>
        <v>4.67</v>
      </c>
      <c r="J43" s="275">
        <f t="shared" si="1"/>
        <v>1</v>
      </c>
      <c r="K43" s="237">
        <f>K23+K28+K37+K42</f>
        <v>210104.98</v>
      </c>
      <c r="L43" s="238">
        <f>K43</f>
        <v>210104.98</v>
      </c>
      <c r="M43" s="238">
        <v>0</v>
      </c>
      <c r="N43" s="238">
        <v>0</v>
      </c>
      <c r="O43" s="239">
        <f t="shared" si="0"/>
        <v>0.009710215870331928</v>
      </c>
      <c r="P43" s="120">
        <f>K43</f>
        <v>210104.98</v>
      </c>
      <c r="Q43" s="205">
        <f t="shared" si="8"/>
        <v>1</v>
      </c>
    </row>
    <row r="44" spans="1:17" s="48" customFormat="1" ht="27" thickBot="1">
      <c r="A44" s="47" t="s">
        <v>29</v>
      </c>
      <c r="B44" s="207">
        <v>823595059.23</v>
      </c>
      <c r="C44" s="215" t="s">
        <v>42</v>
      </c>
      <c r="D44" s="220">
        <v>100400</v>
      </c>
      <c r="E44" s="216" t="s">
        <v>42</v>
      </c>
      <c r="F44" s="221">
        <v>100400</v>
      </c>
      <c r="G44" s="216" t="s">
        <v>42</v>
      </c>
      <c r="H44" s="216" t="s">
        <v>42</v>
      </c>
      <c r="I44" s="208">
        <v>3632.35</v>
      </c>
      <c r="J44" s="153" t="s">
        <v>42</v>
      </c>
      <c r="K44" s="211">
        <v>856840.02</v>
      </c>
      <c r="L44" s="212">
        <v>140498.88</v>
      </c>
      <c r="M44" s="212">
        <v>102007.66</v>
      </c>
      <c r="N44" s="213">
        <v>581148.85</v>
      </c>
      <c r="O44" s="224" t="s">
        <v>42</v>
      </c>
      <c r="P44" s="212">
        <v>149895.05</v>
      </c>
      <c r="Q44" s="214">
        <f t="shared" si="8"/>
        <v>0.1749393661607916</v>
      </c>
    </row>
    <row r="45" spans="1:17" s="15" customFormat="1" ht="15.75" thickBot="1">
      <c r="A45" s="38" t="s">
        <v>38</v>
      </c>
      <c r="B45" s="164">
        <v>360507310.42</v>
      </c>
      <c r="C45" s="154" t="s">
        <v>42</v>
      </c>
      <c r="D45" s="219">
        <v>100400</v>
      </c>
      <c r="E45" s="193" t="s">
        <v>42</v>
      </c>
      <c r="F45" s="222">
        <v>100400</v>
      </c>
      <c r="G45" s="193" t="s">
        <v>42</v>
      </c>
      <c r="H45" s="193" t="s">
        <v>42</v>
      </c>
      <c r="I45" s="209">
        <v>3632.35</v>
      </c>
      <c r="J45" s="158" t="s">
        <v>42</v>
      </c>
      <c r="K45" s="127">
        <v>846023.19</v>
      </c>
      <c r="L45" s="83">
        <v>131388.79</v>
      </c>
      <c r="M45" s="218">
        <v>100400</v>
      </c>
      <c r="N45" s="84">
        <v>581148.85</v>
      </c>
      <c r="O45" s="223" t="s">
        <v>42</v>
      </c>
      <c r="P45" s="210">
        <v>149895.05</v>
      </c>
      <c r="Q45" s="77">
        <f t="shared" si="8"/>
        <v>0.17717605353110946</v>
      </c>
    </row>
    <row r="46" spans="1:17" s="15" customFormat="1" ht="15.75" thickBot="1">
      <c r="A46" s="38" t="s">
        <v>17</v>
      </c>
      <c r="B46" s="164">
        <v>463087748.81</v>
      </c>
      <c r="C46" s="154" t="s">
        <v>42</v>
      </c>
      <c r="D46" s="176" t="s">
        <v>42</v>
      </c>
      <c r="E46" s="193" t="s">
        <v>42</v>
      </c>
      <c r="F46" s="193" t="s">
        <v>42</v>
      </c>
      <c r="G46" s="193" t="s">
        <v>42</v>
      </c>
      <c r="H46" s="193" t="s">
        <v>42</v>
      </c>
      <c r="I46" s="193" t="s">
        <v>42</v>
      </c>
      <c r="J46" s="184" t="s">
        <v>42</v>
      </c>
      <c r="K46" s="127">
        <v>10816.83</v>
      </c>
      <c r="L46" s="83">
        <v>9110.09</v>
      </c>
      <c r="M46" s="83">
        <v>1607.66</v>
      </c>
      <c r="N46" s="84">
        <v>0</v>
      </c>
      <c r="O46" s="223" t="s">
        <v>42</v>
      </c>
      <c r="P46" s="83">
        <v>0</v>
      </c>
      <c r="Q46" s="122">
        <f t="shared" si="8"/>
        <v>0</v>
      </c>
    </row>
    <row r="47" spans="1:17" s="48" customFormat="1" ht="27" thickBot="1">
      <c r="A47" s="47" t="s">
        <v>20</v>
      </c>
      <c r="B47" s="165">
        <f>SUM(B48,B53,B61)</f>
        <v>544405037.7757506</v>
      </c>
      <c r="C47" s="155" t="s">
        <v>42</v>
      </c>
      <c r="D47" s="177" t="s">
        <v>42</v>
      </c>
      <c r="E47" s="194" t="s">
        <v>42</v>
      </c>
      <c r="F47" s="194" t="s">
        <v>42</v>
      </c>
      <c r="G47" s="194" t="s">
        <v>42</v>
      </c>
      <c r="H47" s="194" t="s">
        <v>42</v>
      </c>
      <c r="I47" s="194" t="s">
        <v>42</v>
      </c>
      <c r="J47" s="185" t="s">
        <v>42</v>
      </c>
      <c r="K47" s="128">
        <f>SUM(L47:N47)</f>
        <v>5797113.04746968</v>
      </c>
      <c r="L47" s="91">
        <f>SUM(L48,L53,L65,L66,L67)</f>
        <v>4260905.267905121</v>
      </c>
      <c r="M47" s="91">
        <f>SUM(M48,M53,M65,M66,M67)</f>
        <v>1309766.9695645599</v>
      </c>
      <c r="N47" s="91">
        <f>SUM(N48,N53,N61,N61,N65,N66,N67)</f>
        <v>226440.81</v>
      </c>
      <c r="O47" s="224" t="s">
        <v>42</v>
      </c>
      <c r="P47" s="91">
        <f>SUM(P48,P53,P65,P66,P67)</f>
        <v>4084272.341460681</v>
      </c>
      <c r="Q47" s="92">
        <f>P47/K47</f>
        <v>0.7045355693457421</v>
      </c>
    </row>
    <row r="48" spans="1:17" s="49" customFormat="1" ht="15.75" thickBot="1">
      <c r="A48" s="26" t="s">
        <v>7</v>
      </c>
      <c r="B48" s="166">
        <f>SUM(B49:B52)</f>
        <v>121971261.803112</v>
      </c>
      <c r="C48" s="156" t="s">
        <v>42</v>
      </c>
      <c r="D48" s="178" t="s">
        <v>42</v>
      </c>
      <c r="E48" s="195" t="s">
        <v>42</v>
      </c>
      <c r="F48" s="195" t="s">
        <v>42</v>
      </c>
      <c r="G48" s="195" t="s">
        <v>42</v>
      </c>
      <c r="H48" s="195" t="s">
        <v>42</v>
      </c>
      <c r="I48" s="195" t="s">
        <v>42</v>
      </c>
      <c r="J48" s="183" t="s">
        <v>42</v>
      </c>
      <c r="K48" s="129">
        <f>SUM(L48:N48)</f>
        <v>2301231.9474696806</v>
      </c>
      <c r="L48" s="94">
        <f>SUM(L49:L52)</f>
        <v>1736381.0379051205</v>
      </c>
      <c r="M48" s="94">
        <f>SUM(M49:M52)</f>
        <v>564850.9095645599</v>
      </c>
      <c r="N48" s="94">
        <v>0</v>
      </c>
      <c r="O48" s="225" t="s">
        <v>42</v>
      </c>
      <c r="P48" s="94">
        <f>SUM(P49:P52)</f>
        <v>2240747.3014606806</v>
      </c>
      <c r="Q48" s="95">
        <f aca="true" t="shared" si="10" ref="Q48:Q67">P48/K48</f>
        <v>0.9737164060860941</v>
      </c>
    </row>
    <row r="49" spans="1:23" s="28" customFormat="1" ht="15.75" thickBot="1">
      <c r="A49" s="29" t="s">
        <v>8</v>
      </c>
      <c r="B49" s="167">
        <v>49122061.79321826</v>
      </c>
      <c r="C49" s="157" t="s">
        <v>42</v>
      </c>
      <c r="D49" s="179" t="s">
        <v>42</v>
      </c>
      <c r="E49" s="190" t="s">
        <v>42</v>
      </c>
      <c r="F49" s="190" t="s">
        <v>42</v>
      </c>
      <c r="G49" s="190" t="s">
        <v>42</v>
      </c>
      <c r="H49" s="190" t="s">
        <v>42</v>
      </c>
      <c r="I49" s="190" t="s">
        <v>42</v>
      </c>
      <c r="J49" s="183" t="s">
        <v>42</v>
      </c>
      <c r="K49" s="124">
        <v>1708087.6519150801</v>
      </c>
      <c r="L49" s="69">
        <v>1281814.7189161202</v>
      </c>
      <c r="M49" s="69">
        <v>426272.93299895996</v>
      </c>
      <c r="N49" s="69">
        <v>0</v>
      </c>
      <c r="O49" s="223" t="s">
        <v>42</v>
      </c>
      <c r="P49" s="69">
        <v>1708087.6519150801</v>
      </c>
      <c r="Q49" s="96">
        <v>1</v>
      </c>
      <c r="R49" s="15"/>
      <c r="S49" s="15"/>
      <c r="T49" s="15"/>
      <c r="U49" s="15"/>
      <c r="V49" s="15"/>
      <c r="W49" s="15"/>
    </row>
    <row r="50" spans="1:23" s="28" customFormat="1" ht="15.75" thickBot="1">
      <c r="A50" s="29" t="s">
        <v>9</v>
      </c>
      <c r="B50" s="167">
        <v>63481819.69953128</v>
      </c>
      <c r="C50" s="157" t="s">
        <v>42</v>
      </c>
      <c r="D50" s="179" t="s">
        <v>42</v>
      </c>
      <c r="E50" s="190" t="s">
        <v>42</v>
      </c>
      <c r="F50" s="190" t="s">
        <v>42</v>
      </c>
      <c r="G50" s="190" t="s">
        <v>42</v>
      </c>
      <c r="H50" s="190" t="s">
        <v>42</v>
      </c>
      <c r="I50" s="190" t="s">
        <v>42</v>
      </c>
      <c r="J50" s="183" t="s">
        <v>42</v>
      </c>
      <c r="K50" s="124">
        <v>529324.7038609602</v>
      </c>
      <c r="L50" s="69">
        <v>406701.60690568027</v>
      </c>
      <c r="M50" s="69">
        <v>122623.09695528</v>
      </c>
      <c r="N50" s="69">
        <v>0</v>
      </c>
      <c r="O50" s="223" t="s">
        <v>42</v>
      </c>
      <c r="P50" s="69">
        <v>474195.9078519603</v>
      </c>
      <c r="Q50" s="96">
        <v>0.8958507025897646</v>
      </c>
      <c r="R50" s="15"/>
      <c r="S50" s="15"/>
      <c r="T50" s="15"/>
      <c r="U50" s="15"/>
      <c r="V50" s="15"/>
      <c r="W50" s="15"/>
    </row>
    <row r="51" spans="1:23" s="28" customFormat="1" ht="15.75" thickBot="1">
      <c r="A51" s="29" t="s">
        <v>11</v>
      </c>
      <c r="B51" s="167">
        <v>7945402.510362462</v>
      </c>
      <c r="C51" s="157" t="s">
        <v>42</v>
      </c>
      <c r="D51" s="179" t="s">
        <v>42</v>
      </c>
      <c r="E51" s="190" t="s">
        <v>42</v>
      </c>
      <c r="F51" s="190" t="s">
        <v>42</v>
      </c>
      <c r="G51" s="190" t="s">
        <v>42</v>
      </c>
      <c r="H51" s="190" t="s">
        <v>42</v>
      </c>
      <c r="I51" s="190" t="s">
        <v>42</v>
      </c>
      <c r="J51" s="183" t="s">
        <v>42</v>
      </c>
      <c r="K51" s="124">
        <v>14700.811305480001</v>
      </c>
      <c r="L51" s="69">
        <v>11025.610236120001</v>
      </c>
      <c r="M51" s="69">
        <v>3675.20106936</v>
      </c>
      <c r="N51" s="69">
        <v>0</v>
      </c>
      <c r="O51" s="223" t="s">
        <v>42</v>
      </c>
      <c r="P51" s="69">
        <v>14700.811305480001</v>
      </c>
      <c r="Q51" s="96">
        <v>1</v>
      </c>
      <c r="R51" s="15"/>
      <c r="S51" s="15"/>
      <c r="T51" s="15"/>
      <c r="U51" s="15"/>
      <c r="V51" s="15"/>
      <c r="W51" s="15"/>
    </row>
    <row r="52" spans="1:23" s="28" customFormat="1" ht="15.75" thickBot="1">
      <c r="A52" s="29" t="s">
        <v>64</v>
      </c>
      <c r="B52" s="167">
        <v>1421977.8</v>
      </c>
      <c r="C52" s="157" t="s">
        <v>42</v>
      </c>
      <c r="D52" s="179" t="s">
        <v>42</v>
      </c>
      <c r="E52" s="190" t="s">
        <v>42</v>
      </c>
      <c r="F52" s="190" t="s">
        <v>42</v>
      </c>
      <c r="G52" s="190" t="s">
        <v>42</v>
      </c>
      <c r="H52" s="190" t="s">
        <v>42</v>
      </c>
      <c r="I52" s="190" t="s">
        <v>42</v>
      </c>
      <c r="J52" s="183" t="s">
        <v>42</v>
      </c>
      <c r="K52" s="124">
        <v>49118.78038816</v>
      </c>
      <c r="L52" s="69">
        <v>36839.1018472</v>
      </c>
      <c r="M52" s="69">
        <v>12279.678540960002</v>
      </c>
      <c r="N52" s="69">
        <v>0</v>
      </c>
      <c r="O52" s="223" t="s">
        <v>42</v>
      </c>
      <c r="P52" s="69">
        <v>43762.93038816</v>
      </c>
      <c r="Q52" s="96">
        <v>0.8909612584499143</v>
      </c>
      <c r="R52" s="15"/>
      <c r="S52" s="15"/>
      <c r="T52" s="15"/>
      <c r="U52" s="15"/>
      <c r="V52" s="15"/>
      <c r="W52" s="15"/>
    </row>
    <row r="53" spans="1:17" s="15" customFormat="1" ht="15.75" thickBot="1">
      <c r="A53" s="25" t="s">
        <v>13</v>
      </c>
      <c r="B53" s="168">
        <f>B54+B61</f>
        <v>303205959.69131935</v>
      </c>
      <c r="C53" s="156" t="s">
        <v>42</v>
      </c>
      <c r="D53" s="178" t="s">
        <v>42</v>
      </c>
      <c r="E53" s="195" t="s">
        <v>42</v>
      </c>
      <c r="F53" s="195" t="s">
        <v>42</v>
      </c>
      <c r="G53" s="195" t="s">
        <v>42</v>
      </c>
      <c r="H53" s="195" t="s">
        <v>42</v>
      </c>
      <c r="I53" s="195" t="s">
        <v>42</v>
      </c>
      <c r="J53" s="183" t="s">
        <v>42</v>
      </c>
      <c r="K53" s="93">
        <f>SUM(L53:N53)</f>
        <v>1645092.5199999996</v>
      </c>
      <c r="L53" s="226">
        <f>SUM(L54:L60)</f>
        <v>1176041.3299999996</v>
      </c>
      <c r="M53" s="226">
        <f>SUM(M54:M60)</f>
        <v>242610.38</v>
      </c>
      <c r="N53" s="226">
        <f>SUM(N54:N60)</f>
        <v>226440.81</v>
      </c>
      <c r="O53" s="225" t="s">
        <v>42</v>
      </c>
      <c r="P53" s="226">
        <f>SUM(P54:P60)</f>
        <v>1520298.3400000003</v>
      </c>
      <c r="Q53" s="95">
        <f t="shared" si="10"/>
        <v>0.9241415431151561</v>
      </c>
    </row>
    <row r="54" spans="1:17" s="15" customFormat="1" ht="15.75" thickBot="1">
      <c r="A54" s="22" t="s">
        <v>31</v>
      </c>
      <c r="B54" s="169">
        <f>SUM(B55:B60)</f>
        <v>183978143.41</v>
      </c>
      <c r="C54" s="157" t="s">
        <v>42</v>
      </c>
      <c r="D54" s="179" t="s">
        <v>42</v>
      </c>
      <c r="E54" s="190" t="s">
        <v>42</v>
      </c>
      <c r="F54" s="190" t="s">
        <v>42</v>
      </c>
      <c r="G54" s="190" t="s">
        <v>42</v>
      </c>
      <c r="H54" s="190" t="s">
        <v>42</v>
      </c>
      <c r="I54" s="190" t="s">
        <v>42</v>
      </c>
      <c r="J54" s="183" t="s">
        <v>42</v>
      </c>
      <c r="K54" s="124">
        <v>798366.09</v>
      </c>
      <c r="L54" s="69">
        <v>584992.5299999999</v>
      </c>
      <c r="M54" s="69">
        <v>111807.42</v>
      </c>
      <c r="N54" s="69">
        <v>101566.13999999998</v>
      </c>
      <c r="O54" s="223" t="s">
        <v>42</v>
      </c>
      <c r="P54" s="70">
        <v>760149.1700000002</v>
      </c>
      <c r="Q54" s="71">
        <f t="shared" si="10"/>
        <v>0.9521310831225311</v>
      </c>
    </row>
    <row r="55" spans="1:17" s="15" customFormat="1" ht="15.75" thickBot="1">
      <c r="A55" s="24" t="s">
        <v>17</v>
      </c>
      <c r="B55" s="169">
        <v>102701592.68999998</v>
      </c>
      <c r="C55" s="157" t="s">
        <v>42</v>
      </c>
      <c r="D55" s="179" t="s">
        <v>42</v>
      </c>
      <c r="E55" s="190" t="s">
        <v>42</v>
      </c>
      <c r="F55" s="190" t="s">
        <v>42</v>
      </c>
      <c r="G55" s="190" t="s">
        <v>42</v>
      </c>
      <c r="H55" s="190" t="s">
        <v>42</v>
      </c>
      <c r="I55" s="190" t="s">
        <v>42</v>
      </c>
      <c r="J55" s="183" t="s">
        <v>42</v>
      </c>
      <c r="K55" s="124">
        <v>497120.98</v>
      </c>
      <c r="L55" s="69">
        <v>358026.68</v>
      </c>
      <c r="M55" s="69">
        <v>68226.76</v>
      </c>
      <c r="N55" s="69">
        <v>70867.54</v>
      </c>
      <c r="O55" s="223" t="s">
        <v>42</v>
      </c>
      <c r="P55" s="70">
        <v>471057.32</v>
      </c>
      <c r="Q55" s="71">
        <f t="shared" si="10"/>
        <v>0.9475707905146148</v>
      </c>
    </row>
    <row r="56" spans="1:17" s="15" customFormat="1" ht="15.75" thickBot="1">
      <c r="A56" s="51" t="s">
        <v>38</v>
      </c>
      <c r="B56" s="169">
        <v>15618329.280000001</v>
      </c>
      <c r="C56" s="157" t="s">
        <v>42</v>
      </c>
      <c r="D56" s="179" t="s">
        <v>42</v>
      </c>
      <c r="E56" s="190" t="s">
        <v>42</v>
      </c>
      <c r="F56" s="190" t="s">
        <v>42</v>
      </c>
      <c r="G56" s="190" t="s">
        <v>42</v>
      </c>
      <c r="H56" s="190" t="s">
        <v>42</v>
      </c>
      <c r="I56" s="190" t="s">
        <v>42</v>
      </c>
      <c r="J56" s="183" t="s">
        <v>42</v>
      </c>
      <c r="K56" s="131">
        <v>231411.5</v>
      </c>
      <c r="L56" s="72">
        <v>179603.64999999997</v>
      </c>
      <c r="M56" s="72">
        <v>47669.259999999995</v>
      </c>
      <c r="N56" s="72">
        <v>52498.92999999999</v>
      </c>
      <c r="O56" s="223" t="s">
        <v>42</v>
      </c>
      <c r="P56" s="72">
        <v>219258.24</v>
      </c>
      <c r="Q56" s="73">
        <f t="shared" si="10"/>
        <v>0.9474820395702028</v>
      </c>
    </row>
    <row r="57" spans="1:17" s="15" customFormat="1" ht="15.75" thickBot="1">
      <c r="A57" s="24" t="s">
        <v>8</v>
      </c>
      <c r="B57" s="169">
        <v>8690635.29</v>
      </c>
      <c r="C57" s="157" t="s">
        <v>42</v>
      </c>
      <c r="D57" s="179" t="s">
        <v>42</v>
      </c>
      <c r="E57" s="190" t="s">
        <v>42</v>
      </c>
      <c r="F57" s="190" t="s">
        <v>42</v>
      </c>
      <c r="G57" s="190" t="s">
        <v>42</v>
      </c>
      <c r="H57" s="190" t="s">
        <v>42</v>
      </c>
      <c r="I57" s="190" t="s">
        <v>42</v>
      </c>
      <c r="J57" s="183" t="s">
        <v>42</v>
      </c>
      <c r="K57" s="124">
        <v>1014.04</v>
      </c>
      <c r="L57" s="69">
        <v>811.23</v>
      </c>
      <c r="M57" s="69">
        <v>202.81</v>
      </c>
      <c r="N57" s="69">
        <v>0</v>
      </c>
      <c r="O57" s="223" t="s">
        <v>42</v>
      </c>
      <c r="P57" s="70">
        <v>1014.04</v>
      </c>
      <c r="Q57" s="71">
        <f t="shared" si="10"/>
        <v>1</v>
      </c>
    </row>
    <row r="58" spans="1:17" s="15" customFormat="1" ht="15.75" thickBot="1">
      <c r="A58" s="23" t="s">
        <v>11</v>
      </c>
      <c r="B58" s="169">
        <v>27973852.209999997</v>
      </c>
      <c r="C58" s="157" t="s">
        <v>42</v>
      </c>
      <c r="D58" s="179" t="s">
        <v>42</v>
      </c>
      <c r="E58" s="190" t="s">
        <v>42</v>
      </c>
      <c r="F58" s="190" t="s">
        <v>42</v>
      </c>
      <c r="G58" s="190" t="s">
        <v>42</v>
      </c>
      <c r="H58" s="190" t="s">
        <v>42</v>
      </c>
      <c r="I58" s="190" t="s">
        <v>42</v>
      </c>
      <c r="J58" s="183" t="s">
        <v>42</v>
      </c>
      <c r="K58" s="124">
        <v>18980.6</v>
      </c>
      <c r="L58" s="69">
        <v>14235.88</v>
      </c>
      <c r="M58" s="69">
        <v>4738.58</v>
      </c>
      <c r="N58" s="69">
        <v>6.14</v>
      </c>
      <c r="O58" s="223" t="s">
        <v>42</v>
      </c>
      <c r="P58" s="70">
        <v>18980.6</v>
      </c>
      <c r="Q58" s="71">
        <f t="shared" si="10"/>
        <v>1</v>
      </c>
    </row>
    <row r="59" spans="1:17" s="15" customFormat="1" ht="15.75" thickBot="1">
      <c r="A59" s="23" t="s">
        <v>10</v>
      </c>
      <c r="B59" s="169">
        <v>19722613.03999999</v>
      </c>
      <c r="C59" s="157" t="s">
        <v>42</v>
      </c>
      <c r="D59" s="179" t="s">
        <v>42</v>
      </c>
      <c r="E59" s="190" t="s">
        <v>42</v>
      </c>
      <c r="F59" s="190" t="s">
        <v>42</v>
      </c>
      <c r="G59" s="190" t="s">
        <v>42</v>
      </c>
      <c r="H59" s="190" t="s">
        <v>42</v>
      </c>
      <c r="I59" s="190" t="s">
        <v>42</v>
      </c>
      <c r="J59" s="183" t="s">
        <v>42</v>
      </c>
      <c r="K59" s="124">
        <v>2011.5300000000002</v>
      </c>
      <c r="L59" s="69">
        <v>1508.65</v>
      </c>
      <c r="M59" s="69">
        <v>502.88</v>
      </c>
      <c r="N59" s="69">
        <v>0</v>
      </c>
      <c r="O59" s="223" t="s">
        <v>42</v>
      </c>
      <c r="P59" s="70">
        <v>2011.53</v>
      </c>
      <c r="Q59" s="71">
        <f t="shared" si="10"/>
        <v>0.9999999999999999</v>
      </c>
    </row>
    <row r="60" spans="1:17" s="15" customFormat="1" ht="15.75" thickBot="1">
      <c r="A60" s="23" t="s">
        <v>9</v>
      </c>
      <c r="B60" s="169">
        <v>9271120.900000002</v>
      </c>
      <c r="C60" s="157" t="s">
        <v>42</v>
      </c>
      <c r="D60" s="179" t="s">
        <v>42</v>
      </c>
      <c r="E60" s="190" t="s">
        <v>42</v>
      </c>
      <c r="F60" s="190" t="s">
        <v>42</v>
      </c>
      <c r="G60" s="190" t="s">
        <v>42</v>
      </c>
      <c r="H60" s="190" t="s">
        <v>42</v>
      </c>
      <c r="I60" s="190" t="s">
        <v>42</v>
      </c>
      <c r="J60" s="183" t="s">
        <v>42</v>
      </c>
      <c r="K60" s="124">
        <v>47827.439999999995</v>
      </c>
      <c r="L60" s="69">
        <v>36862.71</v>
      </c>
      <c r="M60" s="69">
        <v>9462.67</v>
      </c>
      <c r="N60" s="69">
        <v>1502.06</v>
      </c>
      <c r="O60" s="223" t="s">
        <v>42</v>
      </c>
      <c r="P60" s="70">
        <v>47827.44</v>
      </c>
      <c r="Q60" s="71">
        <f t="shared" si="10"/>
        <v>1.0000000000000002</v>
      </c>
    </row>
    <row r="61" spans="1:17" s="15" customFormat="1" ht="15.75" thickBot="1">
      <c r="A61" s="25" t="s">
        <v>33</v>
      </c>
      <c r="B61" s="235">
        <f>SUM(B62:B64)</f>
        <v>119227816.28131932</v>
      </c>
      <c r="C61" s="156" t="s">
        <v>42</v>
      </c>
      <c r="D61" s="178" t="s">
        <v>42</v>
      </c>
      <c r="E61" s="195" t="s">
        <v>42</v>
      </c>
      <c r="F61" s="195" t="s">
        <v>42</v>
      </c>
      <c r="G61" s="195" t="s">
        <v>42</v>
      </c>
      <c r="H61" s="195" t="s">
        <v>42</v>
      </c>
      <c r="I61" s="195" t="s">
        <v>42</v>
      </c>
      <c r="J61" s="183" t="s">
        <v>42</v>
      </c>
      <c r="K61" s="93">
        <f>SUM(L61:N61)</f>
        <v>3474538.08</v>
      </c>
      <c r="L61" s="66">
        <f>SUM(L62:L64)</f>
        <v>1966030.3699999999</v>
      </c>
      <c r="M61" s="66">
        <f>SUM(M62:M64)</f>
        <v>1508507.71</v>
      </c>
      <c r="N61" s="227">
        <f>SUM(N62:N64)</f>
        <v>0</v>
      </c>
      <c r="O61" s="228" t="s">
        <v>42</v>
      </c>
      <c r="P61" s="66">
        <f>SUM(P62:P64)</f>
        <v>1183593.4</v>
      </c>
      <c r="Q61" s="95">
        <f t="shared" si="10"/>
        <v>0.3406476984129067</v>
      </c>
    </row>
    <row r="62" spans="1:17" s="15" customFormat="1" ht="15.75" thickBot="1">
      <c r="A62" s="23" t="s">
        <v>11</v>
      </c>
      <c r="B62" s="169">
        <v>92090046.662097</v>
      </c>
      <c r="C62" s="157" t="s">
        <v>42</v>
      </c>
      <c r="D62" s="179" t="s">
        <v>42</v>
      </c>
      <c r="E62" s="190" t="s">
        <v>42</v>
      </c>
      <c r="F62" s="190" t="s">
        <v>42</v>
      </c>
      <c r="G62" s="190" t="s">
        <v>42</v>
      </c>
      <c r="H62" s="190" t="s">
        <v>42</v>
      </c>
      <c r="I62" s="190" t="s">
        <v>42</v>
      </c>
      <c r="J62" s="183" t="s">
        <v>42</v>
      </c>
      <c r="K62" s="123">
        <f>SUM(L62:N62)</f>
        <v>3045705.73</v>
      </c>
      <c r="L62" s="229">
        <v>1742263.5699999998</v>
      </c>
      <c r="M62" s="229">
        <v>1303442.1600000001</v>
      </c>
      <c r="N62" s="230">
        <v>0</v>
      </c>
      <c r="O62" s="231" t="s">
        <v>42</v>
      </c>
      <c r="P62" s="87">
        <v>924689.58</v>
      </c>
      <c r="Q62" s="71">
        <f t="shared" si="10"/>
        <v>0.30360437349277336</v>
      </c>
    </row>
    <row r="63" spans="1:17" s="15" customFormat="1" ht="15.75" thickBot="1">
      <c r="A63" s="23" t="s">
        <v>8</v>
      </c>
      <c r="B63" s="169">
        <v>22959622.459222317</v>
      </c>
      <c r="C63" s="157" t="s">
        <v>42</v>
      </c>
      <c r="D63" s="179" t="s">
        <v>42</v>
      </c>
      <c r="E63" s="190" t="s">
        <v>42</v>
      </c>
      <c r="F63" s="190" t="s">
        <v>42</v>
      </c>
      <c r="G63" s="190" t="s">
        <v>42</v>
      </c>
      <c r="H63" s="190" t="s">
        <v>42</v>
      </c>
      <c r="I63" s="190" t="s">
        <v>42</v>
      </c>
      <c r="J63" s="183" t="s">
        <v>42</v>
      </c>
      <c r="K63" s="123">
        <f>SUM(L63:N63)</f>
        <v>37402.7</v>
      </c>
      <c r="L63" s="67">
        <v>28052</v>
      </c>
      <c r="M63" s="67">
        <v>9350.7</v>
      </c>
      <c r="N63" s="230">
        <v>0</v>
      </c>
      <c r="O63" s="231" t="s">
        <v>42</v>
      </c>
      <c r="P63" s="87">
        <v>37402.7</v>
      </c>
      <c r="Q63" s="71">
        <f t="shared" si="10"/>
        <v>1</v>
      </c>
    </row>
    <row r="64" spans="1:17" s="15" customFormat="1" ht="15.75" thickBot="1">
      <c r="A64" s="29" t="s">
        <v>38</v>
      </c>
      <c r="B64" s="169">
        <v>4178147.16</v>
      </c>
      <c r="C64" s="157" t="s">
        <v>42</v>
      </c>
      <c r="D64" s="179" t="s">
        <v>42</v>
      </c>
      <c r="E64" s="190" t="s">
        <v>42</v>
      </c>
      <c r="F64" s="190" t="s">
        <v>42</v>
      </c>
      <c r="G64" s="190" t="s">
        <v>42</v>
      </c>
      <c r="H64" s="190" t="s">
        <v>42</v>
      </c>
      <c r="I64" s="190" t="s">
        <v>42</v>
      </c>
      <c r="J64" s="183" t="s">
        <v>42</v>
      </c>
      <c r="K64" s="123">
        <f>SUM(L64:N64)</f>
        <v>391429.65</v>
      </c>
      <c r="L64" s="229">
        <v>195714.80000000002</v>
      </c>
      <c r="M64" s="229">
        <v>195714.84999999998</v>
      </c>
      <c r="N64" s="230">
        <v>0</v>
      </c>
      <c r="O64" s="231" t="s">
        <v>42</v>
      </c>
      <c r="P64" s="87">
        <v>221501.12000000005</v>
      </c>
      <c r="Q64" s="71">
        <f t="shared" si="10"/>
        <v>0.5658772144624201</v>
      </c>
    </row>
    <row r="65" spans="1:17" s="30" customFormat="1" ht="15.75" thickBot="1">
      <c r="A65" s="22" t="s">
        <v>65</v>
      </c>
      <c r="B65" s="169">
        <v>14069720.09</v>
      </c>
      <c r="C65" s="157" t="s">
        <v>42</v>
      </c>
      <c r="D65" s="179" t="s">
        <v>42</v>
      </c>
      <c r="E65" s="190" t="s">
        <v>42</v>
      </c>
      <c r="F65" s="190" t="s">
        <v>42</v>
      </c>
      <c r="G65" s="190" t="s">
        <v>42</v>
      </c>
      <c r="H65" s="190" t="s">
        <v>42</v>
      </c>
      <c r="I65" s="190" t="s">
        <v>42</v>
      </c>
      <c r="J65" s="183" t="s">
        <v>42</v>
      </c>
      <c r="K65" s="232">
        <v>139212.16</v>
      </c>
      <c r="L65" s="233">
        <f>104409.1</f>
        <v>104409.1</v>
      </c>
      <c r="M65" s="233">
        <v>34803.06</v>
      </c>
      <c r="N65" s="233">
        <v>0</v>
      </c>
      <c r="O65" s="231" t="s">
        <v>42</v>
      </c>
      <c r="P65" s="234">
        <v>135446.79</v>
      </c>
      <c r="Q65" s="71">
        <f t="shared" si="10"/>
        <v>0.9729522909492965</v>
      </c>
    </row>
    <row r="66" spans="1:19" s="30" customFormat="1" ht="15.75" thickBot="1">
      <c r="A66" s="22" t="s">
        <v>40</v>
      </c>
      <c r="B66" s="169">
        <v>100496086.66000003</v>
      </c>
      <c r="C66" s="157" t="s">
        <v>42</v>
      </c>
      <c r="D66" s="179" t="s">
        <v>42</v>
      </c>
      <c r="E66" s="190" t="s">
        <v>42</v>
      </c>
      <c r="F66" s="190" t="s">
        <v>42</v>
      </c>
      <c r="G66" s="190" t="s">
        <v>42</v>
      </c>
      <c r="H66" s="190" t="s">
        <v>42</v>
      </c>
      <c r="I66" s="190" t="s">
        <v>42</v>
      </c>
      <c r="J66" s="183" t="s">
        <v>42</v>
      </c>
      <c r="K66" s="232">
        <f>L66+M66</f>
        <v>1288952.9200000002</v>
      </c>
      <c r="L66" s="233">
        <f>820250.9+1520.75+44.28+44276.4+41577.86</f>
        <v>907670.1900000001</v>
      </c>
      <c r="M66" s="233">
        <f>356086.41+14.78+651.75+12650.4+11879.39</f>
        <v>381282.73000000004</v>
      </c>
      <c r="N66" s="233">
        <v>0</v>
      </c>
      <c r="O66" s="231" t="s">
        <v>42</v>
      </c>
      <c r="P66" s="234">
        <v>124380.06</v>
      </c>
      <c r="Q66" s="71">
        <f t="shared" si="10"/>
        <v>0.09649697678639806</v>
      </c>
      <c r="S66" s="37"/>
    </row>
    <row r="67" spans="1:23" s="31" customFormat="1" ht="15.75" thickBot="1">
      <c r="A67" s="22" t="s">
        <v>32</v>
      </c>
      <c r="B67" s="236">
        <v>23442026.810000002</v>
      </c>
      <c r="C67" s="157" t="s">
        <v>42</v>
      </c>
      <c r="D67" s="179" t="s">
        <v>42</v>
      </c>
      <c r="E67" s="190" t="s">
        <v>42</v>
      </c>
      <c r="F67" s="190" t="s">
        <v>42</v>
      </c>
      <c r="G67" s="190" t="s">
        <v>42</v>
      </c>
      <c r="H67" s="190" t="s">
        <v>42</v>
      </c>
      <c r="I67" s="190" t="s">
        <v>42</v>
      </c>
      <c r="J67" s="183" t="s">
        <v>42</v>
      </c>
      <c r="K67" s="232">
        <v>422623.5</v>
      </c>
      <c r="L67" s="233">
        <v>336403.61</v>
      </c>
      <c r="M67" s="233">
        <v>86219.89</v>
      </c>
      <c r="N67" s="233">
        <v>0</v>
      </c>
      <c r="O67" s="231" t="s">
        <v>42</v>
      </c>
      <c r="P67" s="234">
        <v>63399.85</v>
      </c>
      <c r="Q67" s="71">
        <f t="shared" si="10"/>
        <v>0.1500149660395127</v>
      </c>
      <c r="R67" s="37"/>
      <c r="S67" s="37"/>
      <c r="T67" s="30"/>
      <c r="U67" s="30"/>
      <c r="V67" s="30"/>
      <c r="W67" s="30"/>
    </row>
    <row r="68" spans="1:23" s="58" customFormat="1" ht="81.75" customHeight="1" thickBot="1">
      <c r="A68" s="33" t="s">
        <v>39</v>
      </c>
      <c r="B68" s="143">
        <f>B69+B70+B71+B72+B73+B74+B75+B76</f>
        <v>29930922</v>
      </c>
      <c r="C68" s="159">
        <f>C76+C75+C74+C73+C72+C71+C70+C69</f>
        <v>40546328</v>
      </c>
      <c r="D68" s="180">
        <f>SUM(D69:D76)</f>
        <v>377648.81000000006</v>
      </c>
      <c r="E68" s="198">
        <f aca="true" t="shared" si="11" ref="E68:N68">SUM(E69:E76)</f>
        <v>320835.2435</v>
      </c>
      <c r="F68" s="198">
        <f t="shared" si="11"/>
        <v>55312.4065</v>
      </c>
      <c r="G68" s="198">
        <f t="shared" si="11"/>
        <v>1501.1599999999999</v>
      </c>
      <c r="H68" s="199">
        <f t="shared" si="2"/>
        <v>0.009314007670435658</v>
      </c>
      <c r="I68" s="200" t="s">
        <v>62</v>
      </c>
      <c r="J68" s="186" t="s">
        <v>62</v>
      </c>
      <c r="K68" s="132">
        <f t="shared" si="11"/>
        <v>689659.26</v>
      </c>
      <c r="L68" s="54">
        <f t="shared" si="11"/>
        <v>569710.8100000002</v>
      </c>
      <c r="M68" s="54">
        <f t="shared" si="11"/>
        <v>80394.23000000001</v>
      </c>
      <c r="N68" s="54">
        <f t="shared" si="11"/>
        <v>39554.219999999994</v>
      </c>
      <c r="O68" s="55">
        <f aca="true" t="shared" si="12" ref="O68:O76">K68/C68</f>
        <v>0.017009166896691606</v>
      </c>
      <c r="P68" s="53" t="s">
        <v>62</v>
      </c>
      <c r="Q68" s="56" t="s">
        <v>62</v>
      </c>
      <c r="R68" s="57"/>
      <c r="S68" s="57"/>
      <c r="T68" s="57"/>
      <c r="U68" s="57"/>
      <c r="V68" s="57"/>
      <c r="W68" s="57"/>
    </row>
    <row r="69" spans="1:23" s="58" customFormat="1" ht="15.75" thickBot="1">
      <c r="A69" s="35" t="s">
        <v>21</v>
      </c>
      <c r="B69" s="144">
        <v>3243062</v>
      </c>
      <c r="C69" s="160">
        <v>5368903</v>
      </c>
      <c r="D69" s="181">
        <f aca="true" t="shared" si="13" ref="D69:D75">SUM(E69:G69)</f>
        <v>346927.82</v>
      </c>
      <c r="E69" s="21">
        <v>294888.647</v>
      </c>
      <c r="F69" s="61">
        <v>52005.387</v>
      </c>
      <c r="G69" s="61">
        <v>33.786</v>
      </c>
      <c r="H69" s="199">
        <f t="shared" si="2"/>
        <v>0.06461800855780035</v>
      </c>
      <c r="I69" s="190" t="s">
        <v>42</v>
      </c>
      <c r="J69" s="183" t="s">
        <v>42</v>
      </c>
      <c r="K69" s="133">
        <f aca="true" t="shared" si="14" ref="K69:K76">SUM(L69:N69)</f>
        <v>370491.52</v>
      </c>
      <c r="L69" s="61">
        <v>314917.77</v>
      </c>
      <c r="M69" s="61">
        <v>55359.82000000001</v>
      </c>
      <c r="N69" s="59">
        <v>213.92999999999998</v>
      </c>
      <c r="O69" s="55">
        <f t="shared" si="12"/>
        <v>0.06900693121108725</v>
      </c>
      <c r="P69" s="60" t="s">
        <v>42</v>
      </c>
      <c r="Q69" s="60" t="s">
        <v>42</v>
      </c>
      <c r="R69" s="57"/>
      <c r="S69" s="57"/>
      <c r="T69" s="57"/>
      <c r="U69" s="57"/>
      <c r="V69" s="57"/>
      <c r="W69" s="57"/>
    </row>
    <row r="70" spans="1:23" s="58" customFormat="1" ht="15.75" thickBot="1">
      <c r="A70" s="35" t="s">
        <v>8</v>
      </c>
      <c r="B70" s="144">
        <v>3849145</v>
      </c>
      <c r="C70" s="160">
        <v>4585269</v>
      </c>
      <c r="D70" s="181">
        <f t="shared" si="13"/>
        <v>157.14000000000001</v>
      </c>
      <c r="E70" s="61">
        <v>129.11</v>
      </c>
      <c r="F70" s="61">
        <v>28.03</v>
      </c>
      <c r="G70" s="61">
        <v>0</v>
      </c>
      <c r="H70" s="199">
        <f t="shared" si="2"/>
        <v>3.427061749267055E-05</v>
      </c>
      <c r="I70" s="190" t="s">
        <v>42</v>
      </c>
      <c r="J70" s="183" t="s">
        <v>42</v>
      </c>
      <c r="K70" s="134">
        <f t="shared" si="14"/>
        <v>14136.659999999998</v>
      </c>
      <c r="L70" s="61">
        <v>11918.039999999997</v>
      </c>
      <c r="M70" s="61">
        <v>2218.61</v>
      </c>
      <c r="N70" s="61">
        <v>0.01</v>
      </c>
      <c r="O70" s="55">
        <f t="shared" si="12"/>
        <v>0.003083060121445437</v>
      </c>
      <c r="P70" s="60" t="s">
        <v>42</v>
      </c>
      <c r="Q70" s="60" t="s">
        <v>42</v>
      </c>
      <c r="R70" s="57"/>
      <c r="S70" s="57"/>
      <c r="T70" s="57"/>
      <c r="U70" s="57"/>
      <c r="V70" s="57"/>
      <c r="W70" s="57"/>
    </row>
    <row r="71" spans="1:23" s="58" customFormat="1" ht="15.75" thickBot="1">
      <c r="A71" s="35" t="s">
        <v>38</v>
      </c>
      <c r="B71" s="145">
        <v>10935688</v>
      </c>
      <c r="C71" s="161">
        <v>15656755</v>
      </c>
      <c r="D71" s="181">
        <f t="shared" si="13"/>
        <v>20206.960000000003</v>
      </c>
      <c r="E71" s="61">
        <v>17014.5325</v>
      </c>
      <c r="F71" s="61">
        <v>2871.892500000001</v>
      </c>
      <c r="G71" s="21">
        <v>320.5350000000001</v>
      </c>
      <c r="H71" s="199">
        <f t="shared" si="2"/>
        <v>0.001290622482117144</v>
      </c>
      <c r="I71" s="190" t="s">
        <v>42</v>
      </c>
      <c r="J71" s="183" t="s">
        <v>42</v>
      </c>
      <c r="K71" s="135">
        <f t="shared" si="14"/>
        <v>115647.16000000002</v>
      </c>
      <c r="L71" s="61">
        <v>82751.54000000002</v>
      </c>
      <c r="M71" s="61">
        <v>7495.540000000001</v>
      </c>
      <c r="N71" s="61">
        <v>25400.079999999998</v>
      </c>
      <c r="O71" s="55">
        <f t="shared" si="12"/>
        <v>0.007386406697939644</v>
      </c>
      <c r="P71" s="60" t="s">
        <v>42</v>
      </c>
      <c r="Q71" s="60" t="s">
        <v>42</v>
      </c>
      <c r="R71" s="57"/>
      <c r="S71" s="57"/>
      <c r="T71" s="57"/>
      <c r="U71" s="57"/>
      <c r="V71" s="57"/>
      <c r="W71" s="57"/>
    </row>
    <row r="72" spans="1:23" s="58" customFormat="1" ht="18" customHeight="1" thickBot="1">
      <c r="A72" s="35" t="s">
        <v>10</v>
      </c>
      <c r="B72" s="144">
        <v>2674124</v>
      </c>
      <c r="C72" s="160">
        <v>3287035</v>
      </c>
      <c r="D72" s="181">
        <f t="shared" si="13"/>
        <v>346.32000000000005</v>
      </c>
      <c r="E72" s="61">
        <v>293.96950000000004</v>
      </c>
      <c r="F72" s="61">
        <v>51.5505</v>
      </c>
      <c r="G72" s="61">
        <v>0.8</v>
      </c>
      <c r="H72" s="199">
        <f t="shared" si="2"/>
        <v>0.00010535938923680462</v>
      </c>
      <c r="I72" s="190" t="s">
        <v>42</v>
      </c>
      <c r="J72" s="183" t="s">
        <v>42</v>
      </c>
      <c r="K72" s="133">
        <f t="shared" si="14"/>
        <v>11775.9</v>
      </c>
      <c r="L72" s="61">
        <v>9095.88</v>
      </c>
      <c r="M72" s="61">
        <v>1122.0500000000002</v>
      </c>
      <c r="N72" s="61">
        <v>1557.97</v>
      </c>
      <c r="O72" s="55">
        <f t="shared" si="12"/>
        <v>0.003582529544102816</v>
      </c>
      <c r="P72" s="60" t="s">
        <v>42</v>
      </c>
      <c r="Q72" s="60" t="s">
        <v>42</v>
      </c>
      <c r="R72" s="57"/>
      <c r="S72" s="57"/>
      <c r="T72" s="57"/>
      <c r="U72" s="57"/>
      <c r="V72" s="57"/>
      <c r="W72" s="57"/>
    </row>
    <row r="73" spans="1:23" s="58" customFormat="1" ht="15.75" thickBot="1">
      <c r="A73" s="35" t="s">
        <v>22</v>
      </c>
      <c r="B73" s="146">
        <v>1807787</v>
      </c>
      <c r="C73" s="162">
        <v>2325105</v>
      </c>
      <c r="D73" s="181">
        <f t="shared" si="13"/>
        <v>2370.31</v>
      </c>
      <c r="E73" s="61">
        <v>2014.7634999999998</v>
      </c>
      <c r="F73" s="61">
        <v>355.54650000000015</v>
      </c>
      <c r="G73" s="63">
        <v>0</v>
      </c>
      <c r="H73" s="199">
        <f t="shared" si="2"/>
        <v>0.0010194421327208878</v>
      </c>
      <c r="I73" s="190" t="s">
        <v>42</v>
      </c>
      <c r="J73" s="183" t="s">
        <v>42</v>
      </c>
      <c r="K73" s="133">
        <f t="shared" si="14"/>
        <v>21497.46</v>
      </c>
      <c r="L73" s="61">
        <v>18272.84</v>
      </c>
      <c r="M73" s="61">
        <v>3224.62</v>
      </c>
      <c r="N73" s="61">
        <v>0</v>
      </c>
      <c r="O73" s="55">
        <f t="shared" si="12"/>
        <v>0.009245801802499242</v>
      </c>
      <c r="P73" s="60" t="s">
        <v>42</v>
      </c>
      <c r="Q73" s="60" t="s">
        <v>42</v>
      </c>
      <c r="R73" s="57"/>
      <c r="S73" s="57"/>
      <c r="T73" s="57"/>
      <c r="U73" s="57"/>
      <c r="V73" s="57"/>
      <c r="W73" s="57"/>
    </row>
    <row r="74" spans="1:23" s="58" customFormat="1" ht="15.75" thickBot="1">
      <c r="A74" s="35" t="s">
        <v>18</v>
      </c>
      <c r="B74" s="144">
        <v>6135419</v>
      </c>
      <c r="C74" s="160">
        <v>7155617</v>
      </c>
      <c r="D74" s="181">
        <f t="shared" si="13"/>
        <v>7640.26</v>
      </c>
      <c r="E74" s="61">
        <v>6494.2210000000005</v>
      </c>
      <c r="F74" s="61">
        <v>0</v>
      </c>
      <c r="G74" s="61">
        <v>1146.0389999999998</v>
      </c>
      <c r="H74" s="199">
        <f t="shared" si="2"/>
        <v>0.0010677290302150044</v>
      </c>
      <c r="I74" s="190" t="s">
        <v>42</v>
      </c>
      <c r="J74" s="183" t="s">
        <v>42</v>
      </c>
      <c r="K74" s="136">
        <f t="shared" si="14"/>
        <v>119985.33</v>
      </c>
      <c r="L74" s="61">
        <v>102048.29</v>
      </c>
      <c r="M74" s="63">
        <v>5758.050000000001</v>
      </c>
      <c r="N74" s="61">
        <v>12178.990000000002</v>
      </c>
      <c r="O74" s="55">
        <f t="shared" si="12"/>
        <v>0.016767992194104298</v>
      </c>
      <c r="P74" s="60" t="s">
        <v>42</v>
      </c>
      <c r="Q74" s="60" t="s">
        <v>42</v>
      </c>
      <c r="R74" s="57"/>
      <c r="S74" s="57"/>
      <c r="T74" s="57"/>
      <c r="U74" s="57"/>
      <c r="V74" s="57"/>
      <c r="W74" s="57"/>
    </row>
    <row r="75" spans="1:23" s="58" customFormat="1" ht="15.75" thickBot="1">
      <c r="A75" s="35" t="s">
        <v>9</v>
      </c>
      <c r="B75" s="144">
        <v>763009</v>
      </c>
      <c r="C75" s="160">
        <v>1241895</v>
      </c>
      <c r="D75" s="181">
        <f t="shared" si="13"/>
        <v>0</v>
      </c>
      <c r="E75" s="61">
        <v>0</v>
      </c>
      <c r="F75" s="61">
        <v>0</v>
      </c>
      <c r="G75" s="61">
        <v>0</v>
      </c>
      <c r="H75" s="199">
        <f t="shared" si="2"/>
        <v>0</v>
      </c>
      <c r="I75" s="190" t="s">
        <v>42</v>
      </c>
      <c r="J75" s="183" t="s">
        <v>42</v>
      </c>
      <c r="K75" s="137">
        <f t="shared" si="14"/>
        <v>1803.6</v>
      </c>
      <c r="L75" s="61">
        <v>1533.06</v>
      </c>
      <c r="M75" s="61">
        <v>67.3</v>
      </c>
      <c r="N75" s="61">
        <v>203.24</v>
      </c>
      <c r="O75" s="55">
        <f t="shared" si="12"/>
        <v>0.0014522966917493024</v>
      </c>
      <c r="P75" s="60" t="s">
        <v>42</v>
      </c>
      <c r="Q75" s="60" t="s">
        <v>42</v>
      </c>
      <c r="R75" s="57"/>
      <c r="S75" s="57"/>
      <c r="T75" s="57"/>
      <c r="U75" s="57"/>
      <c r="V75" s="57"/>
      <c r="W75" s="57"/>
    </row>
    <row r="76" spans="1:23" s="58" customFormat="1" ht="15.75" thickBot="1">
      <c r="A76" s="36" t="s">
        <v>23</v>
      </c>
      <c r="B76" s="147">
        <v>522688</v>
      </c>
      <c r="C76" s="163">
        <v>925749</v>
      </c>
      <c r="D76" s="182">
        <v>0</v>
      </c>
      <c r="E76" s="201">
        <v>0</v>
      </c>
      <c r="F76" s="201">
        <v>0</v>
      </c>
      <c r="G76" s="63">
        <v>0</v>
      </c>
      <c r="H76" s="199">
        <f t="shared" si="2"/>
        <v>0</v>
      </c>
      <c r="I76" s="190" t="s">
        <v>42</v>
      </c>
      <c r="J76" s="183" t="s">
        <v>42</v>
      </c>
      <c r="K76" s="64">
        <f t="shared" si="14"/>
        <v>34321.63</v>
      </c>
      <c r="L76" s="65">
        <v>29173.39</v>
      </c>
      <c r="M76" s="65">
        <v>5148.24</v>
      </c>
      <c r="N76" s="65">
        <v>0</v>
      </c>
      <c r="O76" s="55">
        <f t="shared" si="12"/>
        <v>0.037074444584871274</v>
      </c>
      <c r="P76" s="60" t="s">
        <v>42</v>
      </c>
      <c r="Q76" s="60" t="s">
        <v>42</v>
      </c>
      <c r="R76" s="57"/>
      <c r="S76" s="57"/>
      <c r="T76" s="57"/>
      <c r="U76" s="57"/>
      <c r="V76" s="57"/>
      <c r="W76" s="57"/>
    </row>
    <row r="77" spans="1:23" s="34" customFormat="1" ht="15" customHeight="1">
      <c r="A77" s="46" t="s">
        <v>44</v>
      </c>
      <c r="B77" s="45"/>
      <c r="C77" s="45"/>
      <c r="D77" s="45"/>
      <c r="E77" s="187"/>
      <c r="F77" s="40"/>
      <c r="G77" s="39"/>
      <c r="H77" s="41"/>
      <c r="I77" s="42"/>
      <c r="J77" s="42"/>
      <c r="K77" s="43"/>
      <c r="L77" s="43"/>
      <c r="M77" s="43"/>
      <c r="N77" s="43"/>
      <c r="O77" s="44"/>
      <c r="P77" s="42"/>
      <c r="Q77" s="42"/>
      <c r="R77" s="52"/>
      <c r="S77" s="52"/>
      <c r="T77" s="52"/>
      <c r="U77" s="52"/>
      <c r="V77" s="52"/>
      <c r="W77" s="52"/>
    </row>
    <row r="78" spans="1:11" ht="15">
      <c r="A78" s="264" t="s">
        <v>61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</row>
    <row r="79" spans="1:11" ht="15" hidden="1">
      <c r="A79" s="269"/>
      <c r="B79" s="270"/>
      <c r="C79" s="270"/>
      <c r="D79" s="270"/>
      <c r="E79" s="270"/>
      <c r="F79" s="270"/>
      <c r="G79" s="270"/>
      <c r="H79" s="270"/>
      <c r="I79" s="270"/>
      <c r="J79" s="270"/>
      <c r="K79" s="270"/>
    </row>
    <row r="80" spans="1:11" ht="15" hidden="1">
      <c r="A80" s="269"/>
      <c r="B80" s="270"/>
      <c r="C80" s="270"/>
      <c r="D80" s="270"/>
      <c r="E80" s="270"/>
      <c r="F80" s="270"/>
      <c r="G80" s="270"/>
      <c r="H80" s="270"/>
      <c r="I80" s="270"/>
      <c r="J80" s="270"/>
      <c r="K80" s="270"/>
    </row>
    <row r="81" spans="1:17" ht="15">
      <c r="A81" s="265" t="s">
        <v>41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</row>
    <row r="82" spans="1:23" s="12" customFormat="1" ht="16.5" customHeight="1">
      <c r="A82" s="265" t="s">
        <v>46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8"/>
      <c r="S82" s="8"/>
      <c r="T82" s="8"/>
      <c r="U82" s="8"/>
      <c r="V82" s="8"/>
      <c r="W82" s="8"/>
    </row>
    <row r="83" spans="1:23" s="12" customFormat="1" ht="15">
      <c r="A83" s="265" t="s">
        <v>67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8"/>
      <c r="S83" s="8"/>
      <c r="T83" s="8"/>
      <c r="U83" s="8"/>
      <c r="V83" s="8"/>
      <c r="W83" s="8"/>
    </row>
    <row r="84" spans="2:16" ht="18.75">
      <c r="B84" s="9" t="s">
        <v>68</v>
      </c>
      <c r="D84" s="16"/>
      <c r="E84" s="16"/>
      <c r="F84" s="16"/>
      <c r="G84" s="16"/>
      <c r="H84" s="16"/>
      <c r="I84" s="12"/>
      <c r="K84" s="32" t="s">
        <v>34</v>
      </c>
      <c r="L84" s="32"/>
      <c r="M84" s="32"/>
      <c r="N84" s="32"/>
      <c r="O84" s="32"/>
      <c r="P84" s="32" t="s">
        <v>35</v>
      </c>
    </row>
    <row r="85" spans="2:9" ht="15">
      <c r="B85" s="9" t="s">
        <v>36</v>
      </c>
      <c r="I85" s="16"/>
    </row>
    <row r="86" ht="15">
      <c r="B86" s="9" t="s">
        <v>37</v>
      </c>
    </row>
  </sheetData>
  <sheetProtection/>
  <mergeCells count="12">
    <mergeCell ref="A8:P8"/>
    <mergeCell ref="A11:A12"/>
    <mergeCell ref="A80:K80"/>
    <mergeCell ref="A79:K79"/>
    <mergeCell ref="B11:B12"/>
    <mergeCell ref="D11:J11"/>
    <mergeCell ref="C11:C12"/>
    <mergeCell ref="K11:Q11"/>
    <mergeCell ref="A78:K78"/>
    <mergeCell ref="A81:Q81"/>
    <mergeCell ref="A83:Q83"/>
    <mergeCell ref="A82:Q82"/>
  </mergeCells>
  <printOptions/>
  <pageMargins left="0.5118110236220472" right="0.5118110236220472" top="0.7480314960629921" bottom="1.4173228346456694" header="0.31496062992125984" footer="0.31496062992125984"/>
  <pageSetup fitToHeight="0" fitToWidth="1" horizontalDpi="600" verticalDpi="600" orientation="landscape" paperSize="9" scale="54" r:id="rId2"/>
  <headerFooter>
    <oddHeader>&amp;C&amp;P</oddHeader>
    <oddFooter>&amp;L&amp;F; Informācija par neatbilstoši veiktiem izdevumiem un atgūtiem neatbilstoši veiktiem izdevumiem uz 31.03.2011, latos (neieskaitot maksātnespējas gadījumus)</oddFooter>
  </headerFooter>
  <rowBreaks count="2" manualBreakCount="2">
    <brk id="37" max="15" man="1"/>
    <brk id="6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4.pielikums</dc:title>
  <dc:subject>Informācija par neatbilstībām un neatbilstoši veiktiem izdevumiem un atgūtiem neatbilstoši veiktiem izdevumiem uz 31.03.2011, latos (neieskaitot maksātnespējas gadījumus)</dc:subject>
  <dc:creator>Ojārs Daugavietis</dc:creator>
  <cp:keywords/>
  <dc:description>Ojārs Daugavietis
LR Finanšu ministrijas
Eiropas Savienības fondu uzraudzības departamenta
Ieviešanas sistēmas nodaļas
vecākais referents
Tālr.: 67 095 549; fakss 67095697
E-pasts: Ojars.Daugavietis@fm.gov.lv </dc:description>
  <cp:lastModifiedBy>Sintija Laugale</cp:lastModifiedBy>
  <cp:lastPrinted>2011-08-02T11:38:33Z</cp:lastPrinted>
  <dcterms:created xsi:type="dcterms:W3CDTF">2010-10-05T14:48:30Z</dcterms:created>
  <dcterms:modified xsi:type="dcterms:W3CDTF">2011-08-10T07:24:41Z</dcterms:modified>
  <cp:category/>
  <cp:version/>
  <cp:contentType/>
  <cp:contentStatus/>
</cp:coreProperties>
</file>