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8850" windowHeight="10320" activeTab="0"/>
  </bookViews>
  <sheets>
    <sheet name="Tabula Nr.1" sheetId="1" r:id="rId1"/>
    <sheet name="Sheet1" sheetId="2" state="hidden" r:id="rId2"/>
  </sheets>
  <definedNames>
    <definedName name="_xlnm.Print_Area" localSheetId="0">'Tabula Nr.1'!$A$1:$Q$90</definedName>
    <definedName name="_xlnm.Print_Titles" localSheetId="0">'Tabula Nr.1'!$11:$13</definedName>
  </definedNames>
  <calcPr fullCalcOnLoad="1"/>
</workbook>
</file>

<file path=xl/sharedStrings.xml><?xml version="1.0" encoding="utf-8"?>
<sst xmlns="http://schemas.openxmlformats.org/spreadsheetml/2006/main" count="170" uniqueCount="71">
  <si>
    <t>Fonds</t>
  </si>
  <si>
    <t>KOPĀ</t>
  </si>
  <si>
    <t>ES fondu/EEZ/Norvēģijas FI daļa, lati</t>
  </si>
  <si>
    <t>LV valsts budžeta daļa, lati</t>
  </si>
  <si>
    <t>Cits nacionālais publiskais finansējums</t>
  </si>
  <si>
    <t>Atgūtie neatbilstoši veiktie izdevumi, % no kopējiem neatbilst. veiktajiem izdevumiem</t>
  </si>
  <si>
    <t>2007.-2013.g. ES SF un KF kopā, t.sk.</t>
  </si>
  <si>
    <t>ESF</t>
  </si>
  <si>
    <t>IZM</t>
  </si>
  <si>
    <t>LM</t>
  </si>
  <si>
    <t>VeM</t>
  </si>
  <si>
    <t>EM</t>
  </si>
  <si>
    <t>VKanc</t>
  </si>
  <si>
    <t>ERAF</t>
  </si>
  <si>
    <t>ERAF (2DP)</t>
  </si>
  <si>
    <t>ERAF (3DP)</t>
  </si>
  <si>
    <t>SM</t>
  </si>
  <si>
    <t>KM</t>
  </si>
  <si>
    <t>TP kopā</t>
  </si>
  <si>
    <t>2004.-2006.g. ES SF KOPĀ, t.sk.</t>
  </si>
  <si>
    <t>TM</t>
  </si>
  <si>
    <t>IeM</t>
  </si>
  <si>
    <t>TP</t>
  </si>
  <si>
    <t>Atgūtie neatbilstoši veiktie, lati</t>
  </si>
  <si>
    <t>ES fondu/EEZ/ Norvēģijas FI daļa, lati</t>
  </si>
  <si>
    <t xml:space="preserve">KF </t>
  </si>
  <si>
    <t>FM TP</t>
  </si>
  <si>
    <t>Konstatētie neatbilstoši veiktie izdevumi pārskata periodā (ceturksnī)</t>
  </si>
  <si>
    <t>FM</t>
  </si>
  <si>
    <t>t.sk. 1.prioritāte</t>
  </si>
  <si>
    <t>ZVFI/ ZM</t>
  </si>
  <si>
    <t xml:space="preserve">t.sk. 2.prioritāte </t>
  </si>
  <si>
    <t>VARAM</t>
  </si>
  <si>
    <t>-</t>
  </si>
  <si>
    <t>LM¹</t>
  </si>
  <si>
    <t xml:space="preserve">EM </t>
  </si>
  <si>
    <t>17=16/11</t>
  </si>
  <si>
    <t>11=12+13+14</t>
  </si>
  <si>
    <t>8=4/3</t>
  </si>
  <si>
    <t>Neatbilstoši veiktie izd. kopā % no pieprasītās summas FS, %</t>
  </si>
  <si>
    <t>4=5+6+7</t>
  </si>
  <si>
    <t>Atgūtie neatbilstoši veiktie izdevumi pārskata periodā, lati</t>
  </si>
  <si>
    <t>10=9/4</t>
  </si>
  <si>
    <t>Atgūtie neatbilstoši veiktie izdevumi, % no kopējā neatbilstību apjoma</t>
  </si>
  <si>
    <t xml:space="preserve">Neatbilstību apjoms % no pieprasītās summas. </t>
  </si>
  <si>
    <t>1OP</t>
  </si>
  <si>
    <t>2OP</t>
  </si>
  <si>
    <t>3OP</t>
  </si>
  <si>
    <t>Recovered 2nd quarter</t>
  </si>
  <si>
    <t xml:space="preserve">Recovered total </t>
  </si>
  <si>
    <t>TOTAL</t>
  </si>
  <si>
    <t>3dp</t>
  </si>
  <si>
    <t>ELVGF/ ZM</t>
  </si>
  <si>
    <t>ERAF TP</t>
  </si>
  <si>
    <t>ESF TP</t>
  </si>
  <si>
    <t>SIF</t>
  </si>
  <si>
    <t>15=11/3</t>
  </si>
  <si>
    <t xml:space="preserve">2000. - 2006.g. ES KF KOPĀ, t.sk. </t>
  </si>
  <si>
    <t>Veiktie maksājumi finansējuma saņēmējiem uz 30.06.2012. (publiskais finansējums), lati</t>
  </si>
  <si>
    <t xml:space="preserve">Kopējā pieprasītā summa un avansi (neskaitot dzēstos avansus) uz 30.06.2012 </t>
  </si>
  <si>
    <t>Neatbilstoši veiktie izdevumi līdz 30.06.2012</t>
  </si>
  <si>
    <t>Informācija par neatbilstībām un neatbilstoši veiktiem izdevumiem un atgūtiem neatbilstoši veiktiem izdevumiem uz 2012.gada 30.jūniju, latos (neieskaitot maksātnespējas gadījumus) (pārskati veidoti 09.07.2012.)</t>
  </si>
  <si>
    <r>
      <t>n/a</t>
    </r>
    <r>
      <rPr>
        <b/>
        <vertAlign val="superscript"/>
        <sz val="14"/>
        <rFont val="Times New Roman"/>
        <family val="1"/>
      </rPr>
      <t>5</t>
    </r>
  </si>
  <si>
    <t>5 Neatbilstoši veiktie izdevumi tiks ieturēti no kārtējā vai noslēguma maksājuma</t>
  </si>
  <si>
    <t>2004.-2009.gada EEZ/Norvēģijas finanšu instrumenti par prioritātēm atbildīgo ministriju griezumā</t>
  </si>
  <si>
    <t>Latvijas un Šveices sadarbības programma par prioritātēm atbildīgo ministriju griezumā</t>
  </si>
  <si>
    <t>VARAM*</t>
  </si>
  <si>
    <t xml:space="preserve">* atgūtie maksājumi pārskata periodā ir lielāki nekā konstatētas neatbilstības, jo atgūtas iepriekšejā pārskata neatbilstības </t>
  </si>
  <si>
    <t>A.Pukse</t>
  </si>
  <si>
    <t>67083930, Anna.Pukse@fm.gov.lv</t>
  </si>
  <si>
    <t>08.08.2012.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</si>
</sst>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(#,##0\)"/>
    <numFmt numFmtId="165" formatCode="#,##0;[Red]#,##0"/>
    <numFmt numFmtId="166" formatCode="#,##0.000"/>
    <numFmt numFmtId="167" formatCode="#,##0.0"/>
    <numFmt numFmtId="168" formatCode="0.0%"/>
    <numFmt numFmtId="169" formatCode="0.0000%"/>
    <numFmt numFmtId="170" formatCode="#,##0.0000"/>
    <numFmt numFmtId="171" formatCode="0.000000000000000000%"/>
    <numFmt numFmtId="172" formatCode="#,##0.00;\(#,##0.00\)"/>
    <numFmt numFmtId="173" formatCode="#,##0.00;[Red]#,##0.00"/>
    <numFmt numFmtId="174" formatCode="0.000%"/>
    <numFmt numFmtId="175" formatCode="#,##0.0;[Red]#,##0.0"/>
    <numFmt numFmtId="176" formatCode="0.00000%"/>
    <numFmt numFmtId="177" formatCode="0.000000%"/>
    <numFmt numFmtId="178" formatCode="0.0000000%"/>
    <numFmt numFmtId="179" formatCode="0.00000000%"/>
    <numFmt numFmtId="180" formatCode="#,##0.00000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26]dddd\,\ yyyy&quot;. gada &quot;d\.\ mmmm"/>
    <numFmt numFmtId="192" formatCode="&quot;Ls&quot;\ #,##0.00"/>
    <numFmt numFmtId="193" formatCode="_-* #,##0.000_-;\-* #,##0.000_-;_-* &quot;-&quot;??_-;_-@_-"/>
    <numFmt numFmtId="194" formatCode="#,##0_ ;\-#,##0\ 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8"/>
      <color indexed="63"/>
      <name val="Tahoma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8"/>
      <color rgb="FF343434"/>
      <name val="Tahoma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81" fillId="31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55" fillId="32" borderId="7" applyNumberFormat="0" applyFont="0" applyAlignment="0" applyProtection="0"/>
    <xf numFmtId="0" fontId="82" fillId="27" borderId="8" applyNumberForma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89" fillId="0" borderId="0" xfId="0" applyFont="1" applyAlignment="1">
      <alignment/>
    </xf>
    <xf numFmtId="0" fontId="4" fillId="0" borderId="0" xfId="0" applyFont="1" applyAlignment="1">
      <alignment/>
    </xf>
    <xf numFmtId="0" fontId="87" fillId="33" borderId="0" xfId="0" applyFont="1" applyFill="1" applyAlignment="1">
      <alignment/>
    </xf>
    <xf numFmtId="0" fontId="0" fillId="33" borderId="0" xfId="0" applyFill="1" applyAlignment="1">
      <alignment/>
    </xf>
    <xf numFmtId="0" fontId="90" fillId="0" borderId="0" xfId="0" applyFont="1" applyAlignment="1">
      <alignment/>
    </xf>
    <xf numFmtId="10" fontId="0" fillId="0" borderId="0" xfId="99" applyNumberFormat="1" applyFont="1" applyAlignment="1">
      <alignment/>
    </xf>
    <xf numFmtId="0" fontId="8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9" fillId="34" borderId="0" xfId="0" applyFont="1" applyFill="1" applyAlignment="1">
      <alignment/>
    </xf>
    <xf numFmtId="168" fontId="4" fillId="0" borderId="0" xfId="99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16" borderId="0" xfId="0" applyFont="1" applyFill="1" applyBorder="1" applyAlignment="1">
      <alignment/>
    </xf>
    <xf numFmtId="0" fontId="89" fillId="34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4" fillId="16" borderId="0" xfId="0" applyFont="1" applyFill="1" applyAlignment="1">
      <alignment/>
    </xf>
    <xf numFmtId="0" fontId="89" fillId="0" borderId="0" xfId="0" applyFont="1" applyAlignment="1">
      <alignment horizontal="center" vertical="center"/>
    </xf>
    <xf numFmtId="3" fontId="89" fillId="0" borderId="0" xfId="0" applyNumberFormat="1" applyFont="1" applyAlignment="1">
      <alignment horizontal="center" vertical="center"/>
    </xf>
    <xf numFmtId="4" fontId="89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3" fontId="92" fillId="0" borderId="0" xfId="0" applyNumberFormat="1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8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horizontal="center" vertical="center" wrapText="1"/>
    </xf>
    <xf numFmtId="4" fontId="5" fillId="10" borderId="11" xfId="0" applyNumberFormat="1" applyFont="1" applyFill="1" applyBorder="1" applyAlignment="1">
      <alignment horizontal="left" vertical="top" wrapText="1"/>
    </xf>
    <xf numFmtId="194" fontId="89" fillId="0" borderId="0" xfId="0" applyNumberFormat="1" applyFont="1" applyAlignment="1">
      <alignment horizontal="center" vertical="center"/>
    </xf>
    <xf numFmtId="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10" borderId="0" xfId="0" applyFont="1" applyFill="1" applyAlignment="1">
      <alignment/>
    </xf>
    <xf numFmtId="0" fontId="92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5" fillId="10" borderId="10" xfId="0" applyFont="1" applyFill="1" applyBorder="1" applyAlignment="1">
      <alignment horizontal="left" vertical="top" wrapText="1"/>
    </xf>
    <xf numFmtId="194" fontId="7" fillId="10" borderId="10" xfId="69" applyNumberFormat="1" applyFont="1" applyFill="1" applyBorder="1" applyAlignment="1">
      <alignment horizontal="center" vertical="top" wrapText="1"/>
    </xf>
    <xf numFmtId="194" fontId="7" fillId="10" borderId="10" xfId="69" applyNumberFormat="1" applyFont="1" applyFill="1" applyBorder="1" applyAlignment="1">
      <alignment horizontal="center" vertical="top"/>
    </xf>
    <xf numFmtId="10" fontId="7" fillId="10" borderId="10" xfId="99" applyNumberFormat="1" applyFont="1" applyFill="1" applyBorder="1" applyAlignment="1">
      <alignment horizontal="center" vertical="top"/>
    </xf>
    <xf numFmtId="3" fontId="7" fillId="10" borderId="10" xfId="0" applyNumberFormat="1" applyFont="1" applyFill="1" applyBorder="1" applyAlignment="1">
      <alignment horizontal="center" vertical="top" wrapText="1"/>
    </xf>
    <xf numFmtId="10" fontId="7" fillId="10" borderId="10" xfId="99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/>
    </xf>
    <xf numFmtId="194" fontId="7" fillId="34" borderId="10" xfId="69" applyNumberFormat="1" applyFont="1" applyFill="1" applyBorder="1" applyAlignment="1">
      <alignment horizontal="center" vertical="top"/>
    </xf>
    <xf numFmtId="10" fontId="7" fillId="34" borderId="10" xfId="99" applyNumberFormat="1" applyFont="1" applyFill="1" applyBorder="1" applyAlignment="1">
      <alignment horizontal="center" vertical="top"/>
    </xf>
    <xf numFmtId="3" fontId="7" fillId="34" borderId="10" xfId="0" applyNumberFormat="1" applyFont="1" applyFill="1" applyBorder="1" applyAlignment="1">
      <alignment horizontal="center" vertical="top"/>
    </xf>
    <xf numFmtId="10" fontId="7" fillId="34" borderId="10" xfId="99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/>
    </xf>
    <xf numFmtId="194" fontId="8" fillId="0" borderId="10" xfId="69" applyNumberFormat="1" applyFont="1" applyFill="1" applyBorder="1" applyAlignment="1">
      <alignment horizontal="center" vertical="top"/>
    </xf>
    <xf numFmtId="10" fontId="7" fillId="0" borderId="10" xfId="99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10" fontId="8" fillId="0" borderId="10" xfId="99" applyNumberFormat="1" applyFont="1" applyFill="1" applyBorder="1" applyAlignment="1">
      <alignment horizontal="center" vertical="top"/>
    </xf>
    <xf numFmtId="3" fontId="8" fillId="0" borderId="10" xfId="99" applyNumberFormat="1" applyFont="1" applyFill="1" applyBorder="1" applyAlignment="1">
      <alignment horizontal="center" vertical="top"/>
    </xf>
    <xf numFmtId="10" fontId="7" fillId="0" borderId="10" xfId="99" applyNumberFormat="1" applyFont="1" applyFill="1" applyBorder="1" applyAlignment="1">
      <alignment horizontal="center" vertical="top" wrapText="1"/>
    </xf>
    <xf numFmtId="194" fontId="7" fillId="0" borderId="10" xfId="69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10" fontId="8" fillId="0" borderId="10" xfId="99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93" applyFont="1" applyFill="1" applyBorder="1" applyAlignment="1">
      <alignment horizontal="left" vertical="top"/>
      <protection/>
    </xf>
    <xf numFmtId="194" fontId="8" fillId="35" borderId="10" xfId="69" applyNumberFormat="1" applyFont="1" applyFill="1" applyBorder="1" applyAlignment="1">
      <alignment horizontal="center" vertical="top"/>
    </xf>
    <xf numFmtId="3" fontId="8" fillId="35" borderId="10" xfId="93" applyNumberFormat="1" applyFont="1" applyFill="1" applyBorder="1" applyAlignment="1">
      <alignment horizontal="center" vertical="top"/>
      <protection/>
    </xf>
    <xf numFmtId="10" fontId="8" fillId="35" borderId="10" xfId="99" applyNumberFormat="1" applyFont="1" applyFill="1" applyBorder="1" applyAlignment="1">
      <alignment horizontal="center" vertical="top"/>
    </xf>
    <xf numFmtId="3" fontId="8" fillId="35" borderId="10" xfId="100" applyNumberFormat="1" applyFont="1" applyFill="1" applyBorder="1" applyAlignment="1">
      <alignment horizontal="center" vertical="top"/>
    </xf>
    <xf numFmtId="3" fontId="8" fillId="0" borderId="10" xfId="93" applyNumberFormat="1" applyFont="1" applyFill="1" applyBorder="1" applyAlignment="1">
      <alignment horizontal="center" vertical="top"/>
      <protection/>
    </xf>
    <xf numFmtId="10" fontId="8" fillId="0" borderId="10" xfId="100" applyNumberFormat="1" applyFont="1" applyFill="1" applyBorder="1" applyAlignment="1">
      <alignment horizontal="center" vertical="top"/>
    </xf>
    <xf numFmtId="3" fontId="8" fillId="35" borderId="10" xfId="0" applyNumberFormat="1" applyFont="1" applyFill="1" applyBorder="1" applyAlignment="1">
      <alignment horizontal="center" vertical="top"/>
    </xf>
    <xf numFmtId="10" fontId="8" fillId="35" borderId="10" xfId="100" applyNumberFormat="1" applyFont="1" applyFill="1" applyBorder="1" applyAlignment="1">
      <alignment horizontal="center" vertical="top"/>
    </xf>
    <xf numFmtId="10" fontId="8" fillId="35" borderId="10" xfId="99" applyNumberFormat="1" applyFont="1" applyFill="1" applyBorder="1" applyAlignment="1">
      <alignment horizontal="center" vertical="top" wrapText="1"/>
    </xf>
    <xf numFmtId="194" fontId="92" fillId="0" borderId="10" xfId="69" applyNumberFormat="1" applyFont="1" applyFill="1" applyBorder="1" applyAlignment="1">
      <alignment horizontal="center" vertical="top"/>
    </xf>
    <xf numFmtId="194" fontId="92" fillId="35" borderId="10" xfId="69" applyNumberFormat="1" applyFont="1" applyFill="1" applyBorder="1" applyAlignment="1">
      <alignment horizontal="center" vertical="top"/>
    </xf>
    <xf numFmtId="10" fontId="92" fillId="0" borderId="10" xfId="99" applyNumberFormat="1" applyFont="1" applyFill="1" applyBorder="1" applyAlignment="1">
      <alignment horizontal="center" vertical="top"/>
    </xf>
    <xf numFmtId="3" fontId="92" fillId="35" borderId="10" xfId="0" applyNumberFormat="1" applyFont="1" applyFill="1" applyBorder="1" applyAlignment="1">
      <alignment horizontal="center" vertical="top"/>
    </xf>
    <xf numFmtId="10" fontId="92" fillId="35" borderId="10" xfId="99" applyNumberFormat="1" applyFont="1" applyFill="1" applyBorder="1" applyAlignment="1">
      <alignment horizontal="center" vertical="top"/>
    </xf>
    <xf numFmtId="10" fontId="92" fillId="35" borderId="10" xfId="99" applyNumberFormat="1" applyFont="1" applyFill="1" applyBorder="1" applyAlignment="1">
      <alignment horizontal="center" vertical="top" wrapText="1"/>
    </xf>
    <xf numFmtId="0" fontId="94" fillId="16" borderId="10" xfId="0" applyFont="1" applyFill="1" applyBorder="1" applyAlignment="1">
      <alignment horizontal="left" vertical="top" wrapText="1"/>
    </xf>
    <xf numFmtId="194" fontId="7" fillId="16" borderId="10" xfId="69" applyNumberFormat="1" applyFont="1" applyFill="1" applyBorder="1" applyAlignment="1">
      <alignment horizontal="center" vertical="top"/>
    </xf>
    <xf numFmtId="10" fontId="7" fillId="16" borderId="10" xfId="99" applyNumberFormat="1" applyFont="1" applyFill="1" applyBorder="1" applyAlignment="1">
      <alignment horizontal="center" vertical="top"/>
    </xf>
    <xf numFmtId="3" fontId="7" fillId="16" borderId="10" xfId="0" applyNumberFormat="1" applyFont="1" applyFill="1" applyBorder="1" applyAlignment="1">
      <alignment horizontal="center" vertical="top"/>
    </xf>
    <xf numFmtId="10" fontId="7" fillId="16" borderId="10" xfId="99" applyNumberFormat="1" applyFont="1" applyFill="1" applyBorder="1" applyAlignment="1">
      <alignment horizontal="center" vertical="top" wrapText="1"/>
    </xf>
    <xf numFmtId="0" fontId="95" fillId="0" borderId="10" xfId="0" applyFont="1" applyFill="1" applyBorder="1" applyAlignment="1">
      <alignment horizontal="left" vertical="top" wrapText="1"/>
    </xf>
    <xf numFmtId="194" fontId="7" fillId="35" borderId="10" xfId="69" applyNumberFormat="1" applyFont="1" applyFill="1" applyBorder="1" applyAlignment="1">
      <alignment horizontal="center" vertical="top"/>
    </xf>
    <xf numFmtId="10" fontId="7" fillId="35" borderId="10" xfId="99" applyNumberFormat="1" applyFont="1" applyFill="1" applyBorder="1" applyAlignment="1">
      <alignment horizontal="center" vertical="top" wrapText="1"/>
    </xf>
    <xf numFmtId="3" fontId="8" fillId="35" borderId="10" xfId="99" applyNumberFormat="1" applyFont="1" applyFill="1" applyBorder="1" applyAlignment="1">
      <alignment horizontal="center" vertical="top"/>
    </xf>
    <xf numFmtId="10" fontId="7" fillId="35" borderId="10" xfId="99" applyNumberFormat="1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left" vertical="top" wrapText="1"/>
    </xf>
    <xf numFmtId="194" fontId="96" fillId="16" borderId="10" xfId="69" applyNumberFormat="1" applyFont="1" applyFill="1" applyBorder="1" applyAlignment="1">
      <alignment horizontal="center" vertical="top"/>
    </xf>
    <xf numFmtId="10" fontId="96" fillId="16" borderId="10" xfId="99" applyNumberFormat="1" applyFont="1" applyFill="1" applyBorder="1" applyAlignment="1">
      <alignment horizontal="center" vertical="top"/>
    </xf>
    <xf numFmtId="10" fontId="96" fillId="34" borderId="10" xfId="99" applyNumberFormat="1" applyFont="1" applyFill="1" applyBorder="1" applyAlignment="1">
      <alignment horizontal="center" vertical="top"/>
    </xf>
    <xf numFmtId="168" fontId="7" fillId="34" borderId="10" xfId="99" applyNumberFormat="1" applyFont="1" applyFill="1" applyBorder="1" applyAlignment="1">
      <alignment horizontal="center" vertical="top"/>
    </xf>
    <xf numFmtId="168" fontId="8" fillId="0" borderId="10" xfId="99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34" borderId="10" xfId="99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94" fontId="8" fillId="0" borderId="12" xfId="69" applyNumberFormat="1" applyFont="1" applyFill="1" applyBorder="1" applyAlignment="1">
      <alignment horizontal="center" vertical="top"/>
    </xf>
    <xf numFmtId="10" fontId="8" fillId="0" borderId="12" xfId="99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center" vertical="top"/>
    </xf>
    <xf numFmtId="10" fontId="8" fillId="0" borderId="12" xfId="99" applyNumberFormat="1" applyFont="1" applyFill="1" applyBorder="1" applyAlignment="1">
      <alignment horizontal="center" vertical="top" wrapText="1"/>
    </xf>
    <xf numFmtId="4" fontId="5" fillId="16" borderId="11" xfId="0" applyNumberFormat="1" applyFont="1" applyFill="1" applyBorder="1" applyAlignment="1">
      <alignment vertical="top" wrapText="1"/>
    </xf>
    <xf numFmtId="3" fontId="5" fillId="10" borderId="13" xfId="0" applyNumberFormat="1" applyFont="1" applyFill="1" applyBorder="1" applyAlignment="1">
      <alignment vertical="top" wrapText="1"/>
    </xf>
    <xf numFmtId="4" fontId="5" fillId="10" borderId="13" xfId="0" applyNumberFormat="1" applyFont="1" applyFill="1" applyBorder="1" applyAlignment="1">
      <alignment vertical="top"/>
    </xf>
    <xf numFmtId="4" fontId="5" fillId="10" borderId="13" xfId="0" applyNumberFormat="1" applyFont="1" applyFill="1" applyBorder="1" applyAlignment="1">
      <alignment vertical="top" wrapText="1"/>
    </xf>
    <xf numFmtId="10" fontId="5" fillId="10" borderId="13" xfId="100" applyNumberFormat="1" applyFont="1" applyFill="1" applyBorder="1" applyAlignment="1">
      <alignment vertical="top"/>
    </xf>
    <xf numFmtId="173" fontId="5" fillId="10" borderId="13" xfId="0" applyNumberFormat="1" applyFont="1" applyFill="1" applyBorder="1" applyAlignment="1">
      <alignment vertical="top" wrapText="1"/>
    </xf>
    <xf numFmtId="10" fontId="5" fillId="10" borderId="13" xfId="100" applyNumberFormat="1" applyFont="1" applyFill="1" applyBorder="1" applyAlignment="1">
      <alignment vertical="top" wrapText="1"/>
    </xf>
    <xf numFmtId="173" fontId="5" fillId="10" borderId="14" xfId="0" applyNumberFormat="1" applyFont="1" applyFill="1" applyBorder="1" applyAlignment="1">
      <alignment vertical="top" wrapText="1"/>
    </xf>
    <xf numFmtId="0" fontId="97" fillId="0" borderId="15" xfId="0" applyFont="1" applyBorder="1" applyAlignment="1">
      <alignment vertical="top"/>
    </xf>
    <xf numFmtId="3" fontId="97" fillId="0" borderId="16" xfId="0" applyNumberFormat="1" applyFont="1" applyBorder="1" applyAlignment="1">
      <alignment vertical="top"/>
    </xf>
    <xf numFmtId="168" fontId="97" fillId="0" borderId="16" xfId="99" applyNumberFormat="1" applyFont="1" applyBorder="1" applyAlignment="1">
      <alignment vertical="top"/>
    </xf>
    <xf numFmtId="3" fontId="97" fillId="0" borderId="17" xfId="0" applyNumberFormat="1" applyFont="1" applyBorder="1" applyAlignment="1">
      <alignment vertical="top"/>
    </xf>
    <xf numFmtId="3" fontId="97" fillId="0" borderId="15" xfId="0" applyNumberFormat="1" applyFont="1" applyBorder="1" applyAlignment="1">
      <alignment vertical="top"/>
    </xf>
    <xf numFmtId="3" fontId="97" fillId="0" borderId="16" xfId="99" applyNumberFormat="1" applyFont="1" applyBorder="1" applyAlignment="1">
      <alignment vertical="top"/>
    </xf>
    <xf numFmtId="0" fontId="97" fillId="0" borderId="18" xfId="0" applyFont="1" applyBorder="1" applyAlignment="1">
      <alignment vertical="top"/>
    </xf>
    <xf numFmtId="3" fontId="97" fillId="0" borderId="10" xfId="0" applyNumberFormat="1" applyFont="1" applyBorder="1" applyAlignment="1">
      <alignment vertical="top"/>
    </xf>
    <xf numFmtId="3" fontId="97" fillId="0" borderId="19" xfId="0" applyNumberFormat="1" applyFont="1" applyFill="1" applyBorder="1" applyAlignment="1">
      <alignment vertical="top"/>
    </xf>
    <xf numFmtId="168" fontId="97" fillId="0" borderId="10" xfId="99" applyNumberFormat="1" applyFont="1" applyBorder="1" applyAlignment="1">
      <alignment vertical="top"/>
    </xf>
    <xf numFmtId="3" fontId="97" fillId="0" borderId="20" xfId="0" applyNumberFormat="1" applyFont="1" applyBorder="1" applyAlignment="1">
      <alignment vertical="top"/>
    </xf>
    <xf numFmtId="3" fontId="97" fillId="0" borderId="18" xfId="0" applyNumberFormat="1" applyFont="1" applyFill="1" applyBorder="1" applyAlignment="1">
      <alignment vertical="top"/>
    </xf>
    <xf numFmtId="3" fontId="97" fillId="0" borderId="10" xfId="99" applyNumberFormat="1" applyFont="1" applyBorder="1" applyAlignment="1">
      <alignment vertical="top"/>
    </xf>
    <xf numFmtId="3" fontId="97" fillId="0" borderId="10" xfId="0" applyNumberFormat="1" applyFont="1" applyFill="1" applyBorder="1" applyAlignment="1">
      <alignment vertical="top"/>
    </xf>
    <xf numFmtId="3" fontId="97" fillId="0" borderId="18" xfId="0" applyNumberFormat="1" applyFont="1" applyBorder="1" applyAlignment="1">
      <alignment vertical="top"/>
    </xf>
    <xf numFmtId="0" fontId="97" fillId="0" borderId="21" xfId="0" applyFont="1" applyFill="1" applyBorder="1" applyAlignment="1">
      <alignment vertical="top"/>
    </xf>
    <xf numFmtId="3" fontId="97" fillId="0" borderId="22" xfId="0" applyNumberFormat="1" applyFont="1" applyBorder="1" applyAlignment="1">
      <alignment vertical="top"/>
    </xf>
    <xf numFmtId="168" fontId="97" fillId="0" borderId="22" xfId="99" applyNumberFormat="1" applyFont="1" applyBorder="1" applyAlignment="1">
      <alignment vertical="top"/>
    </xf>
    <xf numFmtId="3" fontId="97" fillId="0" borderId="23" xfId="0" applyNumberFormat="1" applyFont="1" applyBorder="1" applyAlignment="1">
      <alignment vertical="top"/>
    </xf>
    <xf numFmtId="3" fontId="97" fillId="0" borderId="21" xfId="0" applyNumberFormat="1" applyFont="1" applyBorder="1" applyAlignment="1">
      <alignment vertical="top"/>
    </xf>
    <xf numFmtId="3" fontId="97" fillId="0" borderId="22" xfId="99" applyNumberFormat="1" applyFont="1" applyBorder="1" applyAlignment="1">
      <alignment vertical="top"/>
    </xf>
    <xf numFmtId="3" fontId="94" fillId="10" borderId="13" xfId="0" applyNumberFormat="1" applyFont="1" applyFill="1" applyBorder="1" applyAlignment="1">
      <alignment vertical="top"/>
    </xf>
    <xf numFmtId="2" fontId="94" fillId="10" borderId="13" xfId="0" applyNumberFormat="1" applyFont="1" applyFill="1" applyBorder="1" applyAlignment="1">
      <alignment vertical="top"/>
    </xf>
    <xf numFmtId="4" fontId="94" fillId="10" borderId="13" xfId="0" applyNumberFormat="1" applyFont="1" applyFill="1" applyBorder="1" applyAlignment="1">
      <alignment vertical="top"/>
    </xf>
    <xf numFmtId="0" fontId="97" fillId="0" borderId="15" xfId="0" applyFont="1" applyFill="1" applyBorder="1" applyAlignment="1">
      <alignment vertical="top"/>
    </xf>
    <xf numFmtId="3" fontId="6" fillId="0" borderId="16" xfId="0" applyNumberFormat="1" applyFont="1" applyBorder="1" applyAlignment="1">
      <alignment vertical="top"/>
    </xf>
    <xf numFmtId="2" fontId="97" fillId="0" borderId="16" xfId="99" applyNumberFormat="1" applyFont="1" applyBorder="1" applyAlignment="1">
      <alignment vertical="top"/>
    </xf>
    <xf numFmtId="4" fontId="97" fillId="0" borderId="16" xfId="99" applyNumberFormat="1" applyFont="1" applyBorder="1" applyAlignment="1">
      <alignment vertical="top"/>
    </xf>
    <xf numFmtId="0" fontId="97" fillId="0" borderId="18" xfId="0" applyFont="1" applyFill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2" fontId="97" fillId="0" borderId="10" xfId="99" applyNumberFormat="1" applyFont="1" applyBorder="1" applyAlignment="1">
      <alignment vertical="top"/>
    </xf>
    <xf numFmtId="4" fontId="97" fillId="0" borderId="10" xfId="99" applyNumberFormat="1" applyFont="1" applyBorder="1" applyAlignment="1">
      <alignment vertical="top"/>
    </xf>
    <xf numFmtId="2" fontId="97" fillId="0" borderId="22" xfId="99" applyNumberFormat="1" applyFont="1" applyBorder="1" applyAlignment="1">
      <alignment vertical="top"/>
    </xf>
    <xf numFmtId="3" fontId="97" fillId="0" borderId="24" xfId="0" applyNumberFormat="1" applyFont="1" applyBorder="1" applyAlignment="1">
      <alignment vertical="top"/>
    </xf>
    <xf numFmtId="4" fontId="97" fillId="0" borderId="22" xfId="99" applyNumberFormat="1" applyFont="1" applyBorder="1" applyAlignment="1">
      <alignment vertical="top"/>
    </xf>
    <xf numFmtId="3" fontId="7" fillId="16" borderId="10" xfId="99" applyNumberFormat="1" applyFont="1" applyFill="1" applyBorder="1" applyAlignment="1">
      <alignment horizontal="center" vertical="top"/>
    </xf>
    <xf numFmtId="168" fontId="7" fillId="16" borderId="10" xfId="99" applyNumberFormat="1" applyFont="1" applyFill="1" applyBorder="1" applyAlignment="1">
      <alignment horizontal="center" vertical="top"/>
    </xf>
    <xf numFmtId="3" fontId="7" fillId="0" borderId="10" xfId="99" applyNumberFormat="1" applyFont="1" applyFill="1" applyBorder="1" applyAlignment="1">
      <alignment horizontal="center" vertical="top"/>
    </xf>
    <xf numFmtId="0" fontId="9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3" fontId="5" fillId="10" borderId="10" xfId="0" applyNumberFormat="1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Percent 2" xfId="100"/>
    <cellStyle name="Title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1362075</xdr:colOff>
      <xdr:row>0</xdr:row>
      <xdr:rowOff>9525</xdr:rowOff>
    </xdr:from>
    <xdr:to>
      <xdr:col>17</xdr:col>
      <xdr:colOff>1228725</xdr:colOff>
      <xdr:row>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16335375" y="9525"/>
          <a:ext cx="84486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pielikums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Informatīvajam ziņojumam par Eiropas Savienības struktūrfondu un Kohēzijas fonda,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Eiropas Ekonomikas zonas finanšu instrumenta, Norvēģijas finanšu instrumenta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 Latvijas–Šveices sadarbības programmas apguvi līdz 2012.gada 30.jūniju.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90"/>
  <sheetViews>
    <sheetView tabSelected="1" view="pageLayout" zoomScale="70" zoomScaleNormal="50" zoomScalePageLayoutView="70" workbookViewId="0" topLeftCell="A1">
      <selection activeCell="A1" sqref="A1"/>
    </sheetView>
  </sheetViews>
  <sheetFormatPr defaultColWidth="9.140625" defaultRowHeight="15"/>
  <cols>
    <col min="1" max="1" width="21.28125" style="23" customWidth="1"/>
    <col min="2" max="2" width="23.421875" style="19" customWidth="1"/>
    <col min="3" max="3" width="24.28125" style="19" customWidth="1"/>
    <col min="4" max="4" width="22.140625" style="18" customWidth="1"/>
    <col min="5" max="5" width="23.140625" style="18" customWidth="1"/>
    <col min="6" max="6" width="18.28125" style="18" customWidth="1"/>
    <col min="7" max="7" width="16.8515625" style="18" customWidth="1"/>
    <col min="8" max="8" width="15.8515625" style="18" customWidth="1"/>
    <col min="9" max="9" width="19.28125" style="18" customWidth="1"/>
    <col min="10" max="10" width="16.57421875" style="18" customWidth="1"/>
    <col min="11" max="11" width="23.421875" style="18" customWidth="1"/>
    <col min="12" max="12" width="25.8515625" style="18" customWidth="1"/>
    <col min="13" max="13" width="23.7109375" style="18" bestFit="1" customWidth="1"/>
    <col min="14" max="14" width="22.7109375" style="18" customWidth="1"/>
    <col min="15" max="15" width="14.57421875" style="18" customWidth="1"/>
    <col min="16" max="16" width="23.7109375" style="18" customWidth="1"/>
    <col min="17" max="17" width="18.140625" style="18" customWidth="1"/>
    <col min="18" max="18" width="18.57421875" style="2" customWidth="1"/>
    <col min="19" max="16384" width="9.140625" style="2" customWidth="1"/>
  </cols>
  <sheetData>
    <row r="3" spans="4:9" ht="15">
      <c r="D3" s="19"/>
      <c r="E3" s="20"/>
      <c r="H3" s="19"/>
      <c r="I3" s="19"/>
    </row>
    <row r="4" spans="4:12" ht="15">
      <c r="D4" s="20"/>
      <c r="F4" s="33"/>
      <c r="G4" s="20"/>
      <c r="H4" s="19"/>
      <c r="L4" s="20"/>
    </row>
    <row r="5" ht="15" hidden="1"/>
    <row r="7" ht="51.75" customHeight="1"/>
    <row r="8" spans="1:17" ht="18.75" customHeight="1">
      <c r="A8" s="150" t="s">
        <v>61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ht="1.5" customHeight="1" hidden="1" thickBot="1"/>
    <row r="10" spans="1:17" ht="12" customHeight="1">
      <c r="A10" s="27"/>
      <c r="B10" s="21"/>
      <c r="C10" s="2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9.5" customHeight="1">
      <c r="A11" s="152" t="s">
        <v>0</v>
      </c>
      <c r="B11" s="153" t="s">
        <v>58</v>
      </c>
      <c r="C11" s="153" t="s">
        <v>59</v>
      </c>
      <c r="D11" s="154" t="s">
        <v>27</v>
      </c>
      <c r="E11" s="154"/>
      <c r="F11" s="154"/>
      <c r="G11" s="154"/>
      <c r="H11" s="154"/>
      <c r="I11" s="154"/>
      <c r="J11" s="154"/>
      <c r="K11" s="154" t="s">
        <v>60</v>
      </c>
      <c r="L11" s="155"/>
      <c r="M11" s="155"/>
      <c r="N11" s="155"/>
      <c r="O11" s="155"/>
      <c r="P11" s="155"/>
      <c r="Q11" s="155"/>
    </row>
    <row r="12" spans="1:17" ht="174" customHeight="1">
      <c r="A12" s="152"/>
      <c r="B12" s="153"/>
      <c r="C12" s="153"/>
      <c r="D12" s="29" t="s">
        <v>1</v>
      </c>
      <c r="E12" s="29" t="s">
        <v>24</v>
      </c>
      <c r="F12" s="29" t="s">
        <v>3</v>
      </c>
      <c r="G12" s="29" t="s">
        <v>4</v>
      </c>
      <c r="H12" s="29" t="s">
        <v>39</v>
      </c>
      <c r="I12" s="29" t="s">
        <v>41</v>
      </c>
      <c r="J12" s="29" t="s">
        <v>43</v>
      </c>
      <c r="K12" s="29" t="s">
        <v>1</v>
      </c>
      <c r="L12" s="29" t="s">
        <v>2</v>
      </c>
      <c r="M12" s="29" t="s">
        <v>3</v>
      </c>
      <c r="N12" s="29" t="s">
        <v>4</v>
      </c>
      <c r="O12" s="29" t="s">
        <v>44</v>
      </c>
      <c r="P12" s="29" t="s">
        <v>23</v>
      </c>
      <c r="Q12" s="29" t="s">
        <v>5</v>
      </c>
    </row>
    <row r="13" spans="1:17" ht="15.75" customHeight="1">
      <c r="A13" s="30">
        <v>1</v>
      </c>
      <c r="B13" s="31">
        <v>2</v>
      </c>
      <c r="C13" s="31">
        <v>3</v>
      </c>
      <c r="D13" s="29" t="s">
        <v>40</v>
      </c>
      <c r="E13" s="29">
        <v>5</v>
      </c>
      <c r="F13" s="29">
        <v>6</v>
      </c>
      <c r="G13" s="29">
        <v>7</v>
      </c>
      <c r="H13" s="29" t="s">
        <v>38</v>
      </c>
      <c r="I13" s="29">
        <v>9</v>
      </c>
      <c r="J13" s="29" t="s">
        <v>42</v>
      </c>
      <c r="K13" s="29" t="s">
        <v>37</v>
      </c>
      <c r="L13" s="29">
        <v>12</v>
      </c>
      <c r="M13" s="29">
        <v>13</v>
      </c>
      <c r="N13" s="29">
        <v>14</v>
      </c>
      <c r="O13" s="29" t="s">
        <v>56</v>
      </c>
      <c r="P13" s="29">
        <v>16</v>
      </c>
      <c r="Q13" s="29" t="s">
        <v>36</v>
      </c>
    </row>
    <row r="14" spans="1:17" s="36" customFormat="1" ht="65.25" customHeight="1">
      <c r="A14" s="40" t="s">
        <v>6</v>
      </c>
      <c r="B14" s="41">
        <f>SUM(B15,B24,B38)</f>
        <v>1769470801.9000003</v>
      </c>
      <c r="C14" s="41">
        <f>SUM(C15,C24,C38)</f>
        <v>1838393040.35</v>
      </c>
      <c r="D14" s="42">
        <f>E14+F14+G14</f>
        <v>7278083.86</v>
      </c>
      <c r="E14" s="41">
        <f>SUM(E15,E24,E38)</f>
        <v>6509060.5600000005</v>
      </c>
      <c r="F14" s="41">
        <f>SUM(F15,F24,F38)</f>
        <v>539401.85</v>
      </c>
      <c r="G14" s="41">
        <f>SUM(G15,G24,G38)</f>
        <v>229621.44999999998</v>
      </c>
      <c r="H14" s="43">
        <f aca="true" t="shared" si="0" ref="H14:H28">D14/C14</f>
        <v>0.003958937887740465</v>
      </c>
      <c r="I14" s="44">
        <f>SUM(I15,I24,I38)</f>
        <v>4233826.430000001</v>
      </c>
      <c r="J14" s="43">
        <f aca="true" t="shared" si="1" ref="J14:J20">I14/D14</f>
        <v>0.58172267748506</v>
      </c>
      <c r="K14" s="44">
        <f>SUM(L14:N14)</f>
        <v>20589261.950000003</v>
      </c>
      <c r="L14" s="44">
        <f>SUM(L15,L24,L38,)</f>
        <v>18741910.310000002</v>
      </c>
      <c r="M14" s="44">
        <f>SUM(M15,M24,M38,)</f>
        <v>1138419.97</v>
      </c>
      <c r="N14" s="44">
        <f>SUM(N15,N24,N38,)</f>
        <v>708931.67</v>
      </c>
      <c r="O14" s="45">
        <f aca="true" t="shared" si="2" ref="O14:O23">K14/C14</f>
        <v>0.01119959741910258</v>
      </c>
      <c r="P14" s="44">
        <f>SUM(P15,P24,P38,)</f>
        <v>16844236.16</v>
      </c>
      <c r="Q14" s="45">
        <f>P14/K14</f>
        <v>0.818107817604409</v>
      </c>
    </row>
    <row r="15" spans="1:17" s="3" customFormat="1" ht="20.25">
      <c r="A15" s="46" t="s">
        <v>7</v>
      </c>
      <c r="B15" s="47">
        <f>SUM(B16:B23)</f>
        <v>320442113.61</v>
      </c>
      <c r="C15" s="47">
        <f>SUM(C16:C23)</f>
        <v>337888738.68</v>
      </c>
      <c r="D15" s="47">
        <f>E15+F15+G15</f>
        <v>298797.3</v>
      </c>
      <c r="E15" s="47">
        <f>SUM(E16:E23)</f>
        <v>274825.91</v>
      </c>
      <c r="F15" s="47">
        <f>SUM(F16:F23)</f>
        <v>23357.86</v>
      </c>
      <c r="G15" s="47">
        <f>SUM(G16:G23)</f>
        <v>613.53</v>
      </c>
      <c r="H15" s="48">
        <f t="shared" si="0"/>
        <v>0.000884306772600013</v>
      </c>
      <c r="I15" s="49">
        <f>SUM(I16:I23)</f>
        <v>271725.81</v>
      </c>
      <c r="J15" s="48">
        <f t="shared" si="1"/>
        <v>0.9093984785003077</v>
      </c>
      <c r="K15" s="49">
        <f>SUM(K16:K23)</f>
        <v>1310976.5800000005</v>
      </c>
      <c r="L15" s="49">
        <f>SUM(L16:L23)</f>
        <v>1167552.4000000006</v>
      </c>
      <c r="M15" s="49">
        <f>SUM(M16:M23)</f>
        <v>138498.77</v>
      </c>
      <c r="N15" s="49">
        <f>SUM(N16:N23)</f>
        <v>4925.410000000001</v>
      </c>
      <c r="O15" s="50">
        <f t="shared" si="2"/>
        <v>0.0038799061049547747</v>
      </c>
      <c r="P15" s="49">
        <f>SUM(P16:P23)</f>
        <v>1263438.8800000006</v>
      </c>
      <c r="Q15" s="50">
        <f>P15/K15</f>
        <v>0.9637387114878895</v>
      </c>
    </row>
    <row r="16" spans="1:17" s="8" customFormat="1" ht="20.25">
      <c r="A16" s="51" t="s">
        <v>8</v>
      </c>
      <c r="B16" s="52">
        <v>128580379.3</v>
      </c>
      <c r="C16" s="52">
        <v>129036476.17999998</v>
      </c>
      <c r="D16" s="52">
        <f>E16+F16+G16</f>
        <v>199656.61</v>
      </c>
      <c r="E16" s="52">
        <v>177900.31</v>
      </c>
      <c r="F16" s="52">
        <v>21142.77</v>
      </c>
      <c r="G16" s="52">
        <v>613.53</v>
      </c>
      <c r="H16" s="53">
        <f t="shared" si="0"/>
        <v>0.0015472881460393273</v>
      </c>
      <c r="I16" s="54">
        <v>197567.31999999998</v>
      </c>
      <c r="J16" s="55">
        <f t="shared" si="1"/>
        <v>0.9895355831194369</v>
      </c>
      <c r="K16" s="54">
        <f>SUM(L16:N16)</f>
        <v>851707.9200000009</v>
      </c>
      <c r="L16" s="54">
        <f>735113.290000001</f>
        <v>735113.290000001</v>
      </c>
      <c r="M16" s="54">
        <f>111775.44</f>
        <v>111775.44</v>
      </c>
      <c r="N16" s="56">
        <v>4819.1900000000005</v>
      </c>
      <c r="O16" s="57">
        <f t="shared" si="2"/>
        <v>0.0066005206063741795</v>
      </c>
      <c r="P16" s="54">
        <v>849618.6300000008</v>
      </c>
      <c r="Q16" s="57">
        <f aca="true" t="shared" si="3" ref="Q16:Q21">P16/K16</f>
        <v>0.9975469407399663</v>
      </c>
    </row>
    <row r="17" spans="1:17" s="8" customFormat="1" ht="20.25">
      <c r="A17" s="51" t="s">
        <v>9</v>
      </c>
      <c r="B17" s="52">
        <v>147326508.46</v>
      </c>
      <c r="C17" s="52">
        <v>147683096.39000005</v>
      </c>
      <c r="D17" s="52">
        <f>SUM(E17:G17)</f>
        <v>10769.120000000003</v>
      </c>
      <c r="E17" s="52">
        <v>9563.990000000002</v>
      </c>
      <c r="F17" s="52">
        <v>1205.13</v>
      </c>
      <c r="G17" s="52">
        <v>0</v>
      </c>
      <c r="H17" s="53">
        <f t="shared" si="0"/>
        <v>7.292046458425423E-05</v>
      </c>
      <c r="I17" s="54">
        <v>6580.210000000003</v>
      </c>
      <c r="J17" s="55">
        <f t="shared" si="1"/>
        <v>0.6110257848366442</v>
      </c>
      <c r="K17" s="54">
        <f aca="true" t="shared" si="4" ref="K17:K23">L17+M17+N17</f>
        <v>186162.83999999997</v>
      </c>
      <c r="L17" s="54">
        <v>162413.80999999997</v>
      </c>
      <c r="M17" s="56">
        <v>23749.03</v>
      </c>
      <c r="N17" s="56">
        <v>0</v>
      </c>
      <c r="O17" s="57">
        <f t="shared" si="2"/>
        <v>0.0012605561811108227</v>
      </c>
      <c r="P17" s="54">
        <v>181287.73999999996</v>
      </c>
      <c r="Q17" s="57">
        <f t="shared" si="3"/>
        <v>0.9738127114949471</v>
      </c>
    </row>
    <row r="18" spans="1:17" s="8" customFormat="1" ht="20.25">
      <c r="A18" s="51" t="s">
        <v>10</v>
      </c>
      <c r="B18" s="52">
        <v>6604249.78</v>
      </c>
      <c r="C18" s="52">
        <v>6894870.28</v>
      </c>
      <c r="D18" s="52">
        <v>0</v>
      </c>
      <c r="E18" s="52">
        <v>0</v>
      </c>
      <c r="F18" s="52">
        <v>0</v>
      </c>
      <c r="G18" s="52">
        <v>0</v>
      </c>
      <c r="H18" s="53">
        <f t="shared" si="0"/>
        <v>0</v>
      </c>
      <c r="I18" s="54">
        <v>0</v>
      </c>
      <c r="J18" s="55">
        <v>0</v>
      </c>
      <c r="K18" s="54">
        <f t="shared" si="4"/>
        <v>5331.740000000002</v>
      </c>
      <c r="L18" s="54">
        <v>4604.220000000001</v>
      </c>
      <c r="M18" s="54">
        <v>727.5200000000001</v>
      </c>
      <c r="N18" s="56">
        <v>0</v>
      </c>
      <c r="O18" s="57">
        <f t="shared" si="2"/>
        <v>0.0007732908355746472</v>
      </c>
      <c r="P18" s="54">
        <v>5331.74</v>
      </c>
      <c r="Q18" s="57">
        <f t="shared" si="3"/>
        <v>0.9999999999999997</v>
      </c>
    </row>
    <row r="19" spans="1:17" s="8" customFormat="1" ht="20.25">
      <c r="A19" s="51" t="s">
        <v>11</v>
      </c>
      <c r="B19" s="52">
        <v>21565406.3</v>
      </c>
      <c r="C19" s="52">
        <v>21659435.020000003</v>
      </c>
      <c r="D19" s="52">
        <f>SUM(E19:G19)</f>
        <v>39196.31</v>
      </c>
      <c r="E19" s="52">
        <v>39196.31</v>
      </c>
      <c r="F19" s="52">
        <v>0</v>
      </c>
      <c r="G19" s="52">
        <v>0</v>
      </c>
      <c r="H19" s="53">
        <f t="shared" si="0"/>
        <v>0.0018096644701861662</v>
      </c>
      <c r="I19" s="54">
        <v>25893.25</v>
      </c>
      <c r="J19" s="55">
        <f t="shared" si="1"/>
        <v>0.6606042762698836</v>
      </c>
      <c r="K19" s="54">
        <f t="shared" si="4"/>
        <v>120924.03</v>
      </c>
      <c r="L19" s="54">
        <v>120924.03</v>
      </c>
      <c r="M19" s="54">
        <v>0</v>
      </c>
      <c r="N19" s="56">
        <v>0</v>
      </c>
      <c r="O19" s="57">
        <f t="shared" si="2"/>
        <v>0.005582972496205027</v>
      </c>
      <c r="P19" s="54">
        <v>90136.88</v>
      </c>
      <c r="Q19" s="57">
        <f t="shared" si="3"/>
        <v>0.7454008934369786</v>
      </c>
    </row>
    <row r="20" spans="1:17" s="8" customFormat="1" ht="20.25">
      <c r="A20" s="51" t="s">
        <v>12</v>
      </c>
      <c r="B20" s="52">
        <v>4653108.350000001</v>
      </c>
      <c r="C20" s="52">
        <v>4904479.31</v>
      </c>
      <c r="D20" s="52">
        <f>SUM(E20:G20)</f>
        <v>46782.19</v>
      </c>
      <c r="E20" s="52">
        <v>45772.23</v>
      </c>
      <c r="F20" s="52">
        <v>1009.96</v>
      </c>
      <c r="G20" s="52">
        <v>0</v>
      </c>
      <c r="H20" s="53">
        <f t="shared" si="0"/>
        <v>0.009538665991436308</v>
      </c>
      <c r="I20" s="54">
        <v>39292.4</v>
      </c>
      <c r="J20" s="55">
        <f t="shared" si="1"/>
        <v>0.8399008255064587</v>
      </c>
      <c r="K20" s="54">
        <f>L20+M20+N20</f>
        <v>99307.51000000001</v>
      </c>
      <c r="L20" s="54">
        <v>96954.51000000001</v>
      </c>
      <c r="M20" s="54">
        <v>2246.78</v>
      </c>
      <c r="N20" s="54">
        <f>205.22-99</f>
        <v>106.22</v>
      </c>
      <c r="O20" s="57">
        <f t="shared" si="2"/>
        <v>0.020248328868982427</v>
      </c>
      <c r="P20" s="54">
        <v>89683.9</v>
      </c>
      <c r="Q20" s="57">
        <f t="shared" si="3"/>
        <v>0.9030928275213022</v>
      </c>
    </row>
    <row r="21" spans="1:17" s="8" customFormat="1" ht="20.25">
      <c r="A21" s="51" t="s">
        <v>32</v>
      </c>
      <c r="B21" s="52">
        <v>3569392</v>
      </c>
      <c r="C21" s="52">
        <v>3575343.7100000004</v>
      </c>
      <c r="D21" s="52">
        <f>SUM(E21:G21)</f>
        <v>2049.44</v>
      </c>
      <c r="E21" s="52">
        <v>2049.44</v>
      </c>
      <c r="F21" s="52">
        <v>0</v>
      </c>
      <c r="G21" s="52">
        <v>0</v>
      </c>
      <c r="H21" s="53">
        <f t="shared" si="0"/>
        <v>0.0005732148196739384</v>
      </c>
      <c r="I21" s="56">
        <v>2049</v>
      </c>
      <c r="J21" s="55">
        <f>I21/D21</f>
        <v>0.9997853072058709</v>
      </c>
      <c r="K21" s="54">
        <f t="shared" si="4"/>
        <v>12283.14</v>
      </c>
      <c r="L21" s="54">
        <v>12283.14</v>
      </c>
      <c r="M21" s="54">
        <v>0</v>
      </c>
      <c r="N21" s="56">
        <v>0</v>
      </c>
      <c r="O21" s="57">
        <f t="shared" si="2"/>
        <v>0.0034355130572886927</v>
      </c>
      <c r="P21" s="54">
        <v>12120.59</v>
      </c>
      <c r="Q21" s="57">
        <f t="shared" si="3"/>
        <v>0.9867664131484295</v>
      </c>
    </row>
    <row r="22" spans="1:17" s="8" customFormat="1" ht="20.25">
      <c r="A22" s="51" t="s">
        <v>28</v>
      </c>
      <c r="B22" s="52">
        <v>885752.26</v>
      </c>
      <c r="C22" s="52">
        <v>16805248.669999998</v>
      </c>
      <c r="D22" s="52">
        <f>SUM(E22:G22)</f>
        <v>0</v>
      </c>
      <c r="E22" s="52">
        <v>0</v>
      </c>
      <c r="F22" s="52">
        <v>0</v>
      </c>
      <c r="G22" s="52">
        <v>0</v>
      </c>
      <c r="H22" s="53">
        <f t="shared" si="0"/>
        <v>0</v>
      </c>
      <c r="I22" s="54">
        <v>0</v>
      </c>
      <c r="J22" s="55">
        <v>0</v>
      </c>
      <c r="K22" s="54">
        <f t="shared" si="4"/>
        <v>0</v>
      </c>
      <c r="L22" s="54">
        <v>0</v>
      </c>
      <c r="M22" s="54">
        <v>0</v>
      </c>
      <c r="N22" s="56">
        <v>0</v>
      </c>
      <c r="O22" s="57">
        <f t="shared" si="2"/>
        <v>0</v>
      </c>
      <c r="P22" s="54">
        <v>0</v>
      </c>
      <c r="Q22" s="57">
        <v>0</v>
      </c>
    </row>
    <row r="23" spans="1:17" s="8" customFormat="1" ht="20.25">
      <c r="A23" s="51" t="s">
        <v>26</v>
      </c>
      <c r="B23" s="52">
        <v>7257317.16</v>
      </c>
      <c r="C23" s="52">
        <v>7329789.12</v>
      </c>
      <c r="D23" s="58">
        <f aca="true" t="shared" si="5" ref="D23:D29">E23+F23+G23</f>
        <v>343.63</v>
      </c>
      <c r="E23" s="52">
        <v>343.63</v>
      </c>
      <c r="F23" s="52">
        <v>0</v>
      </c>
      <c r="G23" s="52">
        <v>0</v>
      </c>
      <c r="H23" s="53">
        <f t="shared" si="0"/>
        <v>4.688129417835148E-05</v>
      </c>
      <c r="I23" s="54">
        <v>343.63</v>
      </c>
      <c r="J23" s="55">
        <f>I23/D23</f>
        <v>1</v>
      </c>
      <c r="K23" s="54">
        <f t="shared" si="4"/>
        <v>35259.4</v>
      </c>
      <c r="L23" s="54">
        <v>35259.4</v>
      </c>
      <c r="M23" s="54">
        <v>0</v>
      </c>
      <c r="N23" s="54">
        <v>0</v>
      </c>
      <c r="O23" s="57">
        <f t="shared" si="2"/>
        <v>0.00481042488709416</v>
      </c>
      <c r="P23" s="54">
        <v>35259.4</v>
      </c>
      <c r="Q23" s="57">
        <f>P23/L23</f>
        <v>1</v>
      </c>
    </row>
    <row r="24" spans="1:17" s="10" customFormat="1" ht="20.25">
      <c r="A24" s="59" t="s">
        <v>13</v>
      </c>
      <c r="B24" s="47">
        <f>B25+B29</f>
        <v>929457777.6300001</v>
      </c>
      <c r="C24" s="47">
        <f>C25+C29</f>
        <v>969183413.78</v>
      </c>
      <c r="D24" s="47">
        <f t="shared" si="5"/>
        <v>6972399.37</v>
      </c>
      <c r="E24" s="47">
        <f>E25+E29</f>
        <v>6227347.46</v>
      </c>
      <c r="F24" s="47">
        <f>F25+F29</f>
        <v>516043.99</v>
      </c>
      <c r="G24" s="47">
        <f>G25+G29</f>
        <v>229007.91999999998</v>
      </c>
      <c r="H24" s="48">
        <f t="shared" si="0"/>
        <v>0.007194096876675091</v>
      </c>
      <c r="I24" s="49">
        <f>I25+I29</f>
        <v>3955213.43</v>
      </c>
      <c r="J24" s="48">
        <f aca="true" t="shared" si="6" ref="J24:J29">I24/D24</f>
        <v>0.5672671945640428</v>
      </c>
      <c r="K24" s="49">
        <f>SUM(L24:N24)</f>
        <v>18645188.73</v>
      </c>
      <c r="L24" s="49">
        <f>L25+L29</f>
        <v>17018689.64</v>
      </c>
      <c r="M24" s="49">
        <f>M25+M29</f>
        <v>964912.9299999999</v>
      </c>
      <c r="N24" s="49">
        <f>N25+N29</f>
        <v>661586.16</v>
      </c>
      <c r="O24" s="50">
        <f aca="true" t="shared" si="7" ref="O24:O29">K24/C24</f>
        <v>0.01923803943082374</v>
      </c>
      <c r="P24" s="49">
        <f>P25+P29</f>
        <v>14947700.64</v>
      </c>
      <c r="Q24" s="50">
        <f aca="true" t="shared" si="8" ref="Q24:Q30">P24/K24</f>
        <v>0.8016921070876176</v>
      </c>
    </row>
    <row r="25" spans="1:17" ht="20.25">
      <c r="A25" s="59" t="s">
        <v>14</v>
      </c>
      <c r="B25" s="47">
        <f>SUM(B26:B28)</f>
        <v>319956869.2300001</v>
      </c>
      <c r="C25" s="47">
        <f>SUM(C26:C28)</f>
        <v>328672903.33</v>
      </c>
      <c r="D25" s="47">
        <f t="shared" si="5"/>
        <v>1730162.85</v>
      </c>
      <c r="E25" s="47">
        <f>SUM(E26:E28)</f>
        <v>1725173.6300000001</v>
      </c>
      <c r="F25" s="47">
        <f>SUM(F26:F28)</f>
        <v>0</v>
      </c>
      <c r="G25" s="47">
        <f>SUM(G26:G28)</f>
        <v>4989.22</v>
      </c>
      <c r="H25" s="48">
        <f t="shared" si="0"/>
        <v>0.005264087280912389</v>
      </c>
      <c r="I25" s="49">
        <f>SUM(I26:I28)</f>
        <v>543511.79</v>
      </c>
      <c r="J25" s="48">
        <f>I25/D25</f>
        <v>0.3141390939009007</v>
      </c>
      <c r="K25" s="49">
        <f>L25+M25+N25</f>
        <v>5108559.78</v>
      </c>
      <c r="L25" s="49">
        <f>SUM(L26:L28)</f>
        <v>5088564.96</v>
      </c>
      <c r="M25" s="49">
        <f>SUM(M26:M28)</f>
        <v>10750.33</v>
      </c>
      <c r="N25" s="49">
        <f>SUM(N26:N28)</f>
        <v>9244.489999999998</v>
      </c>
      <c r="O25" s="50">
        <f>K25/C25</f>
        <v>0.015542990396354072</v>
      </c>
      <c r="P25" s="49">
        <f>SUM(P26:P28)</f>
        <v>3528375.3699999996</v>
      </c>
      <c r="Q25" s="50">
        <f>P25/K25</f>
        <v>0.6906790802005648</v>
      </c>
    </row>
    <row r="26" spans="1:17" s="8" customFormat="1" ht="20.25">
      <c r="A26" s="51" t="s">
        <v>8</v>
      </c>
      <c r="B26" s="52">
        <v>43989006.72</v>
      </c>
      <c r="C26" s="52">
        <v>44727734.34</v>
      </c>
      <c r="D26" s="52">
        <f t="shared" si="5"/>
        <v>39901.97999999999</v>
      </c>
      <c r="E26" s="52">
        <v>37311.62999999999</v>
      </c>
      <c r="F26" s="52">
        <v>0</v>
      </c>
      <c r="G26" s="52">
        <v>2590.3500000000004</v>
      </c>
      <c r="H26" s="55">
        <f>D26/B26</f>
        <v>0.0009070898157347616</v>
      </c>
      <c r="I26" s="54">
        <v>39028.279999999984</v>
      </c>
      <c r="J26" s="55">
        <f>I26/D26</f>
        <v>0.9781038434684193</v>
      </c>
      <c r="K26" s="54">
        <f>L26+M26+N26</f>
        <v>176350.67000000007</v>
      </c>
      <c r="L26" s="54">
        <v>169505.05000000008</v>
      </c>
      <c r="M26" s="54">
        <v>0</v>
      </c>
      <c r="N26" s="56">
        <v>6845.619999999997</v>
      </c>
      <c r="O26" s="60">
        <f>K26/B26</f>
        <v>0.00400897140329883</v>
      </c>
      <c r="P26" s="54">
        <v>175476.97000000003</v>
      </c>
      <c r="Q26" s="60">
        <f>P26/K26</f>
        <v>0.9950456666821847</v>
      </c>
    </row>
    <row r="27" spans="1:17" ht="20.25">
      <c r="A27" s="61" t="s">
        <v>35</v>
      </c>
      <c r="B27" s="52">
        <v>269051882.6</v>
      </c>
      <c r="C27" s="52">
        <v>276786254.06</v>
      </c>
      <c r="D27" s="52">
        <f t="shared" si="5"/>
        <v>1687508.4900000005</v>
      </c>
      <c r="E27" s="52">
        <v>1685109.6200000003</v>
      </c>
      <c r="F27" s="52">
        <v>0</v>
      </c>
      <c r="G27" s="52">
        <v>2398.87</v>
      </c>
      <c r="H27" s="55">
        <f>D27/B27</f>
        <v>0.006272056057339776</v>
      </c>
      <c r="I27" s="54">
        <v>501731.13</v>
      </c>
      <c r="J27" s="55">
        <f>I27/D27</f>
        <v>0.2973206552578588</v>
      </c>
      <c r="K27" s="54">
        <f>L27+M27+N27</f>
        <v>4848211.8100000005</v>
      </c>
      <c r="L27" s="54">
        <v>4835062.61</v>
      </c>
      <c r="M27" s="54">
        <v>10750.33</v>
      </c>
      <c r="N27" s="56">
        <v>2398.87</v>
      </c>
      <c r="O27" s="60">
        <f>K27/B27</f>
        <v>0.018019616748818097</v>
      </c>
      <c r="P27" s="54">
        <v>3268901.0999999996</v>
      </c>
      <c r="Q27" s="60">
        <f>P27/K27</f>
        <v>0.6742488216495639</v>
      </c>
    </row>
    <row r="28" spans="1:17" s="9" customFormat="1" ht="20.25">
      <c r="A28" s="51" t="s">
        <v>26</v>
      </c>
      <c r="B28" s="52">
        <v>6915979.91</v>
      </c>
      <c r="C28" s="52">
        <v>7158914.93</v>
      </c>
      <c r="D28" s="52">
        <f t="shared" si="5"/>
        <v>2752.38</v>
      </c>
      <c r="E28" s="52">
        <v>2752.38</v>
      </c>
      <c r="F28" s="52">
        <v>0</v>
      </c>
      <c r="G28" s="52">
        <v>0</v>
      </c>
      <c r="H28" s="55">
        <f t="shared" si="0"/>
        <v>0.00038446887928028504</v>
      </c>
      <c r="I28" s="54">
        <v>2752.38</v>
      </c>
      <c r="J28" s="55">
        <f t="shared" si="6"/>
        <v>1</v>
      </c>
      <c r="K28" s="54">
        <f>L28+M28+N28</f>
        <v>83997.3</v>
      </c>
      <c r="L28" s="54">
        <v>83997.3</v>
      </c>
      <c r="M28" s="54">
        <v>0</v>
      </c>
      <c r="N28" s="54">
        <v>0</v>
      </c>
      <c r="O28" s="60">
        <f t="shared" si="7"/>
        <v>0.011733244607783041</v>
      </c>
      <c r="P28" s="54">
        <v>83997.3</v>
      </c>
      <c r="Q28" s="60">
        <f t="shared" si="8"/>
        <v>1</v>
      </c>
    </row>
    <row r="29" spans="1:18" s="35" customFormat="1" ht="20.25">
      <c r="A29" s="59" t="s">
        <v>15</v>
      </c>
      <c r="B29" s="47">
        <f>SUM(B30:B37)</f>
        <v>609500908.4000001</v>
      </c>
      <c r="C29" s="47">
        <f>SUM(C30:C37)</f>
        <v>640510510.4499999</v>
      </c>
      <c r="D29" s="47">
        <f t="shared" si="5"/>
        <v>5242236.5200000005</v>
      </c>
      <c r="E29" s="47">
        <f>SUM(E30:E37)</f>
        <v>4502173.83</v>
      </c>
      <c r="F29" s="47">
        <f>SUM(F30:F37)</f>
        <v>516043.99</v>
      </c>
      <c r="G29" s="47">
        <f>SUM(G30:G37)</f>
        <v>224018.69999999998</v>
      </c>
      <c r="H29" s="48">
        <f aca="true" t="shared" si="9" ref="H29:H34">D29/C29</f>
        <v>0.008184466038374595</v>
      </c>
      <c r="I29" s="49">
        <f>SUM(I30:I37)</f>
        <v>3411701.64</v>
      </c>
      <c r="J29" s="48">
        <f t="shared" si="6"/>
        <v>0.6508103224613757</v>
      </c>
      <c r="K29" s="49">
        <f aca="true" t="shared" si="10" ref="K29:K34">SUM(L29:N29)</f>
        <v>13536628.950000001</v>
      </c>
      <c r="L29" s="49">
        <f>SUM(L30:L37)</f>
        <v>11930124.680000002</v>
      </c>
      <c r="M29" s="49">
        <f>SUM(M30:M37)</f>
        <v>954162.6</v>
      </c>
      <c r="N29" s="49">
        <f>SUM(N30:N37)</f>
        <v>652341.67</v>
      </c>
      <c r="O29" s="50">
        <f t="shared" si="7"/>
        <v>0.021134124622700798</v>
      </c>
      <c r="P29" s="49">
        <f>SUM(P30:P37)</f>
        <v>11419325.270000001</v>
      </c>
      <c r="Q29" s="50">
        <f t="shared" si="8"/>
        <v>0.8435870785983242</v>
      </c>
      <c r="R29" s="34"/>
    </row>
    <row r="30" spans="1:18" s="9" customFormat="1" ht="20.25">
      <c r="A30" s="62" t="s">
        <v>8</v>
      </c>
      <c r="B30" s="63">
        <v>103196658.21</v>
      </c>
      <c r="C30" s="52">
        <v>111235515.46</v>
      </c>
      <c r="D30" s="63">
        <f aca="true" t="shared" si="11" ref="D30:D37">SUM(E30:G30)</f>
        <v>3691598.27</v>
      </c>
      <c r="E30" s="63">
        <v>3176029.77</v>
      </c>
      <c r="F30" s="63">
        <v>505777.85</v>
      </c>
      <c r="G30" s="63">
        <v>9790.65</v>
      </c>
      <c r="H30" s="55">
        <f>D30/C30</f>
        <v>0.03318722671202517</v>
      </c>
      <c r="I30" s="64">
        <v>2029883.22</v>
      </c>
      <c r="J30" s="65">
        <f aca="true" t="shared" si="12" ref="J30:J37">I30/D30</f>
        <v>0.5498656873083864</v>
      </c>
      <c r="K30" s="64">
        <f t="shared" si="10"/>
        <v>5362054.07</v>
      </c>
      <c r="L30" s="64">
        <v>4622188.6</v>
      </c>
      <c r="M30" s="64">
        <v>703335.61</v>
      </c>
      <c r="N30" s="66">
        <v>36529.86</v>
      </c>
      <c r="O30" s="57">
        <f>K30/C30</f>
        <v>0.048204514968316764</v>
      </c>
      <c r="P30" s="67">
        <v>3866796.67</v>
      </c>
      <c r="Q30" s="60">
        <f t="shared" si="8"/>
        <v>0.7211409320980606</v>
      </c>
      <c r="R30" s="11"/>
    </row>
    <row r="31" spans="1:17" s="9" customFormat="1" ht="16.5" customHeight="1">
      <c r="A31" s="51" t="s">
        <v>34</v>
      </c>
      <c r="B31" s="52">
        <v>9624973.26</v>
      </c>
      <c r="C31" s="52">
        <v>9761450.86</v>
      </c>
      <c r="D31" s="52">
        <f t="shared" si="11"/>
        <v>0</v>
      </c>
      <c r="E31" s="52">
        <v>0</v>
      </c>
      <c r="F31" s="52">
        <v>0</v>
      </c>
      <c r="G31" s="52">
        <v>0</v>
      </c>
      <c r="H31" s="55">
        <f t="shared" si="9"/>
        <v>0</v>
      </c>
      <c r="I31" s="54">
        <v>0</v>
      </c>
      <c r="J31" s="55">
        <v>0</v>
      </c>
      <c r="K31" s="54">
        <f t="shared" si="10"/>
        <v>27054.850000000002</v>
      </c>
      <c r="L31" s="54">
        <v>22996.620000000003</v>
      </c>
      <c r="M31" s="54">
        <v>4058.2300000000005</v>
      </c>
      <c r="N31" s="54">
        <v>0</v>
      </c>
      <c r="O31" s="57">
        <f aca="true" t="shared" si="13" ref="O31:O37">K31/C31</f>
        <v>0.0027716013109141445</v>
      </c>
      <c r="P31" s="54">
        <v>27054.85</v>
      </c>
      <c r="Q31" s="60">
        <f aca="true" t="shared" si="14" ref="Q31:Q39">P31/K31</f>
        <v>0.9999999999999999</v>
      </c>
    </row>
    <row r="32" spans="1:17" s="9" customFormat="1" ht="20.25">
      <c r="A32" s="51" t="s">
        <v>10</v>
      </c>
      <c r="B32" s="52">
        <v>83211221.97</v>
      </c>
      <c r="C32" s="52">
        <v>86522475.64000003</v>
      </c>
      <c r="D32" s="52">
        <f t="shared" si="11"/>
        <v>41211.66</v>
      </c>
      <c r="E32" s="52">
        <v>41211.66</v>
      </c>
      <c r="F32" s="52">
        <v>0</v>
      </c>
      <c r="G32" s="52">
        <v>0</v>
      </c>
      <c r="H32" s="55">
        <f t="shared" si="9"/>
        <v>0.0004763116137761958</v>
      </c>
      <c r="I32" s="54">
        <v>3574.1</v>
      </c>
      <c r="J32" s="55">
        <f t="shared" si="12"/>
        <v>0.08672545585399859</v>
      </c>
      <c r="K32" s="54">
        <f t="shared" si="10"/>
        <v>209061.9</v>
      </c>
      <c r="L32" s="54">
        <v>199038.13</v>
      </c>
      <c r="M32" s="54">
        <v>10023.77</v>
      </c>
      <c r="N32" s="54">
        <v>0</v>
      </c>
      <c r="O32" s="57">
        <f t="shared" si="13"/>
        <v>0.0024162727482493463</v>
      </c>
      <c r="P32" s="54">
        <v>82669.92</v>
      </c>
      <c r="Q32" s="60">
        <f t="shared" si="14"/>
        <v>0.39543274025539804</v>
      </c>
    </row>
    <row r="33" spans="1:17" s="9" customFormat="1" ht="20.25">
      <c r="A33" s="51" t="s">
        <v>16</v>
      </c>
      <c r="B33" s="52">
        <v>112273810.9</v>
      </c>
      <c r="C33" s="52">
        <v>113370146.9</v>
      </c>
      <c r="D33" s="52">
        <v>7913.81</v>
      </c>
      <c r="E33" s="52">
        <v>6725.55</v>
      </c>
      <c r="F33" s="52">
        <v>1188.26</v>
      </c>
      <c r="G33" s="52">
        <v>0</v>
      </c>
      <c r="H33" s="55">
        <f t="shared" si="9"/>
        <v>6.980506082417363E-05</v>
      </c>
      <c r="I33" s="54">
        <v>7555.62</v>
      </c>
      <c r="J33" s="68">
        <f t="shared" si="12"/>
        <v>0.9547386151550264</v>
      </c>
      <c r="K33" s="54">
        <v>999093.68</v>
      </c>
      <c r="L33" s="54">
        <v>843159.06</v>
      </c>
      <c r="M33" s="54">
        <v>155934.62</v>
      </c>
      <c r="N33" s="54">
        <v>0</v>
      </c>
      <c r="O33" s="60">
        <f t="shared" si="13"/>
        <v>0.008812669889907322</v>
      </c>
      <c r="P33" s="54">
        <v>972451.34</v>
      </c>
      <c r="Q33" s="60">
        <f t="shared" si="14"/>
        <v>0.973333491610116</v>
      </c>
    </row>
    <row r="34" spans="1:17" s="9" customFormat="1" ht="20.25">
      <c r="A34" s="51" t="s">
        <v>17</v>
      </c>
      <c r="B34" s="52">
        <v>9991167.78</v>
      </c>
      <c r="C34" s="52">
        <v>13317930.39</v>
      </c>
      <c r="D34" s="52">
        <f t="shared" si="11"/>
        <v>5642.04</v>
      </c>
      <c r="E34" s="52">
        <v>4795.17</v>
      </c>
      <c r="F34" s="52">
        <v>126.94</v>
      </c>
      <c r="G34" s="52">
        <v>719.9300000000001</v>
      </c>
      <c r="H34" s="55">
        <f t="shared" si="9"/>
        <v>0.0004236424004916277</v>
      </c>
      <c r="I34" s="54">
        <v>5642.039999999999</v>
      </c>
      <c r="J34" s="68">
        <f t="shared" si="12"/>
        <v>0.9999999999999999</v>
      </c>
      <c r="K34" s="54">
        <f t="shared" si="10"/>
        <v>7106.040000000001</v>
      </c>
      <c r="L34" s="54">
        <v>6039.43</v>
      </c>
      <c r="M34" s="54">
        <v>159.88</v>
      </c>
      <c r="N34" s="54">
        <v>906.73</v>
      </c>
      <c r="O34" s="60">
        <f t="shared" si="13"/>
        <v>0.0005335693904313912</v>
      </c>
      <c r="P34" s="54">
        <v>7106.039999999999</v>
      </c>
      <c r="Q34" s="60">
        <f t="shared" si="14"/>
        <v>0.9999999999999998</v>
      </c>
    </row>
    <row r="35" spans="1:17" s="9" customFormat="1" ht="20.25">
      <c r="A35" s="51" t="s">
        <v>66</v>
      </c>
      <c r="B35" s="52">
        <v>261248402.58</v>
      </c>
      <c r="C35" s="63">
        <v>274935117.6</v>
      </c>
      <c r="D35" s="63">
        <f t="shared" si="11"/>
        <v>1279310.7899999998</v>
      </c>
      <c r="E35" s="63">
        <v>1104074.66</v>
      </c>
      <c r="F35" s="63">
        <v>328.65</v>
      </c>
      <c r="G35" s="63">
        <v>174907.48</v>
      </c>
      <c r="H35" s="55">
        <f>D35/C35</f>
        <v>0.004653137078913486</v>
      </c>
      <c r="I35" s="69">
        <v>1283938.89</v>
      </c>
      <c r="J35" s="70">
        <f t="shared" si="12"/>
        <v>1.0036176510322405</v>
      </c>
      <c r="K35" s="69">
        <f>SUM(L35:N35)</f>
        <v>6074635.540000002</v>
      </c>
      <c r="L35" s="69">
        <v>5496071.530000002</v>
      </c>
      <c r="M35" s="69">
        <v>51421.829999999994</v>
      </c>
      <c r="N35" s="69">
        <v>527142.18</v>
      </c>
      <c r="O35" s="71">
        <f t="shared" si="13"/>
        <v>0.022094796739781784</v>
      </c>
      <c r="P35" s="69">
        <v>5774373.84</v>
      </c>
      <c r="Q35" s="71">
        <f t="shared" si="14"/>
        <v>0.9505712403611951</v>
      </c>
    </row>
    <row r="36" spans="1:17" s="9" customFormat="1" ht="20.25">
      <c r="A36" s="51" t="s">
        <v>11</v>
      </c>
      <c r="B36" s="52">
        <v>14299117.33</v>
      </c>
      <c r="C36" s="52">
        <v>15070213.8</v>
      </c>
      <c r="D36" s="52">
        <f>E36+F36+G36</f>
        <v>215778.08000000002</v>
      </c>
      <c r="E36" s="52">
        <v>168555.15000000002</v>
      </c>
      <c r="F36" s="52">
        <v>8622.289999999999</v>
      </c>
      <c r="G36" s="52">
        <v>38600.63999999999</v>
      </c>
      <c r="H36" s="55">
        <f>D36/C36</f>
        <v>0.014318183063866022</v>
      </c>
      <c r="I36" s="54">
        <v>80325.9</v>
      </c>
      <c r="J36" s="68">
        <f>I36/D36</f>
        <v>0.3722616310238741</v>
      </c>
      <c r="K36" s="54">
        <f>L36+M36+N36</f>
        <v>767708.81</v>
      </c>
      <c r="L36" s="54">
        <v>650717.25</v>
      </c>
      <c r="M36" s="54">
        <v>29228.66</v>
      </c>
      <c r="N36" s="54">
        <v>87762.90000000002</v>
      </c>
      <c r="O36" s="57">
        <f>K36/C36</f>
        <v>0.0509421312921254</v>
      </c>
      <c r="P36" s="54">
        <v>598958.5500000002</v>
      </c>
      <c r="Q36" s="60">
        <f t="shared" si="14"/>
        <v>0.7801897571033477</v>
      </c>
    </row>
    <row r="37" spans="1:18" s="9" customFormat="1" ht="20.25">
      <c r="A37" s="51" t="s">
        <v>26</v>
      </c>
      <c r="B37" s="52">
        <v>15655556.37</v>
      </c>
      <c r="C37" s="52">
        <v>16297659.8</v>
      </c>
      <c r="D37" s="52">
        <f t="shared" si="11"/>
        <v>781.87</v>
      </c>
      <c r="E37" s="52">
        <v>781.87</v>
      </c>
      <c r="F37" s="52">
        <v>0</v>
      </c>
      <c r="G37" s="52">
        <v>0</v>
      </c>
      <c r="H37" s="53">
        <f aca="true" t="shared" si="15" ref="H37:H43">D37/C37</f>
        <v>4.797437236970672E-05</v>
      </c>
      <c r="I37" s="54">
        <v>781.87</v>
      </c>
      <c r="J37" s="55">
        <f t="shared" si="12"/>
        <v>1</v>
      </c>
      <c r="K37" s="54">
        <f>L37+M37+N37</f>
        <v>89914.06</v>
      </c>
      <c r="L37" s="54">
        <v>89914.06</v>
      </c>
      <c r="M37" s="54">
        <v>0</v>
      </c>
      <c r="N37" s="54">
        <v>0</v>
      </c>
      <c r="O37" s="57">
        <f t="shared" si="13"/>
        <v>0.005516992077598772</v>
      </c>
      <c r="P37" s="54">
        <v>89914.06</v>
      </c>
      <c r="Q37" s="60">
        <f t="shared" si="14"/>
        <v>1</v>
      </c>
      <c r="R37" s="12"/>
    </row>
    <row r="38" spans="1:17" s="35" customFormat="1" ht="20.25">
      <c r="A38" s="59" t="s">
        <v>25</v>
      </c>
      <c r="B38" s="47">
        <f>SUM(B39:B42)</f>
        <v>519570910.66</v>
      </c>
      <c r="C38" s="47">
        <f>SUM(C39:C42)</f>
        <v>531320887.89</v>
      </c>
      <c r="D38" s="47">
        <f>E38+F38+G38</f>
        <v>6887.19</v>
      </c>
      <c r="E38" s="47">
        <f>SUM(E39:E42)</f>
        <v>6887.19</v>
      </c>
      <c r="F38" s="47">
        <f>SUM(F39:F42)</f>
        <v>0</v>
      </c>
      <c r="G38" s="47">
        <f>SUM(G39:G42)</f>
        <v>0</v>
      </c>
      <c r="H38" s="48">
        <f t="shared" si="15"/>
        <v>1.2962392702742495E-05</v>
      </c>
      <c r="I38" s="49">
        <f>SUM(I39:I42)</f>
        <v>6887.1900000000005</v>
      </c>
      <c r="J38" s="48">
        <f aca="true" t="shared" si="16" ref="J38:J43">I38/D38</f>
        <v>1.0000000000000002</v>
      </c>
      <c r="K38" s="49">
        <f>SUM(L38:N38)</f>
        <v>633096.6399999997</v>
      </c>
      <c r="L38" s="49">
        <f>SUM(L39:L42)</f>
        <v>555668.2699999997</v>
      </c>
      <c r="M38" s="49">
        <f>SUM(M39:M42)</f>
        <v>35008.270000000004</v>
      </c>
      <c r="N38" s="49">
        <f>SUM(N39:N42)</f>
        <v>42420.1</v>
      </c>
      <c r="O38" s="50">
        <f aca="true" t="shared" si="17" ref="O38:O43">K38/C38</f>
        <v>0.0011915523263430789</v>
      </c>
      <c r="P38" s="49">
        <f>SUM(P39:P42)</f>
        <v>633096.6399999999</v>
      </c>
      <c r="Q38" s="48">
        <f t="shared" si="14"/>
        <v>1.0000000000000004</v>
      </c>
    </row>
    <row r="39" spans="1:17" s="9" customFormat="1" ht="20.25">
      <c r="A39" s="51" t="s">
        <v>32</v>
      </c>
      <c r="B39" s="52">
        <v>254783405.90000004</v>
      </c>
      <c r="C39" s="63">
        <v>264651212.5</v>
      </c>
      <c r="D39" s="63">
        <f>E39+G39+F39</f>
        <v>0</v>
      </c>
      <c r="E39" s="63">
        <v>0</v>
      </c>
      <c r="F39" s="63">
        <v>0</v>
      </c>
      <c r="G39" s="63">
        <v>0</v>
      </c>
      <c r="H39" s="55">
        <f t="shared" si="15"/>
        <v>0</v>
      </c>
      <c r="I39" s="69">
        <v>0</v>
      </c>
      <c r="J39" s="65">
        <v>0</v>
      </c>
      <c r="K39" s="69">
        <f>SUM(L39:N39)</f>
        <v>511253.72</v>
      </c>
      <c r="L39" s="69">
        <v>445255.4</v>
      </c>
      <c r="M39" s="69">
        <v>30610.97</v>
      </c>
      <c r="N39" s="69">
        <v>35387.35</v>
      </c>
      <c r="O39" s="71">
        <f t="shared" si="17"/>
        <v>0.0019318019183456414</v>
      </c>
      <c r="P39" s="69">
        <f>K39</f>
        <v>511253.72</v>
      </c>
      <c r="Q39" s="71">
        <f t="shared" si="14"/>
        <v>1</v>
      </c>
    </row>
    <row r="40" spans="1:17" s="9" customFormat="1" ht="20.25">
      <c r="A40" s="51" t="s">
        <v>16</v>
      </c>
      <c r="B40" s="72">
        <v>245929293.11</v>
      </c>
      <c r="C40" s="72">
        <v>246622159.44</v>
      </c>
      <c r="D40" s="73">
        <v>0</v>
      </c>
      <c r="E40" s="73">
        <v>0</v>
      </c>
      <c r="F40" s="73">
        <v>0</v>
      </c>
      <c r="G40" s="73">
        <v>0</v>
      </c>
      <c r="H40" s="74">
        <f t="shared" si="15"/>
        <v>0</v>
      </c>
      <c r="I40" s="75">
        <v>0</v>
      </c>
      <c r="J40" s="76">
        <v>0</v>
      </c>
      <c r="K40" s="75">
        <f>SUM(L40:N40)</f>
        <v>76200.31999999999</v>
      </c>
      <c r="L40" s="75">
        <v>64770.27</v>
      </c>
      <c r="M40" s="75">
        <v>4397.3</v>
      </c>
      <c r="N40" s="75">
        <v>7032.75</v>
      </c>
      <c r="O40" s="77">
        <f t="shared" si="17"/>
        <v>0.0003089759662028203</v>
      </c>
      <c r="P40" s="75">
        <v>76200.33</v>
      </c>
      <c r="Q40" s="77">
        <f>P40/K40</f>
        <v>1.0000001312330449</v>
      </c>
    </row>
    <row r="41" spans="1:17" s="9" customFormat="1" ht="20.25">
      <c r="A41" s="51" t="s">
        <v>11</v>
      </c>
      <c r="B41" s="52">
        <v>16407224.02</v>
      </c>
      <c r="C41" s="52">
        <v>17533086.119999997</v>
      </c>
      <c r="D41" s="52">
        <f>E41+F41+G41</f>
        <v>6807.87</v>
      </c>
      <c r="E41" s="52">
        <v>6807.87</v>
      </c>
      <c r="F41" s="52">
        <v>0</v>
      </c>
      <c r="G41" s="52">
        <v>0</v>
      </c>
      <c r="H41" s="55">
        <f>D41/C41</f>
        <v>0.0003882870336348979</v>
      </c>
      <c r="I41" s="54">
        <v>6807.870000000001</v>
      </c>
      <c r="J41" s="55">
        <f>I41/D41</f>
        <v>1.0000000000000002</v>
      </c>
      <c r="K41" s="54">
        <f>L41+M41+N41</f>
        <v>39550.80999999959</v>
      </c>
      <c r="L41" s="54">
        <v>39550.80999999959</v>
      </c>
      <c r="M41" s="54">
        <v>0</v>
      </c>
      <c r="N41" s="54">
        <v>0</v>
      </c>
      <c r="O41" s="57">
        <f>K41/C41</f>
        <v>0.0022557814254322273</v>
      </c>
      <c r="P41" s="54">
        <v>39550.799999999974</v>
      </c>
      <c r="Q41" s="60">
        <f>P41/K41</f>
        <v>0.9999997471606873</v>
      </c>
    </row>
    <row r="42" spans="1:17" s="13" customFormat="1" ht="20.25">
      <c r="A42" s="51" t="s">
        <v>26</v>
      </c>
      <c r="B42" s="52">
        <v>2450987.63</v>
      </c>
      <c r="C42" s="52">
        <v>2514429.83</v>
      </c>
      <c r="D42" s="58">
        <f>SUM(E42:G42)</f>
        <v>79.32</v>
      </c>
      <c r="E42" s="52">
        <v>79.32</v>
      </c>
      <c r="F42" s="52">
        <v>0</v>
      </c>
      <c r="G42" s="52">
        <v>0</v>
      </c>
      <c r="H42" s="53">
        <f t="shared" si="15"/>
        <v>3.154591910007685E-05</v>
      </c>
      <c r="I42" s="54">
        <v>79.32</v>
      </c>
      <c r="J42" s="55">
        <f t="shared" si="16"/>
        <v>1</v>
      </c>
      <c r="K42" s="54">
        <f>L42+M42+N42</f>
        <v>6091.79</v>
      </c>
      <c r="L42" s="54">
        <v>6091.79</v>
      </c>
      <c r="M42" s="54">
        <v>0</v>
      </c>
      <c r="N42" s="54">
        <v>0</v>
      </c>
      <c r="O42" s="57">
        <f t="shared" si="17"/>
        <v>0.0024227321547485776</v>
      </c>
      <c r="P42" s="54">
        <v>6091.79</v>
      </c>
      <c r="Q42" s="60">
        <f>P42/K42</f>
        <v>1</v>
      </c>
    </row>
    <row r="43" spans="1:17" s="15" customFormat="1" ht="20.25">
      <c r="A43" s="59" t="s">
        <v>18</v>
      </c>
      <c r="B43" s="47">
        <f aca="true" t="shared" si="18" ref="B43:G43">B23+B28+B37+B42</f>
        <v>32279841.069999997</v>
      </c>
      <c r="C43" s="47">
        <f t="shared" si="18"/>
        <v>33300793.68</v>
      </c>
      <c r="D43" s="47">
        <f t="shared" si="18"/>
        <v>3957.2000000000003</v>
      </c>
      <c r="E43" s="47">
        <f t="shared" si="18"/>
        <v>3957.2000000000003</v>
      </c>
      <c r="F43" s="47">
        <f t="shared" si="18"/>
        <v>0</v>
      </c>
      <c r="G43" s="47">
        <f t="shared" si="18"/>
        <v>0</v>
      </c>
      <c r="H43" s="48">
        <f t="shared" si="15"/>
        <v>0.00011883200256505119</v>
      </c>
      <c r="I43" s="49">
        <f>D43</f>
        <v>3957.2000000000003</v>
      </c>
      <c r="J43" s="48">
        <f t="shared" si="16"/>
        <v>1</v>
      </c>
      <c r="K43" s="49">
        <f>K23+K28+K37+K42</f>
        <v>215262.55000000002</v>
      </c>
      <c r="L43" s="49">
        <f>L23+L28+L37+L42</f>
        <v>215262.55000000002</v>
      </c>
      <c r="M43" s="49">
        <f>M23+M28+M37+M42</f>
        <v>0</v>
      </c>
      <c r="N43" s="49">
        <f>N23+N28+N37+N42</f>
        <v>0</v>
      </c>
      <c r="O43" s="50">
        <f t="shared" si="17"/>
        <v>0.006464186771899186</v>
      </c>
      <c r="P43" s="49">
        <f>P23+P28+P37+P42</f>
        <v>215262.55000000002</v>
      </c>
      <c r="Q43" s="48">
        <f>P43/K43</f>
        <v>1</v>
      </c>
    </row>
    <row r="44" spans="1:17" s="14" customFormat="1" ht="45" customHeight="1">
      <c r="A44" s="78" t="s">
        <v>57</v>
      </c>
      <c r="B44" s="79">
        <v>823595059.23</v>
      </c>
      <c r="C44" s="79" t="s">
        <v>33</v>
      </c>
      <c r="D44" s="79">
        <v>0</v>
      </c>
      <c r="E44" s="79">
        <v>0</v>
      </c>
      <c r="F44" s="79">
        <v>0</v>
      </c>
      <c r="G44" s="79">
        <v>0</v>
      </c>
      <c r="H44" s="80">
        <v>0</v>
      </c>
      <c r="I44" s="81">
        <v>0</v>
      </c>
      <c r="J44" s="80">
        <v>0</v>
      </c>
      <c r="K44" s="81">
        <v>1015873.61</v>
      </c>
      <c r="L44" s="81">
        <v>140498.88</v>
      </c>
      <c r="M44" s="81">
        <v>294226.25</v>
      </c>
      <c r="N44" s="81">
        <v>581148.48</v>
      </c>
      <c r="O44" s="82" t="s">
        <v>33</v>
      </c>
      <c r="P44" s="81">
        <v>163513.51</v>
      </c>
      <c r="Q44" s="82">
        <v>0.16095851727066718</v>
      </c>
    </row>
    <row r="45" spans="1:17" s="13" customFormat="1" ht="20.25">
      <c r="A45" s="83" t="s">
        <v>32</v>
      </c>
      <c r="B45" s="58">
        <v>360507310.42</v>
      </c>
      <c r="C45" s="84" t="s">
        <v>33</v>
      </c>
      <c r="D45" s="63">
        <v>0</v>
      </c>
      <c r="E45" s="63">
        <v>0</v>
      </c>
      <c r="F45" s="63">
        <v>0</v>
      </c>
      <c r="G45" s="63">
        <v>0</v>
      </c>
      <c r="H45" s="65">
        <v>0</v>
      </c>
      <c r="I45" s="69">
        <v>0</v>
      </c>
      <c r="J45" s="53">
        <v>0</v>
      </c>
      <c r="K45" s="69">
        <v>848658.41</v>
      </c>
      <c r="L45" s="69">
        <v>131388.79</v>
      </c>
      <c r="M45" s="69">
        <v>136121.14</v>
      </c>
      <c r="N45" s="69">
        <v>581148.48</v>
      </c>
      <c r="O45" s="85" t="s">
        <v>33</v>
      </c>
      <c r="P45" s="69">
        <v>164880.65</v>
      </c>
      <c r="Q45" s="85">
        <v>0.1942838815442835</v>
      </c>
    </row>
    <row r="46" spans="1:17" s="13" customFormat="1" ht="20.25">
      <c r="A46" s="83" t="s">
        <v>16</v>
      </c>
      <c r="B46" s="58">
        <v>463087748.81</v>
      </c>
      <c r="C46" s="84" t="s">
        <v>33</v>
      </c>
      <c r="D46" s="63">
        <v>0</v>
      </c>
      <c r="E46" s="63">
        <v>0</v>
      </c>
      <c r="F46" s="63">
        <v>0</v>
      </c>
      <c r="G46" s="63">
        <v>0</v>
      </c>
      <c r="H46" s="65">
        <v>0</v>
      </c>
      <c r="I46" s="86" t="s">
        <v>33</v>
      </c>
      <c r="J46" s="87">
        <v>0</v>
      </c>
      <c r="K46" s="69">
        <v>164678.69</v>
      </c>
      <c r="L46" s="69">
        <v>9110.09</v>
      </c>
      <c r="M46" s="69">
        <v>155469.52</v>
      </c>
      <c r="N46" s="69">
        <v>0</v>
      </c>
      <c r="O46" s="85" t="s">
        <v>33</v>
      </c>
      <c r="P46" s="69">
        <v>0</v>
      </c>
      <c r="Q46" s="85">
        <v>0</v>
      </c>
    </row>
    <row r="47" spans="1:17" s="14" customFormat="1" ht="39.75" customHeight="1">
      <c r="A47" s="88" t="s">
        <v>19</v>
      </c>
      <c r="B47" s="79">
        <f>SUM(B48,B53,B61)</f>
        <v>544405037.7757506</v>
      </c>
      <c r="C47" s="89"/>
      <c r="D47" s="89"/>
      <c r="E47" s="89"/>
      <c r="F47" s="89"/>
      <c r="G47" s="89"/>
      <c r="H47" s="90"/>
      <c r="I47" s="147"/>
      <c r="J47" s="148"/>
      <c r="K47" s="81">
        <f>SUM(L47:N47)</f>
        <v>6042332.347469679</v>
      </c>
      <c r="L47" s="81">
        <f>SUM(L48,L53,L65,L66,L67)</f>
        <v>4450433.167905119</v>
      </c>
      <c r="M47" s="81">
        <f>SUM(M48,M53,M65,M66,M67)</f>
        <v>1365458.36956456</v>
      </c>
      <c r="N47" s="81">
        <f>SUM(N48,N53,N61,N61,N65,N66,N67)</f>
        <v>226440.81</v>
      </c>
      <c r="O47" s="82" t="s">
        <v>33</v>
      </c>
      <c r="P47" s="81">
        <f>SUM(P48,P53,P65,P66,P67)</f>
        <v>4088522.191460681</v>
      </c>
      <c r="Q47" s="80">
        <f>P47/K47</f>
        <v>0.676646360436101</v>
      </c>
    </row>
    <row r="48" spans="1:17" s="15" customFormat="1" ht="20.25">
      <c r="A48" s="59" t="s">
        <v>7</v>
      </c>
      <c r="B48" s="47">
        <f>SUM(B49:B52)</f>
        <v>121971261.803112</v>
      </c>
      <c r="C48" s="47" t="s">
        <v>33</v>
      </c>
      <c r="D48" s="47">
        <f>SUM(D49:D52)</f>
        <v>0</v>
      </c>
      <c r="E48" s="47">
        <f>SUM(E49:E52)</f>
        <v>0</v>
      </c>
      <c r="F48" s="47">
        <f>SUM(F49:F52)</f>
        <v>0</v>
      </c>
      <c r="G48" s="47"/>
      <c r="H48" s="91"/>
      <c r="I48" s="95"/>
      <c r="J48" s="92">
        <v>0</v>
      </c>
      <c r="K48" s="49">
        <f>SUM(L48:N48)</f>
        <v>2301831.94746968</v>
      </c>
      <c r="L48" s="49">
        <f>SUM(L49:L52)</f>
        <v>1736981.03790512</v>
      </c>
      <c r="M48" s="49">
        <f>SUM(M49:M52)</f>
        <v>564850.9095645599</v>
      </c>
      <c r="N48" s="49">
        <v>0</v>
      </c>
      <c r="O48" s="50" t="s">
        <v>33</v>
      </c>
      <c r="P48" s="49">
        <f>SUM(P49:P52)</f>
        <v>2242497.3014606806</v>
      </c>
      <c r="Q48" s="48">
        <f aca="true" t="shared" si="19" ref="Q48:Q64">P48/K48</f>
        <v>0.9742228592863941</v>
      </c>
    </row>
    <row r="49" spans="1:17" s="13" customFormat="1" ht="20.25">
      <c r="A49" s="51" t="s">
        <v>8</v>
      </c>
      <c r="B49" s="58">
        <v>49122061.79321826</v>
      </c>
      <c r="C49" s="58" t="s">
        <v>33</v>
      </c>
      <c r="D49" s="52">
        <v>0</v>
      </c>
      <c r="E49" s="52">
        <v>0</v>
      </c>
      <c r="F49" s="52">
        <v>0</v>
      </c>
      <c r="G49" s="52">
        <v>0</v>
      </c>
      <c r="H49" s="55">
        <v>0</v>
      </c>
      <c r="I49" s="54">
        <v>0</v>
      </c>
      <c r="J49" s="93">
        <v>0</v>
      </c>
      <c r="K49" s="94">
        <v>1708087.6519150801</v>
      </c>
      <c r="L49" s="94">
        <v>1281814.7189161202</v>
      </c>
      <c r="M49" s="94">
        <v>426272.93299895996</v>
      </c>
      <c r="N49" s="94">
        <v>0</v>
      </c>
      <c r="O49" s="57" t="s">
        <v>33</v>
      </c>
      <c r="P49" s="94">
        <v>1708087.6519150801</v>
      </c>
      <c r="Q49" s="53">
        <v>1</v>
      </c>
    </row>
    <row r="50" spans="1:17" s="13" customFormat="1" ht="20.25">
      <c r="A50" s="51" t="s">
        <v>9</v>
      </c>
      <c r="B50" s="58">
        <v>63481819.69953128</v>
      </c>
      <c r="C50" s="58" t="s">
        <v>33</v>
      </c>
      <c r="D50" s="52">
        <v>0</v>
      </c>
      <c r="E50" s="52">
        <v>0</v>
      </c>
      <c r="F50" s="52">
        <v>0</v>
      </c>
      <c r="G50" s="52">
        <v>0</v>
      </c>
      <c r="H50" s="55">
        <v>0</v>
      </c>
      <c r="I50" s="54">
        <v>600</v>
      </c>
      <c r="J50" s="93">
        <v>0</v>
      </c>
      <c r="K50" s="94">
        <v>529924.70386096</v>
      </c>
      <c r="L50" s="94">
        <v>407301.60690568</v>
      </c>
      <c r="M50" s="94">
        <v>122623.09695528</v>
      </c>
      <c r="N50" s="94">
        <v>0</v>
      </c>
      <c r="O50" s="57" t="s">
        <v>33</v>
      </c>
      <c r="P50" s="94">
        <v>475945.9078519603</v>
      </c>
      <c r="Q50" s="53">
        <v>0.8958507025897646</v>
      </c>
    </row>
    <row r="51" spans="1:17" s="13" customFormat="1" ht="20.25">
      <c r="A51" s="51" t="s">
        <v>11</v>
      </c>
      <c r="B51" s="58">
        <v>7945402.510362462</v>
      </c>
      <c r="C51" s="58" t="s">
        <v>33</v>
      </c>
      <c r="D51" s="52">
        <v>0</v>
      </c>
      <c r="E51" s="52">
        <v>0</v>
      </c>
      <c r="F51" s="52">
        <v>0</v>
      </c>
      <c r="G51" s="52">
        <v>0</v>
      </c>
      <c r="H51" s="55">
        <v>0</v>
      </c>
      <c r="I51" s="54">
        <v>0</v>
      </c>
      <c r="J51" s="93">
        <v>0</v>
      </c>
      <c r="K51" s="94">
        <v>14700.811305480001</v>
      </c>
      <c r="L51" s="94">
        <v>11025.610236120001</v>
      </c>
      <c r="M51" s="94">
        <v>3675.20106936</v>
      </c>
      <c r="N51" s="94">
        <v>0</v>
      </c>
      <c r="O51" s="57" t="s">
        <v>33</v>
      </c>
      <c r="P51" s="94">
        <v>14700.811305480001</v>
      </c>
      <c r="Q51" s="53">
        <v>1</v>
      </c>
    </row>
    <row r="52" spans="1:17" s="13" customFormat="1" ht="20.25">
      <c r="A52" s="51" t="s">
        <v>54</v>
      </c>
      <c r="B52" s="58">
        <v>1421977.8</v>
      </c>
      <c r="C52" s="58" t="s">
        <v>33</v>
      </c>
      <c r="D52" s="52">
        <v>0</v>
      </c>
      <c r="E52" s="52">
        <v>0</v>
      </c>
      <c r="F52" s="52">
        <v>0</v>
      </c>
      <c r="G52" s="52">
        <v>0</v>
      </c>
      <c r="H52" s="55">
        <v>0</v>
      </c>
      <c r="I52" s="54">
        <v>0</v>
      </c>
      <c r="J52" s="93">
        <v>0</v>
      </c>
      <c r="K52" s="94">
        <v>49118.78038816</v>
      </c>
      <c r="L52" s="94">
        <v>36839.1018472</v>
      </c>
      <c r="M52" s="94">
        <v>12279.678540960002</v>
      </c>
      <c r="N52" s="94">
        <v>0</v>
      </c>
      <c r="O52" s="57" t="s">
        <v>33</v>
      </c>
      <c r="P52" s="94">
        <v>43762.93038816</v>
      </c>
      <c r="Q52" s="53">
        <v>0.8909612584499143</v>
      </c>
    </row>
    <row r="53" spans="1:17" s="15" customFormat="1" ht="20.25">
      <c r="A53" s="59" t="s">
        <v>13</v>
      </c>
      <c r="B53" s="47">
        <f>B54+B61</f>
        <v>303205959.69131935</v>
      </c>
      <c r="C53" s="47" t="s">
        <v>33</v>
      </c>
      <c r="D53" s="47"/>
      <c r="E53" s="47"/>
      <c r="F53" s="47"/>
      <c r="G53" s="47"/>
      <c r="H53" s="48"/>
      <c r="I53" s="95"/>
      <c r="J53" s="92">
        <v>0</v>
      </c>
      <c r="K53" s="49">
        <f>SUM(L53:N53)</f>
        <v>1645092.5199999996</v>
      </c>
      <c r="L53" s="49">
        <f>SUM(L54:L60)</f>
        <v>1176041.3299999996</v>
      </c>
      <c r="M53" s="49">
        <f>SUM(M54:M60)</f>
        <v>242610.38</v>
      </c>
      <c r="N53" s="49">
        <f>SUM(N54:N60)</f>
        <v>226440.81</v>
      </c>
      <c r="O53" s="50" t="s">
        <v>33</v>
      </c>
      <c r="P53" s="49">
        <f>SUM(P54:P60)</f>
        <v>1520298.3400000003</v>
      </c>
      <c r="Q53" s="48">
        <f t="shared" si="19"/>
        <v>0.9241415431151561</v>
      </c>
    </row>
    <row r="54" spans="1:17" s="13" customFormat="1" ht="20.25">
      <c r="A54" s="96" t="s">
        <v>29</v>
      </c>
      <c r="B54" s="52">
        <v>183978143.41</v>
      </c>
      <c r="C54" s="52" t="s">
        <v>33</v>
      </c>
      <c r="D54" s="52">
        <v>0</v>
      </c>
      <c r="E54" s="52">
        <v>0</v>
      </c>
      <c r="F54" s="52">
        <v>0</v>
      </c>
      <c r="G54" s="52">
        <v>0</v>
      </c>
      <c r="H54" s="55">
        <v>0</v>
      </c>
      <c r="I54" s="54">
        <v>0</v>
      </c>
      <c r="J54" s="93">
        <v>0</v>
      </c>
      <c r="K54" s="54">
        <v>798366.09</v>
      </c>
      <c r="L54" s="54">
        <v>584992.5299999999</v>
      </c>
      <c r="M54" s="54">
        <v>111807.42</v>
      </c>
      <c r="N54" s="54">
        <v>101566.13999999998</v>
      </c>
      <c r="O54" s="60" t="s">
        <v>33</v>
      </c>
      <c r="P54" s="54">
        <v>760149.1700000002</v>
      </c>
      <c r="Q54" s="55">
        <f t="shared" si="19"/>
        <v>0.9521310831225311</v>
      </c>
    </row>
    <row r="55" spans="1:17" s="13" customFormat="1" ht="20.25">
      <c r="A55" s="61" t="s">
        <v>16</v>
      </c>
      <c r="B55" s="52">
        <v>102701592.68999998</v>
      </c>
      <c r="C55" s="52" t="s">
        <v>33</v>
      </c>
      <c r="D55" s="52">
        <v>0</v>
      </c>
      <c r="E55" s="52">
        <v>0</v>
      </c>
      <c r="F55" s="52">
        <v>0</v>
      </c>
      <c r="G55" s="52">
        <v>0</v>
      </c>
      <c r="H55" s="55">
        <v>0</v>
      </c>
      <c r="I55" s="54">
        <v>0</v>
      </c>
      <c r="J55" s="93">
        <v>0</v>
      </c>
      <c r="K55" s="54">
        <v>497120.98</v>
      </c>
      <c r="L55" s="54">
        <v>358026.68</v>
      </c>
      <c r="M55" s="54">
        <v>68226.76</v>
      </c>
      <c r="N55" s="54">
        <v>70867.54</v>
      </c>
      <c r="O55" s="60" t="s">
        <v>33</v>
      </c>
      <c r="P55" s="54">
        <v>471057.32</v>
      </c>
      <c r="Q55" s="55">
        <f t="shared" si="19"/>
        <v>0.9475707905146148</v>
      </c>
    </row>
    <row r="56" spans="1:17" s="13" customFormat="1" ht="20.25">
      <c r="A56" s="51" t="s">
        <v>32</v>
      </c>
      <c r="B56" s="52">
        <v>15618329.280000001</v>
      </c>
      <c r="C56" s="52" t="s">
        <v>33</v>
      </c>
      <c r="D56" s="52">
        <v>0</v>
      </c>
      <c r="E56" s="52">
        <v>0</v>
      </c>
      <c r="F56" s="52">
        <v>0</v>
      </c>
      <c r="G56" s="52">
        <v>0</v>
      </c>
      <c r="H56" s="55">
        <v>0</v>
      </c>
      <c r="I56" s="54">
        <v>0</v>
      </c>
      <c r="J56" s="93">
        <v>0</v>
      </c>
      <c r="K56" s="54">
        <v>231411.5</v>
      </c>
      <c r="L56" s="54">
        <v>179603.64999999997</v>
      </c>
      <c r="M56" s="54">
        <v>47669.259999999995</v>
      </c>
      <c r="N56" s="54">
        <v>52498.92999999999</v>
      </c>
      <c r="O56" s="60" t="s">
        <v>33</v>
      </c>
      <c r="P56" s="54">
        <v>219258.24</v>
      </c>
      <c r="Q56" s="55">
        <f t="shared" si="19"/>
        <v>0.9474820395702028</v>
      </c>
    </row>
    <row r="57" spans="1:17" s="13" customFormat="1" ht="20.25">
      <c r="A57" s="61" t="s">
        <v>8</v>
      </c>
      <c r="B57" s="52">
        <v>8690635.29</v>
      </c>
      <c r="C57" s="52" t="s">
        <v>33</v>
      </c>
      <c r="D57" s="52">
        <v>0</v>
      </c>
      <c r="E57" s="52">
        <v>0</v>
      </c>
      <c r="F57" s="52">
        <v>0</v>
      </c>
      <c r="G57" s="52">
        <v>0</v>
      </c>
      <c r="H57" s="55">
        <v>0</v>
      </c>
      <c r="I57" s="54">
        <v>0</v>
      </c>
      <c r="J57" s="93">
        <v>0</v>
      </c>
      <c r="K57" s="54">
        <v>1014.04</v>
      </c>
      <c r="L57" s="54">
        <v>811.23</v>
      </c>
      <c r="M57" s="54">
        <v>202.81</v>
      </c>
      <c r="N57" s="54">
        <v>0</v>
      </c>
      <c r="O57" s="60" t="s">
        <v>33</v>
      </c>
      <c r="P57" s="54">
        <v>1014.04</v>
      </c>
      <c r="Q57" s="55">
        <f t="shared" si="19"/>
        <v>1</v>
      </c>
    </row>
    <row r="58" spans="1:17" s="13" customFormat="1" ht="20.25">
      <c r="A58" s="61" t="s">
        <v>11</v>
      </c>
      <c r="B58" s="52">
        <v>27973852.209999997</v>
      </c>
      <c r="C58" s="52" t="s">
        <v>33</v>
      </c>
      <c r="D58" s="52">
        <v>0</v>
      </c>
      <c r="E58" s="52">
        <v>0</v>
      </c>
      <c r="F58" s="52">
        <v>0</v>
      </c>
      <c r="G58" s="52">
        <v>0</v>
      </c>
      <c r="H58" s="55">
        <v>0</v>
      </c>
      <c r="I58" s="54">
        <v>0</v>
      </c>
      <c r="J58" s="93">
        <v>0</v>
      </c>
      <c r="K58" s="54">
        <v>18980.6</v>
      </c>
      <c r="L58" s="54">
        <v>14235.88</v>
      </c>
      <c r="M58" s="54">
        <v>4738.58</v>
      </c>
      <c r="N58" s="54">
        <v>6.14</v>
      </c>
      <c r="O58" s="60" t="s">
        <v>33</v>
      </c>
      <c r="P58" s="54">
        <v>18980.6</v>
      </c>
      <c r="Q58" s="55">
        <f t="shared" si="19"/>
        <v>1</v>
      </c>
    </row>
    <row r="59" spans="1:17" s="13" customFormat="1" ht="20.25">
      <c r="A59" s="61" t="s">
        <v>10</v>
      </c>
      <c r="B59" s="52">
        <v>19722613.03999999</v>
      </c>
      <c r="C59" s="52" t="s">
        <v>33</v>
      </c>
      <c r="D59" s="52">
        <v>0</v>
      </c>
      <c r="E59" s="52">
        <v>0</v>
      </c>
      <c r="F59" s="52">
        <v>0</v>
      </c>
      <c r="G59" s="52">
        <v>0</v>
      </c>
      <c r="H59" s="55">
        <v>0</v>
      </c>
      <c r="I59" s="54">
        <v>0</v>
      </c>
      <c r="J59" s="93">
        <v>0</v>
      </c>
      <c r="K59" s="54">
        <v>2011.5300000000002</v>
      </c>
      <c r="L59" s="54">
        <v>1508.65</v>
      </c>
      <c r="M59" s="54">
        <v>502.88</v>
      </c>
      <c r="N59" s="54">
        <v>0</v>
      </c>
      <c r="O59" s="60" t="s">
        <v>33</v>
      </c>
      <c r="P59" s="54">
        <v>2011.53</v>
      </c>
      <c r="Q59" s="55">
        <f t="shared" si="19"/>
        <v>0.9999999999999999</v>
      </c>
    </row>
    <row r="60" spans="1:17" s="13" customFormat="1" ht="20.25">
      <c r="A60" s="61" t="s">
        <v>9</v>
      </c>
      <c r="B60" s="52">
        <v>9271120.900000002</v>
      </c>
      <c r="C60" s="52" t="s">
        <v>33</v>
      </c>
      <c r="D60" s="52">
        <v>0</v>
      </c>
      <c r="E60" s="52">
        <v>0</v>
      </c>
      <c r="F60" s="52">
        <v>0</v>
      </c>
      <c r="G60" s="52">
        <v>0</v>
      </c>
      <c r="H60" s="55">
        <v>0</v>
      </c>
      <c r="I60" s="54">
        <v>0</v>
      </c>
      <c r="J60" s="93">
        <v>0</v>
      </c>
      <c r="K60" s="54">
        <v>47827.439999999995</v>
      </c>
      <c r="L60" s="54">
        <v>36862.71</v>
      </c>
      <c r="M60" s="54">
        <v>9462.67</v>
      </c>
      <c r="N60" s="54">
        <v>1502.06</v>
      </c>
      <c r="O60" s="60" t="s">
        <v>33</v>
      </c>
      <c r="P60" s="54">
        <v>47827.44</v>
      </c>
      <c r="Q60" s="55">
        <f t="shared" si="19"/>
        <v>1.0000000000000002</v>
      </c>
    </row>
    <row r="61" spans="1:17" s="13" customFormat="1" ht="20.25">
      <c r="A61" s="97" t="s">
        <v>31</v>
      </c>
      <c r="B61" s="47">
        <f>SUM(B62:B64)</f>
        <v>119227816.28131932</v>
      </c>
      <c r="C61" s="47"/>
      <c r="D61" s="47">
        <f aca="true" t="shared" si="20" ref="D61:I61">SUM(D62:D64)</f>
        <v>0</v>
      </c>
      <c r="E61" s="47">
        <f t="shared" si="20"/>
        <v>0</v>
      </c>
      <c r="F61" s="47">
        <f t="shared" si="20"/>
        <v>0</v>
      </c>
      <c r="G61" s="47">
        <f t="shared" si="20"/>
        <v>0</v>
      </c>
      <c r="H61" s="48">
        <f t="shared" si="20"/>
        <v>0</v>
      </c>
      <c r="I61" s="49">
        <f t="shared" si="20"/>
        <v>0</v>
      </c>
      <c r="J61" s="92">
        <v>0</v>
      </c>
      <c r="K61" s="49">
        <f>SUM(L61:N61)</f>
        <v>4156377.26</v>
      </c>
      <c r="L61" s="49">
        <f>SUM(L62:L64)</f>
        <v>2405703.61</v>
      </c>
      <c r="M61" s="49">
        <f>SUM(M62:M64)</f>
        <v>1750673.65</v>
      </c>
      <c r="N61" s="49">
        <f>SUM(N62:N64)</f>
        <v>0</v>
      </c>
      <c r="O61" s="50" t="s">
        <v>33</v>
      </c>
      <c r="P61" s="49">
        <f>SUM(P62:P64)</f>
        <v>1183593.4</v>
      </c>
      <c r="Q61" s="48">
        <f t="shared" si="19"/>
        <v>0.28476563265578064</v>
      </c>
    </row>
    <row r="62" spans="1:17" s="13" customFormat="1" ht="20.25">
      <c r="A62" s="61" t="s">
        <v>11</v>
      </c>
      <c r="B62" s="58">
        <v>92090046.662097</v>
      </c>
      <c r="C62" s="52" t="s">
        <v>33</v>
      </c>
      <c r="D62" s="52">
        <v>0</v>
      </c>
      <c r="E62" s="52">
        <v>0</v>
      </c>
      <c r="F62" s="52">
        <v>0</v>
      </c>
      <c r="G62" s="52">
        <v>0</v>
      </c>
      <c r="H62" s="55">
        <v>0</v>
      </c>
      <c r="I62" s="54">
        <v>0</v>
      </c>
      <c r="J62" s="93">
        <v>0</v>
      </c>
      <c r="K62" s="94">
        <f>SUM(L62:N62)</f>
        <v>3727544.91</v>
      </c>
      <c r="L62" s="94">
        <f>2181936.81+E62</f>
        <v>2181936.81</v>
      </c>
      <c r="M62" s="94">
        <f>1545608.1+F62</f>
        <v>1545608.1</v>
      </c>
      <c r="N62" s="94">
        <v>0</v>
      </c>
      <c r="O62" s="57" t="s">
        <v>33</v>
      </c>
      <c r="P62" s="149">
        <v>924689.58</v>
      </c>
      <c r="Q62" s="53">
        <f t="shared" si="19"/>
        <v>0.24806933312038887</v>
      </c>
    </row>
    <row r="63" spans="1:17" s="13" customFormat="1" ht="20.25">
      <c r="A63" s="61" t="s">
        <v>8</v>
      </c>
      <c r="B63" s="58">
        <v>22959622.459222317</v>
      </c>
      <c r="C63" s="52" t="s">
        <v>33</v>
      </c>
      <c r="D63" s="52">
        <v>0</v>
      </c>
      <c r="E63" s="52">
        <v>0</v>
      </c>
      <c r="F63" s="52">
        <v>0</v>
      </c>
      <c r="G63" s="52">
        <v>0</v>
      </c>
      <c r="H63" s="55">
        <v>0</v>
      </c>
      <c r="I63" s="54">
        <v>0</v>
      </c>
      <c r="J63" s="93">
        <v>0</v>
      </c>
      <c r="K63" s="94">
        <f>SUM(L63:N63)</f>
        <v>37402.7</v>
      </c>
      <c r="L63" s="94">
        <v>28052</v>
      </c>
      <c r="M63" s="94">
        <v>9350.7</v>
      </c>
      <c r="N63" s="94">
        <v>0</v>
      </c>
      <c r="O63" s="57" t="s">
        <v>33</v>
      </c>
      <c r="P63" s="149">
        <v>37402.7</v>
      </c>
      <c r="Q63" s="53">
        <f t="shared" si="19"/>
        <v>1</v>
      </c>
    </row>
    <row r="64" spans="1:17" s="13" customFormat="1" ht="20.25">
      <c r="A64" s="51" t="s">
        <v>32</v>
      </c>
      <c r="B64" s="58">
        <v>4178147.16</v>
      </c>
      <c r="C64" s="52" t="s">
        <v>33</v>
      </c>
      <c r="D64" s="52">
        <v>0</v>
      </c>
      <c r="E64" s="52">
        <v>0</v>
      </c>
      <c r="F64" s="52">
        <v>0</v>
      </c>
      <c r="G64" s="52">
        <v>0</v>
      </c>
      <c r="H64" s="55">
        <v>0</v>
      </c>
      <c r="I64" s="54">
        <v>0</v>
      </c>
      <c r="J64" s="93">
        <v>0</v>
      </c>
      <c r="K64" s="94">
        <f>SUM(L64:N64)</f>
        <v>391429.65</v>
      </c>
      <c r="L64" s="94">
        <v>195714.80000000002</v>
      </c>
      <c r="M64" s="94">
        <v>195714.84999999998</v>
      </c>
      <c r="N64" s="94">
        <v>0</v>
      </c>
      <c r="O64" s="57" t="s">
        <v>33</v>
      </c>
      <c r="P64" s="149">
        <v>221501.12000000005</v>
      </c>
      <c r="Q64" s="53">
        <f t="shared" si="19"/>
        <v>0.5658772144624201</v>
      </c>
    </row>
    <row r="65" spans="1:17" s="16" customFormat="1" ht="20.25">
      <c r="A65" s="98" t="s">
        <v>53</v>
      </c>
      <c r="B65" s="52">
        <v>14069720.09</v>
      </c>
      <c r="C65" s="52" t="s">
        <v>33</v>
      </c>
      <c r="D65" s="52">
        <v>0</v>
      </c>
      <c r="E65" s="52">
        <v>0</v>
      </c>
      <c r="F65" s="52">
        <v>0</v>
      </c>
      <c r="G65" s="52">
        <v>0</v>
      </c>
      <c r="H65" s="55">
        <v>0</v>
      </c>
      <c r="I65" s="54">
        <v>0</v>
      </c>
      <c r="J65" s="93">
        <v>0</v>
      </c>
      <c r="K65" s="54">
        <f>139212.16</f>
        <v>139212.16</v>
      </c>
      <c r="L65" s="54">
        <v>104409.1</v>
      </c>
      <c r="M65" s="54">
        <v>34803.06</v>
      </c>
      <c r="N65" s="54">
        <v>0</v>
      </c>
      <c r="O65" s="60" t="s">
        <v>33</v>
      </c>
      <c r="P65" s="54">
        <v>135446.79</v>
      </c>
      <c r="Q65" s="55">
        <v>0.9729522909492965</v>
      </c>
    </row>
    <row r="66" spans="1:17" s="38" customFormat="1" ht="20.25">
      <c r="A66" s="98" t="s">
        <v>52</v>
      </c>
      <c r="B66" s="52">
        <v>100496086.66000003</v>
      </c>
      <c r="C66" s="52" t="s">
        <v>33</v>
      </c>
      <c r="D66" s="52">
        <f>SUM(E66:F66)</f>
        <v>17570</v>
      </c>
      <c r="E66" s="52">
        <v>12299</v>
      </c>
      <c r="F66" s="52">
        <v>5271</v>
      </c>
      <c r="G66" s="52">
        <v>0</v>
      </c>
      <c r="H66" s="55">
        <v>0</v>
      </c>
      <c r="I66" s="54">
        <f>7589.85-5090</f>
        <v>2499.8500000000004</v>
      </c>
      <c r="J66" s="93">
        <v>0</v>
      </c>
      <c r="K66" s="54">
        <f>SUM(L66:M66)</f>
        <v>1533572.2199999997</v>
      </c>
      <c r="L66" s="54">
        <f>995905.19+88393.9+12299</f>
        <v>1096598.0899999999</v>
      </c>
      <c r="M66" s="54">
        <f>406492.73+25210.4+5271</f>
        <v>436974.13</v>
      </c>
      <c r="N66" s="54">
        <v>0</v>
      </c>
      <c r="O66" s="60" t="s">
        <v>33</v>
      </c>
      <c r="P66" s="54">
        <f>124380.06+2499.85</f>
        <v>126879.91</v>
      </c>
      <c r="Q66" s="55">
        <f>P66/K66</f>
        <v>0.08273487765708225</v>
      </c>
    </row>
    <row r="67" spans="1:17" s="39" customFormat="1" ht="21" thickBot="1">
      <c r="A67" s="99" t="s">
        <v>30</v>
      </c>
      <c r="B67" s="100">
        <v>23442026.810000002</v>
      </c>
      <c r="C67" s="100" t="s">
        <v>33</v>
      </c>
      <c r="D67" s="100">
        <v>0</v>
      </c>
      <c r="E67" s="100">
        <v>0</v>
      </c>
      <c r="F67" s="100">
        <v>0</v>
      </c>
      <c r="G67" s="100">
        <v>0</v>
      </c>
      <c r="H67" s="101">
        <v>0</v>
      </c>
      <c r="I67" s="102">
        <v>0</v>
      </c>
      <c r="J67" s="93">
        <v>0</v>
      </c>
      <c r="K67" s="102">
        <v>422623.5</v>
      </c>
      <c r="L67" s="102">
        <v>336403.61</v>
      </c>
      <c r="M67" s="102">
        <v>86219.89</v>
      </c>
      <c r="N67" s="102">
        <v>0</v>
      </c>
      <c r="O67" s="103" t="s">
        <v>33</v>
      </c>
      <c r="P67" s="102">
        <v>63399.85</v>
      </c>
      <c r="Q67" s="101">
        <v>0.1500149660395127</v>
      </c>
    </row>
    <row r="68" spans="1:17" s="17" customFormat="1" ht="150" customHeight="1" thickBot="1">
      <c r="A68" s="104" t="s">
        <v>64</v>
      </c>
      <c r="B68" s="105">
        <f>SUM(B69:B77)</f>
        <v>38541649.774908</v>
      </c>
      <c r="C68" s="105">
        <f>SUM(C69:C77)</f>
        <v>38541649.774908</v>
      </c>
      <c r="D68" s="106">
        <f>E68+F68+G68</f>
        <v>5933.07</v>
      </c>
      <c r="E68" s="107">
        <f>SUM(E69:E77)</f>
        <v>5043.11</v>
      </c>
      <c r="F68" s="107">
        <f>SUM(F69:F77)</f>
        <v>444.98</v>
      </c>
      <c r="G68" s="107">
        <f>SUM(G69:G77)</f>
        <v>444.98</v>
      </c>
      <c r="H68" s="108">
        <f>D68/C68</f>
        <v>0.00015393918098084743</v>
      </c>
      <c r="I68" s="109" t="s">
        <v>62</v>
      </c>
      <c r="J68" s="109" t="s">
        <v>62</v>
      </c>
      <c r="K68" s="107">
        <f>SUM(L68:N68)</f>
        <v>985144.2599999999</v>
      </c>
      <c r="L68" s="107">
        <f>SUM(L69:L77)</f>
        <v>819448.1499999999</v>
      </c>
      <c r="M68" s="107">
        <f>SUM(M69:M77)</f>
        <v>114177.87000000001</v>
      </c>
      <c r="N68" s="107">
        <f>SUM(N69:N77)</f>
        <v>51518.24</v>
      </c>
      <c r="O68" s="110">
        <f>K68/C68</f>
        <v>0.02556051092139196</v>
      </c>
      <c r="P68" s="109" t="s">
        <v>62</v>
      </c>
      <c r="Q68" s="111" t="s">
        <v>62</v>
      </c>
    </row>
    <row r="69" spans="1:17" s="3" customFormat="1" ht="18.75">
      <c r="A69" s="112" t="s">
        <v>20</v>
      </c>
      <c r="B69" s="113">
        <v>4835793.322056001</v>
      </c>
      <c r="C69" s="113">
        <v>4835793.322056001</v>
      </c>
      <c r="D69" s="113">
        <f>SUM(E69:G69)</f>
        <v>0</v>
      </c>
      <c r="E69" s="113">
        <v>0</v>
      </c>
      <c r="F69" s="113">
        <v>0</v>
      </c>
      <c r="G69" s="113">
        <v>0</v>
      </c>
      <c r="H69" s="114">
        <f>D69/C69</f>
        <v>0</v>
      </c>
      <c r="I69" s="113"/>
      <c r="J69" s="115"/>
      <c r="K69" s="116">
        <f>SUM(L69:N69)</f>
        <v>419639.64</v>
      </c>
      <c r="L69" s="113">
        <v>356693.67000000004</v>
      </c>
      <c r="M69" s="113">
        <v>62732.04</v>
      </c>
      <c r="N69" s="113">
        <v>213.92999999999998</v>
      </c>
      <c r="O69" s="117">
        <f>K69/C69</f>
        <v>0.08677782776323963</v>
      </c>
      <c r="P69" s="113"/>
      <c r="Q69" s="115"/>
    </row>
    <row r="70" spans="1:17" s="3" customFormat="1" ht="18.75">
      <c r="A70" s="118" t="s">
        <v>8</v>
      </c>
      <c r="B70" s="119">
        <v>5002968.606732</v>
      </c>
      <c r="C70" s="119">
        <v>5002968.606732</v>
      </c>
      <c r="D70" s="119">
        <f>E70+F70+G70</f>
        <v>5933.07</v>
      </c>
      <c r="E70" s="119">
        <v>5043.11</v>
      </c>
      <c r="F70" s="120">
        <f>444.98</f>
        <v>444.98</v>
      </c>
      <c r="G70" s="119">
        <f>444.98</f>
        <v>444.98</v>
      </c>
      <c r="H70" s="121">
        <f>D70/C70</f>
        <v>0.0011859098999774764</v>
      </c>
      <c r="I70" s="119"/>
      <c r="J70" s="122"/>
      <c r="K70" s="123">
        <f aca="true" t="shared" si="21" ref="K70:K77">SUM(L70:N70)</f>
        <v>38488.75000000001</v>
      </c>
      <c r="L70" s="119">
        <f>27510.38+E70</f>
        <v>32553.49</v>
      </c>
      <c r="M70" s="119">
        <f>4474.38+F70</f>
        <v>4919.360000000001</v>
      </c>
      <c r="N70" s="119">
        <f>570.92+G70</f>
        <v>1015.9</v>
      </c>
      <c r="O70" s="124">
        <f aca="true" t="shared" si="22" ref="O70:O77">K70/C70</f>
        <v>0.007693182393391297</v>
      </c>
      <c r="P70" s="119"/>
      <c r="Q70" s="122"/>
    </row>
    <row r="71" spans="1:17" s="3" customFormat="1" ht="18.75">
      <c r="A71" s="118" t="s">
        <v>32</v>
      </c>
      <c r="B71" s="119">
        <v>14255223.730224</v>
      </c>
      <c r="C71" s="119">
        <v>14255223.730223998</v>
      </c>
      <c r="D71" s="119">
        <v>0</v>
      </c>
      <c r="E71" s="119">
        <v>0</v>
      </c>
      <c r="F71" s="119">
        <v>0</v>
      </c>
      <c r="G71" s="119">
        <v>0</v>
      </c>
      <c r="H71" s="121">
        <f aca="true" t="shared" si="23" ref="H71:H77">D71/C71</f>
        <v>0</v>
      </c>
      <c r="I71" s="119"/>
      <c r="J71" s="122"/>
      <c r="K71" s="123">
        <f t="shared" si="21"/>
        <v>311538.55</v>
      </c>
      <c r="L71" s="125">
        <f>247540.55+464</f>
        <v>248004.55</v>
      </c>
      <c r="M71" s="125">
        <f>27798.04+82</f>
        <v>27880.04</v>
      </c>
      <c r="N71" s="125">
        <v>35653.96</v>
      </c>
      <c r="O71" s="124">
        <f t="shared" si="22"/>
        <v>0.021854343074214567</v>
      </c>
      <c r="P71" s="119"/>
      <c r="Q71" s="122"/>
    </row>
    <row r="72" spans="1:17" s="3" customFormat="1" ht="18" customHeight="1">
      <c r="A72" s="118" t="s">
        <v>10</v>
      </c>
      <c r="B72" s="119">
        <v>3627709.08906</v>
      </c>
      <c r="C72" s="119">
        <v>3627709.08906</v>
      </c>
      <c r="D72" s="119">
        <f aca="true" t="shared" si="24" ref="D72:D77">SUM(E72:G72)</f>
        <v>0</v>
      </c>
      <c r="E72" s="119">
        <v>0</v>
      </c>
      <c r="F72" s="119">
        <v>0</v>
      </c>
      <c r="G72" s="119">
        <v>0</v>
      </c>
      <c r="H72" s="121">
        <f t="shared" si="23"/>
        <v>0</v>
      </c>
      <c r="I72" s="119"/>
      <c r="J72" s="122"/>
      <c r="K72" s="126">
        <f t="shared" si="21"/>
        <v>12725.41</v>
      </c>
      <c r="L72" s="119">
        <v>9796.48</v>
      </c>
      <c r="M72" s="119">
        <v>1220.64</v>
      </c>
      <c r="N72" s="119">
        <v>1708.2900000000002</v>
      </c>
      <c r="O72" s="124">
        <f t="shared" si="22"/>
        <v>0.003507836402421498</v>
      </c>
      <c r="P72" s="119"/>
      <c r="Q72" s="122"/>
    </row>
    <row r="73" spans="1:17" s="3" customFormat="1" ht="18.75">
      <c r="A73" s="118" t="s">
        <v>21</v>
      </c>
      <c r="B73" s="119">
        <v>2180080.4379</v>
      </c>
      <c r="C73" s="119">
        <v>2180080.4379</v>
      </c>
      <c r="D73" s="119">
        <f t="shared" si="24"/>
        <v>0</v>
      </c>
      <c r="E73" s="119">
        <v>0</v>
      </c>
      <c r="F73" s="119">
        <v>0</v>
      </c>
      <c r="G73" s="119">
        <v>0</v>
      </c>
      <c r="H73" s="121">
        <v>0</v>
      </c>
      <c r="I73" s="119"/>
      <c r="J73" s="122"/>
      <c r="K73" s="126">
        <f t="shared" si="21"/>
        <v>27134.75</v>
      </c>
      <c r="L73" s="119">
        <v>23064.53</v>
      </c>
      <c r="M73" s="119">
        <v>4070.2200000000003</v>
      </c>
      <c r="N73" s="119">
        <v>0</v>
      </c>
      <c r="O73" s="124">
        <f t="shared" si="22"/>
        <v>0.012446673768669755</v>
      </c>
      <c r="P73" s="119"/>
      <c r="Q73" s="122"/>
    </row>
    <row r="74" spans="1:17" s="3" customFormat="1" ht="18.75">
      <c r="A74" s="118" t="s">
        <v>17</v>
      </c>
      <c r="B74" s="119">
        <v>2076616.4442359998</v>
      </c>
      <c r="C74" s="119">
        <v>2076616.4442359998</v>
      </c>
      <c r="D74" s="119">
        <f t="shared" si="24"/>
        <v>0</v>
      </c>
      <c r="E74" s="119">
        <v>0</v>
      </c>
      <c r="F74" s="119">
        <v>0</v>
      </c>
      <c r="G74" s="119">
        <v>0</v>
      </c>
      <c r="H74" s="121">
        <f t="shared" si="23"/>
        <v>0</v>
      </c>
      <c r="I74" s="119"/>
      <c r="J74" s="122"/>
      <c r="K74" s="126">
        <f t="shared" si="21"/>
        <v>94597.85</v>
      </c>
      <c r="L74" s="119">
        <v>80408.17000000001</v>
      </c>
      <c r="M74" s="119">
        <v>1466.76</v>
      </c>
      <c r="N74" s="119">
        <v>12722.920000000002</v>
      </c>
      <c r="O74" s="124">
        <f t="shared" si="22"/>
        <v>0.045553838438760486</v>
      </c>
      <c r="P74" s="119"/>
      <c r="Q74" s="122"/>
    </row>
    <row r="75" spans="1:17" s="3" customFormat="1" ht="18.75">
      <c r="A75" s="118" t="s">
        <v>9</v>
      </c>
      <c r="B75" s="119">
        <v>1146210.7744439999</v>
      </c>
      <c r="C75" s="119">
        <v>1146210.7744439999</v>
      </c>
      <c r="D75" s="119">
        <f t="shared" si="24"/>
        <v>0</v>
      </c>
      <c r="E75" s="119">
        <v>0</v>
      </c>
      <c r="F75" s="119">
        <v>0</v>
      </c>
      <c r="G75" s="119">
        <v>0</v>
      </c>
      <c r="H75" s="121">
        <f t="shared" si="23"/>
        <v>0</v>
      </c>
      <c r="I75" s="119"/>
      <c r="J75" s="122"/>
      <c r="K75" s="126">
        <f t="shared" si="21"/>
        <v>4823.23</v>
      </c>
      <c r="L75" s="119">
        <v>4099.75</v>
      </c>
      <c r="M75" s="119">
        <v>520.24</v>
      </c>
      <c r="N75" s="119">
        <v>203.24</v>
      </c>
      <c r="O75" s="124">
        <f t="shared" si="22"/>
        <v>0.004207978242343461</v>
      </c>
      <c r="P75" s="119"/>
      <c r="Q75" s="122"/>
    </row>
    <row r="76" spans="1:17" s="3" customFormat="1" ht="18.75">
      <c r="A76" s="118" t="s">
        <v>22</v>
      </c>
      <c r="B76" s="119">
        <v>960770.316612</v>
      </c>
      <c r="C76" s="119">
        <v>960770.316612</v>
      </c>
      <c r="D76" s="119">
        <v>0</v>
      </c>
      <c r="E76" s="119">
        <v>0</v>
      </c>
      <c r="F76" s="119">
        <v>0</v>
      </c>
      <c r="G76" s="119">
        <v>0</v>
      </c>
      <c r="H76" s="121">
        <f t="shared" si="23"/>
        <v>0</v>
      </c>
      <c r="I76" s="119"/>
      <c r="J76" s="122"/>
      <c r="K76" s="126">
        <f t="shared" si="21"/>
        <v>37367.58</v>
      </c>
      <c r="L76" s="119">
        <f>31762.45</f>
        <v>31762.45</v>
      </c>
      <c r="M76" s="119">
        <f>5605.13</f>
        <v>5605.13</v>
      </c>
      <c r="N76" s="119">
        <v>0</v>
      </c>
      <c r="O76" s="124">
        <f t="shared" si="22"/>
        <v>0.0388933539618196</v>
      </c>
      <c r="P76" s="119"/>
      <c r="Q76" s="122"/>
    </row>
    <row r="77" spans="1:17" ht="20.25" customHeight="1" thickBot="1">
      <c r="A77" s="127" t="s">
        <v>55</v>
      </c>
      <c r="B77" s="128">
        <v>4456277.053644</v>
      </c>
      <c r="C77" s="128">
        <v>4456277.053644</v>
      </c>
      <c r="D77" s="128">
        <f t="shared" si="24"/>
        <v>0</v>
      </c>
      <c r="E77" s="128">
        <v>0</v>
      </c>
      <c r="F77" s="128">
        <v>0</v>
      </c>
      <c r="G77" s="128">
        <v>0</v>
      </c>
      <c r="H77" s="129">
        <f t="shared" si="23"/>
        <v>0</v>
      </c>
      <c r="I77" s="128"/>
      <c r="J77" s="130"/>
      <c r="K77" s="131">
        <f t="shared" si="21"/>
        <v>38828.499999999985</v>
      </c>
      <c r="L77" s="128">
        <v>33065.05999999998</v>
      </c>
      <c r="M77" s="128">
        <v>5763.440000000001</v>
      </c>
      <c r="N77" s="128">
        <v>0</v>
      </c>
      <c r="O77" s="132">
        <f t="shared" si="22"/>
        <v>0.008713214984748094</v>
      </c>
      <c r="P77" s="128"/>
      <c r="Q77" s="130"/>
    </row>
    <row r="78" spans="1:17" ht="105" customHeight="1" thickBot="1">
      <c r="A78" s="32" t="s">
        <v>65</v>
      </c>
      <c r="B78" s="133">
        <f aca="true" t="shared" si="25" ref="B78:G78">SUM(B79:B84)</f>
        <v>13904024</v>
      </c>
      <c r="C78" s="133">
        <f t="shared" si="25"/>
        <v>15398448</v>
      </c>
      <c r="D78" s="133">
        <f t="shared" si="25"/>
        <v>30475.170000000002</v>
      </c>
      <c r="E78" s="133">
        <f t="shared" si="25"/>
        <v>25903.899999999998</v>
      </c>
      <c r="F78" s="133">
        <f t="shared" si="25"/>
        <v>3999.36</v>
      </c>
      <c r="G78" s="133">
        <f t="shared" si="25"/>
        <v>571.9</v>
      </c>
      <c r="H78" s="134">
        <f aca="true" t="shared" si="26" ref="H78:H84">D78/C78</f>
        <v>0.0019791065956776942</v>
      </c>
      <c r="I78" s="109" t="s">
        <v>62</v>
      </c>
      <c r="J78" s="109" t="s">
        <v>62</v>
      </c>
      <c r="K78" s="133">
        <f>SUM(K79:K84)</f>
        <v>30531.62</v>
      </c>
      <c r="L78" s="133">
        <f>SUM(L79:L84)</f>
        <v>25947.959999999995</v>
      </c>
      <c r="M78" s="133">
        <f>SUM(M79:M84)</f>
        <v>4007.19</v>
      </c>
      <c r="N78" s="133">
        <f>SUM(N79:N84)</f>
        <v>576.47</v>
      </c>
      <c r="O78" s="135">
        <f aca="true" t="shared" si="27" ref="O78:O84">K78/C78</f>
        <v>0.001982772549545253</v>
      </c>
      <c r="P78" s="109" t="s">
        <v>62</v>
      </c>
      <c r="Q78" s="111" t="s">
        <v>62</v>
      </c>
    </row>
    <row r="79" spans="1:17" ht="19.5" customHeight="1">
      <c r="A79" s="136" t="s">
        <v>20</v>
      </c>
      <c r="B79" s="113">
        <v>473341</v>
      </c>
      <c r="C79" s="137">
        <v>1232652</v>
      </c>
      <c r="D79" s="113">
        <v>25711.38</v>
      </c>
      <c r="E79" s="113">
        <v>21854.67</v>
      </c>
      <c r="F79" s="113">
        <v>3856.7</v>
      </c>
      <c r="G79" s="113">
        <v>0</v>
      </c>
      <c r="H79" s="138">
        <f t="shared" si="26"/>
        <v>0.020858587825274288</v>
      </c>
      <c r="I79" s="113"/>
      <c r="J79" s="113"/>
      <c r="K79" s="113">
        <v>25711.38</v>
      </c>
      <c r="L79" s="113">
        <v>21854.67</v>
      </c>
      <c r="M79" s="113">
        <v>3856.71</v>
      </c>
      <c r="N79" s="113">
        <v>0</v>
      </c>
      <c r="O79" s="139">
        <f t="shared" si="27"/>
        <v>0.020858587825274288</v>
      </c>
      <c r="P79" s="113"/>
      <c r="Q79" s="115"/>
    </row>
    <row r="80" spans="1:17" s="26" customFormat="1" ht="18.75" customHeight="1">
      <c r="A80" s="140" t="s">
        <v>8</v>
      </c>
      <c r="B80" s="119">
        <v>211202</v>
      </c>
      <c r="C80" s="141">
        <v>250663</v>
      </c>
      <c r="D80" s="141">
        <v>940.22</v>
      </c>
      <c r="E80" s="141">
        <v>799.19</v>
      </c>
      <c r="F80" s="141">
        <v>141.03</v>
      </c>
      <c r="G80" s="119">
        <v>0</v>
      </c>
      <c r="H80" s="142">
        <f t="shared" si="26"/>
        <v>0.003750932526938559</v>
      </c>
      <c r="I80" s="119"/>
      <c r="J80" s="119"/>
      <c r="K80" s="141">
        <v>940.22</v>
      </c>
      <c r="L80" s="141">
        <v>799.19</v>
      </c>
      <c r="M80" s="141">
        <v>141.03</v>
      </c>
      <c r="N80" s="141">
        <v>0</v>
      </c>
      <c r="O80" s="143">
        <f t="shared" si="27"/>
        <v>0.003750932526938559</v>
      </c>
      <c r="P80" s="119"/>
      <c r="Q80" s="122"/>
    </row>
    <row r="81" spans="1:17" ht="15" customHeight="1" hidden="1">
      <c r="A81" s="140" t="s">
        <v>32</v>
      </c>
      <c r="B81" s="119">
        <v>8383496</v>
      </c>
      <c r="C81" s="141">
        <v>8383496</v>
      </c>
      <c r="D81" s="141">
        <v>3812.69</v>
      </c>
      <c r="E81" s="141">
        <v>3240.79</v>
      </c>
      <c r="F81" s="141">
        <v>0</v>
      </c>
      <c r="G81" s="141">
        <v>571.9</v>
      </c>
      <c r="H81" s="142">
        <f t="shared" si="26"/>
        <v>0.0004547852113247266</v>
      </c>
      <c r="I81" s="119"/>
      <c r="J81" s="119"/>
      <c r="K81" s="141">
        <v>3859.35</v>
      </c>
      <c r="L81" s="141">
        <v>3276.53</v>
      </c>
      <c r="M81" s="141">
        <v>6.35</v>
      </c>
      <c r="N81" s="141">
        <v>576.47</v>
      </c>
      <c r="O81" s="143">
        <f t="shared" si="27"/>
        <v>0.00046035090849927044</v>
      </c>
      <c r="P81" s="119"/>
      <c r="Q81" s="122"/>
    </row>
    <row r="82" spans="1:17" ht="18.75" customHeight="1" hidden="1">
      <c r="A82" s="140" t="s">
        <v>28</v>
      </c>
      <c r="B82" s="119">
        <v>104967</v>
      </c>
      <c r="C82" s="141">
        <v>191578</v>
      </c>
      <c r="D82" s="119">
        <v>0</v>
      </c>
      <c r="E82" s="119">
        <v>0</v>
      </c>
      <c r="F82" s="119">
        <v>0</v>
      </c>
      <c r="G82" s="119">
        <v>0</v>
      </c>
      <c r="H82" s="142">
        <f t="shared" si="26"/>
        <v>0</v>
      </c>
      <c r="I82" s="119"/>
      <c r="J82" s="119"/>
      <c r="K82" s="119">
        <v>0</v>
      </c>
      <c r="L82" s="119">
        <v>0</v>
      </c>
      <c r="M82" s="119">
        <v>0</v>
      </c>
      <c r="N82" s="119">
        <v>0</v>
      </c>
      <c r="O82" s="143">
        <f t="shared" si="27"/>
        <v>0</v>
      </c>
      <c r="P82" s="119"/>
      <c r="Q82" s="122"/>
    </row>
    <row r="83" spans="1:17" ht="19.5" customHeight="1">
      <c r="A83" s="140" t="s">
        <v>55</v>
      </c>
      <c r="B83" s="119">
        <v>842941</v>
      </c>
      <c r="C83" s="141">
        <v>1451982</v>
      </c>
      <c r="D83" s="141">
        <v>10.88</v>
      </c>
      <c r="E83" s="141">
        <v>9.25</v>
      </c>
      <c r="F83" s="141">
        <v>1.63</v>
      </c>
      <c r="G83" s="119">
        <v>0</v>
      </c>
      <c r="H83" s="142">
        <f t="shared" si="26"/>
        <v>7.493205838639873E-06</v>
      </c>
      <c r="I83" s="119"/>
      <c r="J83" s="119"/>
      <c r="K83" s="141">
        <v>20.67</v>
      </c>
      <c r="L83" s="141">
        <v>17.57</v>
      </c>
      <c r="M83" s="141">
        <v>3.1</v>
      </c>
      <c r="N83" s="119">
        <v>0</v>
      </c>
      <c r="O83" s="143">
        <f t="shared" si="27"/>
        <v>1.4235713665871892E-05</v>
      </c>
      <c r="P83" s="119"/>
      <c r="Q83" s="122"/>
    </row>
    <row r="84" spans="1:17" ht="18.75" customHeight="1" thickBot="1">
      <c r="A84" s="127" t="s">
        <v>11</v>
      </c>
      <c r="B84" s="128">
        <v>3888077</v>
      </c>
      <c r="C84" s="128">
        <v>3888077</v>
      </c>
      <c r="D84" s="128">
        <v>0</v>
      </c>
      <c r="E84" s="128">
        <v>0</v>
      </c>
      <c r="F84" s="128">
        <v>0</v>
      </c>
      <c r="G84" s="128">
        <v>0</v>
      </c>
      <c r="H84" s="144">
        <f t="shared" si="26"/>
        <v>0</v>
      </c>
      <c r="I84" s="128"/>
      <c r="J84" s="128"/>
      <c r="K84" s="145">
        <v>0</v>
      </c>
      <c r="L84" s="128">
        <v>0</v>
      </c>
      <c r="M84" s="128">
        <v>0</v>
      </c>
      <c r="N84" s="128">
        <v>0</v>
      </c>
      <c r="O84" s="146">
        <f t="shared" si="27"/>
        <v>0</v>
      </c>
      <c r="P84" s="128"/>
      <c r="Q84" s="130"/>
    </row>
    <row r="85" spans="1:17" ht="27" customHeight="1">
      <c r="A85" s="23" t="s">
        <v>63</v>
      </c>
      <c r="D85" s="20"/>
      <c r="E85" s="20"/>
      <c r="F85" s="20"/>
      <c r="G85" s="20"/>
      <c r="H85" s="20"/>
      <c r="J85" s="25"/>
      <c r="L85" s="25"/>
      <c r="M85" s="25"/>
      <c r="N85" s="25"/>
      <c r="P85" s="25"/>
      <c r="Q85" s="25"/>
    </row>
    <row r="86" spans="1:9" ht="20.25">
      <c r="A86" s="24" t="s">
        <v>67</v>
      </c>
      <c r="B86" s="22"/>
      <c r="C86" s="22"/>
      <c r="I86" s="20"/>
    </row>
    <row r="87" spans="2:3" ht="15.75">
      <c r="B87" s="22"/>
      <c r="C87" s="22"/>
    </row>
    <row r="88" spans="1:3" ht="20.25">
      <c r="A88" s="37" t="s">
        <v>70</v>
      </c>
      <c r="B88" s="22"/>
      <c r="C88" s="22"/>
    </row>
    <row r="89" spans="1:3" ht="20.25">
      <c r="A89" s="24" t="s">
        <v>68</v>
      </c>
      <c r="B89" s="22"/>
      <c r="C89" s="22"/>
    </row>
    <row r="90" ht="20.25">
      <c r="A90" s="24" t="s">
        <v>69</v>
      </c>
    </row>
  </sheetData>
  <sheetProtection/>
  <mergeCells count="6">
    <mergeCell ref="A8:Q8"/>
    <mergeCell ref="A11:A12"/>
    <mergeCell ref="B11:B12"/>
    <mergeCell ref="D11:J11"/>
    <mergeCell ref="C11:C12"/>
    <mergeCell ref="K11:Q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2"/>
  <headerFooter>
    <oddHeader>&amp;C&amp;P/&amp;N</oddHeader>
    <oddFooter>&amp;L&amp;"Times New Roman,Regular"FMzinop4_150812_ES_fondi;Informācija par neatbilstoši veiktiem izdevumiem un atgūtiem neatbilstoši veiktiem izdevumiem uz 30.06.2012.</oddFooter>
  </headerFooter>
  <rowBreaks count="1" manualBreakCount="1">
    <brk id="5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I31" sqref="I31"/>
    </sheetView>
  </sheetViews>
  <sheetFormatPr defaultColWidth="9.140625" defaultRowHeight="15"/>
  <cols>
    <col min="2" max="2" width="21.00390625" style="0" customWidth="1"/>
    <col min="3" max="3" width="17.421875" style="0" customWidth="1"/>
  </cols>
  <sheetData>
    <row r="2" spans="2:5" ht="15">
      <c r="B2" t="s">
        <v>48</v>
      </c>
      <c r="C2" t="s">
        <v>49</v>
      </c>
      <c r="E2" s="6">
        <v>0.7098</v>
      </c>
    </row>
    <row r="3" spans="1:3" ht="15">
      <c r="A3" t="s">
        <v>45</v>
      </c>
      <c r="B3">
        <v>23756.1</v>
      </c>
      <c r="C3">
        <v>351823.2800000002</v>
      </c>
    </row>
    <row r="4" spans="1:3" ht="15">
      <c r="A4" t="s">
        <v>46</v>
      </c>
      <c r="B4">
        <v>26133.069999999996</v>
      </c>
      <c r="C4">
        <v>665233.5299999998</v>
      </c>
    </row>
    <row r="5" spans="1:3" ht="15">
      <c r="A5" t="s">
        <v>47</v>
      </c>
      <c r="B5">
        <v>636318.16</v>
      </c>
      <c r="C5">
        <v>4970592.339999999</v>
      </c>
    </row>
    <row r="6" spans="1:3" ht="15">
      <c r="A6" t="s">
        <v>50</v>
      </c>
      <c r="B6">
        <v>686207.33</v>
      </c>
      <c r="C6">
        <v>5987649.149999999</v>
      </c>
    </row>
    <row r="7" spans="2:3" ht="15">
      <c r="B7">
        <v>1027627.04</v>
      </c>
      <c r="C7">
        <v>5727726.68</v>
      </c>
    </row>
    <row r="8" spans="2:3" ht="15">
      <c r="B8" s="7">
        <f>B5/B7</f>
        <v>0.6192111877476483</v>
      </c>
      <c r="C8" s="7">
        <f>C5/C7</f>
        <v>0.8678124180324888</v>
      </c>
    </row>
    <row r="12" spans="1:2" ht="15">
      <c r="A12" s="4">
        <v>18546.37</v>
      </c>
      <c r="B12" s="5">
        <v>4362281.079999999</v>
      </c>
    </row>
    <row r="13" spans="1:2" ht="15">
      <c r="A13" s="4">
        <v>617771.79</v>
      </c>
      <c r="B13" s="5">
        <v>608311.2600000001</v>
      </c>
    </row>
    <row r="14" spans="1:2" ht="15">
      <c r="A14" s="4">
        <f>SUM(A12:A13)</f>
        <v>636318.16</v>
      </c>
      <c r="B14" s="4">
        <f>SUM(B12:B13)</f>
        <v>4970592.339999999</v>
      </c>
    </row>
    <row r="16" spans="2:3" ht="15">
      <c r="B16" t="s">
        <v>48</v>
      </c>
      <c r="C16" t="s">
        <v>49</v>
      </c>
    </row>
    <row r="17" spans="1:3" ht="15">
      <c r="A17" t="s">
        <v>45</v>
      </c>
      <c r="B17">
        <f aca="true" t="shared" si="0" ref="B17:C20">B3/$E$2</f>
        <v>33468.7235841082</v>
      </c>
      <c r="C17">
        <f t="shared" si="0"/>
        <v>495665.3705269093</v>
      </c>
    </row>
    <row r="18" spans="1:3" ht="15">
      <c r="A18" t="s">
        <v>46</v>
      </c>
      <c r="B18" s="1">
        <f t="shared" si="0"/>
        <v>36817.51197520428</v>
      </c>
      <c r="C18" s="1">
        <f t="shared" si="0"/>
        <v>937212.6373626371</v>
      </c>
    </row>
    <row r="19" spans="1:3" ht="15">
      <c r="A19" t="s">
        <v>47</v>
      </c>
      <c r="B19" s="1">
        <f t="shared" si="0"/>
        <v>896475.2888137504</v>
      </c>
      <c r="C19" s="1">
        <f t="shared" si="0"/>
        <v>7002806.903353056</v>
      </c>
    </row>
    <row r="20" spans="1:3" ht="15">
      <c r="A20" t="s">
        <v>50</v>
      </c>
      <c r="B20" s="1">
        <f t="shared" si="0"/>
        <v>966761.5243730628</v>
      </c>
      <c r="C20" s="1">
        <f t="shared" si="0"/>
        <v>8435684.911242602</v>
      </c>
    </row>
    <row r="22" ht="15">
      <c r="A22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4.pielikums</dc:title>
  <dc:subject>Informācija par neatbilstībām un neatbilstoši veiktiem izdevumiem un atgūtiem neatbilstoši veiktiem izdevumiem uz 2012.gada 30.jūniju, latos (neieskaitot maksātnespējas gadījumus)</dc:subject>
  <dc:creator>Anna Pukse</dc:creator>
  <cp:keywords/>
  <dc:description>Ojārs Daugavietis
LR Finanšu ministrijas
Eiropas Savienības fondu uzraudzības departamenta
Ieviešanas sistēmas nodaļas
vecākā eksperte 
Tālr.: 67 083 930; fakss 67095697
E-pasts: Anna.Pukse@fm.gov.lv</dc:description>
  <cp:lastModifiedBy>Lelde Torntone</cp:lastModifiedBy>
  <cp:lastPrinted>2012-08-15T11:24:56Z</cp:lastPrinted>
  <dcterms:created xsi:type="dcterms:W3CDTF">2010-10-05T14:48:30Z</dcterms:created>
  <dcterms:modified xsi:type="dcterms:W3CDTF">2012-08-15T11:25:02Z</dcterms:modified>
  <cp:category/>
  <cp:version/>
  <cp:contentType/>
  <cp:contentStatus/>
</cp:coreProperties>
</file>