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264"/>
  </bookViews>
  <sheets>
    <sheet name="4.pielikums" sheetId="1" r:id="rId1"/>
  </sheets>
  <calcPr calcId="145621"/>
</workbook>
</file>

<file path=xl/calcChain.xml><?xml version="1.0" encoding="utf-8"?>
<calcChain xmlns="http://schemas.openxmlformats.org/spreadsheetml/2006/main">
  <c r="AX10" i="1" l="1"/>
  <c r="AY10" i="1"/>
  <c r="BA10" i="1"/>
  <c r="BA27" i="1" s="1"/>
  <c r="BB10" i="1"/>
  <c r="AX11" i="1"/>
  <c r="AY11" i="1"/>
  <c r="BA11" i="1"/>
  <c r="BB11" i="1"/>
  <c r="BB27" i="1" s="1"/>
  <c r="AX12" i="1"/>
  <c r="AY12" i="1"/>
  <c r="AX13" i="1"/>
  <c r="AY13" i="1"/>
  <c r="AX14" i="1"/>
  <c r="AY14" i="1"/>
  <c r="AX15" i="1"/>
  <c r="AY15" i="1"/>
  <c r="BA15" i="1"/>
  <c r="BC15" i="1" s="1"/>
  <c r="BB15" i="1"/>
  <c r="AX16" i="1"/>
  <c r="AY16" i="1"/>
  <c r="BA16" i="1"/>
  <c r="BB16" i="1"/>
  <c r="AX17" i="1"/>
  <c r="AY17" i="1"/>
  <c r="AX18" i="1"/>
  <c r="AY18" i="1"/>
  <c r="AX19" i="1"/>
  <c r="AY19" i="1"/>
  <c r="N20" i="1"/>
  <c r="AX20" i="1" s="1"/>
  <c r="AY20" i="1"/>
  <c r="BA20" i="1"/>
  <c r="BC20" i="1" s="1"/>
  <c r="AX21" i="1"/>
  <c r="AY21" i="1"/>
  <c r="AX22" i="1"/>
  <c r="AY22" i="1"/>
  <c r="AX23" i="1"/>
  <c r="AY23" i="1"/>
  <c r="AX24" i="1"/>
  <c r="AY24" i="1"/>
  <c r="AX25" i="1"/>
  <c r="AY25" i="1"/>
  <c r="AX26" i="1"/>
  <c r="A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Y27" i="1"/>
  <c r="AB29" i="1"/>
  <c r="AX29" i="1" s="1"/>
  <c r="AC29" i="1"/>
  <c r="AC35" i="1" s="1"/>
  <c r="BA29" i="1"/>
  <c r="BC29" i="1" s="1"/>
  <c r="BB29" i="1"/>
  <c r="N30" i="1"/>
  <c r="N35" i="1" s="1"/>
  <c r="AX30" i="1"/>
  <c r="AY30" i="1"/>
  <c r="BA30" i="1"/>
  <c r="BC30" i="1" s="1"/>
  <c r="BB30" i="1"/>
  <c r="BB35" i="1" s="1"/>
  <c r="AX31" i="1"/>
  <c r="AY31" i="1"/>
  <c r="AX32" i="1"/>
  <c r="AY32" i="1"/>
  <c r="AX33" i="1"/>
  <c r="AY33" i="1"/>
  <c r="AX34" i="1"/>
  <c r="AY34" i="1"/>
  <c r="B35" i="1"/>
  <c r="C35" i="1"/>
  <c r="D35" i="1"/>
  <c r="E35" i="1"/>
  <c r="F35" i="1"/>
  <c r="G35" i="1"/>
  <c r="H35" i="1"/>
  <c r="I35" i="1"/>
  <c r="J35" i="1"/>
  <c r="K35" i="1"/>
  <c r="L35" i="1"/>
  <c r="M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BA35" i="1"/>
  <c r="BC31" i="1" s="1"/>
  <c r="AB37" i="1"/>
  <c r="AC37" i="1"/>
  <c r="AY37" i="1" s="1"/>
  <c r="AX37" i="1"/>
  <c r="BA37" i="1"/>
  <c r="BB37" i="1"/>
  <c r="AX38" i="1"/>
  <c r="AY38" i="1"/>
  <c r="BA38" i="1"/>
  <c r="BB38" i="1"/>
  <c r="N39" i="1"/>
  <c r="AX39" i="1" s="1"/>
  <c r="AY39" i="1"/>
  <c r="BA39" i="1"/>
  <c r="BB39" i="1"/>
  <c r="AX40" i="1"/>
  <c r="AY40" i="1"/>
  <c r="AB41" i="1"/>
  <c r="AX41" i="1" s="1"/>
  <c r="AC41" i="1"/>
  <c r="AY41" i="1" s="1"/>
  <c r="BA41" i="1"/>
  <c r="BB41" i="1"/>
  <c r="AX42" i="1"/>
  <c r="AY42" i="1"/>
  <c r="AX43" i="1"/>
  <c r="AY43" i="1"/>
  <c r="BA43" i="1"/>
  <c r="BB43" i="1"/>
  <c r="B44" i="1"/>
  <c r="C44" i="1"/>
  <c r="D44" i="1"/>
  <c r="E44" i="1"/>
  <c r="F44" i="1"/>
  <c r="G44" i="1"/>
  <c r="H44" i="1"/>
  <c r="I44" i="1"/>
  <c r="J44" i="1"/>
  <c r="K44" i="1"/>
  <c r="L44" i="1"/>
  <c r="M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BB44" i="1"/>
  <c r="AX35" i="1" l="1"/>
  <c r="AX27" i="1"/>
  <c r="AZ20" i="1"/>
  <c r="AZ11" i="1"/>
  <c r="AZ42" i="1"/>
  <c r="AZ25" i="1"/>
  <c r="AZ23" i="1"/>
  <c r="AZ21" i="1"/>
  <c r="AX44" i="1"/>
  <c r="AZ38" i="1" s="1"/>
  <c r="AZ16" i="1"/>
  <c r="BC11" i="1"/>
  <c r="BC12" i="1"/>
  <c r="BC13" i="1"/>
  <c r="BC14" i="1"/>
  <c r="BC17" i="1"/>
  <c r="BC19" i="1"/>
  <c r="BC21" i="1"/>
  <c r="BC22" i="1"/>
  <c r="BC23" i="1"/>
  <c r="BC24" i="1"/>
  <c r="BC25" i="1"/>
  <c r="BC26" i="1"/>
  <c r="BC16" i="1"/>
  <c r="BC18" i="1"/>
  <c r="AZ43" i="1"/>
  <c r="AZ39" i="1"/>
  <c r="AY44" i="1"/>
  <c r="AZ30" i="1"/>
  <c r="AZ26" i="1"/>
  <c r="AZ24" i="1"/>
  <c r="AZ22" i="1"/>
  <c r="BA44" i="1"/>
  <c r="BC39" i="1" s="1"/>
  <c r="AY29" i="1"/>
  <c r="AY35" i="1" s="1"/>
  <c r="BC10" i="1"/>
  <c r="N44" i="1"/>
  <c r="BC34" i="1"/>
  <c r="BC33" i="1"/>
  <c r="BC32" i="1"/>
  <c r="AZ37" i="1" l="1"/>
  <c r="AZ40" i="1"/>
  <c r="AZ41" i="1"/>
  <c r="AZ17" i="1"/>
  <c r="AZ18" i="1"/>
  <c r="AZ10" i="1"/>
  <c r="AZ12" i="1"/>
  <c r="AZ13" i="1"/>
  <c r="AZ14" i="1"/>
  <c r="AZ15" i="1"/>
  <c r="AZ19" i="1"/>
  <c r="BC38" i="1"/>
  <c r="BC43" i="1"/>
  <c r="BC40" i="1"/>
  <c r="BC42" i="1"/>
  <c r="BC41" i="1"/>
  <c r="AZ31" i="1"/>
  <c r="AZ32" i="1"/>
  <c r="AZ33" i="1"/>
  <c r="AZ34" i="1"/>
  <c r="BC37" i="1"/>
  <c r="AZ29" i="1"/>
</calcChain>
</file>

<file path=xl/comments1.xml><?xml version="1.0" encoding="utf-8"?>
<comments xmlns="http://schemas.openxmlformats.org/spreadsheetml/2006/main">
  <authors>
    <author>FM</author>
    <author>au-avota</author>
  </authors>
  <commentList>
    <comment ref="AB1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FM:
</t>
        </r>
        <r>
          <rPr>
            <sz val="9"/>
            <color indexed="81"/>
            <rFont val="Tahoma"/>
            <family val="2"/>
            <charset val="186"/>
          </rPr>
          <t>IeM</t>
        </r>
      </text>
    </comment>
    <comment ref="AC10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A10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VI+IeM</t>
        </r>
      </text>
    </comment>
    <comment ref="BB10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VI+IeM</t>
        </r>
      </text>
    </comment>
    <comment ref="BA11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VARAM+VI</t>
        </r>
      </text>
    </comment>
    <comment ref="BA12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14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</t>
        </r>
      </text>
    </comment>
    <comment ref="BA15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ZM+VI</t>
        </r>
      </text>
    </comment>
    <comment ref="AB1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C1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BA16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SOL/KM+VI</t>
        </r>
      </text>
    </comment>
    <comment ref="BA17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AB1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C1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A1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B1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A20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2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22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23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2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25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26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</t>
        </r>
      </text>
    </comment>
    <comment ref="AB2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C2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A29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VARAM+ZM+KM/SOL+VI+IeM</t>
        </r>
      </text>
    </comment>
    <comment ref="BB2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VARAM+ZM+KM/SOL+VI+IeM</t>
        </r>
      </text>
    </comment>
    <comment ref="BA30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
</t>
        </r>
      </text>
    </comment>
    <comment ref="BB30" authorId="1">
      <text>
        <r>
          <rPr>
            <b/>
            <sz val="9"/>
            <color indexed="81"/>
            <rFont val="Tahoma"/>
            <family val="2"/>
            <charset val="186"/>
          </rPr>
          <t>au-avota:</t>
        </r>
        <r>
          <rPr>
            <sz val="9"/>
            <color indexed="81"/>
            <rFont val="Tahoma"/>
            <family val="2"/>
            <charset val="186"/>
          </rPr>
          <t xml:space="preserve">
VI+ZM</t>
        </r>
      </text>
    </comment>
    <comment ref="BA3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32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BA33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</t>
        </r>
      </text>
    </comment>
    <comment ref="BA3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AB37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C37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BA37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ZM+KM/SOL+VI+IeM</t>
        </r>
      </text>
    </comment>
    <comment ref="BA3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ZM+VI</t>
        </r>
      </text>
    </comment>
    <comment ref="AB3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C39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A39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ZM+VI+IeM</t>
        </r>
      </text>
    </comment>
    <comment ref="BA40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</t>
        </r>
      </text>
    </comment>
    <comment ref="AB41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BA41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VARAM+ZM+KM/SOL+VI+IeM</t>
        </r>
      </text>
    </comment>
    <comment ref="AB42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
</t>
        </r>
      </text>
    </comment>
    <comment ref="BA42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BA43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ZM+VI</t>
        </r>
      </text>
    </comment>
  </commentList>
</comments>
</file>

<file path=xl/sharedStrings.xml><?xml version="1.0" encoding="utf-8"?>
<sst xmlns="http://schemas.openxmlformats.org/spreadsheetml/2006/main" count="142" uniqueCount="86">
  <si>
    <t>* Eiropas Savienības struktūrfondu 2004.-2006.gada plānošanas periodā Eiropas Sociālais fonds un Zivsaimniecības vadības finanšu instruments; Eiropas Savienības Kohēzijas fonds 2004.-2006.gada plānošanas periods; Eiropas Kopienas iniciatīvas - Interreg programma un EQUAL programma; Pirmsiestāšanās fondi- Pārejas programma (Transition Facility), PHARE programma, SAPARD programma; un citi ES finanšu palīdzības instrumenti kā TEN-T un TEN-E programma nav atspoguļota šajā pielikumā, jo minēto fondu/programmu ietvaros neatbilstības nav konstatētas 2011.gadā un/vai fonds/programma ir slēgta</t>
  </si>
  <si>
    <t>X</t>
  </si>
  <si>
    <t>Kopā</t>
  </si>
  <si>
    <t>Izglītības iestādes</t>
  </si>
  <si>
    <t>Starptautiskā organizācija</t>
  </si>
  <si>
    <t>NVO</t>
  </si>
  <si>
    <t>Fiziskas personas (FP)</t>
  </si>
  <si>
    <t>Privāto tiesību juridiska persona (PR)</t>
  </si>
  <si>
    <t>Pašvaldības iestāde     (PA)</t>
  </si>
  <si>
    <t>Valsts iestāde (V)</t>
  </si>
  <si>
    <t>Sadalījumā pa finansējuma saņēmējiem</t>
  </si>
  <si>
    <t>Cita neatbilstība</t>
  </si>
  <si>
    <t xml:space="preserve"> Klienta tīša vai netīša vaina</t>
  </si>
  <si>
    <t>Iespējams interešu konflikts</t>
  </si>
  <si>
    <t>Iepirkumu vai konkureces normu pārkāpums</t>
  </si>
  <si>
    <t>Aizdomas par krāpšanu un organizēto noziedzību</t>
  </si>
  <si>
    <t>Kļūda (ar finansiālu ietekmi)</t>
  </si>
  <si>
    <t>Pēs neatbilstības veida</t>
  </si>
  <si>
    <t>Platību maksājumiem - neiesniegts pieteikums, samazināta saistību platība, gala aprēķina korekcija pēc pārdeklarācijas piemērošanas; Projektveidīgajiem pasākumiem - pretendents atsakās turpināt projektu, trūkstoši dokumenti.</t>
  </si>
  <si>
    <t>Pirmsmaksājumu pārbaude</t>
  </si>
  <si>
    <t>Starpposma/noslēguma pārskata izvērtēšana</t>
  </si>
  <si>
    <t>KNAB vēstule</t>
  </si>
  <si>
    <t>Eksperta slēdziens</t>
  </si>
  <si>
    <t>FS sniegtā informācija</t>
  </si>
  <si>
    <t>Cits veids</t>
  </si>
  <si>
    <t>Finanšu kontrole (attaisnojuma dokumentu 100% pārbaude)</t>
  </si>
  <si>
    <t>Iepirkumu pārbaude</t>
  </si>
  <si>
    <t>Iepirkumu pirmspārbaudes</t>
  </si>
  <si>
    <t>Projekta noslēguma izdevumu deklarācijas pārbaude</t>
  </si>
  <si>
    <t>Maksājumu pieprasījumu pārbaude</t>
  </si>
  <si>
    <t>Administratīvā pārbaude un sākotnējo pārbaužu ietvaros</t>
  </si>
  <si>
    <t>Eiropas Komisijas audits</t>
  </si>
  <si>
    <t>Vadības un kontroles sistēmas audits</t>
  </si>
  <si>
    <t>Revīzijas iestādes sertificēto izdevumu izlases pārbaude</t>
  </si>
  <si>
    <t>Pārbaude projekta īstenošanas vietā</t>
  </si>
  <si>
    <t>Pēc neatbilstību atklāšanas veida</t>
  </si>
  <si>
    <t>skaits</t>
  </si>
  <si>
    <t>LVL</t>
  </si>
  <si>
    <t>TP KF</t>
  </si>
  <si>
    <t>3DP</t>
  </si>
  <si>
    <t>TP ESF</t>
  </si>
  <si>
    <t>1DP</t>
  </si>
  <si>
    <t>TP ERAF</t>
  </si>
  <si>
    <t>2DP</t>
  </si>
  <si>
    <t>TEN-E programma</t>
  </si>
  <si>
    <t>TEN-T programma</t>
  </si>
  <si>
    <t>SAPARD programma</t>
  </si>
  <si>
    <t>PHARE programma</t>
  </si>
  <si>
    <t>Pārejas programma (Transition Facility)</t>
  </si>
  <si>
    <t>Interreg programma</t>
  </si>
  <si>
    <t>EZF</t>
  </si>
  <si>
    <t>ELFLA</t>
  </si>
  <si>
    <t>ELGF</t>
  </si>
  <si>
    <t>ESF</t>
  </si>
  <si>
    <t>ERAF</t>
  </si>
  <si>
    <t>ZVFI</t>
  </si>
  <si>
    <t>ELVGF Garantiju daļa</t>
  </si>
  <si>
    <t>ELVGF Virzības daļa</t>
  </si>
  <si>
    <t>Attiecīgās pozīcijas neatbilstību apjoma īpatsvars kopējā konstatētā neatbilstību apjomā</t>
  </si>
  <si>
    <t>Neatbilstību skaits kopā (kumulatīvi)</t>
  </si>
  <si>
    <t>Neatbilstību apjoms kopā (kumulatīvi) (latos)</t>
  </si>
  <si>
    <t>Attiecīgās pozīcijas neatbilstību apjoma īpatsvars kopējā  2011.gadā konstatētā neatbilstību apjomā</t>
  </si>
  <si>
    <t xml:space="preserve">Neatbilstību skaits </t>
  </si>
  <si>
    <t>Neatbilstību apjoms (latos)</t>
  </si>
  <si>
    <t>Citi ES finanšu palīdzības instrumenti</t>
  </si>
  <si>
    <t>Eiropas Savienības struktūrfondu 3.mērķa „Eiropas teritoriālā sadarbība” programmas</t>
  </si>
  <si>
    <t>Pirmsiestāšanās fondi</t>
  </si>
  <si>
    <t>Eiropas Kopienas iniciatīvas</t>
  </si>
  <si>
    <t>Eiropas Lauksaimniecības un lauku attīstības fondi 2007.-2013.gada plānošanas periods</t>
  </si>
  <si>
    <t>Vispārīgā programma „Solidaritāte un migrācijas plūsmu pārvaldība”</t>
  </si>
  <si>
    <t>ES Kohēzijas fonds 2007.-2013.gada plānošanas periods</t>
  </si>
  <si>
    <t>ES struktūrfondi 2007.-2013.gada plānošanas periods</t>
  </si>
  <si>
    <t>ES Kohēzijas fonds 2004.-2006.gada plānošanas periods</t>
  </si>
  <si>
    <t>ES struktūrfondi 2004.-2006.gada plānošanas periods</t>
  </si>
  <si>
    <t>Fondi (programmas)</t>
  </si>
  <si>
    <t xml:space="preserve">2007.- 2013.gada plānošanas periodā līdz 31.12.2011. </t>
  </si>
  <si>
    <t>2011.gadā kopā</t>
  </si>
  <si>
    <t>2011.gads</t>
  </si>
  <si>
    <t>4.pielikums</t>
  </si>
  <si>
    <t>2011.gadā un kopā 2007.-2013.gada plānošanas periodā līdz 2011.gada 31.decembrim konstatēto neatbilstību gadījumu skaits un ar tiem saistītās summas (latos) pēc to atklāšanas veida, pēc neatbilstības veida un pa finansējuma saņēmējiem*</t>
  </si>
  <si>
    <t xml:space="preserve">Finanšu ministrs </t>
  </si>
  <si>
    <t>A.Vilks</t>
  </si>
  <si>
    <t>31.08.2012.  09:37</t>
  </si>
  <si>
    <t>A.Avota</t>
  </si>
  <si>
    <t xml:space="preserve">67083954, aiva.avota@fm.gov.lv </t>
  </si>
  <si>
    <t>FMzinop4_160712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</si>
</sst>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i/>
      <sz val="8"/>
      <color rgb="FF00000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color indexed="8"/>
      <name val="Times New Roman"/>
      <family val="2"/>
      <charset val="186"/>
    </font>
    <font>
      <sz val="22"/>
      <color theme="1"/>
      <name val="Times New Roman"/>
      <family val="2"/>
      <charset val="186"/>
    </font>
    <font>
      <sz val="20"/>
      <color theme="1"/>
      <name val="Times New Roman"/>
      <family val="2"/>
      <charset val="186"/>
    </font>
    <font>
      <b/>
      <sz val="2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2" applyFont="1" applyBorder="1" applyAlignment="1">
      <alignment vertical="center" wrapText="1"/>
    </xf>
    <xf numFmtId="0" fontId="0" fillId="0" borderId="0" xfId="0" applyBorder="1"/>
    <xf numFmtId="4" fontId="4" fillId="2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10" fontId="8" fillId="3" borderId="1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10" fontId="8" fillId="3" borderId="18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0" fontId="7" fillId="2" borderId="22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horizontal="center" vertical="center"/>
    </xf>
    <xf numFmtId="10" fontId="8" fillId="3" borderId="25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center" vertical="center"/>
    </xf>
    <xf numFmtId="2" fontId="4" fillId="3" borderId="37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 wrapText="1"/>
    </xf>
    <xf numFmtId="1" fontId="5" fillId="2" borderId="40" xfId="0" applyNumberFormat="1" applyFont="1" applyFill="1" applyBorder="1" applyAlignment="1">
      <alignment horizontal="center" vertical="center" wrapText="1"/>
    </xf>
    <xf numFmtId="2" fontId="5" fillId="2" borderId="41" xfId="0" applyNumberFormat="1" applyFont="1" applyFill="1" applyBorder="1" applyAlignment="1">
      <alignment horizontal="center" vertical="center" wrapText="1"/>
    </xf>
    <xf numFmtId="1" fontId="5" fillId="2" borderId="42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1" fontId="5" fillId="2" borderId="43" xfId="0" applyNumberFormat="1" applyFont="1" applyFill="1" applyBorder="1" applyAlignment="1">
      <alignment horizontal="center" vertical="center" wrapText="1"/>
    </xf>
    <xf numFmtId="4" fontId="5" fillId="2" borderId="43" xfId="0" applyNumberFormat="1" applyFont="1" applyFill="1" applyBorder="1" applyAlignment="1">
      <alignment horizontal="center" vertical="center" wrapText="1"/>
    </xf>
    <xf numFmtId="3" fontId="5" fillId="2" borderId="43" xfId="0" applyNumberFormat="1" applyFont="1" applyFill="1" applyBorder="1" applyAlignment="1">
      <alignment horizontal="center" vertical="center" wrapText="1"/>
    </xf>
    <xf numFmtId="4" fontId="5" fillId="2" borderId="44" xfId="0" applyNumberFormat="1" applyFont="1" applyFill="1" applyBorder="1" applyAlignment="1">
      <alignment horizontal="center" vertical="center" wrapText="1"/>
    </xf>
    <xf numFmtId="4" fontId="5" fillId="2" borderId="41" xfId="0" applyNumberFormat="1" applyFont="1" applyFill="1" applyBorder="1" applyAlignment="1">
      <alignment horizontal="center" vertical="center" wrapText="1"/>
    </xf>
    <xf numFmtId="4" fontId="5" fillId="2" borderId="40" xfId="0" applyNumberFormat="1" applyFont="1" applyFill="1" applyBorder="1" applyAlignment="1">
      <alignment horizontal="center" vertical="center" wrapText="1"/>
    </xf>
    <xf numFmtId="1" fontId="5" fillId="2" borderId="45" xfId="0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right" vertical="center" wrapText="1"/>
    </xf>
    <xf numFmtId="10" fontId="7" fillId="2" borderId="46" xfId="1" applyNumberFormat="1" applyFont="1" applyFill="1" applyBorder="1" applyAlignment="1">
      <alignment horizontal="center" vertical="center"/>
    </xf>
    <xf numFmtId="3" fontId="7" fillId="2" borderId="47" xfId="0" applyNumberFormat="1" applyFont="1" applyFill="1" applyBorder="1" applyAlignment="1">
      <alignment horizontal="center" vertical="center"/>
    </xf>
    <xf numFmtId="4" fontId="7" fillId="2" borderId="48" xfId="0" applyNumberFormat="1" applyFont="1" applyFill="1" applyBorder="1" applyAlignment="1">
      <alignment horizontal="center" vertical="center"/>
    </xf>
    <xf numFmtId="10" fontId="7" fillId="3" borderId="18" xfId="1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0" fillId="0" borderId="47" xfId="0" applyBorder="1"/>
    <xf numFmtId="0" fontId="0" fillId="0" borderId="48" xfId="0" applyBorder="1"/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10" fontId="7" fillId="2" borderId="13" xfId="1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10" fontId="7" fillId="2" borderId="8" xfId="1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10" fontId="7" fillId="2" borderId="22" xfId="1" applyNumberFormat="1" applyFont="1" applyFill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center" vertical="center"/>
    </xf>
    <xf numFmtId="10" fontId="7" fillId="3" borderId="25" xfId="1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 wrapText="1"/>
    </xf>
    <xf numFmtId="4" fontId="8" fillId="4" borderId="25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3" fontId="5" fillId="4" borderId="40" xfId="0" applyNumberFormat="1" applyFont="1" applyFill="1" applyBorder="1" applyAlignment="1">
      <alignment horizontal="center" vertical="center" wrapText="1"/>
    </xf>
    <xf numFmtId="4" fontId="5" fillId="4" borderId="41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3" fontId="5" fillId="2" borderId="40" xfId="0" applyNumberFormat="1" applyFont="1" applyFill="1" applyBorder="1" applyAlignment="1">
      <alignment horizontal="center" vertical="center" wrapText="1"/>
    </xf>
    <xf numFmtId="4" fontId="5" fillId="2" borderId="5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10" fontId="7" fillId="2" borderId="27" xfId="1" applyNumberFormat="1" applyFont="1" applyFill="1" applyBorder="1" applyAlignment="1">
      <alignment horizontal="center" vertical="center"/>
    </xf>
    <xf numFmtId="10" fontId="7" fillId="3" borderId="21" xfId="1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20" xfId="0" applyNumberFormat="1" applyFont="1" applyFill="1" applyBorder="1" applyAlignment="1">
      <alignment horizontal="center" vertical="center" wrapText="1"/>
    </xf>
    <xf numFmtId="10" fontId="7" fillId="3" borderId="15" xfId="1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4" fontId="7" fillId="2" borderId="29" xfId="0" applyNumberFormat="1" applyFont="1" applyFill="1" applyBorder="1" applyAlignment="1">
      <alignment horizontal="center" vertical="center"/>
    </xf>
    <xf numFmtId="10" fontId="7" fillId="3" borderId="31" xfId="1" applyNumberFormat="1" applyFont="1" applyFill="1" applyBorder="1" applyAlignment="1">
      <alignment horizontal="center" vertical="center"/>
    </xf>
    <xf numFmtId="3" fontId="8" fillId="4" borderId="28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4" fontId="9" fillId="5" borderId="29" xfId="0" applyNumberFormat="1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4" fontId="9" fillId="5" borderId="28" xfId="0" applyNumberFormat="1" applyFont="1" applyFill="1" applyBorder="1" applyAlignment="1">
      <alignment horizontal="center" vertical="center" wrapText="1"/>
    </xf>
    <xf numFmtId="4" fontId="9" fillId="5" borderId="30" xfId="0" applyNumberFormat="1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3" fillId="6" borderId="54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16" fillId="7" borderId="48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6" fillId="7" borderId="71" xfId="0" applyFont="1" applyFill="1" applyBorder="1" applyAlignment="1">
      <alignment horizontal="center" vertical="center" wrapText="1"/>
    </xf>
    <xf numFmtId="0" fontId="17" fillId="7" borderId="7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33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20" fillId="7" borderId="69" xfId="0" applyFont="1" applyFill="1" applyBorder="1" applyAlignment="1">
      <alignment horizontal="center" vertical="center" wrapText="1"/>
    </xf>
    <xf numFmtId="0" fontId="20" fillId="7" borderId="68" xfId="0" applyFont="1" applyFill="1" applyBorder="1" applyAlignment="1">
      <alignment horizontal="center" vertical="center" wrapText="1"/>
    </xf>
    <xf numFmtId="0" fontId="20" fillId="7" borderId="67" xfId="0" applyFont="1" applyFill="1" applyBorder="1" applyAlignment="1">
      <alignment horizontal="center" vertical="center" wrapText="1"/>
    </xf>
    <xf numFmtId="0" fontId="20" fillId="7" borderId="37" xfId="0" applyFont="1" applyFill="1" applyBorder="1" applyAlignment="1">
      <alignment horizontal="center" vertical="center" wrapText="1"/>
    </xf>
    <xf numFmtId="0" fontId="20" fillId="7" borderId="70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59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4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57" xfId="0" applyFont="1" applyFill="1" applyBorder="1" applyAlignment="1">
      <alignment horizontal="center" vertical="center" wrapText="1"/>
    </xf>
    <xf numFmtId="0" fontId="19" fillId="7" borderId="71" xfId="0" applyFont="1" applyFill="1" applyBorder="1" applyAlignment="1">
      <alignment horizontal="center" vertical="center" wrapText="1"/>
    </xf>
    <xf numFmtId="0" fontId="19" fillId="7" borderId="70" xfId="0" applyFont="1" applyFill="1" applyBorder="1" applyAlignment="1">
      <alignment horizontal="center" vertical="center" wrapText="1"/>
    </xf>
    <xf numFmtId="0" fontId="19" fillId="7" borderId="64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9" fillId="7" borderId="54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71" xfId="0" applyFont="1" applyFill="1" applyBorder="1" applyAlignment="1">
      <alignment horizontal="center" vertical="center" wrapText="1"/>
    </xf>
    <xf numFmtId="0" fontId="18" fillId="7" borderId="66" xfId="0" applyFont="1" applyFill="1" applyBorder="1" applyAlignment="1">
      <alignment horizontal="center" vertical="center" wrapText="1"/>
    </xf>
    <xf numFmtId="0" fontId="18" fillId="7" borderId="65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58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</cellXfs>
  <cellStyles count="5">
    <cellStyle name="Comma 2" xfId="3"/>
    <cellStyle name="Hyperlink" xfId="2" builtinId="8"/>
    <cellStyle name="Normal" xfId="0" builtinId="0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68"/>
  <sheetViews>
    <sheetView tabSelected="1" zoomScale="50" zoomScaleNormal="50" workbookViewId="0">
      <selection sqref="A1:BA1"/>
    </sheetView>
  </sheetViews>
  <sheetFormatPr defaultRowHeight="15.6" x14ac:dyDescent="0.3"/>
  <cols>
    <col min="1" max="1" width="33.19921875" customWidth="1"/>
    <col min="2" max="2" width="10.5" bestFit="1" customWidth="1"/>
    <col min="4" max="4" width="10.5" bestFit="1" customWidth="1"/>
    <col min="6" max="6" width="12.09765625" bestFit="1" customWidth="1"/>
    <col min="8" max="8" width="9.765625E-2" customWidth="1"/>
    <col min="9" max="10" width="8.796875" hidden="1" customWidth="1"/>
    <col min="11" max="11" width="4.796875" hidden="1" customWidth="1"/>
    <col min="12" max="12" width="9.69921875" hidden="1" customWidth="1"/>
    <col min="13" max="13" width="15.3984375" hidden="1" customWidth="1"/>
    <col min="14" max="14" width="12.09765625" bestFit="1" customWidth="1"/>
    <col min="16" max="16" width="12.09765625" bestFit="1" customWidth="1"/>
    <col min="18" max="18" width="9.5" bestFit="1" customWidth="1"/>
    <col min="20" max="20" width="10.5" bestFit="1" customWidth="1"/>
    <col min="24" max="24" width="10.5" bestFit="1" customWidth="1"/>
    <col min="30" max="30" width="10.5" bestFit="1" customWidth="1"/>
    <col min="32" max="32" width="10.5" bestFit="1" customWidth="1"/>
    <col min="34" max="34" width="9.5" bestFit="1" customWidth="1"/>
    <col min="36" max="36" width="8.796875" hidden="1" customWidth="1"/>
    <col min="37" max="37" width="4.796875" hidden="1" customWidth="1"/>
    <col min="38" max="42" width="8.796875" hidden="1" customWidth="1"/>
    <col min="43" max="43" width="0.59765625" hidden="1" customWidth="1"/>
    <col min="46" max="46" width="0.19921875" customWidth="1"/>
    <col min="47" max="49" width="8.796875" hidden="1" customWidth="1"/>
    <col min="50" max="50" width="13.296875" customWidth="1"/>
    <col min="51" max="51" width="11.3984375" customWidth="1"/>
    <col min="52" max="52" width="13.19921875" customWidth="1"/>
    <col min="53" max="53" width="17.09765625" bestFit="1" customWidth="1"/>
    <col min="54" max="54" width="12.3984375" customWidth="1"/>
    <col min="55" max="55" width="11.19921875" customWidth="1"/>
  </cols>
  <sheetData>
    <row r="1" spans="1:55" ht="90.6" customHeight="1" thickBot="1" x14ac:dyDescent="0.35">
      <c r="A1" s="270" t="s">
        <v>79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69" t="s">
        <v>78</v>
      </c>
      <c r="BC1" s="269"/>
    </row>
    <row r="2" spans="1:55" ht="16.8" customHeight="1" thickBot="1" x14ac:dyDescent="0.35">
      <c r="A2" s="200"/>
      <c r="B2" s="203" t="s">
        <v>77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5"/>
      <c r="AT2" s="169"/>
      <c r="AU2" s="169"/>
      <c r="AV2" s="169"/>
      <c r="AW2" s="169"/>
      <c r="AX2" s="206" t="s">
        <v>76</v>
      </c>
      <c r="AY2" s="207"/>
      <c r="AZ2" s="208"/>
      <c r="BA2" s="212" t="s">
        <v>75</v>
      </c>
      <c r="BB2" s="213"/>
      <c r="BC2" s="214"/>
    </row>
    <row r="3" spans="1:55" ht="16.2" customHeight="1" thickBot="1" x14ac:dyDescent="0.35">
      <c r="A3" s="201"/>
      <c r="B3" s="259" t="s">
        <v>74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168"/>
      <c r="AX3" s="209"/>
      <c r="AY3" s="210"/>
      <c r="AZ3" s="211"/>
      <c r="BA3" s="215"/>
      <c r="BB3" s="216"/>
      <c r="BC3" s="217"/>
    </row>
    <row r="4" spans="1:55" ht="64.8" customHeight="1" x14ac:dyDescent="0.3">
      <c r="A4" s="201"/>
      <c r="B4" s="192" t="s">
        <v>73</v>
      </c>
      <c r="C4" s="193"/>
      <c r="D4" s="193"/>
      <c r="E4" s="193"/>
      <c r="F4" s="193"/>
      <c r="G4" s="193"/>
      <c r="H4" s="193"/>
      <c r="I4" s="193"/>
      <c r="J4" s="193"/>
      <c r="K4" s="194"/>
      <c r="L4" s="195" t="s">
        <v>72</v>
      </c>
      <c r="M4" s="196"/>
      <c r="N4" s="192" t="s">
        <v>71</v>
      </c>
      <c r="O4" s="193"/>
      <c r="P4" s="193"/>
      <c r="Q4" s="193"/>
      <c r="R4" s="193"/>
      <c r="S4" s="193"/>
      <c r="T4" s="193"/>
      <c r="U4" s="193"/>
      <c r="V4" s="193"/>
      <c r="W4" s="194"/>
      <c r="X4" s="252" t="s">
        <v>70</v>
      </c>
      <c r="Y4" s="253"/>
      <c r="Z4" s="253"/>
      <c r="AA4" s="254"/>
      <c r="AB4" s="245" t="s">
        <v>69</v>
      </c>
      <c r="AC4" s="246"/>
      <c r="AD4" s="237" t="s">
        <v>68</v>
      </c>
      <c r="AE4" s="238"/>
      <c r="AF4" s="238"/>
      <c r="AG4" s="238"/>
      <c r="AH4" s="238"/>
      <c r="AI4" s="239"/>
      <c r="AJ4" s="192" t="s">
        <v>67</v>
      </c>
      <c r="AK4" s="193"/>
      <c r="AL4" s="192" t="s">
        <v>66</v>
      </c>
      <c r="AM4" s="193"/>
      <c r="AN4" s="193"/>
      <c r="AO4" s="193"/>
      <c r="AP4" s="193"/>
      <c r="AQ4" s="194"/>
      <c r="AR4" s="261" t="s">
        <v>65</v>
      </c>
      <c r="AS4" s="262"/>
      <c r="AT4" s="252" t="s">
        <v>64</v>
      </c>
      <c r="AU4" s="253"/>
      <c r="AV4" s="253"/>
      <c r="AW4" s="254"/>
      <c r="AX4" s="173" t="s">
        <v>63</v>
      </c>
      <c r="AY4" s="173" t="s">
        <v>62</v>
      </c>
      <c r="AZ4" s="176" t="s">
        <v>61</v>
      </c>
      <c r="BA4" s="222" t="s">
        <v>60</v>
      </c>
      <c r="BB4" s="225" t="s">
        <v>59</v>
      </c>
      <c r="BC4" s="228" t="s">
        <v>58</v>
      </c>
    </row>
    <row r="5" spans="1:55" ht="33.6" customHeight="1" x14ac:dyDescent="0.3">
      <c r="A5" s="201"/>
      <c r="B5" s="218" t="s">
        <v>57</v>
      </c>
      <c r="C5" s="184"/>
      <c r="D5" s="184" t="s">
        <v>56</v>
      </c>
      <c r="E5" s="184"/>
      <c r="F5" s="184" t="s">
        <v>54</v>
      </c>
      <c r="G5" s="184"/>
      <c r="H5" s="184" t="s">
        <v>53</v>
      </c>
      <c r="I5" s="184"/>
      <c r="J5" s="184" t="s">
        <v>55</v>
      </c>
      <c r="K5" s="185"/>
      <c r="L5" s="197"/>
      <c r="M5" s="198"/>
      <c r="N5" s="233" t="s">
        <v>54</v>
      </c>
      <c r="O5" s="240"/>
      <c r="P5" s="240"/>
      <c r="Q5" s="240"/>
      <c r="R5" s="240"/>
      <c r="S5" s="234"/>
      <c r="T5" s="235" t="s">
        <v>53</v>
      </c>
      <c r="U5" s="240"/>
      <c r="V5" s="240"/>
      <c r="W5" s="236"/>
      <c r="X5" s="255"/>
      <c r="Y5" s="256"/>
      <c r="Z5" s="256"/>
      <c r="AA5" s="257"/>
      <c r="AB5" s="247"/>
      <c r="AC5" s="248"/>
      <c r="AD5" s="218" t="s">
        <v>52</v>
      </c>
      <c r="AE5" s="184"/>
      <c r="AF5" s="184" t="s">
        <v>51</v>
      </c>
      <c r="AG5" s="184"/>
      <c r="AH5" s="184" t="s">
        <v>50</v>
      </c>
      <c r="AI5" s="185"/>
      <c r="AJ5" s="233" t="s">
        <v>49</v>
      </c>
      <c r="AK5" s="240"/>
      <c r="AL5" s="233" t="s">
        <v>48</v>
      </c>
      <c r="AM5" s="234"/>
      <c r="AN5" s="235" t="s">
        <v>47</v>
      </c>
      <c r="AO5" s="234"/>
      <c r="AP5" s="235" t="s">
        <v>46</v>
      </c>
      <c r="AQ5" s="236"/>
      <c r="AR5" s="263"/>
      <c r="AS5" s="264"/>
      <c r="AT5" s="218" t="s">
        <v>45</v>
      </c>
      <c r="AU5" s="184"/>
      <c r="AV5" s="184" t="s">
        <v>44</v>
      </c>
      <c r="AW5" s="185"/>
      <c r="AX5" s="174"/>
      <c r="AY5" s="174"/>
      <c r="AZ5" s="177"/>
      <c r="BA5" s="223"/>
      <c r="BB5" s="226"/>
      <c r="BC5" s="229"/>
    </row>
    <row r="6" spans="1:55" ht="25.2" customHeight="1" x14ac:dyDescent="0.3">
      <c r="A6" s="201"/>
      <c r="B6" s="190" t="s">
        <v>37</v>
      </c>
      <c r="C6" s="188" t="s">
        <v>36</v>
      </c>
      <c r="D6" s="188" t="s">
        <v>37</v>
      </c>
      <c r="E6" s="188" t="s">
        <v>36</v>
      </c>
      <c r="F6" s="188" t="s">
        <v>37</v>
      </c>
      <c r="G6" s="188" t="s">
        <v>36</v>
      </c>
      <c r="H6" s="188" t="s">
        <v>37</v>
      </c>
      <c r="I6" s="188" t="s">
        <v>36</v>
      </c>
      <c r="J6" s="188" t="s">
        <v>37</v>
      </c>
      <c r="K6" s="186" t="s">
        <v>36</v>
      </c>
      <c r="L6" s="190" t="s">
        <v>37</v>
      </c>
      <c r="M6" s="186" t="s">
        <v>36</v>
      </c>
      <c r="N6" s="218" t="s">
        <v>43</v>
      </c>
      <c r="O6" s="184"/>
      <c r="P6" s="184" t="s">
        <v>39</v>
      </c>
      <c r="Q6" s="184"/>
      <c r="R6" s="184" t="s">
        <v>42</v>
      </c>
      <c r="S6" s="184"/>
      <c r="T6" s="184" t="s">
        <v>41</v>
      </c>
      <c r="U6" s="184"/>
      <c r="V6" s="184" t="s">
        <v>40</v>
      </c>
      <c r="W6" s="185"/>
      <c r="X6" s="218" t="s">
        <v>39</v>
      </c>
      <c r="Y6" s="184"/>
      <c r="Z6" s="184" t="s">
        <v>38</v>
      </c>
      <c r="AA6" s="185"/>
      <c r="AB6" s="241" t="s">
        <v>37</v>
      </c>
      <c r="AC6" s="243" t="s">
        <v>36</v>
      </c>
      <c r="AD6" s="231" t="s">
        <v>37</v>
      </c>
      <c r="AE6" s="182" t="s">
        <v>36</v>
      </c>
      <c r="AF6" s="182" t="s">
        <v>37</v>
      </c>
      <c r="AG6" s="182" t="s">
        <v>36</v>
      </c>
      <c r="AH6" s="182" t="s">
        <v>37</v>
      </c>
      <c r="AI6" s="220" t="s">
        <v>36</v>
      </c>
      <c r="AJ6" s="249" t="s">
        <v>37</v>
      </c>
      <c r="AK6" s="250" t="s">
        <v>36</v>
      </c>
      <c r="AL6" s="218" t="s">
        <v>37</v>
      </c>
      <c r="AM6" s="184" t="s">
        <v>36</v>
      </c>
      <c r="AN6" s="184" t="s">
        <v>37</v>
      </c>
      <c r="AO6" s="184" t="s">
        <v>36</v>
      </c>
      <c r="AP6" s="184" t="s">
        <v>37</v>
      </c>
      <c r="AQ6" s="185" t="s">
        <v>36</v>
      </c>
      <c r="AR6" s="263"/>
      <c r="AS6" s="264"/>
      <c r="AT6" s="218"/>
      <c r="AU6" s="184"/>
      <c r="AV6" s="184"/>
      <c r="AW6" s="185"/>
      <c r="AX6" s="174"/>
      <c r="AY6" s="174"/>
      <c r="AZ6" s="177"/>
      <c r="BA6" s="223"/>
      <c r="BB6" s="226"/>
      <c r="BC6" s="229"/>
    </row>
    <row r="7" spans="1:55" ht="24.6" customHeight="1" thickBot="1" x14ac:dyDescent="0.35">
      <c r="A7" s="202"/>
      <c r="B7" s="191"/>
      <c r="C7" s="189"/>
      <c r="D7" s="189"/>
      <c r="E7" s="189"/>
      <c r="F7" s="189"/>
      <c r="G7" s="189"/>
      <c r="H7" s="189"/>
      <c r="I7" s="189"/>
      <c r="J7" s="189"/>
      <c r="K7" s="187"/>
      <c r="L7" s="191"/>
      <c r="M7" s="187"/>
      <c r="N7" s="167" t="s">
        <v>37</v>
      </c>
      <c r="O7" s="166" t="s">
        <v>36</v>
      </c>
      <c r="P7" s="166" t="s">
        <v>37</v>
      </c>
      <c r="Q7" s="166" t="s">
        <v>36</v>
      </c>
      <c r="R7" s="166" t="s">
        <v>37</v>
      </c>
      <c r="S7" s="166" t="s">
        <v>36</v>
      </c>
      <c r="T7" s="166" t="s">
        <v>37</v>
      </c>
      <c r="U7" s="166" t="s">
        <v>36</v>
      </c>
      <c r="V7" s="166" t="s">
        <v>37</v>
      </c>
      <c r="W7" s="165" t="s">
        <v>36</v>
      </c>
      <c r="X7" s="162" t="s">
        <v>37</v>
      </c>
      <c r="Y7" s="161" t="s">
        <v>36</v>
      </c>
      <c r="Z7" s="161" t="s">
        <v>37</v>
      </c>
      <c r="AA7" s="160" t="s">
        <v>36</v>
      </c>
      <c r="AB7" s="242"/>
      <c r="AC7" s="244"/>
      <c r="AD7" s="232"/>
      <c r="AE7" s="183"/>
      <c r="AF7" s="183"/>
      <c r="AG7" s="183"/>
      <c r="AH7" s="183"/>
      <c r="AI7" s="221"/>
      <c r="AJ7" s="191"/>
      <c r="AK7" s="251"/>
      <c r="AL7" s="219"/>
      <c r="AM7" s="258"/>
      <c r="AN7" s="258"/>
      <c r="AO7" s="258"/>
      <c r="AP7" s="258"/>
      <c r="AQ7" s="265"/>
      <c r="AR7" s="164" t="s">
        <v>37</v>
      </c>
      <c r="AS7" s="163" t="s">
        <v>36</v>
      </c>
      <c r="AT7" s="162" t="s">
        <v>37</v>
      </c>
      <c r="AU7" s="161" t="s">
        <v>36</v>
      </c>
      <c r="AV7" s="161" t="s">
        <v>37</v>
      </c>
      <c r="AW7" s="160" t="s">
        <v>36</v>
      </c>
      <c r="AX7" s="175"/>
      <c r="AY7" s="175"/>
      <c r="AZ7" s="178"/>
      <c r="BA7" s="224"/>
      <c r="BB7" s="227"/>
      <c r="BC7" s="230"/>
    </row>
    <row r="8" spans="1:55" ht="16.2" thickBot="1" x14ac:dyDescent="0.35">
      <c r="A8" s="159"/>
      <c r="B8" s="158">
        <v>1</v>
      </c>
      <c r="C8" s="158">
        <v>2</v>
      </c>
      <c r="D8" s="158">
        <v>3</v>
      </c>
      <c r="E8" s="158">
        <v>4</v>
      </c>
      <c r="F8" s="158">
        <v>5</v>
      </c>
      <c r="G8" s="158">
        <v>6</v>
      </c>
      <c r="H8" s="158">
        <v>7</v>
      </c>
      <c r="I8" s="158">
        <v>9</v>
      </c>
      <c r="J8" s="158">
        <v>10</v>
      </c>
      <c r="K8" s="158">
        <v>11</v>
      </c>
      <c r="L8" s="158">
        <v>12</v>
      </c>
      <c r="M8" s="158">
        <v>13</v>
      </c>
      <c r="N8" s="158">
        <v>14</v>
      </c>
      <c r="O8" s="158">
        <v>15</v>
      </c>
      <c r="P8" s="158">
        <v>16</v>
      </c>
      <c r="Q8" s="158">
        <v>17</v>
      </c>
      <c r="R8" s="158">
        <v>18</v>
      </c>
      <c r="S8" s="158">
        <v>19</v>
      </c>
      <c r="T8" s="158">
        <v>20</v>
      </c>
      <c r="U8" s="158">
        <v>21</v>
      </c>
      <c r="V8" s="158">
        <v>22</v>
      </c>
      <c r="W8" s="158">
        <v>23</v>
      </c>
      <c r="X8" s="158">
        <v>24</v>
      </c>
      <c r="Y8" s="158">
        <v>25</v>
      </c>
      <c r="Z8" s="158">
        <v>26</v>
      </c>
      <c r="AA8" s="158">
        <v>27</v>
      </c>
      <c r="AB8" s="158">
        <v>28</v>
      </c>
      <c r="AC8" s="158">
        <v>29</v>
      </c>
      <c r="AD8" s="158">
        <v>30</v>
      </c>
      <c r="AE8" s="158">
        <v>31</v>
      </c>
      <c r="AF8" s="158">
        <v>32</v>
      </c>
      <c r="AG8" s="158">
        <v>34</v>
      </c>
      <c r="AH8" s="158">
        <v>35</v>
      </c>
      <c r="AI8" s="158">
        <v>36</v>
      </c>
      <c r="AJ8" s="158">
        <v>37</v>
      </c>
      <c r="AK8" s="158">
        <v>38</v>
      </c>
      <c r="AL8" s="158">
        <v>39</v>
      </c>
      <c r="AM8" s="158">
        <v>40</v>
      </c>
      <c r="AN8" s="158">
        <v>41</v>
      </c>
      <c r="AO8" s="158">
        <v>42</v>
      </c>
      <c r="AP8" s="158">
        <v>43</v>
      </c>
      <c r="AQ8" s="158">
        <v>44</v>
      </c>
      <c r="AR8" s="158">
        <v>45</v>
      </c>
      <c r="AS8" s="158">
        <v>46</v>
      </c>
      <c r="AT8" s="158">
        <v>47</v>
      </c>
      <c r="AU8" s="158">
        <v>48</v>
      </c>
      <c r="AV8" s="158">
        <v>49</v>
      </c>
      <c r="AW8" s="158">
        <v>50</v>
      </c>
      <c r="AX8" s="157">
        <v>51</v>
      </c>
      <c r="AY8" s="157">
        <v>52</v>
      </c>
      <c r="AZ8" s="156">
        <v>53</v>
      </c>
      <c r="BA8" s="156">
        <v>54</v>
      </c>
      <c r="BB8" s="156">
        <v>55</v>
      </c>
      <c r="BC8" s="155">
        <v>56</v>
      </c>
    </row>
    <row r="9" spans="1:55" ht="16.8" thickBot="1" x14ac:dyDescent="0.35">
      <c r="A9" s="179" t="s">
        <v>35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1"/>
    </row>
    <row r="10" spans="1:55" x14ac:dyDescent="0.3">
      <c r="A10" s="108" t="s">
        <v>34</v>
      </c>
      <c r="B10" s="58">
        <v>127968.24</v>
      </c>
      <c r="C10" s="52">
        <v>3</v>
      </c>
      <c r="D10" s="52"/>
      <c r="E10" s="52"/>
      <c r="F10" s="56">
        <v>1825353.75</v>
      </c>
      <c r="G10" s="52">
        <v>9</v>
      </c>
      <c r="H10" s="52"/>
      <c r="I10" s="52"/>
      <c r="J10" s="52"/>
      <c r="K10" s="57"/>
      <c r="L10" s="149"/>
      <c r="M10" s="150"/>
      <c r="N10" s="154">
        <v>2941513.23</v>
      </c>
      <c r="O10" s="148">
        <v>7</v>
      </c>
      <c r="P10" s="153">
        <v>659618.99</v>
      </c>
      <c r="Q10" s="148">
        <v>21</v>
      </c>
      <c r="R10" s="153"/>
      <c r="S10" s="148"/>
      <c r="T10" s="153">
        <v>22664.47</v>
      </c>
      <c r="U10" s="148">
        <v>10</v>
      </c>
      <c r="V10" s="153"/>
      <c r="W10" s="147"/>
      <c r="X10" s="151"/>
      <c r="Y10" s="148"/>
      <c r="Z10" s="153"/>
      <c r="AA10" s="150"/>
      <c r="AB10" s="152">
        <v>1068.5999999999999</v>
      </c>
      <c r="AC10" s="147">
        <v>2</v>
      </c>
      <c r="AD10" s="149"/>
      <c r="AE10" s="148"/>
      <c r="AF10" s="148"/>
      <c r="AG10" s="148"/>
      <c r="AH10" s="148"/>
      <c r="AI10" s="148"/>
      <c r="AJ10" s="148"/>
      <c r="AK10" s="150"/>
      <c r="AL10" s="149"/>
      <c r="AM10" s="148"/>
      <c r="AN10" s="148"/>
      <c r="AO10" s="148"/>
      <c r="AP10" s="148"/>
      <c r="AQ10" s="150"/>
      <c r="AR10" s="151"/>
      <c r="AS10" s="150"/>
      <c r="AT10" s="149"/>
      <c r="AU10" s="148"/>
      <c r="AV10" s="148"/>
      <c r="AW10" s="147"/>
      <c r="AX10" s="146">
        <f t="shared" ref="AX10:AX26" si="0">B10+D10+F10+H10+J10+L10+N10+P10+R10+T10+V10+X10+Z10+AB10+AD10+AF10+AH10+AJ10+AL10+AN10+AP10+AR10+AT10+AV10</f>
        <v>5578187.2799999993</v>
      </c>
      <c r="AY10" s="145">
        <f t="shared" ref="AY10:AY26" si="1">C10+E10+G10+I10+K10+M10+O10+Q10+S10+U10+W10+Y10+AA10+AC10+AE10+AG10+AI10+AK10+AM10+AO10+AQ10+AS10+AU10+AW10</f>
        <v>52</v>
      </c>
      <c r="AZ10" s="144">
        <f t="shared" ref="AZ10:AZ26" si="2">AX10/$AX$27*100%</f>
        <v>0.49840060413631804</v>
      </c>
      <c r="BA10" s="143">
        <f>3802586.27+3546.47</f>
        <v>3806132.74</v>
      </c>
      <c r="BB10" s="142">
        <f>58+8</f>
        <v>66</v>
      </c>
      <c r="BC10" s="120">
        <f t="shared" ref="BC10:BC26" si="3">BA10/$BA$27*100%</f>
        <v>0.27294986794893494</v>
      </c>
    </row>
    <row r="11" spans="1:55" ht="27.6" x14ac:dyDescent="0.3">
      <c r="A11" s="44" t="s">
        <v>33</v>
      </c>
      <c r="B11" s="43"/>
      <c r="C11" s="37"/>
      <c r="D11" s="37"/>
      <c r="E11" s="37"/>
      <c r="F11" s="40"/>
      <c r="G11" s="37"/>
      <c r="H11" s="37"/>
      <c r="I11" s="37"/>
      <c r="J11" s="37"/>
      <c r="K11" s="42"/>
      <c r="L11" s="126"/>
      <c r="M11" s="127"/>
      <c r="N11" s="131">
        <v>411.25</v>
      </c>
      <c r="O11" s="125">
        <v>1</v>
      </c>
      <c r="P11" s="130">
        <v>23084.29</v>
      </c>
      <c r="Q11" s="125">
        <v>3</v>
      </c>
      <c r="R11" s="130">
        <v>565.04999999999995</v>
      </c>
      <c r="S11" s="125">
        <v>3</v>
      </c>
      <c r="T11" s="130">
        <v>34478.43</v>
      </c>
      <c r="U11" s="125">
        <v>7</v>
      </c>
      <c r="V11" s="130">
        <v>129.26</v>
      </c>
      <c r="W11" s="124">
        <v>3</v>
      </c>
      <c r="X11" s="128"/>
      <c r="Y11" s="125"/>
      <c r="Z11" s="130">
        <v>80.33</v>
      </c>
      <c r="AA11" s="127">
        <v>3</v>
      </c>
      <c r="AB11" s="129"/>
      <c r="AC11" s="124"/>
      <c r="AD11" s="126"/>
      <c r="AE11" s="125"/>
      <c r="AF11" s="125"/>
      <c r="AG11" s="125"/>
      <c r="AH11" s="125"/>
      <c r="AI11" s="125"/>
      <c r="AJ11" s="125"/>
      <c r="AK11" s="127"/>
      <c r="AL11" s="126"/>
      <c r="AM11" s="125"/>
      <c r="AN11" s="125"/>
      <c r="AO11" s="125"/>
      <c r="AP11" s="125"/>
      <c r="AQ11" s="127"/>
      <c r="AR11" s="128">
        <v>1034</v>
      </c>
      <c r="AS11" s="127">
        <v>1</v>
      </c>
      <c r="AT11" s="126"/>
      <c r="AU11" s="125"/>
      <c r="AV11" s="125"/>
      <c r="AW11" s="124"/>
      <c r="AX11" s="123">
        <f t="shared" si="0"/>
        <v>59782.610000000008</v>
      </c>
      <c r="AY11" s="122">
        <f t="shared" si="1"/>
        <v>21</v>
      </c>
      <c r="AZ11" s="121">
        <f t="shared" si="2"/>
        <v>5.3414644301519208E-3</v>
      </c>
      <c r="BA11" s="32">
        <f>1034+126151.37</f>
        <v>127185.37</v>
      </c>
      <c r="BB11" s="31">
        <f>1+47</f>
        <v>48</v>
      </c>
      <c r="BC11" s="120">
        <f t="shared" si="3"/>
        <v>9.120866853040031E-3</v>
      </c>
    </row>
    <row r="12" spans="1:55" x14ac:dyDescent="0.3">
      <c r="A12" s="44" t="s">
        <v>32</v>
      </c>
      <c r="B12" s="43"/>
      <c r="C12" s="37"/>
      <c r="D12" s="37"/>
      <c r="E12" s="37"/>
      <c r="F12" s="40"/>
      <c r="G12" s="37"/>
      <c r="H12" s="37"/>
      <c r="I12" s="37"/>
      <c r="J12" s="37"/>
      <c r="K12" s="42"/>
      <c r="L12" s="126"/>
      <c r="M12" s="127"/>
      <c r="N12" s="131"/>
      <c r="O12" s="125"/>
      <c r="P12" s="130"/>
      <c r="Q12" s="125"/>
      <c r="R12" s="130"/>
      <c r="S12" s="125"/>
      <c r="T12" s="130"/>
      <c r="U12" s="125"/>
      <c r="V12" s="130"/>
      <c r="W12" s="124"/>
      <c r="X12" s="128"/>
      <c r="Y12" s="125"/>
      <c r="Z12" s="130"/>
      <c r="AA12" s="127"/>
      <c r="AB12" s="129"/>
      <c r="AC12" s="124"/>
      <c r="AD12" s="126"/>
      <c r="AE12" s="125"/>
      <c r="AF12" s="125"/>
      <c r="AG12" s="125"/>
      <c r="AH12" s="125"/>
      <c r="AI12" s="125"/>
      <c r="AJ12" s="125"/>
      <c r="AK12" s="127"/>
      <c r="AL12" s="126"/>
      <c r="AM12" s="125"/>
      <c r="AN12" s="125"/>
      <c r="AO12" s="125"/>
      <c r="AP12" s="125"/>
      <c r="AQ12" s="127"/>
      <c r="AR12" s="128"/>
      <c r="AS12" s="127"/>
      <c r="AT12" s="126"/>
      <c r="AU12" s="125"/>
      <c r="AV12" s="125"/>
      <c r="AW12" s="124"/>
      <c r="AX12" s="123">
        <f t="shared" si="0"/>
        <v>0</v>
      </c>
      <c r="AY12" s="122">
        <f t="shared" si="1"/>
        <v>0</v>
      </c>
      <c r="AZ12" s="121">
        <f t="shared" si="2"/>
        <v>0</v>
      </c>
      <c r="BA12" s="32">
        <v>11</v>
      </c>
      <c r="BB12" s="31">
        <v>1</v>
      </c>
      <c r="BC12" s="120">
        <f t="shared" si="3"/>
        <v>7.8884493856046765E-7</v>
      </c>
    </row>
    <row r="13" spans="1:55" x14ac:dyDescent="0.3">
      <c r="A13" s="44" t="s">
        <v>31</v>
      </c>
      <c r="B13" s="43"/>
      <c r="C13" s="37"/>
      <c r="D13" s="37"/>
      <c r="E13" s="37"/>
      <c r="F13" s="40"/>
      <c r="G13" s="37"/>
      <c r="H13" s="37"/>
      <c r="I13" s="37"/>
      <c r="J13" s="37"/>
      <c r="K13" s="42"/>
      <c r="L13" s="126"/>
      <c r="M13" s="127"/>
      <c r="N13" s="131"/>
      <c r="O13" s="125"/>
      <c r="P13" s="130"/>
      <c r="Q13" s="125"/>
      <c r="R13" s="130"/>
      <c r="S13" s="125"/>
      <c r="T13" s="130"/>
      <c r="U13" s="125"/>
      <c r="V13" s="130"/>
      <c r="W13" s="124"/>
      <c r="X13" s="128"/>
      <c r="Y13" s="125"/>
      <c r="Z13" s="130"/>
      <c r="AA13" s="127"/>
      <c r="AB13" s="129"/>
      <c r="AC13" s="124"/>
      <c r="AD13" s="126"/>
      <c r="AE13" s="125"/>
      <c r="AF13" s="125"/>
      <c r="AG13" s="125"/>
      <c r="AH13" s="125"/>
      <c r="AI13" s="125"/>
      <c r="AJ13" s="125"/>
      <c r="AK13" s="127"/>
      <c r="AL13" s="126"/>
      <c r="AM13" s="125"/>
      <c r="AN13" s="125"/>
      <c r="AO13" s="125"/>
      <c r="AP13" s="125"/>
      <c r="AQ13" s="127"/>
      <c r="AR13" s="128"/>
      <c r="AS13" s="127"/>
      <c r="AT13" s="126"/>
      <c r="AU13" s="125"/>
      <c r="AV13" s="125"/>
      <c r="AW13" s="124"/>
      <c r="AX13" s="123">
        <f t="shared" si="0"/>
        <v>0</v>
      </c>
      <c r="AY13" s="122">
        <f t="shared" si="1"/>
        <v>0</v>
      </c>
      <c r="AZ13" s="121">
        <f t="shared" si="2"/>
        <v>0</v>
      </c>
      <c r="BA13" s="32">
        <v>0</v>
      </c>
      <c r="BB13" s="31">
        <v>0</v>
      </c>
      <c r="BC13" s="120">
        <f t="shared" si="3"/>
        <v>0</v>
      </c>
    </row>
    <row r="14" spans="1:55" ht="27.6" x14ac:dyDescent="0.3">
      <c r="A14" s="44" t="s">
        <v>30</v>
      </c>
      <c r="B14" s="43"/>
      <c r="C14" s="37"/>
      <c r="D14" s="141">
        <v>28544.9</v>
      </c>
      <c r="E14" s="37">
        <v>40</v>
      </c>
      <c r="F14" s="40"/>
      <c r="G14" s="37"/>
      <c r="H14" s="37"/>
      <c r="I14" s="37"/>
      <c r="J14" s="37"/>
      <c r="K14" s="42"/>
      <c r="L14" s="126"/>
      <c r="M14" s="127"/>
      <c r="N14" s="131"/>
      <c r="O14" s="125"/>
      <c r="P14" s="130"/>
      <c r="Q14" s="125"/>
      <c r="R14" s="130"/>
      <c r="S14" s="125"/>
      <c r="T14" s="130"/>
      <c r="U14" s="125"/>
      <c r="V14" s="130"/>
      <c r="W14" s="124"/>
      <c r="X14" s="128"/>
      <c r="Y14" s="125"/>
      <c r="Z14" s="130"/>
      <c r="AA14" s="127"/>
      <c r="AB14" s="129"/>
      <c r="AC14" s="124"/>
      <c r="AD14" s="126">
        <v>848.57</v>
      </c>
      <c r="AE14" s="125">
        <v>12</v>
      </c>
      <c r="AF14" s="125">
        <v>212646.73</v>
      </c>
      <c r="AG14" s="125">
        <v>223</v>
      </c>
      <c r="AH14" s="125"/>
      <c r="AI14" s="125"/>
      <c r="AJ14" s="125"/>
      <c r="AK14" s="127"/>
      <c r="AL14" s="126"/>
      <c r="AM14" s="125"/>
      <c r="AN14" s="125"/>
      <c r="AO14" s="125"/>
      <c r="AP14" s="125"/>
      <c r="AQ14" s="127"/>
      <c r="AR14" s="128"/>
      <c r="AS14" s="127"/>
      <c r="AT14" s="126"/>
      <c r="AU14" s="125"/>
      <c r="AV14" s="125"/>
      <c r="AW14" s="124"/>
      <c r="AX14" s="123">
        <f t="shared" si="0"/>
        <v>242040.2</v>
      </c>
      <c r="AY14" s="122">
        <f t="shared" si="1"/>
        <v>275</v>
      </c>
      <c r="AZ14" s="121">
        <f t="shared" si="2"/>
        <v>2.1625839336336383E-2</v>
      </c>
      <c r="BA14" s="32">
        <v>452615.24</v>
      </c>
      <c r="BB14" s="31">
        <v>1423</v>
      </c>
      <c r="BC14" s="120">
        <f t="shared" si="3"/>
        <v>3.245847647175739E-2</v>
      </c>
    </row>
    <row r="15" spans="1:55" x14ac:dyDescent="0.3">
      <c r="A15" s="44" t="s">
        <v>29</v>
      </c>
      <c r="B15" s="43"/>
      <c r="C15" s="37"/>
      <c r="D15" s="37"/>
      <c r="E15" s="37"/>
      <c r="F15" s="40"/>
      <c r="G15" s="37"/>
      <c r="H15" s="37"/>
      <c r="I15" s="37"/>
      <c r="J15" s="37"/>
      <c r="K15" s="42"/>
      <c r="L15" s="126"/>
      <c r="M15" s="127"/>
      <c r="N15" s="131">
        <v>146543.81</v>
      </c>
      <c r="O15" s="125">
        <v>119</v>
      </c>
      <c r="P15" s="130">
        <v>1501382.8</v>
      </c>
      <c r="Q15" s="125">
        <v>159</v>
      </c>
      <c r="R15" s="130">
        <v>9491.44</v>
      </c>
      <c r="S15" s="125">
        <v>47</v>
      </c>
      <c r="T15" s="130">
        <v>303238.52</v>
      </c>
      <c r="U15" s="125">
        <v>172</v>
      </c>
      <c r="V15" s="130">
        <v>2463.7399999999998</v>
      </c>
      <c r="W15" s="124">
        <v>39</v>
      </c>
      <c r="X15" s="128">
        <v>110216.45</v>
      </c>
      <c r="Y15" s="125">
        <v>37</v>
      </c>
      <c r="Z15" s="130">
        <v>818.03</v>
      </c>
      <c r="AA15" s="127">
        <v>19</v>
      </c>
      <c r="AB15" s="129"/>
      <c r="AC15" s="124"/>
      <c r="AD15" s="126"/>
      <c r="AE15" s="125"/>
      <c r="AF15" s="125">
        <v>75034.05</v>
      </c>
      <c r="AG15" s="125">
        <v>8</v>
      </c>
      <c r="AH15" s="125">
        <v>35548.11</v>
      </c>
      <c r="AI15" s="125">
        <v>2</v>
      </c>
      <c r="AJ15" s="125"/>
      <c r="AK15" s="127"/>
      <c r="AL15" s="126"/>
      <c r="AM15" s="125"/>
      <c r="AN15" s="125"/>
      <c r="AO15" s="125"/>
      <c r="AP15" s="125"/>
      <c r="AQ15" s="127"/>
      <c r="AR15" s="128"/>
      <c r="AS15" s="127"/>
      <c r="AT15" s="126"/>
      <c r="AU15" s="125"/>
      <c r="AV15" s="125"/>
      <c r="AW15" s="124"/>
      <c r="AX15" s="123">
        <f t="shared" si="0"/>
        <v>2184736.9499999997</v>
      </c>
      <c r="AY15" s="122">
        <f t="shared" si="1"/>
        <v>602</v>
      </c>
      <c r="AZ15" s="121">
        <f t="shared" si="2"/>
        <v>0.19520216176014385</v>
      </c>
      <c r="BA15" s="32">
        <f>205734.2+3216671.78</f>
        <v>3422405.98</v>
      </c>
      <c r="BB15" s="31">
        <f>647+1144</f>
        <v>1791</v>
      </c>
      <c r="BC15" s="120">
        <f t="shared" si="3"/>
        <v>0.24543160318382518</v>
      </c>
    </row>
    <row r="16" spans="1:55" ht="27.6" x14ac:dyDescent="0.3">
      <c r="A16" s="44" t="s">
        <v>28</v>
      </c>
      <c r="B16" s="43"/>
      <c r="C16" s="37"/>
      <c r="D16" s="37"/>
      <c r="E16" s="37"/>
      <c r="F16" s="40"/>
      <c r="G16" s="37"/>
      <c r="H16" s="37"/>
      <c r="I16" s="37"/>
      <c r="J16" s="37"/>
      <c r="K16" s="42"/>
      <c r="L16" s="126"/>
      <c r="M16" s="127"/>
      <c r="N16" s="131"/>
      <c r="O16" s="125"/>
      <c r="P16" s="130">
        <v>112339.33</v>
      </c>
      <c r="Q16" s="125">
        <v>18</v>
      </c>
      <c r="R16" s="130"/>
      <c r="S16" s="125"/>
      <c r="T16" s="130">
        <v>59438.11</v>
      </c>
      <c r="U16" s="125">
        <v>33</v>
      </c>
      <c r="V16" s="130"/>
      <c r="W16" s="124"/>
      <c r="X16" s="128">
        <v>14161.55</v>
      </c>
      <c r="Y16" s="125">
        <v>3</v>
      </c>
      <c r="Z16" s="130"/>
      <c r="AA16" s="127"/>
      <c r="AB16" s="129">
        <v>4921.63</v>
      </c>
      <c r="AC16" s="124">
        <v>13</v>
      </c>
      <c r="AD16" s="126"/>
      <c r="AE16" s="125"/>
      <c r="AF16" s="125"/>
      <c r="AG16" s="125"/>
      <c r="AH16" s="125"/>
      <c r="AI16" s="125"/>
      <c r="AJ16" s="125"/>
      <c r="AK16" s="127"/>
      <c r="AL16" s="126"/>
      <c r="AM16" s="125"/>
      <c r="AN16" s="125"/>
      <c r="AO16" s="125"/>
      <c r="AP16" s="125"/>
      <c r="AQ16" s="127"/>
      <c r="AR16" s="128"/>
      <c r="AS16" s="127"/>
      <c r="AT16" s="126"/>
      <c r="AU16" s="125"/>
      <c r="AV16" s="125"/>
      <c r="AW16" s="124"/>
      <c r="AX16" s="123">
        <f t="shared" si="0"/>
        <v>190860.62</v>
      </c>
      <c r="AY16" s="122">
        <f t="shared" si="1"/>
        <v>67</v>
      </c>
      <c r="AZ16" s="121">
        <f t="shared" si="2"/>
        <v>1.705303955191555E-2</v>
      </c>
      <c r="BA16" s="32">
        <f>21627.46+126500.88</f>
        <v>148128.34</v>
      </c>
      <c r="BB16" s="31">
        <f>34+21</f>
        <v>55</v>
      </c>
      <c r="BC16" s="120">
        <f t="shared" si="3"/>
        <v>1.0622753751487642E-2</v>
      </c>
    </row>
    <row r="17" spans="1:55" x14ac:dyDescent="0.3">
      <c r="A17" s="44" t="s">
        <v>27</v>
      </c>
      <c r="B17" s="43"/>
      <c r="C17" s="37"/>
      <c r="D17" s="37"/>
      <c r="E17" s="37"/>
      <c r="F17" s="40"/>
      <c r="G17" s="37"/>
      <c r="H17" s="37"/>
      <c r="I17" s="37"/>
      <c r="J17" s="37"/>
      <c r="K17" s="42"/>
      <c r="L17" s="126"/>
      <c r="M17" s="127"/>
      <c r="N17" s="131"/>
      <c r="O17" s="125"/>
      <c r="P17" s="130"/>
      <c r="Q17" s="125"/>
      <c r="R17" s="130"/>
      <c r="S17" s="125"/>
      <c r="T17" s="130"/>
      <c r="U17" s="125"/>
      <c r="V17" s="130"/>
      <c r="W17" s="124"/>
      <c r="X17" s="128"/>
      <c r="Y17" s="125"/>
      <c r="Z17" s="130"/>
      <c r="AA17" s="127"/>
      <c r="AB17" s="129"/>
      <c r="AC17" s="124"/>
      <c r="AD17" s="126"/>
      <c r="AE17" s="125"/>
      <c r="AF17" s="125"/>
      <c r="AG17" s="125"/>
      <c r="AH17" s="125"/>
      <c r="AI17" s="125"/>
      <c r="AJ17" s="125"/>
      <c r="AK17" s="127"/>
      <c r="AL17" s="126"/>
      <c r="AM17" s="125"/>
      <c r="AN17" s="125"/>
      <c r="AO17" s="125"/>
      <c r="AP17" s="125"/>
      <c r="AQ17" s="127"/>
      <c r="AR17" s="128"/>
      <c r="AS17" s="127"/>
      <c r="AT17" s="126"/>
      <c r="AU17" s="125"/>
      <c r="AV17" s="125"/>
      <c r="AW17" s="124"/>
      <c r="AX17" s="123">
        <f t="shared" si="0"/>
        <v>0</v>
      </c>
      <c r="AY17" s="122">
        <f t="shared" si="1"/>
        <v>0</v>
      </c>
      <c r="AZ17" s="121">
        <f t="shared" si="2"/>
        <v>0</v>
      </c>
      <c r="BA17" s="32">
        <v>605.73</v>
      </c>
      <c r="BB17" s="31">
        <v>1</v>
      </c>
      <c r="BC17" s="120">
        <f t="shared" si="3"/>
        <v>4.3438822239475644E-5</v>
      </c>
    </row>
    <row r="18" spans="1:55" x14ac:dyDescent="0.3">
      <c r="A18" s="30" t="s">
        <v>26</v>
      </c>
      <c r="B18" s="29"/>
      <c r="C18" s="23"/>
      <c r="D18" s="23"/>
      <c r="E18" s="23"/>
      <c r="F18" s="26"/>
      <c r="G18" s="23"/>
      <c r="H18" s="23"/>
      <c r="I18" s="23"/>
      <c r="J18" s="23"/>
      <c r="K18" s="28"/>
      <c r="L18" s="135"/>
      <c r="M18" s="136"/>
      <c r="N18" s="140">
        <v>49.31</v>
      </c>
      <c r="O18" s="134">
        <v>1</v>
      </c>
      <c r="P18" s="139">
        <v>45619.72</v>
      </c>
      <c r="Q18" s="134">
        <v>3</v>
      </c>
      <c r="R18" s="139"/>
      <c r="S18" s="134"/>
      <c r="T18" s="139"/>
      <c r="U18" s="134"/>
      <c r="V18" s="139"/>
      <c r="W18" s="133"/>
      <c r="X18" s="137"/>
      <c r="Y18" s="134"/>
      <c r="Z18" s="139"/>
      <c r="AA18" s="136"/>
      <c r="AB18" s="138"/>
      <c r="AC18" s="133"/>
      <c r="AD18" s="135"/>
      <c r="AE18" s="134"/>
      <c r="AF18" s="134"/>
      <c r="AG18" s="134"/>
      <c r="AH18" s="134"/>
      <c r="AI18" s="134"/>
      <c r="AJ18" s="134"/>
      <c r="AK18" s="136"/>
      <c r="AL18" s="135"/>
      <c r="AM18" s="134"/>
      <c r="AN18" s="134"/>
      <c r="AO18" s="134"/>
      <c r="AP18" s="134"/>
      <c r="AQ18" s="136"/>
      <c r="AR18" s="137"/>
      <c r="AS18" s="136"/>
      <c r="AT18" s="135"/>
      <c r="AU18" s="134"/>
      <c r="AV18" s="134"/>
      <c r="AW18" s="133"/>
      <c r="AX18" s="123">
        <f t="shared" si="0"/>
        <v>45669.03</v>
      </c>
      <c r="AY18" s="122">
        <f t="shared" si="1"/>
        <v>4</v>
      </c>
      <c r="AZ18" s="132">
        <f t="shared" si="2"/>
        <v>4.0804424447935771E-3</v>
      </c>
      <c r="BA18" s="18">
        <v>116680.85</v>
      </c>
      <c r="BB18" s="17">
        <v>6</v>
      </c>
      <c r="BC18" s="120">
        <f t="shared" si="3"/>
        <v>8.3675543590393774E-3</v>
      </c>
    </row>
    <row r="19" spans="1:55" ht="27.6" x14ac:dyDescent="0.3">
      <c r="A19" s="30" t="s">
        <v>25</v>
      </c>
      <c r="B19" s="29"/>
      <c r="C19" s="23"/>
      <c r="D19" s="23"/>
      <c r="E19" s="23"/>
      <c r="F19" s="26"/>
      <c r="G19" s="23"/>
      <c r="H19" s="23"/>
      <c r="I19" s="23"/>
      <c r="J19" s="23"/>
      <c r="K19" s="28"/>
      <c r="L19" s="135"/>
      <c r="M19" s="136"/>
      <c r="N19" s="140"/>
      <c r="O19" s="134"/>
      <c r="P19" s="139"/>
      <c r="Q19" s="134"/>
      <c r="R19" s="139"/>
      <c r="S19" s="134"/>
      <c r="T19" s="139"/>
      <c r="U19" s="134"/>
      <c r="V19" s="139"/>
      <c r="W19" s="133"/>
      <c r="X19" s="137"/>
      <c r="Y19" s="134"/>
      <c r="Z19" s="139"/>
      <c r="AA19" s="136"/>
      <c r="AB19" s="138">
        <v>933.94</v>
      </c>
      <c r="AC19" s="133">
        <v>12</v>
      </c>
      <c r="AD19" s="135"/>
      <c r="AE19" s="134"/>
      <c r="AF19" s="134"/>
      <c r="AG19" s="134"/>
      <c r="AH19" s="134"/>
      <c r="AI19" s="134"/>
      <c r="AJ19" s="134"/>
      <c r="AK19" s="136"/>
      <c r="AL19" s="135"/>
      <c r="AM19" s="134"/>
      <c r="AN19" s="134"/>
      <c r="AO19" s="134"/>
      <c r="AP19" s="134"/>
      <c r="AQ19" s="136"/>
      <c r="AR19" s="137"/>
      <c r="AS19" s="136"/>
      <c r="AT19" s="135"/>
      <c r="AU19" s="134"/>
      <c r="AV19" s="134"/>
      <c r="AW19" s="133"/>
      <c r="AX19" s="123">
        <f t="shared" si="0"/>
        <v>933.94</v>
      </c>
      <c r="AY19" s="122">
        <f t="shared" si="1"/>
        <v>12</v>
      </c>
      <c r="AZ19" s="132">
        <f t="shared" si="2"/>
        <v>8.3445792846717205E-5</v>
      </c>
      <c r="BA19" s="18">
        <v>11507.5</v>
      </c>
      <c r="BB19" s="17">
        <v>39</v>
      </c>
      <c r="BC19" s="120">
        <f t="shared" si="3"/>
        <v>8.2523937549859832E-4</v>
      </c>
    </row>
    <row r="20" spans="1:55" x14ac:dyDescent="0.3">
      <c r="A20" s="30" t="s">
        <v>24</v>
      </c>
      <c r="B20" s="29"/>
      <c r="C20" s="23"/>
      <c r="D20" s="23"/>
      <c r="E20" s="23"/>
      <c r="F20" s="26"/>
      <c r="G20" s="23"/>
      <c r="H20" s="23"/>
      <c r="I20" s="23"/>
      <c r="J20" s="23"/>
      <c r="K20" s="28"/>
      <c r="L20" s="135"/>
      <c r="M20" s="136"/>
      <c r="N20" s="140">
        <f>3073243.39-27225-2997304.26</f>
        <v>48714.130000000354</v>
      </c>
      <c r="O20" s="134">
        <v>3</v>
      </c>
      <c r="P20" s="139">
        <v>1233488.28</v>
      </c>
      <c r="Q20" s="134">
        <v>33</v>
      </c>
      <c r="R20" s="139"/>
      <c r="S20" s="134"/>
      <c r="T20" s="139">
        <v>189494.95</v>
      </c>
      <c r="U20" s="134">
        <v>23</v>
      </c>
      <c r="V20" s="139"/>
      <c r="W20" s="133"/>
      <c r="X20" s="137"/>
      <c r="Y20" s="134"/>
      <c r="Z20" s="139"/>
      <c r="AA20" s="136"/>
      <c r="AB20" s="138"/>
      <c r="AC20" s="133"/>
      <c r="AD20" s="135"/>
      <c r="AE20" s="134"/>
      <c r="AF20" s="134"/>
      <c r="AG20" s="134"/>
      <c r="AH20" s="134"/>
      <c r="AI20" s="134"/>
      <c r="AJ20" s="134"/>
      <c r="AK20" s="136"/>
      <c r="AL20" s="135"/>
      <c r="AM20" s="134"/>
      <c r="AN20" s="134"/>
      <c r="AO20" s="134"/>
      <c r="AP20" s="134"/>
      <c r="AQ20" s="136"/>
      <c r="AR20" s="137"/>
      <c r="AS20" s="136"/>
      <c r="AT20" s="135"/>
      <c r="AU20" s="134"/>
      <c r="AV20" s="134"/>
      <c r="AW20" s="133"/>
      <c r="AX20" s="123">
        <f t="shared" si="0"/>
        <v>1471697.3600000003</v>
      </c>
      <c r="AY20" s="122">
        <f t="shared" si="1"/>
        <v>59</v>
      </c>
      <c r="AZ20" s="132">
        <f t="shared" si="2"/>
        <v>0.13149340753755126</v>
      </c>
      <c r="BA20" s="18">
        <f>4698444.29-3024529.26</f>
        <v>1673915.0300000003</v>
      </c>
      <c r="BB20" s="17">
        <v>96</v>
      </c>
      <c r="BC20" s="120">
        <f t="shared" si="3"/>
        <v>0.12004176354507214</v>
      </c>
    </row>
    <row r="21" spans="1:55" x14ac:dyDescent="0.3">
      <c r="A21" s="30" t="s">
        <v>23</v>
      </c>
      <c r="B21" s="29"/>
      <c r="C21" s="23"/>
      <c r="D21" s="23"/>
      <c r="E21" s="23"/>
      <c r="F21" s="26"/>
      <c r="G21" s="23"/>
      <c r="H21" s="23"/>
      <c r="I21" s="23"/>
      <c r="J21" s="23"/>
      <c r="K21" s="28"/>
      <c r="L21" s="135"/>
      <c r="M21" s="136"/>
      <c r="N21" s="140"/>
      <c r="O21" s="134"/>
      <c r="P21" s="139">
        <v>103490.92</v>
      </c>
      <c r="Q21" s="134">
        <v>4</v>
      </c>
      <c r="R21" s="139"/>
      <c r="S21" s="134"/>
      <c r="T21" s="139">
        <v>9232.2999999999993</v>
      </c>
      <c r="U21" s="134">
        <v>5</v>
      </c>
      <c r="V21" s="139"/>
      <c r="W21" s="133"/>
      <c r="X21" s="137"/>
      <c r="Y21" s="134"/>
      <c r="Z21" s="139"/>
      <c r="AA21" s="136"/>
      <c r="AB21" s="138"/>
      <c r="AC21" s="133"/>
      <c r="AD21" s="135"/>
      <c r="AE21" s="134"/>
      <c r="AF21" s="134"/>
      <c r="AG21" s="134"/>
      <c r="AH21" s="134"/>
      <c r="AI21" s="134"/>
      <c r="AJ21" s="134"/>
      <c r="AK21" s="136"/>
      <c r="AL21" s="135"/>
      <c r="AM21" s="134"/>
      <c r="AN21" s="134"/>
      <c r="AO21" s="134"/>
      <c r="AP21" s="134"/>
      <c r="AQ21" s="136"/>
      <c r="AR21" s="137"/>
      <c r="AS21" s="136"/>
      <c r="AT21" s="135"/>
      <c r="AU21" s="134"/>
      <c r="AV21" s="134"/>
      <c r="AW21" s="133"/>
      <c r="AX21" s="123">
        <f t="shared" si="0"/>
        <v>112723.22</v>
      </c>
      <c r="AY21" s="122">
        <f t="shared" si="1"/>
        <v>9</v>
      </c>
      <c r="AZ21" s="132">
        <f t="shared" si="2"/>
        <v>1.0071608952539703E-2</v>
      </c>
      <c r="BA21" s="18">
        <v>1766815.24</v>
      </c>
      <c r="BB21" s="17">
        <v>21</v>
      </c>
      <c r="BC21" s="120">
        <f t="shared" si="3"/>
        <v>0.12670393267686345</v>
      </c>
    </row>
    <row r="22" spans="1:55" x14ac:dyDescent="0.3">
      <c r="A22" s="30" t="s">
        <v>22</v>
      </c>
      <c r="B22" s="29"/>
      <c r="C22" s="23"/>
      <c r="D22" s="23"/>
      <c r="E22" s="23"/>
      <c r="F22" s="26"/>
      <c r="G22" s="23"/>
      <c r="H22" s="23"/>
      <c r="I22" s="23"/>
      <c r="J22" s="23"/>
      <c r="K22" s="28"/>
      <c r="L22" s="135"/>
      <c r="M22" s="136"/>
      <c r="N22" s="140"/>
      <c r="O22" s="134"/>
      <c r="P22" s="139">
        <v>56653.68</v>
      </c>
      <c r="Q22" s="134">
        <v>4</v>
      </c>
      <c r="R22" s="139"/>
      <c r="S22" s="134"/>
      <c r="T22" s="139"/>
      <c r="U22" s="134"/>
      <c r="V22" s="139"/>
      <c r="W22" s="133"/>
      <c r="X22" s="137"/>
      <c r="Y22" s="134"/>
      <c r="Z22" s="139"/>
      <c r="AA22" s="136"/>
      <c r="AB22" s="138"/>
      <c r="AC22" s="133"/>
      <c r="AD22" s="135"/>
      <c r="AE22" s="134"/>
      <c r="AF22" s="134"/>
      <c r="AG22" s="134"/>
      <c r="AH22" s="134"/>
      <c r="AI22" s="134"/>
      <c r="AJ22" s="134"/>
      <c r="AK22" s="136"/>
      <c r="AL22" s="135"/>
      <c r="AM22" s="134"/>
      <c r="AN22" s="134"/>
      <c r="AO22" s="134"/>
      <c r="AP22" s="134"/>
      <c r="AQ22" s="136"/>
      <c r="AR22" s="137"/>
      <c r="AS22" s="136"/>
      <c r="AT22" s="135"/>
      <c r="AU22" s="134"/>
      <c r="AV22" s="134"/>
      <c r="AW22" s="133"/>
      <c r="AX22" s="123">
        <f t="shared" si="0"/>
        <v>56653.68</v>
      </c>
      <c r="AY22" s="122">
        <f t="shared" si="1"/>
        <v>4</v>
      </c>
      <c r="AZ22" s="132">
        <f t="shared" si="2"/>
        <v>5.0619003846973099E-3</v>
      </c>
      <c r="BA22" s="18">
        <v>56653.68</v>
      </c>
      <c r="BB22" s="17">
        <v>4</v>
      </c>
      <c r="BC22" s="120">
        <f t="shared" si="3"/>
        <v>4.0628153380749448E-3</v>
      </c>
    </row>
    <row r="23" spans="1:55" x14ac:dyDescent="0.3">
      <c r="A23" s="30" t="s">
        <v>21</v>
      </c>
      <c r="B23" s="29"/>
      <c r="C23" s="23"/>
      <c r="D23" s="23"/>
      <c r="E23" s="23"/>
      <c r="F23" s="26"/>
      <c r="G23" s="23"/>
      <c r="H23" s="23"/>
      <c r="I23" s="23"/>
      <c r="J23" s="23"/>
      <c r="K23" s="28"/>
      <c r="L23" s="135"/>
      <c r="M23" s="136"/>
      <c r="N23" s="140"/>
      <c r="O23" s="134"/>
      <c r="P23" s="139">
        <v>7158.38</v>
      </c>
      <c r="Q23" s="134">
        <v>1</v>
      </c>
      <c r="R23" s="139"/>
      <c r="S23" s="134"/>
      <c r="T23" s="139"/>
      <c r="U23" s="134"/>
      <c r="V23" s="139"/>
      <c r="W23" s="133"/>
      <c r="X23" s="137"/>
      <c r="Y23" s="134"/>
      <c r="Z23" s="139"/>
      <c r="AA23" s="136"/>
      <c r="AB23" s="138"/>
      <c r="AC23" s="133"/>
      <c r="AD23" s="135"/>
      <c r="AE23" s="134"/>
      <c r="AF23" s="134"/>
      <c r="AG23" s="134"/>
      <c r="AH23" s="134"/>
      <c r="AI23" s="134"/>
      <c r="AJ23" s="134"/>
      <c r="AK23" s="136"/>
      <c r="AL23" s="135"/>
      <c r="AM23" s="134"/>
      <c r="AN23" s="134"/>
      <c r="AO23" s="134"/>
      <c r="AP23" s="134"/>
      <c r="AQ23" s="136"/>
      <c r="AR23" s="137"/>
      <c r="AS23" s="136"/>
      <c r="AT23" s="135"/>
      <c r="AU23" s="134"/>
      <c r="AV23" s="134"/>
      <c r="AW23" s="133"/>
      <c r="AX23" s="123">
        <f t="shared" si="0"/>
        <v>7158.38</v>
      </c>
      <c r="AY23" s="122">
        <f t="shared" si="1"/>
        <v>1</v>
      </c>
      <c r="AZ23" s="132">
        <f t="shared" si="2"/>
        <v>6.395878692400834E-4</v>
      </c>
      <c r="BA23" s="18">
        <v>357108.47999999998</v>
      </c>
      <c r="BB23" s="17">
        <v>2</v>
      </c>
      <c r="BC23" s="120">
        <f t="shared" si="3"/>
        <v>2.5609383360456543E-2</v>
      </c>
    </row>
    <row r="24" spans="1:55" ht="15.6" customHeight="1" x14ac:dyDescent="0.3">
      <c r="A24" s="30" t="s">
        <v>20</v>
      </c>
      <c r="B24" s="29"/>
      <c r="C24" s="23"/>
      <c r="D24" s="23"/>
      <c r="E24" s="23"/>
      <c r="F24" s="26"/>
      <c r="G24" s="23"/>
      <c r="H24" s="23"/>
      <c r="I24" s="23"/>
      <c r="J24" s="23"/>
      <c r="K24" s="28"/>
      <c r="L24" s="135"/>
      <c r="M24" s="136"/>
      <c r="N24" s="140">
        <v>364180.18</v>
      </c>
      <c r="O24" s="134">
        <v>211</v>
      </c>
      <c r="P24" s="139">
        <v>27876.27</v>
      </c>
      <c r="Q24" s="134">
        <v>17</v>
      </c>
      <c r="R24" s="139"/>
      <c r="S24" s="134"/>
      <c r="T24" s="139">
        <v>5857.98</v>
      </c>
      <c r="U24" s="134">
        <v>12</v>
      </c>
      <c r="V24" s="139"/>
      <c r="W24" s="133"/>
      <c r="X24" s="137">
        <v>78882.179999999993</v>
      </c>
      <c r="Y24" s="134">
        <v>3</v>
      </c>
      <c r="Z24" s="139"/>
      <c r="AA24" s="136"/>
      <c r="AB24" s="138"/>
      <c r="AC24" s="133"/>
      <c r="AD24" s="135"/>
      <c r="AE24" s="134"/>
      <c r="AF24" s="134"/>
      <c r="AG24" s="134"/>
      <c r="AH24" s="134"/>
      <c r="AI24" s="134"/>
      <c r="AJ24" s="134"/>
      <c r="AK24" s="136"/>
      <c r="AL24" s="135"/>
      <c r="AM24" s="134"/>
      <c r="AN24" s="134"/>
      <c r="AO24" s="134"/>
      <c r="AP24" s="134"/>
      <c r="AQ24" s="136"/>
      <c r="AR24" s="137"/>
      <c r="AS24" s="136"/>
      <c r="AT24" s="135"/>
      <c r="AU24" s="134"/>
      <c r="AV24" s="134"/>
      <c r="AW24" s="133"/>
      <c r="AX24" s="123">
        <f t="shared" si="0"/>
        <v>476796.61</v>
      </c>
      <c r="AY24" s="122">
        <f t="shared" si="1"/>
        <v>243</v>
      </c>
      <c r="AZ24" s="132">
        <f t="shared" si="2"/>
        <v>4.2600885654407152E-2</v>
      </c>
      <c r="BA24" s="18">
        <v>543645.12</v>
      </c>
      <c r="BB24" s="17">
        <v>280</v>
      </c>
      <c r="BC24" s="120">
        <f t="shared" si="3"/>
        <v>3.898651829864528E-2</v>
      </c>
    </row>
    <row r="25" spans="1:55" x14ac:dyDescent="0.3">
      <c r="A25" s="30" t="s">
        <v>19</v>
      </c>
      <c r="B25" s="29"/>
      <c r="C25" s="23"/>
      <c r="D25" s="23"/>
      <c r="E25" s="23"/>
      <c r="F25" s="26"/>
      <c r="G25" s="23"/>
      <c r="H25" s="23"/>
      <c r="I25" s="23"/>
      <c r="J25" s="23"/>
      <c r="K25" s="28"/>
      <c r="L25" s="135"/>
      <c r="M25" s="136"/>
      <c r="N25" s="140"/>
      <c r="O25" s="134"/>
      <c r="P25" s="139">
        <v>21736.5</v>
      </c>
      <c r="Q25" s="134">
        <v>3</v>
      </c>
      <c r="R25" s="139"/>
      <c r="S25" s="134"/>
      <c r="T25" s="139"/>
      <c r="U25" s="134"/>
      <c r="V25" s="139"/>
      <c r="W25" s="133"/>
      <c r="X25" s="137"/>
      <c r="Y25" s="134"/>
      <c r="Z25" s="139"/>
      <c r="AA25" s="136"/>
      <c r="AB25" s="138"/>
      <c r="AC25" s="133"/>
      <c r="AD25" s="135"/>
      <c r="AE25" s="134"/>
      <c r="AF25" s="134"/>
      <c r="AG25" s="134"/>
      <c r="AH25" s="134"/>
      <c r="AI25" s="134"/>
      <c r="AJ25" s="134"/>
      <c r="AK25" s="136"/>
      <c r="AL25" s="135"/>
      <c r="AM25" s="134"/>
      <c r="AN25" s="134"/>
      <c r="AO25" s="134"/>
      <c r="AP25" s="134"/>
      <c r="AQ25" s="136"/>
      <c r="AR25" s="137"/>
      <c r="AS25" s="136"/>
      <c r="AT25" s="135"/>
      <c r="AU25" s="134"/>
      <c r="AV25" s="134"/>
      <c r="AW25" s="133"/>
      <c r="AX25" s="123">
        <f t="shared" si="0"/>
        <v>21736.5</v>
      </c>
      <c r="AY25" s="122">
        <f t="shared" si="1"/>
        <v>3</v>
      </c>
      <c r="AZ25" s="132">
        <f t="shared" si="2"/>
        <v>1.9421156350650668E-3</v>
      </c>
      <c r="BA25" s="18">
        <v>62035.98</v>
      </c>
      <c r="BB25" s="17">
        <v>7</v>
      </c>
      <c r="BC25" s="120">
        <f t="shared" si="3"/>
        <v>4.4487971665125824E-3</v>
      </c>
    </row>
    <row r="26" spans="1:55" ht="83.4" customHeight="1" thickBot="1" x14ac:dyDescent="0.35">
      <c r="A26" s="44" t="s">
        <v>18</v>
      </c>
      <c r="B26" s="38"/>
      <c r="C26" s="37"/>
      <c r="D26" s="37">
        <v>85798.58</v>
      </c>
      <c r="E26" s="37">
        <v>101</v>
      </c>
      <c r="F26" s="40"/>
      <c r="G26" s="37"/>
      <c r="H26" s="37"/>
      <c r="I26" s="37"/>
      <c r="J26" s="37"/>
      <c r="K26" s="36"/>
      <c r="L26" s="126"/>
      <c r="M26" s="127"/>
      <c r="N26" s="131"/>
      <c r="O26" s="125"/>
      <c r="P26" s="130"/>
      <c r="Q26" s="125"/>
      <c r="R26" s="130"/>
      <c r="S26" s="125"/>
      <c r="T26" s="130"/>
      <c r="U26" s="125"/>
      <c r="V26" s="130"/>
      <c r="W26" s="124"/>
      <c r="X26" s="128"/>
      <c r="Y26" s="125"/>
      <c r="Z26" s="130"/>
      <c r="AA26" s="127"/>
      <c r="AB26" s="129"/>
      <c r="AC26" s="124"/>
      <c r="AD26" s="126">
        <v>252825.92</v>
      </c>
      <c r="AE26" s="125">
        <v>740</v>
      </c>
      <c r="AF26" s="125">
        <v>400332.87</v>
      </c>
      <c r="AG26" s="125">
        <v>773</v>
      </c>
      <c r="AH26" s="125">
        <v>4242.25</v>
      </c>
      <c r="AI26" s="125">
        <v>3</v>
      </c>
      <c r="AJ26" s="125"/>
      <c r="AK26" s="127"/>
      <c r="AL26" s="126"/>
      <c r="AM26" s="125"/>
      <c r="AN26" s="125"/>
      <c r="AO26" s="125"/>
      <c r="AP26" s="125"/>
      <c r="AQ26" s="127"/>
      <c r="AR26" s="128"/>
      <c r="AS26" s="127"/>
      <c r="AT26" s="126"/>
      <c r="AU26" s="125"/>
      <c r="AV26" s="125"/>
      <c r="AW26" s="124"/>
      <c r="AX26" s="123">
        <f t="shared" si="0"/>
        <v>743199.62</v>
      </c>
      <c r="AY26" s="122">
        <f t="shared" si="1"/>
        <v>1617</v>
      </c>
      <c r="AZ26" s="121">
        <f t="shared" si="2"/>
        <v>6.640349651399334E-2</v>
      </c>
      <c r="BA26" s="32">
        <v>1398992.56</v>
      </c>
      <c r="BB26" s="96">
        <v>4399</v>
      </c>
      <c r="BC26" s="120">
        <f t="shared" si="3"/>
        <v>0.10032620000361377</v>
      </c>
    </row>
    <row r="27" spans="1:55" ht="16.2" thickBot="1" x14ac:dyDescent="0.35">
      <c r="A27" s="119" t="s">
        <v>2</v>
      </c>
      <c r="B27" s="118">
        <f t="shared" ref="B27:AG27" si="4">SUM(B10:B26)</f>
        <v>127968.24</v>
      </c>
      <c r="C27" s="114">
        <f t="shared" si="4"/>
        <v>3</v>
      </c>
      <c r="D27" s="77">
        <f t="shared" si="4"/>
        <v>114343.48000000001</v>
      </c>
      <c r="E27" s="114">
        <f t="shared" si="4"/>
        <v>141</v>
      </c>
      <c r="F27" s="77">
        <f t="shared" si="4"/>
        <v>1825353.75</v>
      </c>
      <c r="G27" s="114">
        <f t="shared" si="4"/>
        <v>9</v>
      </c>
      <c r="H27" s="114">
        <f t="shared" si="4"/>
        <v>0</v>
      </c>
      <c r="I27" s="114">
        <f t="shared" si="4"/>
        <v>0</v>
      </c>
      <c r="J27" s="114">
        <f t="shared" si="4"/>
        <v>0</v>
      </c>
      <c r="K27" s="114">
        <f t="shared" si="4"/>
        <v>0</v>
      </c>
      <c r="L27" s="115">
        <f t="shared" si="4"/>
        <v>0</v>
      </c>
      <c r="M27" s="116">
        <f t="shared" si="4"/>
        <v>0</v>
      </c>
      <c r="N27" s="118">
        <f t="shared" si="4"/>
        <v>3501411.9100000006</v>
      </c>
      <c r="O27" s="114">
        <f t="shared" si="4"/>
        <v>342</v>
      </c>
      <c r="P27" s="77">
        <f t="shared" si="4"/>
        <v>3792449.16</v>
      </c>
      <c r="Q27" s="114">
        <f t="shared" si="4"/>
        <v>266</v>
      </c>
      <c r="R27" s="77">
        <f t="shared" si="4"/>
        <v>10056.49</v>
      </c>
      <c r="S27" s="114">
        <f t="shared" si="4"/>
        <v>50</v>
      </c>
      <c r="T27" s="77">
        <f t="shared" si="4"/>
        <v>624404.76</v>
      </c>
      <c r="U27" s="114">
        <f t="shared" si="4"/>
        <v>262</v>
      </c>
      <c r="V27" s="77">
        <f t="shared" si="4"/>
        <v>2593</v>
      </c>
      <c r="W27" s="113">
        <f t="shared" si="4"/>
        <v>42</v>
      </c>
      <c r="X27" s="76">
        <f t="shared" si="4"/>
        <v>203260.18</v>
      </c>
      <c r="Y27" s="114">
        <f t="shared" si="4"/>
        <v>43</v>
      </c>
      <c r="Z27" s="77">
        <f t="shared" si="4"/>
        <v>898.36</v>
      </c>
      <c r="AA27" s="116">
        <f t="shared" si="4"/>
        <v>22</v>
      </c>
      <c r="AB27" s="118">
        <f t="shared" si="4"/>
        <v>6924.17</v>
      </c>
      <c r="AC27" s="113">
        <f t="shared" si="4"/>
        <v>27</v>
      </c>
      <c r="AD27" s="76">
        <f t="shared" si="4"/>
        <v>253674.49000000002</v>
      </c>
      <c r="AE27" s="114">
        <f t="shared" si="4"/>
        <v>752</v>
      </c>
      <c r="AF27" s="77">
        <f t="shared" si="4"/>
        <v>688013.65</v>
      </c>
      <c r="AG27" s="117">
        <f t="shared" si="4"/>
        <v>1004</v>
      </c>
      <c r="AH27" s="77">
        <f t="shared" ref="AH27:BM27" si="5">SUM(AH10:AH26)</f>
        <v>39790.36</v>
      </c>
      <c r="AI27" s="114">
        <f t="shared" si="5"/>
        <v>5</v>
      </c>
      <c r="AJ27" s="114">
        <f t="shared" si="5"/>
        <v>0</v>
      </c>
      <c r="AK27" s="116">
        <f t="shared" si="5"/>
        <v>0</v>
      </c>
      <c r="AL27" s="115">
        <f t="shared" si="5"/>
        <v>0</v>
      </c>
      <c r="AM27" s="114">
        <f t="shared" si="5"/>
        <v>0</v>
      </c>
      <c r="AN27" s="114">
        <f t="shared" si="5"/>
        <v>0</v>
      </c>
      <c r="AO27" s="114">
        <f t="shared" si="5"/>
        <v>0</v>
      </c>
      <c r="AP27" s="114">
        <f t="shared" si="5"/>
        <v>0</v>
      </c>
      <c r="AQ27" s="116">
        <f t="shared" si="5"/>
        <v>0</v>
      </c>
      <c r="AR27" s="76">
        <f t="shared" si="5"/>
        <v>1034</v>
      </c>
      <c r="AS27" s="116">
        <f t="shared" si="5"/>
        <v>1</v>
      </c>
      <c r="AT27" s="115">
        <f t="shared" si="5"/>
        <v>0</v>
      </c>
      <c r="AU27" s="114">
        <f t="shared" si="5"/>
        <v>0</v>
      </c>
      <c r="AV27" s="114">
        <f t="shared" si="5"/>
        <v>0</v>
      </c>
      <c r="AW27" s="113">
        <f t="shared" si="5"/>
        <v>0</v>
      </c>
      <c r="AX27" s="112">
        <f t="shared" si="5"/>
        <v>11192176</v>
      </c>
      <c r="AY27" s="111">
        <f t="shared" si="5"/>
        <v>2969</v>
      </c>
      <c r="AZ27" s="110" t="s">
        <v>1</v>
      </c>
      <c r="BA27" s="5">
        <f>SUM(BA10:BA26)</f>
        <v>13944438.840000002</v>
      </c>
      <c r="BB27" s="4">
        <f>SUM(BB10:BB26)</f>
        <v>8239</v>
      </c>
      <c r="BC27" s="109" t="s">
        <v>1</v>
      </c>
    </row>
    <row r="28" spans="1:55" ht="16.8" thickBot="1" x14ac:dyDescent="0.35">
      <c r="A28" s="170" t="s">
        <v>17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2"/>
    </row>
    <row r="29" spans="1:55" x14ac:dyDescent="0.3">
      <c r="A29" s="108" t="s">
        <v>16</v>
      </c>
      <c r="B29" s="58"/>
      <c r="C29" s="52"/>
      <c r="D29" s="52">
        <v>2897.61</v>
      </c>
      <c r="E29" s="52">
        <v>5</v>
      </c>
      <c r="F29" s="56"/>
      <c r="G29" s="52"/>
      <c r="H29" s="52"/>
      <c r="I29" s="52"/>
      <c r="J29" s="52"/>
      <c r="K29" s="57"/>
      <c r="L29" s="54"/>
      <c r="M29" s="51"/>
      <c r="N29" s="53">
        <v>697.6</v>
      </c>
      <c r="O29" s="52">
        <v>36</v>
      </c>
      <c r="P29" s="56">
        <v>246.39</v>
      </c>
      <c r="Q29" s="52">
        <v>3</v>
      </c>
      <c r="R29" s="56">
        <v>1.46</v>
      </c>
      <c r="S29" s="52">
        <v>2</v>
      </c>
      <c r="T29" s="56">
        <v>441.02</v>
      </c>
      <c r="U29" s="52">
        <v>8</v>
      </c>
      <c r="V29" s="56">
        <v>0.15</v>
      </c>
      <c r="W29" s="51">
        <v>2</v>
      </c>
      <c r="X29" s="53"/>
      <c r="Y29" s="52"/>
      <c r="Z29" s="56">
        <v>0.08</v>
      </c>
      <c r="AA29" s="51">
        <v>2</v>
      </c>
      <c r="AB29" s="53">
        <f>2002.54+4921.63</f>
        <v>6924.17</v>
      </c>
      <c r="AC29" s="57">
        <f>14+13</f>
        <v>27</v>
      </c>
      <c r="AD29" s="107">
        <v>134460.29999999999</v>
      </c>
      <c r="AE29" s="105">
        <v>424</v>
      </c>
      <c r="AF29" s="106">
        <v>128496.89</v>
      </c>
      <c r="AG29" s="105">
        <v>275</v>
      </c>
      <c r="AH29" s="105"/>
      <c r="AI29" s="105"/>
      <c r="AJ29" s="105"/>
      <c r="AK29" s="104"/>
      <c r="AL29" s="54"/>
      <c r="AM29" s="52"/>
      <c r="AN29" s="52"/>
      <c r="AO29" s="52"/>
      <c r="AP29" s="52"/>
      <c r="AQ29" s="51"/>
      <c r="AR29" s="53">
        <v>1034</v>
      </c>
      <c r="AS29" s="51">
        <v>1</v>
      </c>
      <c r="AT29" s="54"/>
      <c r="AU29" s="52"/>
      <c r="AV29" s="52"/>
      <c r="AW29" s="51"/>
      <c r="AX29" s="103">
        <f t="shared" ref="AX29:AY34" si="6">B29+D29+F29+H29+J29+L29+N29+P29+R29+T29+V29+X29+Z29+AB29+AD29+AF29+AH29+AJ29+AL29+AN29+AP29+AR29+AT29+AV29</f>
        <v>275199.67</v>
      </c>
      <c r="AY29" s="102">
        <f t="shared" si="6"/>
        <v>785</v>
      </c>
      <c r="AZ29" s="101">
        <f t="shared" ref="AZ29:AZ34" si="7">AX29/$AX$35*100%</f>
        <v>2.4588575983794391E-2</v>
      </c>
      <c r="BA29" s="47">
        <f>1034+851745.16+21627.46+174551.01+15053.97</f>
        <v>1064011.5999999999</v>
      </c>
      <c r="BB29" s="100">
        <f>1+3445+34+101+47</f>
        <v>3628</v>
      </c>
      <c r="BC29" s="99">
        <f t="shared" ref="BC29:BC34" si="8">BA29/$BA$35*100%</f>
        <v>7.6303651384511353E-2</v>
      </c>
    </row>
    <row r="30" spans="1:55" ht="27.6" x14ac:dyDescent="0.3">
      <c r="A30" s="44" t="s">
        <v>15</v>
      </c>
      <c r="B30" s="43"/>
      <c r="C30" s="37"/>
      <c r="D30" s="37"/>
      <c r="E30" s="37">
        <v>0</v>
      </c>
      <c r="F30" s="40"/>
      <c r="G30" s="37"/>
      <c r="H30" s="37"/>
      <c r="I30" s="37"/>
      <c r="J30" s="37"/>
      <c r="K30" s="42"/>
      <c r="L30" s="39"/>
      <c r="M30" s="36"/>
      <c r="N30" s="38">
        <f>3282834.26-3024529.26</f>
        <v>258305</v>
      </c>
      <c r="O30" s="37">
        <v>4</v>
      </c>
      <c r="P30" s="40">
        <v>7158.38</v>
      </c>
      <c r="Q30" s="37">
        <v>1</v>
      </c>
      <c r="R30" s="40"/>
      <c r="S30" s="37"/>
      <c r="T30" s="40"/>
      <c r="U30" s="37"/>
      <c r="V30" s="40"/>
      <c r="W30" s="36"/>
      <c r="X30" s="38"/>
      <c r="Y30" s="37"/>
      <c r="Z30" s="40"/>
      <c r="AA30" s="36"/>
      <c r="AB30" s="39"/>
      <c r="AC30" s="42"/>
      <c r="AD30" s="38"/>
      <c r="AE30" s="37"/>
      <c r="AF30" s="40"/>
      <c r="AG30" s="37">
        <v>1</v>
      </c>
      <c r="AH30" s="37"/>
      <c r="AI30" s="37"/>
      <c r="AJ30" s="37"/>
      <c r="AK30" s="36"/>
      <c r="AL30" s="39"/>
      <c r="AM30" s="37"/>
      <c r="AN30" s="37"/>
      <c r="AO30" s="37"/>
      <c r="AP30" s="37"/>
      <c r="AQ30" s="36"/>
      <c r="AR30" s="38"/>
      <c r="AS30" s="36"/>
      <c r="AT30" s="39"/>
      <c r="AU30" s="37"/>
      <c r="AV30" s="37"/>
      <c r="AW30" s="36"/>
      <c r="AX30" s="98">
        <f t="shared" si="6"/>
        <v>265463.38</v>
      </c>
      <c r="AY30" s="97">
        <f t="shared" si="6"/>
        <v>6</v>
      </c>
      <c r="AZ30" s="83">
        <f t="shared" si="7"/>
        <v>2.3718656675877865E-2</v>
      </c>
      <c r="BA30" s="32">
        <f>3320171.78-3024529.26</f>
        <v>295642.52</v>
      </c>
      <c r="BB30" s="96">
        <f>6+1</f>
        <v>7</v>
      </c>
      <c r="BC30" s="95">
        <f t="shared" si="8"/>
        <v>2.120146413866017E-2</v>
      </c>
    </row>
    <row r="31" spans="1:55" ht="27.6" x14ac:dyDescent="0.3">
      <c r="A31" s="44" t="s">
        <v>14</v>
      </c>
      <c r="B31" s="43"/>
      <c r="C31" s="37"/>
      <c r="D31" s="37"/>
      <c r="E31" s="37">
        <v>0</v>
      </c>
      <c r="F31" s="40"/>
      <c r="G31" s="37"/>
      <c r="H31" s="37"/>
      <c r="I31" s="37"/>
      <c r="J31" s="37"/>
      <c r="K31" s="42"/>
      <c r="L31" s="39"/>
      <c r="M31" s="36"/>
      <c r="N31" s="38">
        <v>75085.279999999999</v>
      </c>
      <c r="O31" s="37">
        <v>33</v>
      </c>
      <c r="P31" s="40">
        <v>2338569.4300000002</v>
      </c>
      <c r="Q31" s="37">
        <v>100</v>
      </c>
      <c r="R31" s="40">
        <v>3013.02</v>
      </c>
      <c r="S31" s="37">
        <v>13</v>
      </c>
      <c r="T31" s="40">
        <v>350729.39</v>
      </c>
      <c r="U31" s="37">
        <v>58</v>
      </c>
      <c r="V31" s="40">
        <v>1719.75</v>
      </c>
      <c r="W31" s="36">
        <v>14</v>
      </c>
      <c r="X31" s="38">
        <v>151927.31</v>
      </c>
      <c r="Y31" s="37">
        <v>6</v>
      </c>
      <c r="Z31" s="40">
        <v>121.18</v>
      </c>
      <c r="AA31" s="36">
        <v>4</v>
      </c>
      <c r="AB31" s="39"/>
      <c r="AC31" s="42"/>
      <c r="AD31" s="38"/>
      <c r="AE31" s="37"/>
      <c r="AF31" s="40"/>
      <c r="AG31" s="37"/>
      <c r="AH31" s="37"/>
      <c r="AI31" s="37"/>
      <c r="AJ31" s="37"/>
      <c r="AK31" s="36"/>
      <c r="AL31" s="39"/>
      <c r="AM31" s="37"/>
      <c r="AN31" s="37"/>
      <c r="AO31" s="37"/>
      <c r="AP31" s="37"/>
      <c r="AQ31" s="36"/>
      <c r="AR31" s="38"/>
      <c r="AS31" s="36"/>
      <c r="AT31" s="39"/>
      <c r="AU31" s="37"/>
      <c r="AV31" s="37"/>
      <c r="AW31" s="36"/>
      <c r="AX31" s="98">
        <f t="shared" si="6"/>
        <v>2921165.3600000003</v>
      </c>
      <c r="AY31" s="97">
        <f t="shared" si="6"/>
        <v>228</v>
      </c>
      <c r="AZ31" s="83">
        <f t="shared" si="7"/>
        <v>0.26100066332051963</v>
      </c>
      <c r="BA31" s="32">
        <v>3787754.37</v>
      </c>
      <c r="BB31" s="96">
        <v>346</v>
      </c>
      <c r="BC31" s="95">
        <f t="shared" si="8"/>
        <v>0.27163189666225396</v>
      </c>
    </row>
    <row r="32" spans="1:55" x14ac:dyDescent="0.3">
      <c r="A32" s="44" t="s">
        <v>13</v>
      </c>
      <c r="B32" s="43"/>
      <c r="C32" s="37"/>
      <c r="D32" s="37"/>
      <c r="E32" s="37">
        <v>0</v>
      </c>
      <c r="F32" s="40"/>
      <c r="G32" s="37"/>
      <c r="H32" s="37"/>
      <c r="I32" s="37"/>
      <c r="J32" s="37"/>
      <c r="K32" s="42"/>
      <c r="L32" s="39"/>
      <c r="M32" s="36"/>
      <c r="N32" s="38">
        <v>58.64</v>
      </c>
      <c r="O32" s="37">
        <v>2</v>
      </c>
      <c r="P32" s="40">
        <v>388.36</v>
      </c>
      <c r="Q32" s="37">
        <v>2</v>
      </c>
      <c r="R32" s="40"/>
      <c r="S32" s="37"/>
      <c r="T32" s="40">
        <v>4.12</v>
      </c>
      <c r="U32" s="37">
        <v>2</v>
      </c>
      <c r="V32" s="40"/>
      <c r="W32" s="36"/>
      <c r="X32" s="38"/>
      <c r="Y32" s="37"/>
      <c r="Z32" s="40"/>
      <c r="AA32" s="36"/>
      <c r="AB32" s="39"/>
      <c r="AC32" s="42"/>
      <c r="AD32" s="38"/>
      <c r="AE32" s="37"/>
      <c r="AF32" s="40"/>
      <c r="AG32" s="37"/>
      <c r="AH32" s="37"/>
      <c r="AI32" s="37"/>
      <c r="AJ32" s="37"/>
      <c r="AK32" s="36"/>
      <c r="AL32" s="39"/>
      <c r="AM32" s="37"/>
      <c r="AN32" s="37"/>
      <c r="AO32" s="37"/>
      <c r="AP32" s="37"/>
      <c r="AQ32" s="36"/>
      <c r="AR32" s="38"/>
      <c r="AS32" s="36"/>
      <c r="AT32" s="39"/>
      <c r="AU32" s="37"/>
      <c r="AV32" s="37"/>
      <c r="AW32" s="36"/>
      <c r="AX32" s="98">
        <f t="shared" si="6"/>
        <v>451.12</v>
      </c>
      <c r="AY32" s="97">
        <f t="shared" si="6"/>
        <v>6</v>
      </c>
      <c r="AZ32" s="83">
        <f t="shared" si="7"/>
        <v>4.0306728557520896E-5</v>
      </c>
      <c r="BA32" s="32">
        <v>9915.31</v>
      </c>
      <c r="BB32" s="96">
        <v>8</v>
      </c>
      <c r="BC32" s="95">
        <f t="shared" si="8"/>
        <v>7.1105837343254463E-4</v>
      </c>
    </row>
    <row r="33" spans="1:55" x14ac:dyDescent="0.3">
      <c r="A33" s="44" t="s">
        <v>12</v>
      </c>
      <c r="B33" s="29"/>
      <c r="C33" s="23"/>
      <c r="D33" s="23">
        <v>111445.87</v>
      </c>
      <c r="E33" s="37">
        <v>136</v>
      </c>
      <c r="F33" s="26"/>
      <c r="G33" s="23"/>
      <c r="H33" s="23"/>
      <c r="I33" s="23"/>
      <c r="J33" s="23"/>
      <c r="K33" s="28"/>
      <c r="L33" s="25"/>
      <c r="M33" s="22"/>
      <c r="N33" s="24"/>
      <c r="O33" s="23"/>
      <c r="P33" s="26"/>
      <c r="Q33" s="23"/>
      <c r="R33" s="26"/>
      <c r="S33" s="23"/>
      <c r="T33" s="26"/>
      <c r="U33" s="23"/>
      <c r="V33" s="26"/>
      <c r="W33" s="22"/>
      <c r="X33" s="24"/>
      <c r="Y33" s="23"/>
      <c r="Z33" s="26"/>
      <c r="AA33" s="22"/>
      <c r="AB33" s="25"/>
      <c r="AC33" s="28"/>
      <c r="AD33" s="24">
        <v>119214.19</v>
      </c>
      <c r="AE33" s="23">
        <v>328</v>
      </c>
      <c r="AF33" s="26">
        <v>559516.76</v>
      </c>
      <c r="AG33" s="23">
        <v>728</v>
      </c>
      <c r="AH33" s="26">
        <v>39790.36</v>
      </c>
      <c r="AI33" s="23">
        <v>5</v>
      </c>
      <c r="AJ33" s="23"/>
      <c r="AK33" s="22"/>
      <c r="AL33" s="25"/>
      <c r="AM33" s="23"/>
      <c r="AN33" s="23"/>
      <c r="AO33" s="23"/>
      <c r="AP33" s="23"/>
      <c r="AQ33" s="22"/>
      <c r="AR33" s="24"/>
      <c r="AS33" s="22"/>
      <c r="AT33" s="25"/>
      <c r="AU33" s="23"/>
      <c r="AV33" s="23"/>
      <c r="AW33" s="22"/>
      <c r="AX33" s="85">
        <f t="shared" si="6"/>
        <v>829967.18</v>
      </c>
      <c r="AY33" s="84">
        <f t="shared" si="6"/>
        <v>1197</v>
      </c>
      <c r="AZ33" s="83">
        <f t="shared" si="7"/>
        <v>7.415601577387633E-2</v>
      </c>
      <c r="BA33" s="18">
        <v>1205596.47</v>
      </c>
      <c r="BB33" s="94">
        <v>3023</v>
      </c>
      <c r="BC33" s="93">
        <f t="shared" si="8"/>
        <v>8.6457152118715158E-2</v>
      </c>
    </row>
    <row r="34" spans="1:55" ht="16.2" thickBot="1" x14ac:dyDescent="0.35">
      <c r="A34" s="92" t="s">
        <v>11</v>
      </c>
      <c r="B34" s="29">
        <v>127968.24</v>
      </c>
      <c r="C34" s="23">
        <v>3</v>
      </c>
      <c r="D34" s="23"/>
      <c r="E34" s="2"/>
      <c r="F34" s="26">
        <v>1825353.75</v>
      </c>
      <c r="G34" s="23">
        <v>9</v>
      </c>
      <c r="H34" s="23"/>
      <c r="I34" s="23"/>
      <c r="J34" s="23"/>
      <c r="K34" s="28"/>
      <c r="L34" s="25"/>
      <c r="M34" s="22"/>
      <c r="N34" s="24">
        <v>3167265.39</v>
      </c>
      <c r="O34" s="23">
        <v>267</v>
      </c>
      <c r="P34" s="26">
        <v>1446086.6</v>
      </c>
      <c r="Q34" s="23">
        <v>160</v>
      </c>
      <c r="R34" s="26">
        <v>7042.01</v>
      </c>
      <c r="S34" s="23">
        <v>35</v>
      </c>
      <c r="T34" s="26">
        <v>273230.23</v>
      </c>
      <c r="U34" s="23">
        <v>194</v>
      </c>
      <c r="V34" s="26">
        <v>873.1</v>
      </c>
      <c r="W34" s="22">
        <v>26</v>
      </c>
      <c r="X34" s="24">
        <v>51332.87</v>
      </c>
      <c r="Y34" s="23">
        <v>37</v>
      </c>
      <c r="Z34" s="26">
        <v>777.1</v>
      </c>
      <c r="AA34" s="22">
        <v>16</v>
      </c>
      <c r="AB34" s="91"/>
      <c r="AC34" s="90"/>
      <c r="AD34" s="89"/>
      <c r="AE34" s="88"/>
      <c r="AF34" s="88"/>
      <c r="AG34" s="88"/>
      <c r="AH34" s="88"/>
      <c r="AI34" s="88"/>
      <c r="AJ34" s="87"/>
      <c r="AK34" s="86"/>
      <c r="AL34" s="25"/>
      <c r="AM34" s="23"/>
      <c r="AN34" s="23"/>
      <c r="AO34" s="23"/>
      <c r="AP34" s="23"/>
      <c r="AQ34" s="22"/>
      <c r="AR34" s="24"/>
      <c r="AS34" s="22"/>
      <c r="AT34" s="25"/>
      <c r="AU34" s="23"/>
      <c r="AV34" s="23"/>
      <c r="AW34" s="22"/>
      <c r="AX34" s="85">
        <f t="shared" si="6"/>
        <v>6899929.29</v>
      </c>
      <c r="AY34" s="84">
        <f t="shared" si="6"/>
        <v>747</v>
      </c>
      <c r="AZ34" s="83">
        <f t="shared" si="7"/>
        <v>0.61649578151737428</v>
      </c>
      <c r="BA34" s="82">
        <v>7581518.5700000003</v>
      </c>
      <c r="BB34" s="81">
        <v>1227</v>
      </c>
      <c r="BC34" s="80">
        <f t="shared" si="8"/>
        <v>0.54369477732242688</v>
      </c>
    </row>
    <row r="35" spans="1:55" ht="16.2" thickBot="1" x14ac:dyDescent="0.35">
      <c r="A35" s="79" t="s">
        <v>2</v>
      </c>
      <c r="B35" s="76">
        <f>SUM(B29:B34)</f>
        <v>127968.24</v>
      </c>
      <c r="C35" s="68">
        <f>SUM(C29:C34)</f>
        <v>3</v>
      </c>
      <c r="D35" s="77">
        <f>SUM(D29:D34)</f>
        <v>114343.48</v>
      </c>
      <c r="E35" s="68">
        <f>SUM(E29:E33)</f>
        <v>141</v>
      </c>
      <c r="F35" s="77">
        <f t="shared" ref="F35:AC35" si="9">SUM(F29:F34)</f>
        <v>1825353.75</v>
      </c>
      <c r="G35" s="68">
        <f t="shared" si="9"/>
        <v>9</v>
      </c>
      <c r="H35" s="67">
        <f t="shared" si="9"/>
        <v>0</v>
      </c>
      <c r="I35" s="68">
        <f t="shared" si="9"/>
        <v>0</v>
      </c>
      <c r="J35" s="67">
        <f t="shared" si="9"/>
        <v>0</v>
      </c>
      <c r="K35" s="78">
        <f t="shared" si="9"/>
        <v>0</v>
      </c>
      <c r="L35" s="69">
        <f t="shared" si="9"/>
        <v>0</v>
      </c>
      <c r="M35" s="66">
        <f t="shared" si="9"/>
        <v>0</v>
      </c>
      <c r="N35" s="76">
        <f t="shared" si="9"/>
        <v>3501411.91</v>
      </c>
      <c r="O35" s="68">
        <f t="shared" si="9"/>
        <v>342</v>
      </c>
      <c r="P35" s="77">
        <f t="shared" si="9"/>
        <v>3792449.16</v>
      </c>
      <c r="Q35" s="68">
        <f t="shared" si="9"/>
        <v>266</v>
      </c>
      <c r="R35" s="77">
        <f t="shared" si="9"/>
        <v>10056.49</v>
      </c>
      <c r="S35" s="68">
        <f t="shared" si="9"/>
        <v>50</v>
      </c>
      <c r="T35" s="77">
        <f t="shared" si="9"/>
        <v>624404.76</v>
      </c>
      <c r="U35" s="68">
        <f t="shared" si="9"/>
        <v>262</v>
      </c>
      <c r="V35" s="77">
        <f t="shared" si="9"/>
        <v>2593</v>
      </c>
      <c r="W35" s="66">
        <f t="shared" si="9"/>
        <v>42</v>
      </c>
      <c r="X35" s="76">
        <f t="shared" si="9"/>
        <v>203260.18</v>
      </c>
      <c r="Y35" s="68">
        <f t="shared" si="9"/>
        <v>43</v>
      </c>
      <c r="Z35" s="77">
        <f t="shared" si="9"/>
        <v>898.36</v>
      </c>
      <c r="AA35" s="66">
        <f t="shared" si="9"/>
        <v>22</v>
      </c>
      <c r="AB35" s="76">
        <f t="shared" si="9"/>
        <v>6924.17</v>
      </c>
      <c r="AC35" s="66">
        <f t="shared" si="9"/>
        <v>27</v>
      </c>
      <c r="AD35" s="75">
        <f>SUM(AD29:AD33)</f>
        <v>253674.49</v>
      </c>
      <c r="AE35" s="72">
        <f>SUM(AE29:AE34)</f>
        <v>752</v>
      </c>
      <c r="AF35" s="73">
        <f>SUM(AF29:AF33)</f>
        <v>688013.65</v>
      </c>
      <c r="AG35" s="74">
        <f>SUM(AG29:AG33)</f>
        <v>1004</v>
      </c>
      <c r="AH35" s="73">
        <f>SUM(AH29:AH33)</f>
        <v>39790.36</v>
      </c>
      <c r="AI35" s="72">
        <f>SUM(AI29:AI33)</f>
        <v>5</v>
      </c>
      <c r="AJ35" s="71">
        <f t="shared" ref="AJ35:AY35" si="10">SUM(AJ29:AJ34)</f>
        <v>0</v>
      </c>
      <c r="AK35" s="70">
        <f t="shared" si="10"/>
        <v>0</v>
      </c>
      <c r="AL35" s="69">
        <f t="shared" si="10"/>
        <v>0</v>
      </c>
      <c r="AM35" s="68">
        <f t="shared" si="10"/>
        <v>0</v>
      </c>
      <c r="AN35" s="67">
        <f t="shared" si="10"/>
        <v>0</v>
      </c>
      <c r="AO35" s="68">
        <f t="shared" si="10"/>
        <v>0</v>
      </c>
      <c r="AP35" s="67">
        <f t="shared" si="10"/>
        <v>0</v>
      </c>
      <c r="AQ35" s="66">
        <f t="shared" si="10"/>
        <v>0</v>
      </c>
      <c r="AR35" s="69">
        <f t="shared" si="10"/>
        <v>1034</v>
      </c>
      <c r="AS35" s="66">
        <f t="shared" si="10"/>
        <v>1</v>
      </c>
      <c r="AT35" s="69">
        <f t="shared" si="10"/>
        <v>0</v>
      </c>
      <c r="AU35" s="68">
        <f t="shared" si="10"/>
        <v>0</v>
      </c>
      <c r="AV35" s="67">
        <f t="shared" si="10"/>
        <v>0</v>
      </c>
      <c r="AW35" s="66">
        <f t="shared" si="10"/>
        <v>0</v>
      </c>
      <c r="AX35" s="65">
        <f t="shared" si="10"/>
        <v>11192176</v>
      </c>
      <c r="AY35" s="64">
        <f t="shared" si="10"/>
        <v>2969</v>
      </c>
      <c r="AZ35" s="63" t="s">
        <v>1</v>
      </c>
      <c r="BA35" s="62">
        <f>SUM(BA29:BA34)</f>
        <v>13944438.84</v>
      </c>
      <c r="BB35" s="61">
        <f>SUM(BB29:BB34)</f>
        <v>8239</v>
      </c>
      <c r="BC35" s="60" t="s">
        <v>1</v>
      </c>
    </row>
    <row r="36" spans="1:55" ht="16.8" customHeight="1" thickBot="1" x14ac:dyDescent="0.35">
      <c r="A36" s="170" t="s">
        <v>10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2"/>
    </row>
    <row r="37" spans="1:55" x14ac:dyDescent="0.3">
      <c r="A37" s="59" t="s">
        <v>9</v>
      </c>
      <c r="B37" s="58"/>
      <c r="C37" s="52"/>
      <c r="D37" s="56">
        <v>0</v>
      </c>
      <c r="E37" s="52">
        <v>0</v>
      </c>
      <c r="F37" s="56"/>
      <c r="G37" s="52"/>
      <c r="H37" s="52"/>
      <c r="I37" s="52"/>
      <c r="J37" s="52"/>
      <c r="K37" s="57"/>
      <c r="L37" s="54"/>
      <c r="M37" s="51"/>
      <c r="N37" s="58">
        <v>8991.94</v>
      </c>
      <c r="O37" s="52">
        <v>2</v>
      </c>
      <c r="P37" s="56">
        <v>267464.90999999997</v>
      </c>
      <c r="Q37" s="52">
        <v>19</v>
      </c>
      <c r="R37" s="56">
        <v>10056.49</v>
      </c>
      <c r="S37" s="52">
        <v>50</v>
      </c>
      <c r="T37" s="56">
        <v>358029.98</v>
      </c>
      <c r="U37" s="52">
        <v>70</v>
      </c>
      <c r="V37" s="56">
        <v>2593</v>
      </c>
      <c r="W37" s="57">
        <v>42</v>
      </c>
      <c r="X37" s="53"/>
      <c r="Y37" s="52"/>
      <c r="Z37" s="56">
        <v>898.36</v>
      </c>
      <c r="AA37" s="51">
        <v>22</v>
      </c>
      <c r="AB37" s="55">
        <f>857.37+383.19</f>
        <v>1240.56</v>
      </c>
      <c r="AC37" s="51">
        <f>7+1</f>
        <v>8</v>
      </c>
      <c r="AD37" s="54"/>
      <c r="AE37" s="52"/>
      <c r="AF37" s="52"/>
      <c r="AG37" s="52"/>
      <c r="AH37" s="52"/>
      <c r="AI37" s="52"/>
      <c r="AJ37" s="52"/>
      <c r="AK37" s="51"/>
      <c r="AL37" s="54"/>
      <c r="AM37" s="52"/>
      <c r="AN37" s="52"/>
      <c r="AO37" s="52"/>
      <c r="AP37" s="52"/>
      <c r="AQ37" s="51"/>
      <c r="AR37" s="53"/>
      <c r="AS37" s="52"/>
      <c r="AT37" s="52"/>
      <c r="AU37" s="52"/>
      <c r="AV37" s="52"/>
      <c r="AW37" s="51"/>
      <c r="AX37" s="50">
        <f t="shared" ref="AX37:AY43" si="11">B37+D37+F37+H37+J37+L37+N37+P37+R37+T37+V37+X37+Z37+AB37+AD37+AF37+AH37+AJ37+AL37+AN37+AP37+AR37+AT37+AV37</f>
        <v>649275.24</v>
      </c>
      <c r="AY37" s="49">
        <f t="shared" si="11"/>
        <v>213</v>
      </c>
      <c r="AZ37" s="48">
        <f t="shared" ref="AZ37:AZ43" si="12">AX37/$AX$44*100%</f>
        <v>5.801152876795361E-2</v>
      </c>
      <c r="BA37" s="47">
        <f>28530+7422.44+1118104.32+4677.65</f>
        <v>1158734.4099999999</v>
      </c>
      <c r="BB37" s="46">
        <f>3+4+621+31</f>
        <v>659</v>
      </c>
      <c r="BC37" s="45">
        <f t="shared" ref="BC37:BC43" si="13">BA37/$BA$44*100%</f>
        <v>8.3096524951304526E-2</v>
      </c>
    </row>
    <row r="38" spans="1:55" x14ac:dyDescent="0.3">
      <c r="A38" s="44" t="s">
        <v>8</v>
      </c>
      <c r="B38" s="43"/>
      <c r="C38" s="37"/>
      <c r="D38" s="40">
        <v>0</v>
      </c>
      <c r="E38" s="37">
        <v>0</v>
      </c>
      <c r="F38" s="40"/>
      <c r="G38" s="37"/>
      <c r="H38" s="37"/>
      <c r="I38" s="37"/>
      <c r="J38" s="37"/>
      <c r="K38" s="42"/>
      <c r="L38" s="39"/>
      <c r="M38" s="36"/>
      <c r="N38" s="43"/>
      <c r="O38" s="37"/>
      <c r="P38" s="40">
        <v>1830877.29</v>
      </c>
      <c r="Q38" s="37">
        <v>192</v>
      </c>
      <c r="R38" s="40"/>
      <c r="S38" s="37"/>
      <c r="T38" s="40">
        <v>14185.29</v>
      </c>
      <c r="U38" s="37">
        <v>14</v>
      </c>
      <c r="V38" s="40"/>
      <c r="W38" s="42"/>
      <c r="X38" s="38">
        <v>66482.53</v>
      </c>
      <c r="Y38" s="37">
        <v>8</v>
      </c>
      <c r="Z38" s="40"/>
      <c r="AA38" s="36"/>
      <c r="AB38" s="41"/>
      <c r="AC38" s="36"/>
      <c r="AD38" s="38"/>
      <c r="AE38" s="40"/>
      <c r="AF38" s="40">
        <v>3746.4</v>
      </c>
      <c r="AG38" s="40">
        <v>4</v>
      </c>
      <c r="AH38" s="40"/>
      <c r="AI38" s="40"/>
      <c r="AJ38" s="37"/>
      <c r="AK38" s="36"/>
      <c r="AL38" s="39"/>
      <c r="AM38" s="37"/>
      <c r="AN38" s="37"/>
      <c r="AO38" s="37"/>
      <c r="AP38" s="37"/>
      <c r="AQ38" s="36"/>
      <c r="AR38" s="38"/>
      <c r="AS38" s="37"/>
      <c r="AT38" s="37"/>
      <c r="AU38" s="37"/>
      <c r="AV38" s="37"/>
      <c r="AW38" s="36"/>
      <c r="AX38" s="35">
        <f t="shared" si="11"/>
        <v>1915291.51</v>
      </c>
      <c r="AY38" s="34">
        <f t="shared" si="11"/>
        <v>218</v>
      </c>
      <c r="AZ38" s="33">
        <f t="shared" si="12"/>
        <v>0.17112771546837718</v>
      </c>
      <c r="BA38" s="32">
        <f>4813.18+4716281.33</f>
        <v>4721094.51</v>
      </c>
      <c r="BB38" s="31">
        <f>8+366</f>
        <v>374</v>
      </c>
      <c r="BC38" s="16">
        <f t="shared" si="13"/>
        <v>0.33856468260719197</v>
      </c>
    </row>
    <row r="39" spans="1:55" x14ac:dyDescent="0.3">
      <c r="A39" s="44" t="s">
        <v>7</v>
      </c>
      <c r="B39" s="43">
        <v>127968.24</v>
      </c>
      <c r="C39" s="37">
        <v>3</v>
      </c>
      <c r="D39" s="40">
        <v>69549.14</v>
      </c>
      <c r="E39" s="37">
        <v>45</v>
      </c>
      <c r="F39" s="40">
        <v>1825353.75</v>
      </c>
      <c r="G39" s="37">
        <v>9</v>
      </c>
      <c r="H39" s="37"/>
      <c r="I39" s="37"/>
      <c r="J39" s="37"/>
      <c r="K39" s="42"/>
      <c r="L39" s="39"/>
      <c r="M39" s="36"/>
      <c r="N39" s="43">
        <f>6428864.31-3024529.26</f>
        <v>3404335.05</v>
      </c>
      <c r="O39" s="37">
        <v>241</v>
      </c>
      <c r="P39" s="40">
        <v>396351.45</v>
      </c>
      <c r="Q39" s="37">
        <v>31</v>
      </c>
      <c r="R39" s="40"/>
      <c r="S39" s="37"/>
      <c r="T39" s="40">
        <v>101552.18</v>
      </c>
      <c r="U39" s="37">
        <v>51</v>
      </c>
      <c r="V39" s="40"/>
      <c r="W39" s="42"/>
      <c r="X39" s="38">
        <v>136777.65</v>
      </c>
      <c r="Y39" s="37">
        <v>35</v>
      </c>
      <c r="Z39" s="40"/>
      <c r="AA39" s="36"/>
      <c r="AB39" s="41">
        <v>36.93</v>
      </c>
      <c r="AC39" s="36">
        <v>1</v>
      </c>
      <c r="AD39" s="38">
        <v>113829.99</v>
      </c>
      <c r="AE39" s="40">
        <v>223</v>
      </c>
      <c r="AF39" s="40">
        <v>432857.86</v>
      </c>
      <c r="AG39" s="40">
        <v>318</v>
      </c>
      <c r="AH39" s="40">
        <v>33494.14</v>
      </c>
      <c r="AI39" s="40">
        <v>3</v>
      </c>
      <c r="AJ39" s="37"/>
      <c r="AK39" s="36"/>
      <c r="AL39" s="39"/>
      <c r="AM39" s="37"/>
      <c r="AN39" s="37"/>
      <c r="AO39" s="37"/>
      <c r="AP39" s="37"/>
      <c r="AQ39" s="36"/>
      <c r="AR39" s="38"/>
      <c r="AS39" s="37"/>
      <c r="AT39" s="37"/>
      <c r="AU39" s="37"/>
      <c r="AV39" s="37"/>
      <c r="AW39" s="36"/>
      <c r="AX39" s="35">
        <f t="shared" si="11"/>
        <v>6642106.3799999999</v>
      </c>
      <c r="AY39" s="34">
        <f t="shared" si="11"/>
        <v>960</v>
      </c>
      <c r="AZ39" s="33">
        <f t="shared" si="12"/>
        <v>0.59345978655089049</v>
      </c>
      <c r="BA39" s="32">
        <f>1226343.99+7459964.01+68.54-3024529.26</f>
        <v>5661847.2799999993</v>
      </c>
      <c r="BB39" s="31">
        <f>2253+407+3</f>
        <v>2663</v>
      </c>
      <c r="BC39" s="16">
        <f t="shared" si="13"/>
        <v>0.40602905179366827</v>
      </c>
    </row>
    <row r="40" spans="1:55" x14ac:dyDescent="0.3">
      <c r="A40" s="44" t="s">
        <v>6</v>
      </c>
      <c r="B40" s="43"/>
      <c r="C40" s="37"/>
      <c r="D40" s="40">
        <v>44794.34</v>
      </c>
      <c r="E40" s="37">
        <v>96</v>
      </c>
      <c r="F40" s="40"/>
      <c r="G40" s="37"/>
      <c r="H40" s="37"/>
      <c r="I40" s="37"/>
      <c r="J40" s="37"/>
      <c r="K40" s="42"/>
      <c r="L40" s="39"/>
      <c r="M40" s="36"/>
      <c r="N40" s="43"/>
      <c r="O40" s="37"/>
      <c r="P40" s="40"/>
      <c r="Q40" s="37"/>
      <c r="R40" s="40"/>
      <c r="S40" s="37"/>
      <c r="T40" s="40"/>
      <c r="U40" s="37"/>
      <c r="V40" s="40"/>
      <c r="W40" s="42"/>
      <c r="X40" s="38"/>
      <c r="Y40" s="37"/>
      <c r="Z40" s="40"/>
      <c r="AA40" s="36"/>
      <c r="AB40" s="41"/>
      <c r="AC40" s="36"/>
      <c r="AD40" s="38">
        <v>139405.10999999999</v>
      </c>
      <c r="AE40" s="40">
        <v>526</v>
      </c>
      <c r="AF40" s="40">
        <v>245178</v>
      </c>
      <c r="AG40" s="40">
        <v>676</v>
      </c>
      <c r="AH40" s="40">
        <v>6296.22</v>
      </c>
      <c r="AI40" s="40">
        <v>2</v>
      </c>
      <c r="AJ40" s="37"/>
      <c r="AK40" s="36"/>
      <c r="AL40" s="39"/>
      <c r="AM40" s="37"/>
      <c r="AN40" s="37"/>
      <c r="AO40" s="37"/>
      <c r="AP40" s="37"/>
      <c r="AQ40" s="36"/>
      <c r="AR40" s="38"/>
      <c r="AS40" s="37"/>
      <c r="AT40" s="37"/>
      <c r="AU40" s="37"/>
      <c r="AV40" s="37"/>
      <c r="AW40" s="36"/>
      <c r="AX40" s="35">
        <f t="shared" si="11"/>
        <v>435673.66999999993</v>
      </c>
      <c r="AY40" s="34">
        <f t="shared" si="11"/>
        <v>1300</v>
      </c>
      <c r="AZ40" s="33">
        <f t="shared" si="12"/>
        <v>3.8926627851456223E-2</v>
      </c>
      <c r="BA40" s="32">
        <v>789651.72</v>
      </c>
      <c r="BB40" s="31">
        <v>4190</v>
      </c>
      <c r="BC40" s="16">
        <f t="shared" si="13"/>
        <v>5.6628432958869789E-2</v>
      </c>
    </row>
    <row r="41" spans="1:55" x14ac:dyDescent="0.3">
      <c r="A41" s="44" t="s">
        <v>5</v>
      </c>
      <c r="B41" s="43"/>
      <c r="C41" s="37"/>
      <c r="D41" s="40">
        <v>0</v>
      </c>
      <c r="E41" s="37">
        <v>0</v>
      </c>
      <c r="F41" s="40"/>
      <c r="G41" s="37"/>
      <c r="H41" s="37"/>
      <c r="I41" s="37"/>
      <c r="J41" s="37"/>
      <c r="K41" s="42"/>
      <c r="L41" s="39"/>
      <c r="M41" s="36"/>
      <c r="N41" s="43">
        <v>2620.87</v>
      </c>
      <c r="O41" s="37">
        <v>14</v>
      </c>
      <c r="P41" s="40">
        <v>10758.33</v>
      </c>
      <c r="Q41" s="37">
        <v>7</v>
      </c>
      <c r="R41" s="40"/>
      <c r="S41" s="37"/>
      <c r="T41" s="40">
        <v>30651.42</v>
      </c>
      <c r="U41" s="37">
        <v>21</v>
      </c>
      <c r="V41" s="40"/>
      <c r="W41" s="42"/>
      <c r="X41" s="38"/>
      <c r="Y41" s="37"/>
      <c r="Z41" s="40"/>
      <c r="AA41" s="36"/>
      <c r="AB41" s="41">
        <f>826.81+4538.44</f>
        <v>5365.25</v>
      </c>
      <c r="AC41" s="36">
        <f>3+12</f>
        <v>15</v>
      </c>
      <c r="AD41" s="38">
        <v>439.39</v>
      </c>
      <c r="AE41" s="40">
        <v>3</v>
      </c>
      <c r="AF41" s="40">
        <v>6219.04</v>
      </c>
      <c r="AG41" s="40">
        <v>5</v>
      </c>
      <c r="AH41" s="40"/>
      <c r="AI41" s="40"/>
      <c r="AJ41" s="37"/>
      <c r="AK41" s="36"/>
      <c r="AL41" s="39"/>
      <c r="AM41" s="37"/>
      <c r="AN41" s="37"/>
      <c r="AO41" s="37"/>
      <c r="AP41" s="37"/>
      <c r="AQ41" s="36"/>
      <c r="AR41" s="38">
        <v>1034</v>
      </c>
      <c r="AS41" s="37">
        <v>1</v>
      </c>
      <c r="AT41" s="37"/>
      <c r="AU41" s="37"/>
      <c r="AV41" s="37"/>
      <c r="AW41" s="36"/>
      <c r="AX41" s="35">
        <f t="shared" si="11"/>
        <v>57088.299999999996</v>
      </c>
      <c r="AY41" s="34">
        <f t="shared" si="11"/>
        <v>66</v>
      </c>
      <c r="AZ41" s="33">
        <f t="shared" si="12"/>
        <v>5.100732869104274E-3</v>
      </c>
      <c r="BA41" s="32">
        <f>1034+7976.35+14205.02+54396.24+1134.62</f>
        <v>78746.23</v>
      </c>
      <c r="BB41" s="31">
        <f>1+13+30+48+5</f>
        <v>97</v>
      </c>
      <c r="BC41" s="16">
        <f t="shared" si="13"/>
        <v>5.6471422696562235E-3</v>
      </c>
    </row>
    <row r="42" spans="1:55" x14ac:dyDescent="0.3">
      <c r="A42" s="30" t="s">
        <v>4</v>
      </c>
      <c r="B42" s="29"/>
      <c r="C42" s="23"/>
      <c r="D42" s="26"/>
      <c r="E42" s="23"/>
      <c r="F42" s="26"/>
      <c r="G42" s="23"/>
      <c r="H42" s="23"/>
      <c r="I42" s="23"/>
      <c r="J42" s="23"/>
      <c r="K42" s="28"/>
      <c r="L42" s="25"/>
      <c r="M42" s="22"/>
      <c r="N42" s="29"/>
      <c r="O42" s="23"/>
      <c r="P42" s="26"/>
      <c r="Q42" s="23"/>
      <c r="R42" s="26"/>
      <c r="S42" s="23"/>
      <c r="T42" s="26"/>
      <c r="U42" s="23"/>
      <c r="V42" s="26"/>
      <c r="W42" s="28"/>
      <c r="X42" s="24"/>
      <c r="Y42" s="23"/>
      <c r="Z42" s="26"/>
      <c r="AA42" s="22"/>
      <c r="AB42" s="27">
        <v>281.43</v>
      </c>
      <c r="AC42" s="22">
        <v>3</v>
      </c>
      <c r="AD42" s="24"/>
      <c r="AE42" s="26"/>
      <c r="AF42" s="26"/>
      <c r="AG42" s="26"/>
      <c r="AH42" s="26"/>
      <c r="AI42" s="26"/>
      <c r="AJ42" s="23"/>
      <c r="AK42" s="22"/>
      <c r="AL42" s="25"/>
      <c r="AM42" s="23"/>
      <c r="AN42" s="23"/>
      <c r="AO42" s="23"/>
      <c r="AP42" s="23"/>
      <c r="AQ42" s="22"/>
      <c r="AR42" s="24"/>
      <c r="AS42" s="23"/>
      <c r="AT42" s="23"/>
      <c r="AU42" s="23"/>
      <c r="AV42" s="23"/>
      <c r="AW42" s="22"/>
      <c r="AX42" s="21">
        <f t="shared" si="11"/>
        <v>281.43</v>
      </c>
      <c r="AY42" s="20">
        <f t="shared" si="11"/>
        <v>3</v>
      </c>
      <c r="AZ42" s="19">
        <f t="shared" si="12"/>
        <v>2.5145244320675444E-5</v>
      </c>
      <c r="BA42" s="18">
        <v>9173.16</v>
      </c>
      <c r="BB42" s="17">
        <v>8</v>
      </c>
      <c r="BC42" s="16">
        <f t="shared" si="13"/>
        <v>6.5783643969139459E-4</v>
      </c>
    </row>
    <row r="43" spans="1:55" ht="16.2" thickBot="1" x14ac:dyDescent="0.35">
      <c r="A43" s="30" t="s">
        <v>3</v>
      </c>
      <c r="B43" s="29"/>
      <c r="C43" s="23"/>
      <c r="D43" s="26">
        <v>0</v>
      </c>
      <c r="E43" s="23">
        <v>0</v>
      </c>
      <c r="F43" s="26"/>
      <c r="G43" s="23"/>
      <c r="H43" s="23"/>
      <c r="I43" s="23"/>
      <c r="J43" s="23"/>
      <c r="K43" s="28"/>
      <c r="L43" s="25"/>
      <c r="M43" s="22"/>
      <c r="N43" s="29">
        <v>85464.05</v>
      </c>
      <c r="O43" s="23">
        <v>85</v>
      </c>
      <c r="P43" s="26">
        <v>1286997.18</v>
      </c>
      <c r="Q43" s="23">
        <v>17</v>
      </c>
      <c r="R43" s="26"/>
      <c r="S43" s="23"/>
      <c r="T43" s="26">
        <v>119985.89</v>
      </c>
      <c r="U43" s="23">
        <v>106</v>
      </c>
      <c r="V43" s="26"/>
      <c r="W43" s="28"/>
      <c r="X43" s="24"/>
      <c r="Y43" s="23"/>
      <c r="Z43" s="26"/>
      <c r="AA43" s="22"/>
      <c r="AB43" s="27"/>
      <c r="AC43" s="22"/>
      <c r="AD43" s="24"/>
      <c r="AE43" s="26"/>
      <c r="AF43" s="26">
        <v>12.35</v>
      </c>
      <c r="AG43" s="26">
        <v>1</v>
      </c>
      <c r="AH43" s="26"/>
      <c r="AI43" s="26"/>
      <c r="AJ43" s="23"/>
      <c r="AK43" s="22"/>
      <c r="AL43" s="25"/>
      <c r="AM43" s="23"/>
      <c r="AN43" s="23"/>
      <c r="AO43" s="23"/>
      <c r="AP43" s="23"/>
      <c r="AQ43" s="22"/>
      <c r="AR43" s="24"/>
      <c r="AS43" s="23"/>
      <c r="AT43" s="23"/>
      <c r="AU43" s="23"/>
      <c r="AV43" s="23"/>
      <c r="AW43" s="22"/>
      <c r="AX43" s="21">
        <f t="shared" si="11"/>
        <v>1492459.47</v>
      </c>
      <c r="AY43" s="20">
        <f t="shared" si="11"/>
        <v>209</v>
      </c>
      <c r="AZ43" s="19">
        <f t="shared" si="12"/>
        <v>0.13334846324789745</v>
      </c>
      <c r="BA43" s="18">
        <f>26.39+1525165.14</f>
        <v>1525191.5299999998</v>
      </c>
      <c r="BB43" s="17">
        <f>2+246</f>
        <v>248</v>
      </c>
      <c r="BC43" s="16">
        <f t="shared" si="13"/>
        <v>0.10937632897961778</v>
      </c>
    </row>
    <row r="44" spans="1:55" ht="16.2" thickBot="1" x14ac:dyDescent="0.35">
      <c r="A44" s="15" t="s">
        <v>2</v>
      </c>
      <c r="B44" s="13">
        <f t="shared" ref="B44:AG44" si="14">SUM(B37:B43)</f>
        <v>127968.24</v>
      </c>
      <c r="C44" s="9">
        <f t="shared" si="14"/>
        <v>3</v>
      </c>
      <c r="D44" s="10">
        <f t="shared" si="14"/>
        <v>114343.48</v>
      </c>
      <c r="E44" s="9">
        <f t="shared" si="14"/>
        <v>141</v>
      </c>
      <c r="F44" s="10">
        <f t="shared" si="14"/>
        <v>1825353.75</v>
      </c>
      <c r="G44" s="9">
        <f t="shared" si="14"/>
        <v>9</v>
      </c>
      <c r="H44" s="10">
        <f t="shared" si="14"/>
        <v>0</v>
      </c>
      <c r="I44" s="9">
        <f t="shared" si="14"/>
        <v>0</v>
      </c>
      <c r="J44" s="10">
        <f t="shared" si="14"/>
        <v>0</v>
      </c>
      <c r="K44" s="12">
        <f t="shared" si="14"/>
        <v>0</v>
      </c>
      <c r="L44" s="11">
        <f t="shared" si="14"/>
        <v>0</v>
      </c>
      <c r="M44" s="12">
        <f t="shared" si="14"/>
        <v>0</v>
      </c>
      <c r="N44" s="11">
        <f t="shared" si="14"/>
        <v>3501411.9099999997</v>
      </c>
      <c r="O44" s="9">
        <f t="shared" si="14"/>
        <v>342</v>
      </c>
      <c r="P44" s="10">
        <f t="shared" si="14"/>
        <v>3792449.16</v>
      </c>
      <c r="Q44" s="9">
        <f t="shared" si="14"/>
        <v>266</v>
      </c>
      <c r="R44" s="10">
        <f t="shared" si="14"/>
        <v>10056.49</v>
      </c>
      <c r="S44" s="9">
        <f t="shared" si="14"/>
        <v>50</v>
      </c>
      <c r="T44" s="10">
        <f t="shared" si="14"/>
        <v>624404.75999999989</v>
      </c>
      <c r="U44" s="9">
        <f t="shared" si="14"/>
        <v>262</v>
      </c>
      <c r="V44" s="10">
        <f t="shared" si="14"/>
        <v>2593</v>
      </c>
      <c r="W44" s="14">
        <f t="shared" si="14"/>
        <v>42</v>
      </c>
      <c r="X44" s="13">
        <f t="shared" si="14"/>
        <v>203260.18</v>
      </c>
      <c r="Y44" s="9">
        <f t="shared" si="14"/>
        <v>43</v>
      </c>
      <c r="Z44" s="10">
        <f t="shared" si="14"/>
        <v>898.36</v>
      </c>
      <c r="AA44" s="12">
        <f t="shared" si="14"/>
        <v>22</v>
      </c>
      <c r="AB44" s="13">
        <f t="shared" si="14"/>
        <v>6924.17</v>
      </c>
      <c r="AC44" s="12">
        <f t="shared" si="14"/>
        <v>27</v>
      </c>
      <c r="AD44" s="13">
        <f t="shared" si="14"/>
        <v>253674.49</v>
      </c>
      <c r="AE44" s="9">
        <f t="shared" si="14"/>
        <v>752</v>
      </c>
      <c r="AF44" s="10">
        <f t="shared" si="14"/>
        <v>688013.65</v>
      </c>
      <c r="AG44" s="9">
        <f t="shared" si="14"/>
        <v>1004</v>
      </c>
      <c r="AH44" s="10">
        <f t="shared" ref="AH44:BM44" si="15">SUM(AH37:AH43)</f>
        <v>39790.36</v>
      </c>
      <c r="AI44" s="9">
        <f t="shared" si="15"/>
        <v>5</v>
      </c>
      <c r="AJ44" s="10">
        <f t="shared" si="15"/>
        <v>0</v>
      </c>
      <c r="AK44" s="12">
        <f t="shared" si="15"/>
        <v>0</v>
      </c>
      <c r="AL44" s="13">
        <f t="shared" si="15"/>
        <v>0</v>
      </c>
      <c r="AM44" s="9">
        <f t="shared" si="15"/>
        <v>0</v>
      </c>
      <c r="AN44" s="10">
        <f t="shared" si="15"/>
        <v>0</v>
      </c>
      <c r="AO44" s="9">
        <f t="shared" si="15"/>
        <v>0</v>
      </c>
      <c r="AP44" s="10">
        <f t="shared" si="15"/>
        <v>0</v>
      </c>
      <c r="AQ44" s="12">
        <f t="shared" si="15"/>
        <v>0</v>
      </c>
      <c r="AR44" s="11">
        <f t="shared" si="15"/>
        <v>1034</v>
      </c>
      <c r="AS44" s="9">
        <f t="shared" si="15"/>
        <v>1</v>
      </c>
      <c r="AT44" s="10">
        <f t="shared" si="15"/>
        <v>0</v>
      </c>
      <c r="AU44" s="9">
        <f t="shared" si="15"/>
        <v>0</v>
      </c>
      <c r="AV44" s="10">
        <f t="shared" si="15"/>
        <v>0</v>
      </c>
      <c r="AW44" s="9">
        <f t="shared" si="15"/>
        <v>0</v>
      </c>
      <c r="AX44" s="8">
        <f t="shared" si="15"/>
        <v>11192176</v>
      </c>
      <c r="AY44" s="7">
        <f t="shared" si="15"/>
        <v>2969</v>
      </c>
      <c r="AZ44" s="6" t="s">
        <v>1</v>
      </c>
      <c r="BA44" s="5">
        <f>SUM(BA37:BA43)</f>
        <v>13944438.84</v>
      </c>
      <c r="BB44" s="4">
        <f>SUM(BB37:BB43)</f>
        <v>8239</v>
      </c>
      <c r="BC44" s="3" t="s">
        <v>1</v>
      </c>
    </row>
    <row r="45" spans="1:5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5" ht="15.6" customHeight="1" x14ac:dyDescent="0.3">
      <c r="A46" s="199" t="s">
        <v>0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"/>
      <c r="BC46" s="1"/>
    </row>
    <row r="47" spans="1:55" x14ac:dyDescent="0.3">
      <c r="A47" s="199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"/>
      <c r="BC47" s="1"/>
    </row>
    <row r="51" spans="1:17" s="266" customFormat="1" ht="28.2" x14ac:dyDescent="0.5">
      <c r="A51" s="266" t="s">
        <v>80</v>
      </c>
      <c r="Q51" s="266" t="s">
        <v>81</v>
      </c>
    </row>
    <row r="52" spans="1:17" s="266" customFormat="1" ht="28.2" x14ac:dyDescent="0.5"/>
    <row r="53" spans="1:17" s="266" customFormat="1" ht="28.2" x14ac:dyDescent="0.5"/>
    <row r="54" spans="1:17" s="266" customFormat="1" ht="28.2" x14ac:dyDescent="0.5"/>
    <row r="55" spans="1:17" s="266" customFormat="1" ht="28.2" x14ac:dyDescent="0.5"/>
    <row r="56" spans="1:17" s="266" customFormat="1" ht="28.2" x14ac:dyDescent="0.5"/>
    <row r="57" spans="1:17" s="266" customFormat="1" ht="28.2" x14ac:dyDescent="0.5"/>
    <row r="58" spans="1:17" s="266" customFormat="1" ht="28.2" x14ac:dyDescent="0.5"/>
    <row r="59" spans="1:17" s="266" customFormat="1" ht="28.2" x14ac:dyDescent="0.5"/>
    <row r="60" spans="1:17" s="266" customFormat="1" ht="28.2" x14ac:dyDescent="0.5">
      <c r="A60" s="267" t="s">
        <v>82</v>
      </c>
    </row>
    <row r="61" spans="1:17" s="266" customFormat="1" ht="28.2" x14ac:dyDescent="0.5">
      <c r="A61" s="267" t="s">
        <v>83</v>
      </c>
    </row>
    <row r="62" spans="1:17" s="266" customFormat="1" ht="28.2" x14ac:dyDescent="0.5">
      <c r="A62" s="268" t="s">
        <v>84</v>
      </c>
    </row>
    <row r="63" spans="1:17" s="266" customFormat="1" ht="28.2" x14ac:dyDescent="0.5"/>
    <row r="64" spans="1:17" s="266" customFormat="1" ht="28.2" x14ac:dyDescent="0.5"/>
    <row r="65" spans="2:2" s="266" customFormat="1" ht="28.2" x14ac:dyDescent="0.5"/>
    <row r="66" spans="2:2" s="266" customFormat="1" ht="28.2" x14ac:dyDescent="0.5"/>
    <row r="67" spans="2:2" s="266" customFormat="1" ht="28.2" x14ac:dyDescent="0.5"/>
    <row r="68" spans="2:2" s="266" customFormat="1" ht="28.2" x14ac:dyDescent="0.5">
      <c r="B68" s="266" t="s">
        <v>85</v>
      </c>
    </row>
  </sheetData>
  <mergeCells count="78">
    <mergeCell ref="BB1:BC1"/>
    <mergeCell ref="B3:AV3"/>
    <mergeCell ref="AT4:AW4"/>
    <mergeCell ref="AJ4:AK4"/>
    <mergeCell ref="AJ5:AK5"/>
    <mergeCell ref="AD5:AE5"/>
    <mergeCell ref="AR4:AS6"/>
    <mergeCell ref="AT5:AU6"/>
    <mergeCell ref="AO6:AO7"/>
    <mergeCell ref="AP6:AP7"/>
    <mergeCell ref="AQ6:AQ7"/>
    <mergeCell ref="AV5:AW6"/>
    <mergeCell ref="C6:C7"/>
    <mergeCell ref="AG6:AG7"/>
    <mergeCell ref="AF5:AG5"/>
    <mergeCell ref="T5:W5"/>
    <mergeCell ref="H6:H7"/>
    <mergeCell ref="G6:G7"/>
    <mergeCell ref="N6:O6"/>
    <mergeCell ref="B5:C5"/>
    <mergeCell ref="D5:E5"/>
    <mergeCell ref="F5:G5"/>
    <mergeCell ref="J5:K5"/>
    <mergeCell ref="H5:I5"/>
    <mergeCell ref="I6:I7"/>
    <mergeCell ref="AH6:AH7"/>
    <mergeCell ref="N5:S5"/>
    <mergeCell ref="AB6:AB7"/>
    <mergeCell ref="AC6:AC7"/>
    <mergeCell ref="P6:Q6"/>
    <mergeCell ref="R6:S6"/>
    <mergeCell ref="T6:U6"/>
    <mergeCell ref="AB4:AC5"/>
    <mergeCell ref="X4:AA5"/>
    <mergeCell ref="AP5:AQ5"/>
    <mergeCell ref="AL4:AQ4"/>
    <mergeCell ref="AH5:AI5"/>
    <mergeCell ref="AD4:AI4"/>
    <mergeCell ref="L6:L7"/>
    <mergeCell ref="X6:Y6"/>
    <mergeCell ref="Z6:AA6"/>
    <mergeCell ref="N4:W4"/>
    <mergeCell ref="AJ6:AJ7"/>
    <mergeCell ref="AK6:AK7"/>
    <mergeCell ref="AM6:AM7"/>
    <mergeCell ref="AN6:AN7"/>
    <mergeCell ref="A1:BA1"/>
    <mergeCell ref="A46:BA47"/>
    <mergeCell ref="A2:A7"/>
    <mergeCell ref="B2:AS2"/>
    <mergeCell ref="AX2:AZ3"/>
    <mergeCell ref="BA2:BC3"/>
    <mergeCell ref="AL6:AL7"/>
    <mergeCell ref="AI6:AI7"/>
    <mergeCell ref="A28:BC28"/>
    <mergeCell ref="BA4:BA7"/>
    <mergeCell ref="BB4:BB7"/>
    <mergeCell ref="BC4:BC7"/>
    <mergeCell ref="AD6:AD7"/>
    <mergeCell ref="AE6:AE7"/>
    <mergeCell ref="F6:F7"/>
    <mergeCell ref="E6:E7"/>
    <mergeCell ref="A36:BC36"/>
    <mergeCell ref="AY4:AY7"/>
    <mergeCell ref="AZ4:AZ7"/>
    <mergeCell ref="AX4:AX7"/>
    <mergeCell ref="A9:BC9"/>
    <mergeCell ref="AF6:AF7"/>
    <mergeCell ref="V6:W6"/>
    <mergeCell ref="K6:K7"/>
    <mergeCell ref="J6:J7"/>
    <mergeCell ref="M6:M7"/>
    <mergeCell ref="B6:B7"/>
    <mergeCell ref="D6:D7"/>
    <mergeCell ref="B4:K4"/>
    <mergeCell ref="L4:M5"/>
    <mergeCell ref="AL5:AM5"/>
    <mergeCell ref="AN5:AO5"/>
  </mergeCell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4.pielikums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par konstatētajiem neatbilstoši veiktajiem izdevumiem Eiropas Savienības politikas instrumentu, Eiropas Savienības iniciatīvu, Pirmsiestāšanās fondu un Pārejas perioda palīdzības ietvaros līdz 2011.gada 31.decembrim</dc:title>
  <dc:subject>4.pielikums</dc:subject>
  <dc:creator>au-avota</dc:creator>
  <dc:description>67083954; Aiva.Avota@fm.gov.lv</dc:description>
  <cp:lastModifiedBy>au-avota</cp:lastModifiedBy>
  <cp:lastPrinted>2012-08-31T06:39:26Z</cp:lastPrinted>
  <dcterms:created xsi:type="dcterms:W3CDTF">2012-07-16T12:00:15Z</dcterms:created>
  <dcterms:modified xsi:type="dcterms:W3CDTF">2012-08-31T06:40:20Z</dcterms:modified>
</cp:coreProperties>
</file>