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04" firstSheet="1" activeTab="1"/>
  </bookViews>
  <sheets>
    <sheet name="1v 100_10%_2013" sheetId="1" r:id="rId1"/>
    <sheet name="2014gads" sheetId="2" r:id="rId2"/>
  </sheets>
  <definedNames/>
  <calcPr fullCalcOnLoad="1"/>
</workbook>
</file>

<file path=xl/comments1.xml><?xml version="1.0" encoding="utf-8"?>
<comments xmlns="http://schemas.openxmlformats.org/spreadsheetml/2006/main">
  <authors>
    <author>Sandra</author>
  </authors>
  <commentList>
    <comment ref="CE5" authorId="0">
      <text>
        <r>
          <rPr>
            <b/>
            <sz val="9"/>
            <rFont val="Tahoma"/>
            <family val="2"/>
          </rPr>
          <t>Sandra:</t>
        </r>
        <r>
          <rPr>
            <sz val="9"/>
            <rFont val="Tahoma"/>
            <family val="2"/>
          </rPr>
          <t xml:space="preserve">
tāmē ir 418 tūkst, tas nozīmē, ka šis cipars varētu būt reāls!
</t>
        </r>
      </text>
    </comment>
    <comment ref="CF5" authorId="0">
      <text>
        <r>
          <rPr>
            <b/>
            <sz val="9"/>
            <rFont val="Tahoma"/>
            <family val="2"/>
          </rPr>
          <t>Sandra:</t>
        </r>
        <r>
          <rPr>
            <sz val="9"/>
            <rFont val="Tahoma"/>
            <family val="2"/>
          </rPr>
          <t xml:space="preserve">
tāmē ir 128 tūkst. Tas nozīmē, ka šis cipars varētu būt reāls
</t>
        </r>
      </text>
    </comment>
  </commentList>
</comments>
</file>

<file path=xl/sharedStrings.xml><?xml version="1.0" encoding="utf-8"?>
<sst xmlns="http://schemas.openxmlformats.org/spreadsheetml/2006/main" count="379" uniqueCount="163">
  <si>
    <t>Amats</t>
  </si>
  <si>
    <t>Profesiju klasifikatora kods</t>
  </si>
  <si>
    <t>Saime</t>
  </si>
  <si>
    <t>Līme-nis</t>
  </si>
  <si>
    <t>I</t>
  </si>
  <si>
    <t>II</t>
  </si>
  <si>
    <t>III</t>
  </si>
  <si>
    <t>2635 01</t>
  </si>
  <si>
    <t>IV</t>
  </si>
  <si>
    <t>Aprūpētājs</t>
  </si>
  <si>
    <t>5322 02</t>
  </si>
  <si>
    <t>Bērnu aprūpētājs (diennakts)</t>
  </si>
  <si>
    <t>5311 05</t>
  </si>
  <si>
    <t>Bērnu aprūpes un audzināšanas iestādes audzinātājs</t>
  </si>
  <si>
    <t>5311 04</t>
  </si>
  <si>
    <t>39</t>
  </si>
  <si>
    <t>5.2</t>
  </si>
  <si>
    <t>Kultūras pasākumu organizators</t>
  </si>
  <si>
    <t>Māsas palīgs</t>
  </si>
  <si>
    <t>5321 03</t>
  </si>
  <si>
    <t>3412 09</t>
  </si>
  <si>
    <t>Sociālais aprūpētājs</t>
  </si>
  <si>
    <t>3412 01</t>
  </si>
  <si>
    <t>Sociālais audzinātājs</t>
  </si>
  <si>
    <t>5311 06</t>
  </si>
  <si>
    <t>Sociālais rehabilitētājs</t>
  </si>
  <si>
    <t>3412 02</t>
  </si>
  <si>
    <t>Medicīnas māsa (nesertificēta)*</t>
  </si>
  <si>
    <t>3221 01</t>
  </si>
  <si>
    <t>5.2.</t>
  </si>
  <si>
    <t>Diētas māsa</t>
  </si>
  <si>
    <t>2221 11</t>
  </si>
  <si>
    <t>Māsa</t>
  </si>
  <si>
    <t>Masieris</t>
  </si>
  <si>
    <t>3255 01</t>
  </si>
  <si>
    <t>Fizioterapeita asistents</t>
  </si>
  <si>
    <t>3255 02</t>
  </si>
  <si>
    <t>5.1</t>
  </si>
  <si>
    <t>IC</t>
  </si>
  <si>
    <t>Logopēds</t>
  </si>
  <si>
    <t>2266 03</t>
  </si>
  <si>
    <t>Psihologs</t>
  </si>
  <si>
    <t>2634 01</t>
  </si>
  <si>
    <t>Speciālais pedagogs</t>
  </si>
  <si>
    <t>Sociālais darbinieks</t>
  </si>
  <si>
    <t>IIB</t>
  </si>
  <si>
    <t>Vecākā medicīnas māsa</t>
  </si>
  <si>
    <t>2221 01</t>
  </si>
  <si>
    <t>Ergoterapeits</t>
  </si>
  <si>
    <t>2264 04</t>
  </si>
  <si>
    <t>Fizioterapeits</t>
  </si>
  <si>
    <t>2264 02</t>
  </si>
  <si>
    <t>Reitterapeits</t>
  </si>
  <si>
    <t>2264 06</t>
  </si>
  <si>
    <t>Ārsts</t>
  </si>
  <si>
    <t>Interešu pulciņa audzinātājs</t>
  </si>
  <si>
    <t>3435 20</t>
  </si>
  <si>
    <t>2352 03</t>
  </si>
  <si>
    <t>Mēneš algu grupa</t>
  </si>
  <si>
    <t>% no max skalas</t>
  </si>
  <si>
    <t>4 max alga skala</t>
  </si>
  <si>
    <t>1 max alga skala</t>
  </si>
  <si>
    <t>2 max alga skala</t>
  </si>
  <si>
    <t>3 max alga skala</t>
  </si>
  <si>
    <t>5 max alga skala</t>
  </si>
  <si>
    <t>6 max alga skala</t>
  </si>
  <si>
    <t>VSAC Rīga</t>
  </si>
  <si>
    <t>VSAC Vidzeme</t>
  </si>
  <si>
    <t>VSAC Zemgale</t>
  </si>
  <si>
    <t>VSAC Latgale</t>
  </si>
  <si>
    <t>VSAC Kurzeeme</t>
  </si>
  <si>
    <t>amatu vietu sk kopā</t>
  </si>
  <si>
    <t>amatu skaits kopā</t>
  </si>
  <si>
    <t>2. kvalifikācijas pakāpe</t>
  </si>
  <si>
    <t>1. kvalifikācijas pakāpe</t>
  </si>
  <si>
    <t>3. kvalifikācijas pakāpe</t>
  </si>
  <si>
    <t>4. kvalifikācijas pakāpe</t>
  </si>
  <si>
    <t>5. kvalifikācijas pakāpe</t>
  </si>
  <si>
    <t>6. kvalifikācijas pakāpe</t>
  </si>
  <si>
    <t>1.kval.pak.</t>
  </si>
  <si>
    <t>2.kval.pak.</t>
  </si>
  <si>
    <t>3.kval.pak.</t>
  </si>
  <si>
    <t>4.kval.pak.</t>
  </si>
  <si>
    <t>5.kval.pak.</t>
  </si>
  <si>
    <t>6.kval.pak.</t>
  </si>
  <si>
    <t xml:space="preserve">kopā VSAC </t>
  </si>
  <si>
    <t>Esošais</t>
  </si>
  <si>
    <t>Mēnešalga gadam</t>
  </si>
  <si>
    <t>Nakts stundas 50%*</t>
  </si>
  <si>
    <t>aprūpētāja h likme</t>
  </si>
  <si>
    <t>med.māsu h likme</t>
  </si>
  <si>
    <t>Svētku dienas 100%</t>
  </si>
  <si>
    <t>soc.apr. H likme</t>
  </si>
  <si>
    <t>interešu p.audz. H likme</t>
  </si>
  <si>
    <t>KOPĀ</t>
  </si>
  <si>
    <t>Plāns</t>
  </si>
  <si>
    <t>KOPĀ nepieciešams papildus</t>
  </si>
  <si>
    <t>KOPĀ nepieciešams papildus + 24.09%</t>
  </si>
  <si>
    <t>*</t>
  </si>
  <si>
    <r>
      <t xml:space="preserve">Piemaksas par īp.apst. Vidēji </t>
    </r>
    <r>
      <rPr>
        <u val="single"/>
        <sz val="10"/>
        <rFont val="Arial"/>
        <family val="2"/>
      </rPr>
      <t>5%</t>
    </r>
  </si>
  <si>
    <t xml:space="preserve">Piemaksas par īp.apst. </t>
  </si>
  <si>
    <t>Struktūrv,vad.</t>
  </si>
  <si>
    <t>Plānotie % no max</t>
  </si>
  <si>
    <t>Max</t>
  </si>
  <si>
    <t>% no max</t>
  </si>
  <si>
    <t>izmaiņas atalg (- palielinās) Ls</t>
  </si>
  <si>
    <t>papildus</t>
  </si>
  <si>
    <t>aprēķinā ņemts</t>
  </si>
  <si>
    <t>atalgojums šobrīd</t>
  </si>
  <si>
    <t>atalgojuma izmaiņas</t>
  </si>
  <si>
    <t>% no max skalas šobrīd</t>
  </si>
  <si>
    <t>piemaksu daļa</t>
  </si>
  <si>
    <t>atalgojums kopā</t>
  </si>
  <si>
    <t>Piemaksa 10%</t>
  </si>
  <si>
    <t>1.variants</t>
  </si>
  <si>
    <r>
      <t>Piemaksas par īp.apst. 10</t>
    </r>
    <r>
      <rPr>
        <u val="single"/>
        <sz val="10"/>
        <rFont val="Arial"/>
        <family val="2"/>
      </rPr>
      <t>%</t>
    </r>
  </si>
  <si>
    <t>2012.gads</t>
  </si>
  <si>
    <t>KOPĀ  (EKK 1100)</t>
  </si>
  <si>
    <t>Mēnešalga gadam (EKK1110)</t>
  </si>
  <si>
    <t>Alīdzība ( EKK1000)</t>
  </si>
  <si>
    <t>mēnešalga (EKK 1110)</t>
  </si>
  <si>
    <t>Atalgojums (EKK1100)</t>
  </si>
  <si>
    <t>2014.gads</t>
  </si>
  <si>
    <t>papildus 2014.gads</t>
  </si>
  <si>
    <t>Sociālās aprūpes struktūrvienības vadītājs</t>
  </si>
  <si>
    <t>A.Grīnberga, 67021522, Aija.Grinberga@lm.gov.lv</t>
  </si>
  <si>
    <t>Fakss 67021678</t>
  </si>
  <si>
    <t>Labklājības ministre                                                                                                                        I.Viņķele</t>
  </si>
  <si>
    <t>Izmaksu aprēķins 2014. un turpmākajiem gadiem</t>
  </si>
  <si>
    <t>3</t>
  </si>
  <si>
    <t>18=16+17</t>
  </si>
  <si>
    <t xml:space="preserve">Informatīvais ziņojums "Par situācijas stabilizēšanu </t>
  </si>
  <si>
    <t>valsts sociālās aprūpes centros"</t>
  </si>
  <si>
    <t>2.pielikums</t>
  </si>
  <si>
    <t>Kopā</t>
  </si>
  <si>
    <t>Klientu aprūpē iesaistītās amatu vietas kopā:</t>
  </si>
  <si>
    <t>Piemaksas par īp.apst. vidēji 5%, nakts darbs , svētku dienas (EKK1140)</t>
  </si>
  <si>
    <t>piemaksas EKK 1140</t>
  </si>
  <si>
    <t>Piemaksas par īp.apst. vidēji 5% (EKK1145)</t>
  </si>
  <si>
    <t>piemaksas par nakts darbu (EKK 1141), darbu svētku dienās (EKK1142) u.c.</t>
  </si>
  <si>
    <t>Piemaksas par īp.apst. vidēji 25% (EKK1145)</t>
  </si>
  <si>
    <t>25=20-15</t>
  </si>
  <si>
    <t>26=21-16</t>
  </si>
  <si>
    <t>27=22-17</t>
  </si>
  <si>
    <t>Piemaksas kopā (EKK1140)</t>
  </si>
  <si>
    <t>kopā (EKK 1140)</t>
  </si>
  <si>
    <t>15=6*14*12mēn</t>
  </si>
  <si>
    <t>19=15+18</t>
  </si>
  <si>
    <t>20=10*14*12mēn</t>
  </si>
  <si>
    <t>23=21+22</t>
  </si>
  <si>
    <t>24=20+23</t>
  </si>
  <si>
    <t>28=23-18</t>
  </si>
  <si>
    <t>29=24-19</t>
  </si>
  <si>
    <t>30=29*1.2409</t>
  </si>
  <si>
    <t>9=6+8</t>
  </si>
  <si>
    <t>13=10+12</t>
  </si>
  <si>
    <t>16=15*0.05</t>
  </si>
  <si>
    <t>pārējās papildus pieprasījumā neiekļautās amata vietas VSAC (vidējais atalgojums)</t>
  </si>
  <si>
    <t>8=18/14/12</t>
  </si>
  <si>
    <t>12=23/14/12</t>
  </si>
  <si>
    <t>Medicīnas māsa (nesertificēta)</t>
  </si>
  <si>
    <t>21=20*0.25</t>
  </si>
  <si>
    <t>18.06.2012.  15:49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</si>
</sst>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000"/>
    <numFmt numFmtId="178" formatCode="0.000"/>
    <numFmt numFmtId="179" formatCode="0.0"/>
    <numFmt numFmtId="180" formatCode="0.00000"/>
    <numFmt numFmtId="181" formatCode="#,##0.00000000"/>
    <numFmt numFmtId="182" formatCode="#,##0.000"/>
  </numFmts>
  <fonts count="6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10"/>
      <name val="Arial"/>
      <family val="2"/>
    </font>
    <font>
      <b/>
      <sz val="12"/>
      <color indexed="30"/>
      <name val="Arial"/>
      <family val="2"/>
    </font>
    <font>
      <b/>
      <sz val="12"/>
      <color indexed="3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2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3" fontId="2" fillId="4" borderId="10" xfId="0" applyNumberFormat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3" fontId="2" fillId="3" borderId="10" xfId="0" applyNumberFormat="1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3" fontId="2" fillId="5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3" fontId="4" fillId="32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4" borderId="1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3" fontId="4" fillId="3" borderId="10" xfId="0" applyNumberFormat="1" applyFont="1" applyFill="1" applyBorder="1" applyAlignment="1">
      <alignment horizontal="center" vertical="top" wrapText="1"/>
    </xf>
    <xf numFmtId="3" fontId="4" fillId="5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1" fillId="5" borderId="11" xfId="0" applyNumberFormat="1" applyFont="1" applyFill="1" applyBorder="1" applyAlignment="1">
      <alignment horizontal="center" vertical="top" wrapText="1"/>
    </xf>
    <xf numFmtId="3" fontId="0" fillId="32" borderId="10" xfId="0" applyNumberFormat="1" applyFont="1" applyFill="1" applyBorder="1" applyAlignment="1">
      <alignment/>
    </xf>
    <xf numFmtId="176" fontId="0" fillId="32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76" fontId="0" fillId="33" borderId="10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176" fontId="0" fillId="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76" fontId="0" fillId="34" borderId="10" xfId="0" applyNumberFormat="1" applyFont="1" applyFill="1" applyBorder="1" applyAlignment="1">
      <alignment/>
    </xf>
    <xf numFmtId="176" fontId="0" fillId="3" borderId="10" xfId="0" applyNumberFormat="1" applyFont="1" applyFill="1" applyBorder="1" applyAlignment="1">
      <alignment/>
    </xf>
    <xf numFmtId="176" fontId="0" fillId="5" borderId="10" xfId="0" applyNumberFormat="1" applyFont="1" applyFill="1" applyBorder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176" fontId="1" fillId="32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176" fontId="1" fillId="4" borderId="11" xfId="0" applyNumberFormat="1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176" fontId="1" fillId="34" borderId="11" xfId="0" applyNumberFormat="1" applyFont="1" applyFill="1" applyBorder="1" applyAlignment="1">
      <alignment horizontal="center" vertical="top" wrapText="1"/>
    </xf>
    <xf numFmtId="176" fontId="1" fillId="3" borderId="11" xfId="0" applyNumberFormat="1" applyFont="1" applyFill="1" applyBorder="1" applyAlignment="1">
      <alignment horizontal="center" vertical="top" wrapText="1"/>
    </xf>
    <xf numFmtId="2" fontId="1" fillId="32" borderId="11" xfId="0" applyNumberFormat="1" applyFont="1" applyFill="1" applyBorder="1" applyAlignment="1">
      <alignment horizontal="center" vertical="top" wrapText="1"/>
    </xf>
    <xf numFmtId="2" fontId="0" fillId="32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/>
    </xf>
    <xf numFmtId="2" fontId="1" fillId="4" borderId="11" xfId="0" applyNumberFormat="1" applyFont="1" applyFill="1" applyBorder="1" applyAlignment="1">
      <alignment horizontal="center" vertical="top" wrapText="1"/>
    </xf>
    <xf numFmtId="2" fontId="0" fillId="4" borderId="10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 horizontal="center" vertical="top" wrapText="1"/>
    </xf>
    <xf numFmtId="2" fontId="0" fillId="34" borderId="10" xfId="0" applyNumberFormat="1" applyFont="1" applyFill="1" applyBorder="1" applyAlignment="1">
      <alignment/>
    </xf>
    <xf numFmtId="2" fontId="1" fillId="3" borderId="11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/>
    </xf>
    <xf numFmtId="2" fontId="1" fillId="5" borderId="11" xfId="0" applyNumberFormat="1" applyFont="1" applyFill="1" applyBorder="1" applyAlignment="1">
      <alignment horizontal="center" vertical="top" wrapText="1"/>
    </xf>
    <xf numFmtId="2" fontId="0" fillId="5" borderId="10" xfId="0" applyNumberFormat="1" applyFont="1" applyFill="1" applyBorder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2" fontId="1" fillId="32" borderId="13" xfId="0" applyNumberFormat="1" applyFont="1" applyFill="1" applyBorder="1" applyAlignment="1">
      <alignment horizontal="center" vertical="top" wrapText="1"/>
    </xf>
    <xf numFmtId="3" fontId="0" fillId="32" borderId="14" xfId="0" applyNumberFormat="1" applyFont="1" applyFill="1" applyBorder="1" applyAlignment="1">
      <alignment/>
    </xf>
    <xf numFmtId="2" fontId="0" fillId="32" borderId="15" xfId="0" applyNumberFormat="1" applyFont="1" applyFill="1" applyBorder="1" applyAlignment="1">
      <alignment/>
    </xf>
    <xf numFmtId="3" fontId="0" fillId="32" borderId="16" xfId="0" applyNumberFormat="1" applyFont="1" applyFill="1" applyBorder="1" applyAlignment="1">
      <alignment/>
    </xf>
    <xf numFmtId="176" fontId="0" fillId="32" borderId="16" xfId="0" applyNumberFormat="1" applyFont="1" applyFill="1" applyBorder="1" applyAlignment="1">
      <alignment/>
    </xf>
    <xf numFmtId="2" fontId="0" fillId="32" borderId="16" xfId="0" applyNumberFormat="1" applyFont="1" applyFill="1" applyBorder="1" applyAlignment="1">
      <alignment/>
    </xf>
    <xf numFmtId="2" fontId="0" fillId="32" borderId="17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top" wrapText="1"/>
    </xf>
    <xf numFmtId="2" fontId="1" fillId="33" borderId="13" xfId="0" applyNumberFormat="1" applyFont="1" applyFill="1" applyBorder="1" applyAlignment="1">
      <alignment horizontal="center" vertical="top" wrapText="1"/>
    </xf>
    <xf numFmtId="3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176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0" fontId="1" fillId="4" borderId="12" xfId="0" applyFont="1" applyFill="1" applyBorder="1" applyAlignment="1">
      <alignment horizontal="center" vertical="top" wrapText="1"/>
    </xf>
    <xf numFmtId="2" fontId="1" fillId="4" borderId="13" xfId="0" applyNumberFormat="1" applyFont="1" applyFill="1" applyBorder="1" applyAlignment="1">
      <alignment horizontal="center" vertical="top" wrapText="1"/>
    </xf>
    <xf numFmtId="3" fontId="0" fillId="4" borderId="14" xfId="0" applyNumberFormat="1" applyFont="1" applyFill="1" applyBorder="1" applyAlignment="1">
      <alignment/>
    </xf>
    <xf numFmtId="2" fontId="0" fillId="4" borderId="15" xfId="0" applyNumberFormat="1" applyFon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176" fontId="0" fillId="4" borderId="16" xfId="0" applyNumberFormat="1" applyFont="1" applyFill="1" applyBorder="1" applyAlignment="1">
      <alignment/>
    </xf>
    <xf numFmtId="2" fontId="0" fillId="4" borderId="16" xfId="0" applyNumberFormat="1" applyFont="1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 vertical="top" wrapText="1"/>
    </xf>
    <xf numFmtId="2" fontId="1" fillId="34" borderId="13" xfId="0" applyNumberFormat="1" applyFont="1" applyFill="1" applyBorder="1" applyAlignment="1">
      <alignment horizontal="center" vertical="top" wrapText="1"/>
    </xf>
    <xf numFmtId="3" fontId="0" fillId="34" borderId="14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176" fontId="0" fillId="34" borderId="16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0" fontId="1" fillId="3" borderId="12" xfId="0" applyFont="1" applyFill="1" applyBorder="1" applyAlignment="1">
      <alignment horizontal="center" vertical="top" wrapText="1"/>
    </xf>
    <xf numFmtId="2" fontId="1" fillId="3" borderId="13" xfId="0" applyNumberFormat="1" applyFont="1" applyFill="1" applyBorder="1" applyAlignment="1">
      <alignment horizontal="center" vertical="top" wrapText="1"/>
    </xf>
    <xf numFmtId="3" fontId="0" fillId="3" borderId="14" xfId="0" applyNumberFormat="1" applyFont="1" applyFill="1" applyBorder="1" applyAlignment="1">
      <alignment/>
    </xf>
    <xf numFmtId="2" fontId="0" fillId="3" borderId="15" xfId="0" applyNumberFormat="1" applyFont="1" applyFill="1" applyBorder="1" applyAlignment="1">
      <alignment/>
    </xf>
    <xf numFmtId="176" fontId="0" fillId="3" borderId="16" xfId="0" applyNumberFormat="1" applyFont="1" applyFill="1" applyBorder="1" applyAlignment="1">
      <alignment/>
    </xf>
    <xf numFmtId="2" fontId="0" fillId="3" borderId="16" xfId="0" applyNumberFormat="1" applyFont="1" applyFill="1" applyBorder="1" applyAlignment="1">
      <alignment/>
    </xf>
    <xf numFmtId="2" fontId="0" fillId="3" borderId="17" xfId="0" applyNumberFormat="1" applyFont="1" applyFill="1" applyBorder="1" applyAlignment="1">
      <alignment/>
    </xf>
    <xf numFmtId="0" fontId="1" fillId="5" borderId="12" xfId="0" applyFont="1" applyFill="1" applyBorder="1" applyAlignment="1">
      <alignment horizontal="center" vertical="top" wrapText="1"/>
    </xf>
    <xf numFmtId="2" fontId="1" fillId="5" borderId="13" xfId="0" applyNumberFormat="1" applyFont="1" applyFill="1" applyBorder="1" applyAlignment="1">
      <alignment horizontal="center" vertical="top" wrapText="1"/>
    </xf>
    <xf numFmtId="3" fontId="0" fillId="5" borderId="14" xfId="0" applyNumberFormat="1" applyFont="1" applyFill="1" applyBorder="1" applyAlignment="1">
      <alignment/>
    </xf>
    <xf numFmtId="2" fontId="0" fillId="5" borderId="15" xfId="0" applyNumberFormat="1" applyFont="1" applyFill="1" applyBorder="1" applyAlignment="1">
      <alignment/>
    </xf>
    <xf numFmtId="176" fontId="0" fillId="5" borderId="16" xfId="0" applyNumberFormat="1" applyFont="1" applyFill="1" applyBorder="1" applyAlignment="1">
      <alignment/>
    </xf>
    <xf numFmtId="2" fontId="0" fillId="5" borderId="16" xfId="0" applyNumberFormat="1" applyFont="1" applyFill="1" applyBorder="1" applyAlignment="1">
      <alignment/>
    </xf>
    <xf numFmtId="2" fontId="0" fillId="5" borderId="17" xfId="0" applyNumberFormat="1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8" fillId="32" borderId="11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/>
    </xf>
    <xf numFmtId="2" fontId="5" fillId="32" borderId="16" xfId="0" applyNumberFormat="1" applyFont="1" applyFill="1" applyBorder="1" applyAlignment="1">
      <alignment/>
    </xf>
    <xf numFmtId="2" fontId="8" fillId="33" borderId="11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/>
    </xf>
    <xf numFmtId="2" fontId="5" fillId="4" borderId="16" xfId="0" applyNumberFormat="1" applyFont="1" applyFill="1" applyBorder="1" applyAlignment="1">
      <alignment/>
    </xf>
    <xf numFmtId="2" fontId="9" fillId="34" borderId="11" xfId="0" applyNumberFormat="1" applyFont="1" applyFill="1" applyBorder="1" applyAlignment="1">
      <alignment horizontal="center" vertical="top" wrapText="1"/>
    </xf>
    <xf numFmtId="2" fontId="10" fillId="34" borderId="10" xfId="0" applyNumberFormat="1" applyFont="1" applyFill="1" applyBorder="1" applyAlignment="1">
      <alignment/>
    </xf>
    <xf numFmtId="2" fontId="10" fillId="34" borderId="16" xfId="0" applyNumberFormat="1" applyFont="1" applyFill="1" applyBorder="1" applyAlignment="1">
      <alignment/>
    </xf>
    <xf numFmtId="2" fontId="8" fillId="3" borderId="11" xfId="0" applyNumberFormat="1" applyFont="1" applyFill="1" applyBorder="1" applyAlignment="1">
      <alignment horizontal="center" vertical="top" wrapText="1"/>
    </xf>
    <xf numFmtId="2" fontId="5" fillId="3" borderId="10" xfId="0" applyNumberFormat="1" applyFont="1" applyFill="1" applyBorder="1" applyAlignment="1">
      <alignment/>
    </xf>
    <xf numFmtId="2" fontId="5" fillId="3" borderId="16" xfId="0" applyNumberFormat="1" applyFont="1" applyFill="1" applyBorder="1" applyAlignment="1">
      <alignment/>
    </xf>
    <xf numFmtId="2" fontId="8" fillId="5" borderId="11" xfId="0" applyNumberFormat="1" applyFont="1" applyFill="1" applyBorder="1" applyAlignment="1">
      <alignment horizontal="center" vertical="top" wrapText="1"/>
    </xf>
    <xf numFmtId="2" fontId="5" fillId="5" borderId="10" xfId="0" applyNumberFormat="1" applyFont="1" applyFill="1" applyBorder="1" applyAlignment="1">
      <alignment/>
    </xf>
    <xf numFmtId="2" fontId="5" fillId="5" borderId="16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0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176" fontId="0" fillId="32" borderId="10" xfId="0" applyNumberFormat="1" applyFont="1" applyFill="1" applyBorder="1" applyAlignment="1">
      <alignment/>
    </xf>
    <xf numFmtId="2" fontId="5" fillId="32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19" xfId="0" applyNumberFormat="1" applyBorder="1" applyAlignment="1">
      <alignment/>
    </xf>
    <xf numFmtId="4" fontId="1" fillId="0" borderId="20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3" borderId="11" xfId="0" applyFont="1" applyFill="1" applyBorder="1" applyAlignment="1">
      <alignment horizontal="center" vertical="top" wrapText="1"/>
    </xf>
    <xf numFmtId="2" fontId="12" fillId="32" borderId="10" xfId="0" applyNumberFormat="1" applyFont="1" applyFill="1" applyBorder="1" applyAlignment="1">
      <alignment/>
    </xf>
    <xf numFmtId="3" fontId="12" fillId="3" borderId="10" xfId="0" applyNumberFormat="1" applyFont="1" applyFill="1" applyBorder="1" applyAlignment="1">
      <alignment/>
    </xf>
    <xf numFmtId="3" fontId="12" fillId="3" borderId="16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8" fillId="5" borderId="11" xfId="0" applyFont="1" applyFill="1" applyBorder="1" applyAlignment="1">
      <alignment horizontal="center" vertical="top" wrapText="1"/>
    </xf>
    <xf numFmtId="3" fontId="5" fillId="5" borderId="10" xfId="0" applyNumberFormat="1" applyFont="1" applyFill="1" applyBorder="1" applyAlignment="1">
      <alignment/>
    </xf>
    <xf numFmtId="3" fontId="5" fillId="5" borderId="16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21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 wrapText="1"/>
    </xf>
    <xf numFmtId="3" fontId="10" fillId="0" borderId="1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4" fillId="0" borderId="22" xfId="0" applyFont="1" applyFill="1" applyBorder="1" applyAlignment="1">
      <alignment vertical="top" wrapText="1"/>
    </xf>
    <xf numFmtId="3" fontId="0" fillId="32" borderId="22" xfId="0" applyNumberFormat="1" applyFont="1" applyFill="1" applyBorder="1" applyAlignment="1">
      <alignment/>
    </xf>
    <xf numFmtId="176" fontId="0" fillId="32" borderId="22" xfId="0" applyNumberFormat="1" applyFont="1" applyFill="1" applyBorder="1" applyAlignment="1">
      <alignment/>
    </xf>
    <xf numFmtId="2" fontId="5" fillId="32" borderId="22" xfId="0" applyNumberFormat="1" applyFont="1" applyFill="1" applyBorder="1" applyAlignment="1">
      <alignment/>
    </xf>
    <xf numFmtId="2" fontId="0" fillId="32" borderId="22" xfId="0" applyNumberFormat="1" applyFont="1" applyFill="1" applyBorder="1" applyAlignment="1">
      <alignment/>
    </xf>
    <xf numFmtId="2" fontId="0" fillId="32" borderId="23" xfId="0" applyNumberFormat="1" applyFont="1" applyFill="1" applyBorder="1" applyAlignment="1">
      <alignment/>
    </xf>
    <xf numFmtId="3" fontId="0" fillId="33" borderId="22" xfId="0" applyNumberFormat="1" applyFont="1" applyFill="1" applyBorder="1" applyAlignment="1">
      <alignment/>
    </xf>
    <xf numFmtId="176" fontId="0" fillId="33" borderId="22" xfId="0" applyNumberFormat="1" applyFont="1" applyFill="1" applyBorder="1" applyAlignment="1">
      <alignment/>
    </xf>
    <xf numFmtId="2" fontId="5" fillId="33" borderId="22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176" fontId="0" fillId="4" borderId="22" xfId="0" applyNumberFormat="1" applyFont="1" applyFill="1" applyBorder="1" applyAlignment="1">
      <alignment/>
    </xf>
    <xf numFmtId="2" fontId="5" fillId="4" borderId="22" xfId="0" applyNumberFormat="1" applyFont="1" applyFill="1" applyBorder="1" applyAlignment="1">
      <alignment/>
    </xf>
    <xf numFmtId="2" fontId="0" fillId="4" borderId="22" xfId="0" applyNumberFormat="1" applyFont="1" applyFill="1" applyBorder="1" applyAlignment="1">
      <alignment/>
    </xf>
    <xf numFmtId="2" fontId="0" fillId="4" borderId="23" xfId="0" applyNumberFormat="1" applyFont="1" applyFill="1" applyBorder="1" applyAlignment="1">
      <alignment/>
    </xf>
    <xf numFmtId="3" fontId="0" fillId="34" borderId="22" xfId="0" applyNumberFormat="1" applyFont="1" applyFill="1" applyBorder="1" applyAlignment="1">
      <alignment/>
    </xf>
    <xf numFmtId="176" fontId="0" fillId="34" borderId="22" xfId="0" applyNumberFormat="1" applyFont="1" applyFill="1" applyBorder="1" applyAlignment="1">
      <alignment/>
    </xf>
    <xf numFmtId="2" fontId="10" fillId="34" borderId="22" xfId="0" applyNumberFormat="1" applyFont="1" applyFill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0" fillId="34" borderId="23" xfId="0" applyNumberFormat="1" applyFont="1" applyFill="1" applyBorder="1" applyAlignment="1">
      <alignment/>
    </xf>
    <xf numFmtId="3" fontId="12" fillId="3" borderId="22" xfId="0" applyNumberFormat="1" applyFont="1" applyFill="1" applyBorder="1" applyAlignment="1">
      <alignment/>
    </xf>
    <xf numFmtId="176" fontId="0" fillId="3" borderId="22" xfId="0" applyNumberFormat="1" applyFont="1" applyFill="1" applyBorder="1" applyAlignment="1">
      <alignment/>
    </xf>
    <xf numFmtId="2" fontId="5" fillId="3" borderId="22" xfId="0" applyNumberFormat="1" applyFont="1" applyFill="1" applyBorder="1" applyAlignment="1">
      <alignment/>
    </xf>
    <xf numFmtId="2" fontId="0" fillId="3" borderId="22" xfId="0" applyNumberFormat="1" applyFont="1" applyFill="1" applyBorder="1" applyAlignment="1">
      <alignment/>
    </xf>
    <xf numFmtId="2" fontId="0" fillId="3" borderId="23" xfId="0" applyNumberFormat="1" applyFont="1" applyFill="1" applyBorder="1" applyAlignment="1">
      <alignment/>
    </xf>
    <xf numFmtId="3" fontId="5" fillId="5" borderId="22" xfId="0" applyNumberFormat="1" applyFont="1" applyFill="1" applyBorder="1" applyAlignment="1">
      <alignment/>
    </xf>
    <xf numFmtId="176" fontId="0" fillId="5" borderId="22" xfId="0" applyNumberFormat="1" applyFont="1" applyFill="1" applyBorder="1" applyAlignment="1">
      <alignment/>
    </xf>
    <xf numFmtId="2" fontId="5" fillId="5" borderId="22" xfId="0" applyNumberFormat="1" applyFont="1" applyFill="1" applyBorder="1" applyAlignment="1">
      <alignment/>
    </xf>
    <xf numFmtId="2" fontId="0" fillId="5" borderId="22" xfId="0" applyNumberFormat="1" applyFont="1" applyFill="1" applyBorder="1" applyAlignment="1">
      <alignment/>
    </xf>
    <xf numFmtId="2" fontId="0" fillId="5" borderId="23" xfId="0" applyNumberFormat="1" applyFont="1" applyFill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3" fontId="5" fillId="0" borderId="22" xfId="0" applyNumberFormat="1" applyFont="1" applyBorder="1" applyAlignment="1">
      <alignment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3" fontId="4" fillId="32" borderId="16" xfId="0" applyNumberFormat="1" applyFont="1" applyFill="1" applyBorder="1" applyAlignment="1">
      <alignment horizontal="center" vertical="top" wrapText="1"/>
    </xf>
    <xf numFmtId="3" fontId="4" fillId="33" borderId="16" xfId="0" applyNumberFormat="1" applyFont="1" applyFill="1" applyBorder="1" applyAlignment="1">
      <alignment horizontal="center" vertical="top" wrapText="1"/>
    </xf>
    <xf numFmtId="3" fontId="4" fillId="4" borderId="16" xfId="0" applyNumberFormat="1" applyFont="1" applyFill="1" applyBorder="1" applyAlignment="1">
      <alignment horizontal="center" vertical="top" wrapText="1"/>
    </xf>
    <xf numFmtId="3" fontId="4" fillId="34" borderId="16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3" fontId="4" fillId="5" borderId="16" xfId="0" applyNumberFormat="1" applyFont="1" applyFill="1" applyBorder="1" applyAlignment="1">
      <alignment horizontal="center" vertical="top" wrapText="1"/>
    </xf>
    <xf numFmtId="3" fontId="0" fillId="32" borderId="27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3" fontId="0" fillId="4" borderId="27" xfId="0" applyNumberFormat="1" applyFont="1" applyFill="1" applyBorder="1" applyAlignment="1">
      <alignment/>
    </xf>
    <xf numFmtId="3" fontId="0" fillId="34" borderId="27" xfId="0" applyNumberFormat="1" applyFont="1" applyFill="1" applyBorder="1" applyAlignment="1">
      <alignment/>
    </xf>
    <xf numFmtId="3" fontId="0" fillId="3" borderId="27" xfId="0" applyNumberFormat="1" applyFont="1" applyFill="1" applyBorder="1" applyAlignment="1">
      <alignment/>
    </xf>
    <xf numFmtId="3" fontId="0" fillId="5" borderId="27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2" xfId="0" applyFont="1" applyFill="1" applyBorder="1" applyAlignment="1">
      <alignment horizontal="center" vertical="top" wrapText="1"/>
    </xf>
    <xf numFmtId="3" fontId="0" fillId="3" borderId="22" xfId="0" applyNumberFormat="1" applyFont="1" applyFill="1" applyBorder="1" applyAlignment="1">
      <alignment/>
    </xf>
    <xf numFmtId="3" fontId="0" fillId="5" borderId="22" xfId="0" applyNumberFormat="1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3" fontId="0" fillId="5" borderId="10" xfId="0" applyNumberFormat="1" applyFont="1" applyFill="1" applyBorder="1" applyAlignment="1">
      <alignment/>
    </xf>
    <xf numFmtId="3" fontId="0" fillId="32" borderId="25" xfId="0" applyNumberFormat="1" applyFont="1" applyFill="1" applyBorder="1" applyAlignment="1">
      <alignment/>
    </xf>
    <xf numFmtId="3" fontId="0" fillId="32" borderId="23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0" fillId="4" borderId="25" xfId="0" applyNumberFormat="1" applyFont="1" applyFill="1" applyBorder="1" applyAlignment="1">
      <alignment/>
    </xf>
    <xf numFmtId="3" fontId="0" fillId="4" borderId="23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3" fontId="6" fillId="34" borderId="22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0" fillId="3" borderId="25" xfId="0" applyNumberFormat="1" applyFont="1" applyFill="1" applyBorder="1" applyAlignment="1">
      <alignment/>
    </xf>
    <xf numFmtId="3" fontId="0" fillId="3" borderId="23" xfId="0" applyNumberFormat="1" applyFont="1" applyFill="1" applyBorder="1" applyAlignment="1">
      <alignment/>
    </xf>
    <xf numFmtId="3" fontId="0" fillId="5" borderId="25" xfId="0" applyNumberFormat="1" applyFon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0" fillId="3" borderId="17" xfId="0" applyNumberFormat="1" applyFont="1" applyFill="1" applyBorder="1" applyAlignment="1">
      <alignment/>
    </xf>
    <xf numFmtId="3" fontId="0" fillId="5" borderId="16" xfId="0" applyNumberFormat="1" applyFont="1" applyFill="1" applyBorder="1" applyAlignment="1">
      <alignment/>
    </xf>
    <xf numFmtId="3" fontId="0" fillId="32" borderId="25" xfId="0" applyNumberFormat="1" applyFont="1" applyFill="1" applyBorder="1" applyAlignment="1">
      <alignment/>
    </xf>
    <xf numFmtId="3" fontId="0" fillId="33" borderId="25" xfId="0" applyNumberFormat="1" applyFont="1" applyFill="1" applyBorder="1" applyAlignment="1">
      <alignment/>
    </xf>
    <xf numFmtId="3" fontId="0" fillId="4" borderId="25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3" fontId="0" fillId="3" borderId="25" xfId="0" applyNumberFormat="1" applyFont="1" applyFill="1" applyBorder="1" applyAlignment="1">
      <alignment/>
    </xf>
    <xf numFmtId="3" fontId="0" fillId="5" borderId="25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2" fillId="0" borderId="22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3" fontId="2" fillId="32" borderId="22" xfId="0" applyNumberFormat="1" applyFont="1" applyFill="1" applyBorder="1" applyAlignment="1">
      <alignment horizontal="center" vertical="top" wrapText="1"/>
    </xf>
    <xf numFmtId="3" fontId="2" fillId="33" borderId="22" xfId="0" applyNumberFormat="1" applyFont="1" applyFill="1" applyBorder="1" applyAlignment="1">
      <alignment horizontal="center" vertical="top" wrapText="1"/>
    </xf>
    <xf numFmtId="3" fontId="2" fillId="4" borderId="22" xfId="0" applyNumberFormat="1" applyFont="1" applyFill="1" applyBorder="1" applyAlignment="1">
      <alignment horizontal="center" vertical="top" wrapText="1"/>
    </xf>
    <xf numFmtId="3" fontId="2" fillId="34" borderId="22" xfId="0" applyNumberFormat="1" applyFont="1" applyFill="1" applyBorder="1" applyAlignment="1">
      <alignment horizontal="center" vertical="top" wrapText="1"/>
    </xf>
    <xf numFmtId="3" fontId="2" fillId="3" borderId="22" xfId="0" applyNumberFormat="1" applyFont="1" applyFill="1" applyBorder="1" applyAlignment="1">
      <alignment horizontal="center" vertical="top" wrapText="1"/>
    </xf>
    <xf numFmtId="3" fontId="2" fillId="5" borderId="22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32" borderId="31" xfId="0" applyFill="1" applyBorder="1" applyAlignment="1">
      <alignment/>
    </xf>
    <xf numFmtId="3" fontId="10" fillId="35" borderId="32" xfId="0" applyNumberFormat="1" applyFont="1" applyFill="1" applyBorder="1" applyAlignment="1">
      <alignment/>
    </xf>
    <xf numFmtId="0" fontId="5" fillId="32" borderId="33" xfId="0" applyFont="1" applyFill="1" applyBorder="1" applyAlignment="1">
      <alignment horizontal="center" wrapText="1"/>
    </xf>
    <xf numFmtId="3" fontId="0" fillId="32" borderId="31" xfId="0" applyNumberFormat="1" applyFill="1" applyBorder="1" applyAlignment="1">
      <alignment/>
    </xf>
    <xf numFmtId="3" fontId="0" fillId="32" borderId="34" xfId="0" applyNumberFormat="1" applyFill="1" applyBorder="1" applyAlignment="1">
      <alignment/>
    </xf>
    <xf numFmtId="0" fontId="5" fillId="35" borderId="3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3" fontId="5" fillId="0" borderId="21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32" borderId="31" xfId="0" applyNumberFormat="1" applyFont="1" applyFill="1" applyBorder="1" applyAlignment="1">
      <alignment/>
    </xf>
    <xf numFmtId="3" fontId="5" fillId="32" borderId="34" xfId="0" applyNumberFormat="1" applyFont="1" applyFill="1" applyBorder="1" applyAlignment="1">
      <alignment/>
    </xf>
    <xf numFmtId="2" fontId="0" fillId="32" borderId="33" xfId="0" applyNumberFormat="1" applyFill="1" applyBorder="1" applyAlignment="1">
      <alignment/>
    </xf>
    <xf numFmtId="2" fontId="0" fillId="32" borderId="31" xfId="0" applyNumberFormat="1" applyFill="1" applyBorder="1" applyAlignment="1">
      <alignment wrapText="1"/>
    </xf>
    <xf numFmtId="2" fontId="0" fillId="32" borderId="31" xfId="0" applyNumberFormat="1" applyFill="1" applyBorder="1" applyAlignment="1">
      <alignment/>
    </xf>
    <xf numFmtId="2" fontId="0" fillId="32" borderId="34" xfId="0" applyNumberFormat="1" applyFill="1" applyBorder="1" applyAlignment="1">
      <alignment/>
    </xf>
    <xf numFmtId="2" fontId="0" fillId="0" borderId="0" xfId="0" applyNumberFormat="1" applyFont="1" applyAlignment="1">
      <alignment horizontal="right"/>
    </xf>
    <xf numFmtId="0" fontId="1" fillId="0" borderId="36" xfId="0" applyFont="1" applyFill="1" applyBorder="1" applyAlignment="1">
      <alignment horizontal="center" vertical="top" wrapText="1"/>
    </xf>
    <xf numFmtId="176" fontId="1" fillId="0" borderId="37" xfId="0" applyNumberFormat="1" applyFont="1" applyFill="1" applyBorder="1" applyAlignment="1">
      <alignment horizontal="center" vertical="top" wrapText="1"/>
    </xf>
    <xf numFmtId="176" fontId="1" fillId="0" borderId="38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2" fontId="1" fillId="0" borderId="39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4" fontId="1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4" fontId="2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" fillId="0" borderId="0" xfId="0" applyFont="1" applyAlignment="1">
      <alignment/>
    </xf>
    <xf numFmtId="1" fontId="24" fillId="0" borderId="19" xfId="0" applyNumberFormat="1" applyFont="1" applyBorder="1" applyAlignment="1">
      <alignment horizontal="center" wrapText="1"/>
    </xf>
    <xf numFmtId="1" fontId="24" fillId="0" borderId="0" xfId="0" applyNumberFormat="1" applyFont="1" applyAlignment="1">
      <alignment/>
    </xf>
    <xf numFmtId="0" fontId="26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25" fillId="0" borderId="43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1" fillId="0" borderId="3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49" fontId="2" fillId="0" borderId="41" xfId="0" applyNumberFormat="1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3" fontId="1" fillId="0" borderId="27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4" fontId="25" fillId="0" borderId="33" xfId="0" applyNumberFormat="1" applyFont="1" applyBorder="1" applyAlignment="1">
      <alignment/>
    </xf>
    <xf numFmtId="3" fontId="25" fillId="0" borderId="45" xfId="0" applyNumberFormat="1" applyFont="1" applyBorder="1" applyAlignment="1">
      <alignment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25" fillId="0" borderId="49" xfId="0" applyFont="1" applyBorder="1" applyAlignment="1">
      <alignment horizontal="center" wrapText="1"/>
    </xf>
    <xf numFmtId="49" fontId="25" fillId="0" borderId="50" xfId="0" applyNumberFormat="1" applyFont="1" applyBorder="1" applyAlignment="1">
      <alignment horizontal="center" wrapText="1"/>
    </xf>
    <xf numFmtId="0" fontId="25" fillId="0" borderId="50" xfId="0" applyFont="1" applyBorder="1" applyAlignment="1">
      <alignment horizontal="center" wrapText="1"/>
    </xf>
    <xf numFmtId="3" fontId="2" fillId="0" borderId="27" xfId="0" applyNumberFormat="1" applyFont="1" applyFill="1" applyBorder="1" applyAlignment="1">
      <alignment horizontal="center" vertical="top" wrapText="1"/>
    </xf>
    <xf numFmtId="176" fontId="1" fillId="0" borderId="16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0" fontId="2" fillId="0" borderId="51" xfId="0" applyFont="1" applyFill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1" fontId="24" fillId="0" borderId="48" xfId="0" applyNumberFormat="1" applyFont="1" applyBorder="1" applyAlignment="1">
      <alignment horizontal="center" wrapText="1"/>
    </xf>
    <xf numFmtId="1" fontId="24" fillId="0" borderId="53" xfId="0" applyNumberFormat="1" applyFont="1" applyBorder="1" applyAlignment="1">
      <alignment horizontal="center" wrapText="1"/>
    </xf>
    <xf numFmtId="1" fontId="24" fillId="0" borderId="54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13" fillId="0" borderId="20" xfId="0" applyFont="1" applyBorder="1" applyAlignment="1">
      <alignment horizontal="center"/>
    </xf>
    <xf numFmtId="0" fontId="0" fillId="0" borderId="55" xfId="0" applyFont="1" applyBorder="1" applyAlignment="1">
      <alignment horizontal="center" wrapText="1"/>
    </xf>
    <xf numFmtId="1" fontId="24" fillId="0" borderId="48" xfId="0" applyNumberFormat="1" applyFont="1" applyBorder="1" applyAlignment="1">
      <alignment horizontal="center" vertical="top" wrapText="1"/>
    </xf>
    <xf numFmtId="1" fontId="24" fillId="0" borderId="46" xfId="0" applyNumberFormat="1" applyFont="1" applyBorder="1" applyAlignment="1">
      <alignment horizontal="center" vertical="top" wrapText="1"/>
    </xf>
    <xf numFmtId="1" fontId="24" fillId="0" borderId="56" xfId="0" applyNumberFormat="1" applyFont="1" applyBorder="1" applyAlignment="1">
      <alignment horizontal="center" vertical="top" wrapText="1"/>
    </xf>
    <xf numFmtId="1" fontId="24" fillId="0" borderId="48" xfId="0" applyNumberFormat="1" applyFont="1" applyFill="1" applyBorder="1" applyAlignment="1">
      <alignment horizontal="center" vertical="top" wrapText="1"/>
    </xf>
    <xf numFmtId="1" fontId="24" fillId="0" borderId="46" xfId="0" applyNumberFormat="1" applyFont="1" applyFill="1" applyBorder="1" applyAlignment="1">
      <alignment horizontal="center" vertical="top" wrapText="1"/>
    </xf>
    <xf numFmtId="1" fontId="24" fillId="0" borderId="56" xfId="0" applyNumberFormat="1" applyFont="1" applyFill="1" applyBorder="1" applyAlignment="1">
      <alignment horizontal="center" vertical="top" wrapText="1"/>
    </xf>
    <xf numFmtId="1" fontId="24" fillId="0" borderId="53" xfId="0" applyNumberFormat="1" applyFont="1" applyFill="1" applyBorder="1" applyAlignment="1">
      <alignment horizontal="center" vertical="top" wrapText="1"/>
    </xf>
    <xf numFmtId="1" fontId="24" fillId="0" borderId="57" xfId="0" applyNumberFormat="1" applyFont="1" applyFill="1" applyBorder="1" applyAlignment="1">
      <alignment horizontal="center" vertical="top" wrapText="1"/>
    </xf>
    <xf numFmtId="1" fontId="24" fillId="0" borderId="46" xfId="0" applyNumberFormat="1" applyFont="1" applyBorder="1" applyAlignment="1">
      <alignment horizontal="center" wrapText="1"/>
    </xf>
    <xf numFmtId="1" fontId="24" fillId="0" borderId="47" xfId="0" applyNumberFormat="1" applyFont="1" applyBorder="1" applyAlignment="1">
      <alignment horizontal="center" wrapText="1"/>
    </xf>
    <xf numFmtId="0" fontId="2" fillId="0" borderId="58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top" wrapText="1"/>
    </xf>
    <xf numFmtId="176" fontId="1" fillId="0" borderId="22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4" fontId="1" fillId="0" borderId="59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25" fillId="0" borderId="45" xfId="0" applyFont="1" applyBorder="1" applyAlignment="1">
      <alignment horizontal="center" wrapText="1"/>
    </xf>
    <xf numFmtId="49" fontId="25" fillId="0" borderId="49" xfId="0" applyNumberFormat="1" applyFont="1" applyBorder="1" applyAlignment="1">
      <alignment horizontal="center" wrapText="1"/>
    </xf>
    <xf numFmtId="3" fontId="25" fillId="0" borderId="49" xfId="0" applyNumberFormat="1" applyFont="1" applyBorder="1" applyAlignment="1">
      <alignment/>
    </xf>
    <xf numFmtId="0" fontId="2" fillId="0" borderId="27" xfId="0" applyFont="1" applyFill="1" applyBorder="1" applyAlignment="1">
      <alignment vertical="top" wrapText="1"/>
    </xf>
    <xf numFmtId="0" fontId="13" fillId="0" borderId="60" xfId="0" applyFont="1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3" fontId="25" fillId="0" borderId="5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1" fontId="24" fillId="0" borderId="61" xfId="0" applyNumberFormat="1" applyFont="1" applyBorder="1" applyAlignment="1">
      <alignment horizontal="center" wrapText="1"/>
    </xf>
    <xf numFmtId="0" fontId="2" fillId="0" borderId="40" xfId="0" applyFont="1" applyFill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center" vertical="top" wrapText="1"/>
    </xf>
    <xf numFmtId="176" fontId="1" fillId="0" borderId="41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4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5" fillId="0" borderId="49" xfId="0" applyNumberFormat="1" applyFont="1" applyFill="1" applyBorder="1" applyAlignment="1">
      <alignment/>
    </xf>
    <xf numFmtId="3" fontId="25" fillId="0" borderId="6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176" fontId="1" fillId="0" borderId="39" xfId="0" applyNumberFormat="1" applyFont="1" applyFill="1" applyBorder="1" applyAlignment="1">
      <alignment horizontal="center" vertical="top" wrapText="1"/>
    </xf>
    <xf numFmtId="0" fontId="0" fillId="0" borderId="5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" fontId="24" fillId="0" borderId="54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3" fontId="0" fillId="0" borderId="19" xfId="0" applyNumberFormat="1" applyFont="1" applyBorder="1" applyAlignment="1">
      <alignment/>
    </xf>
    <xf numFmtId="0" fontId="1" fillId="0" borderId="45" xfId="0" applyFont="1" applyFill="1" applyBorder="1" applyAlignment="1">
      <alignment vertical="top" wrapText="1"/>
    </xf>
    <xf numFmtId="0" fontId="25" fillId="0" borderId="49" xfId="0" applyFont="1" applyBorder="1" applyAlignment="1">
      <alignment/>
    </xf>
    <xf numFmtId="4" fontId="25" fillId="0" borderId="49" xfId="0" applyNumberFormat="1" applyFont="1" applyBorder="1" applyAlignment="1">
      <alignment/>
    </xf>
    <xf numFmtId="3" fontId="25" fillId="0" borderId="50" xfId="0" applyNumberFormat="1" applyFont="1" applyFill="1" applyBorder="1" applyAlignment="1">
      <alignment/>
    </xf>
    <xf numFmtId="4" fontId="25" fillId="0" borderId="49" xfId="0" applyNumberFormat="1" applyFont="1" applyBorder="1" applyAlignment="1">
      <alignment horizontal="center"/>
    </xf>
    <xf numFmtId="3" fontId="25" fillId="0" borderId="50" xfId="0" applyNumberFormat="1" applyFont="1" applyBorder="1" applyAlignment="1">
      <alignment horizontal="center"/>
    </xf>
    <xf numFmtId="0" fontId="25" fillId="0" borderId="33" xfId="0" applyFont="1" applyBorder="1" applyAlignment="1">
      <alignment/>
    </xf>
    <xf numFmtId="3" fontId="25" fillId="0" borderId="64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27" xfId="0" applyFont="1" applyFill="1" applyBorder="1" applyAlignment="1">
      <alignment horizontal="right" vertical="top" wrapText="1"/>
    </xf>
    <xf numFmtId="0" fontId="25" fillId="0" borderId="16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4" fontId="25" fillId="0" borderId="34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4" fillId="0" borderId="0" xfId="52" applyFont="1" applyAlignment="1" applyProtection="1">
      <alignment/>
      <protection/>
    </xf>
    <xf numFmtId="0" fontId="0" fillId="32" borderId="45" xfId="0" applyFont="1" applyFill="1" applyBorder="1" applyAlignment="1">
      <alignment horizontal="center"/>
    </xf>
    <xf numFmtId="0" fontId="0" fillId="32" borderId="49" xfId="0" applyFont="1" applyFill="1" applyBorder="1" applyAlignment="1">
      <alignment horizontal="center"/>
    </xf>
    <xf numFmtId="0" fontId="0" fillId="32" borderId="64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0" fillId="4" borderId="49" xfId="0" applyFont="1" applyFill="1" applyBorder="1" applyAlignment="1">
      <alignment horizontal="center"/>
    </xf>
    <xf numFmtId="0" fontId="0" fillId="4" borderId="64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0" fontId="0" fillId="3" borderId="64" xfId="0" applyFont="1" applyFill="1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0" fontId="0" fillId="5" borderId="49" xfId="0" applyFont="1" applyFill="1" applyBorder="1" applyAlignment="1">
      <alignment horizontal="center"/>
    </xf>
    <xf numFmtId="0" fontId="0" fillId="5" borderId="64" xfId="0" applyFont="1" applyFill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4" fontId="1" fillId="0" borderId="57" xfId="0" applyNumberFormat="1" applyFont="1" applyFill="1" applyBorder="1" applyAlignment="1">
      <alignment horizontal="center" vertical="top" wrapText="1"/>
    </xf>
    <xf numFmtId="4" fontId="1" fillId="0" borderId="67" xfId="0" applyNumberFormat="1" applyFont="1" applyFill="1" applyBorder="1" applyAlignment="1">
      <alignment horizontal="center" vertical="top" wrapText="1"/>
    </xf>
    <xf numFmtId="4" fontId="1" fillId="0" borderId="68" xfId="0" applyNumberFormat="1" applyFont="1" applyFill="1" applyBorder="1" applyAlignment="1">
      <alignment horizontal="center" vertical="top" wrapText="1"/>
    </xf>
    <xf numFmtId="0" fontId="13" fillId="0" borderId="29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6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8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31" sqref="Y31"/>
    </sheetView>
  </sheetViews>
  <sheetFormatPr defaultColWidth="9.140625" defaultRowHeight="12.75"/>
  <cols>
    <col min="1" max="1" width="20.00390625" style="0" customWidth="1"/>
    <col min="2" max="2" width="9.421875" style="271" customWidth="1"/>
    <col min="3" max="3" width="0" style="0" hidden="1" customWidth="1"/>
    <col min="4" max="6" width="3.7109375" style="0" hidden="1" customWidth="1"/>
    <col min="7" max="12" width="5.421875" style="0" customWidth="1"/>
    <col min="13" max="16" width="6.421875" style="0" customWidth="1"/>
    <col min="17" max="21" width="9.140625" style="0" hidden="1" customWidth="1"/>
    <col min="22" max="24" width="6.421875" style="0" customWidth="1"/>
    <col min="25" max="25" width="7.7109375" style="0" customWidth="1"/>
    <col min="26" max="30" width="9.140625" style="0" hidden="1" customWidth="1"/>
    <col min="31" max="32" width="5.28125" style="0" customWidth="1"/>
    <col min="33" max="33" width="6.140625" style="0" customWidth="1"/>
    <col min="34" max="34" width="7.8515625" style="0" customWidth="1"/>
    <col min="35" max="39" width="9.140625" style="0" hidden="1" customWidth="1"/>
    <col min="40" max="42" width="6.421875" style="0" customWidth="1"/>
    <col min="43" max="43" width="7.421875" style="0" customWidth="1"/>
    <col min="44" max="48" width="9.140625" style="0" hidden="1" customWidth="1"/>
    <col min="49" max="51" width="5.8515625" style="0" customWidth="1"/>
    <col min="52" max="52" width="7.7109375" style="0" customWidth="1"/>
    <col min="53" max="57" width="9.140625" style="0" hidden="1" customWidth="1"/>
    <col min="58" max="60" width="7.28125" style="0" customWidth="1"/>
    <col min="61" max="61" width="7.421875" style="0" customWidth="1"/>
    <col min="62" max="66" width="9.140625" style="0" hidden="1" customWidth="1"/>
    <col min="68" max="73" width="7.7109375" style="0" hidden="1" customWidth="1"/>
    <col min="74" max="74" width="9.7109375" style="158" customWidth="1"/>
    <col min="75" max="78" width="2.421875" style="0" hidden="1" customWidth="1"/>
    <col min="79" max="79" width="10.421875" style="0" hidden="1" customWidth="1"/>
    <col min="80" max="80" width="2.421875" style="0" hidden="1" customWidth="1"/>
    <col min="81" max="81" width="23.421875" style="0" hidden="1" customWidth="1"/>
    <col min="82" max="82" width="14.00390625" style="0" hidden="1" customWidth="1"/>
    <col min="83" max="83" width="13.140625" style="0" hidden="1" customWidth="1"/>
    <col min="84" max="84" width="13.7109375" style="0" hidden="1" customWidth="1"/>
    <col min="85" max="85" width="10.421875" style="0" hidden="1" customWidth="1"/>
    <col min="86" max="86" width="2.00390625" style="0" hidden="1" customWidth="1"/>
    <col min="87" max="90" width="2.421875" style="0" hidden="1" customWidth="1"/>
    <col min="91" max="91" width="10.421875" style="0" hidden="1" customWidth="1"/>
    <col min="92" max="92" width="2.421875" style="0" hidden="1" customWidth="1"/>
    <col min="93" max="93" width="23.421875" style="0" hidden="1" customWidth="1"/>
    <col min="94" max="94" width="14.00390625" style="0" hidden="1" customWidth="1"/>
    <col min="95" max="96" width="8.7109375" style="0" hidden="1" customWidth="1"/>
    <col min="97" max="97" width="10.421875" style="0" hidden="1" customWidth="1"/>
    <col min="98" max="98" width="4.00390625" style="0" hidden="1" customWidth="1"/>
    <col min="99" max="99" width="11.421875" style="166" bestFit="1" customWidth="1"/>
    <col min="100" max="103" width="11.00390625" style="166" customWidth="1"/>
    <col min="105" max="105" width="12.421875" style="0" customWidth="1"/>
    <col min="107" max="107" width="0" style="0" hidden="1" customWidth="1"/>
  </cols>
  <sheetData>
    <row r="1" spans="1:50" ht="15.75">
      <c r="A1" t="s">
        <v>114</v>
      </c>
      <c r="AX1" s="276"/>
    </row>
    <row r="2" spans="1:99" ht="16.5" thickBot="1">
      <c r="A2" t="s">
        <v>113</v>
      </c>
      <c r="AW2" s="276"/>
      <c r="AX2" s="276"/>
      <c r="AY2" s="276" t="s">
        <v>107</v>
      </c>
      <c r="AZ2" s="276"/>
      <c r="CU2" s="171">
        <f>CO5-CC5+CU5</f>
        <v>0</v>
      </c>
    </row>
    <row r="3" spans="13:103" ht="16.5" thickBot="1">
      <c r="M3" s="478" t="s">
        <v>74</v>
      </c>
      <c r="N3" s="479"/>
      <c r="O3" s="479"/>
      <c r="P3" s="479"/>
      <c r="Q3" s="479"/>
      <c r="R3" s="479"/>
      <c r="S3" s="479"/>
      <c r="T3" s="479"/>
      <c r="U3" s="480"/>
      <c r="V3" s="481" t="s">
        <v>73</v>
      </c>
      <c r="W3" s="482"/>
      <c r="X3" s="482"/>
      <c r="Y3" s="482"/>
      <c r="Z3" s="482"/>
      <c r="AA3" s="482"/>
      <c r="AB3" s="482"/>
      <c r="AC3" s="482"/>
      <c r="AD3" s="483"/>
      <c r="AE3" s="484" t="s">
        <v>75</v>
      </c>
      <c r="AF3" s="485"/>
      <c r="AG3" s="485"/>
      <c r="AH3" s="485"/>
      <c r="AI3" s="485"/>
      <c r="AJ3" s="485"/>
      <c r="AK3" s="485"/>
      <c r="AL3" s="485"/>
      <c r="AM3" s="486"/>
      <c r="AN3" s="487" t="s">
        <v>76</v>
      </c>
      <c r="AO3" s="488"/>
      <c r="AP3" s="488"/>
      <c r="AQ3" s="488"/>
      <c r="AR3" s="488"/>
      <c r="AS3" s="488"/>
      <c r="AT3" s="488"/>
      <c r="AU3" s="488"/>
      <c r="AV3" s="489"/>
      <c r="AW3" s="492" t="s">
        <v>77</v>
      </c>
      <c r="AX3" s="493"/>
      <c r="AY3" s="493"/>
      <c r="AZ3" s="493"/>
      <c r="BA3" s="493"/>
      <c r="BB3" s="493"/>
      <c r="BC3" s="493"/>
      <c r="BD3" s="493"/>
      <c r="BE3" s="494"/>
      <c r="BF3" s="495" t="s">
        <v>78</v>
      </c>
      <c r="BG3" s="496"/>
      <c r="BH3" s="496"/>
      <c r="BI3" s="496"/>
      <c r="BJ3" s="496"/>
      <c r="BK3" s="496"/>
      <c r="BL3" s="496"/>
      <c r="BM3" s="496"/>
      <c r="BN3" s="497"/>
      <c r="BO3" s="145"/>
      <c r="BP3" s="498" t="s">
        <v>85</v>
      </c>
      <c r="BQ3" s="499"/>
      <c r="BR3" s="499"/>
      <c r="BS3" s="499"/>
      <c r="BT3" s="499"/>
      <c r="BU3" s="500"/>
      <c r="BV3" s="300"/>
      <c r="BW3" s="490" t="s">
        <v>86</v>
      </c>
      <c r="BX3" s="490"/>
      <c r="BY3" s="490"/>
      <c r="BZ3" s="490"/>
      <c r="CA3" s="490"/>
      <c r="CB3" s="490"/>
      <c r="CC3" s="490"/>
      <c r="CD3" s="490"/>
      <c r="CE3" s="490"/>
      <c r="CF3" s="490"/>
      <c r="CG3" s="490"/>
      <c r="CI3" s="490" t="s">
        <v>95</v>
      </c>
      <c r="CJ3" s="490"/>
      <c r="CK3" s="490"/>
      <c r="CL3" s="490"/>
      <c r="CM3" s="490"/>
      <c r="CN3" s="490"/>
      <c r="CO3" s="490"/>
      <c r="CP3" s="490"/>
      <c r="CQ3" s="490"/>
      <c r="CR3" s="490"/>
      <c r="CS3" s="490"/>
      <c r="CU3" s="491" t="s">
        <v>106</v>
      </c>
      <c r="CV3" s="491"/>
      <c r="CW3" s="491"/>
      <c r="CX3" s="491"/>
      <c r="CY3" s="491"/>
    </row>
    <row r="4" spans="1:107" ht="99" customHeight="1">
      <c r="A4" s="7" t="s">
        <v>0</v>
      </c>
      <c r="B4" s="272" t="s">
        <v>102</v>
      </c>
      <c r="C4" s="7" t="s">
        <v>1</v>
      </c>
      <c r="D4" s="8" t="s">
        <v>2</v>
      </c>
      <c r="E4" s="7" t="s">
        <v>3</v>
      </c>
      <c r="F4" s="7" t="s">
        <v>58</v>
      </c>
      <c r="G4" s="10">
        <v>1</v>
      </c>
      <c r="H4" s="11">
        <v>2</v>
      </c>
      <c r="I4" s="13">
        <v>3</v>
      </c>
      <c r="J4" s="19">
        <v>4</v>
      </c>
      <c r="K4" s="15">
        <v>5</v>
      </c>
      <c r="L4" s="17">
        <v>6</v>
      </c>
      <c r="M4" s="65" t="s">
        <v>61</v>
      </c>
      <c r="N4" s="44" t="s">
        <v>105</v>
      </c>
      <c r="O4" s="45" t="s">
        <v>110</v>
      </c>
      <c r="P4" s="114" t="s">
        <v>71</v>
      </c>
      <c r="Q4" s="53" t="s">
        <v>66</v>
      </c>
      <c r="R4" s="53" t="s">
        <v>67</v>
      </c>
      <c r="S4" s="53" t="s">
        <v>68</v>
      </c>
      <c r="T4" s="53" t="s">
        <v>70</v>
      </c>
      <c r="U4" s="66" t="s">
        <v>69</v>
      </c>
      <c r="V4" s="73" t="s">
        <v>62</v>
      </c>
      <c r="W4" s="46" t="s">
        <v>105</v>
      </c>
      <c r="X4" s="47" t="s">
        <v>110</v>
      </c>
      <c r="Y4" s="117" t="s">
        <v>71</v>
      </c>
      <c r="Z4" s="55" t="s">
        <v>66</v>
      </c>
      <c r="AA4" s="55" t="s">
        <v>67</v>
      </c>
      <c r="AB4" s="55" t="s">
        <v>68</v>
      </c>
      <c r="AC4" s="55" t="s">
        <v>70</v>
      </c>
      <c r="AD4" s="74" t="s">
        <v>69</v>
      </c>
      <c r="AE4" s="81" t="s">
        <v>63</v>
      </c>
      <c r="AF4" s="48" t="s">
        <v>105</v>
      </c>
      <c r="AG4" s="49" t="s">
        <v>110</v>
      </c>
      <c r="AH4" s="120" t="s">
        <v>71</v>
      </c>
      <c r="AI4" s="57" t="s">
        <v>66</v>
      </c>
      <c r="AJ4" s="57" t="s">
        <v>67</v>
      </c>
      <c r="AK4" s="57" t="s">
        <v>68</v>
      </c>
      <c r="AL4" s="57" t="s">
        <v>70</v>
      </c>
      <c r="AM4" s="82" t="s">
        <v>69</v>
      </c>
      <c r="AN4" s="89" t="s">
        <v>60</v>
      </c>
      <c r="AO4" s="50" t="s">
        <v>105</v>
      </c>
      <c r="AP4" s="51" t="s">
        <v>110</v>
      </c>
      <c r="AQ4" s="123" t="s">
        <v>71</v>
      </c>
      <c r="AR4" s="59" t="s">
        <v>66</v>
      </c>
      <c r="AS4" s="59" t="s">
        <v>67</v>
      </c>
      <c r="AT4" s="59" t="s">
        <v>68</v>
      </c>
      <c r="AU4" s="59" t="s">
        <v>70</v>
      </c>
      <c r="AV4" s="90" t="s">
        <v>69</v>
      </c>
      <c r="AW4" s="97" t="s">
        <v>64</v>
      </c>
      <c r="AX4" s="150" t="s">
        <v>105</v>
      </c>
      <c r="AY4" s="52" t="s">
        <v>110</v>
      </c>
      <c r="AZ4" s="126" t="s">
        <v>71</v>
      </c>
      <c r="BA4" s="61" t="s">
        <v>66</v>
      </c>
      <c r="BB4" s="61" t="s">
        <v>67</v>
      </c>
      <c r="BC4" s="61" t="s">
        <v>68</v>
      </c>
      <c r="BD4" s="61" t="s">
        <v>70</v>
      </c>
      <c r="BE4" s="98" t="s">
        <v>69</v>
      </c>
      <c r="BF4" s="104" t="s">
        <v>65</v>
      </c>
      <c r="BG4" s="155" t="s">
        <v>105</v>
      </c>
      <c r="BH4" s="33" t="s">
        <v>110</v>
      </c>
      <c r="BI4" s="129" t="s">
        <v>71</v>
      </c>
      <c r="BJ4" s="63" t="s">
        <v>66</v>
      </c>
      <c r="BK4" s="63" t="s">
        <v>67</v>
      </c>
      <c r="BL4" s="63" t="s">
        <v>68</v>
      </c>
      <c r="BM4" s="63" t="s">
        <v>70</v>
      </c>
      <c r="BN4" s="105" t="s">
        <v>69</v>
      </c>
      <c r="BO4" s="146" t="s">
        <v>72</v>
      </c>
      <c r="BP4" s="160" t="s">
        <v>79</v>
      </c>
      <c r="BQ4" s="159" t="s">
        <v>80</v>
      </c>
      <c r="BR4" s="159" t="s">
        <v>81</v>
      </c>
      <c r="BS4" s="159" t="s">
        <v>82</v>
      </c>
      <c r="BT4" s="159" t="s">
        <v>83</v>
      </c>
      <c r="BU4" s="161" t="s">
        <v>84</v>
      </c>
      <c r="BV4" s="301" t="s">
        <v>108</v>
      </c>
      <c r="BW4" s="164">
        <v>1</v>
      </c>
      <c r="BX4" s="165">
        <v>2</v>
      </c>
      <c r="BY4" s="165">
        <v>3</v>
      </c>
      <c r="BZ4" s="165">
        <v>4</v>
      </c>
      <c r="CA4" s="165">
        <v>5</v>
      </c>
      <c r="CB4" s="165">
        <v>6</v>
      </c>
      <c r="CC4" s="164" t="s">
        <v>87</v>
      </c>
      <c r="CD4" s="164" t="s">
        <v>99</v>
      </c>
      <c r="CE4" s="164" t="s">
        <v>88</v>
      </c>
      <c r="CF4" s="164" t="s">
        <v>91</v>
      </c>
      <c r="CG4" s="164" t="s">
        <v>94</v>
      </c>
      <c r="CI4" s="164">
        <v>1</v>
      </c>
      <c r="CJ4" s="165">
        <v>2</v>
      </c>
      <c r="CK4" s="165">
        <v>3</v>
      </c>
      <c r="CL4" s="165">
        <v>4</v>
      </c>
      <c r="CM4" s="165">
        <v>5</v>
      </c>
      <c r="CN4" s="165">
        <v>6</v>
      </c>
      <c r="CO4" s="164" t="s">
        <v>87</v>
      </c>
      <c r="CP4" s="164" t="s">
        <v>115</v>
      </c>
      <c r="CQ4" s="164" t="s">
        <v>88</v>
      </c>
      <c r="CR4" s="164" t="s">
        <v>91</v>
      </c>
      <c r="CS4" s="164" t="s">
        <v>94</v>
      </c>
      <c r="CU4" s="167" t="s">
        <v>87</v>
      </c>
      <c r="CV4" s="167" t="s">
        <v>100</v>
      </c>
      <c r="CW4" s="167" t="s">
        <v>88</v>
      </c>
      <c r="CX4" s="167" t="s">
        <v>91</v>
      </c>
      <c r="CY4" s="294" t="s">
        <v>96</v>
      </c>
      <c r="CZ4" s="290" t="s">
        <v>112</v>
      </c>
      <c r="DA4" s="293" t="s">
        <v>97</v>
      </c>
      <c r="DB4" s="290" t="s">
        <v>109</v>
      </c>
      <c r="DC4" s="167" t="s">
        <v>111</v>
      </c>
    </row>
    <row r="5" spans="1:106" ht="15.75">
      <c r="A5" s="132">
        <v>1</v>
      </c>
      <c r="B5" s="273"/>
      <c r="C5" s="132">
        <v>2</v>
      </c>
      <c r="D5" s="133">
        <v>3</v>
      </c>
      <c r="E5" s="132">
        <v>4</v>
      </c>
      <c r="F5" s="132">
        <v>5</v>
      </c>
      <c r="G5" s="134">
        <v>6</v>
      </c>
      <c r="H5" s="135">
        <v>7</v>
      </c>
      <c r="I5" s="136">
        <v>8</v>
      </c>
      <c r="J5" s="137">
        <v>9</v>
      </c>
      <c r="K5" s="138">
        <v>10</v>
      </c>
      <c r="L5" s="139">
        <v>11</v>
      </c>
      <c r="M5" s="140"/>
      <c r="N5" s="141"/>
      <c r="O5" s="142"/>
      <c r="P5" s="143">
        <f aca="true" t="shared" si="0" ref="P5:U5">SUM(P6:P29)</f>
        <v>43.65</v>
      </c>
      <c r="Q5" s="143">
        <f t="shared" si="0"/>
        <v>0</v>
      </c>
      <c r="R5" s="143">
        <f t="shared" si="0"/>
        <v>8</v>
      </c>
      <c r="S5" s="143">
        <f t="shared" si="0"/>
        <v>30.150000000000002</v>
      </c>
      <c r="T5" s="143">
        <f t="shared" si="0"/>
        <v>5.5</v>
      </c>
      <c r="U5" s="143">
        <f t="shared" si="0"/>
        <v>0</v>
      </c>
      <c r="V5" s="143"/>
      <c r="W5" s="143"/>
      <c r="X5" s="143"/>
      <c r="Y5" s="143">
        <f aca="true" t="shared" si="1" ref="Y5:AD5">SUM(Y6:Y29)</f>
        <v>179.4</v>
      </c>
      <c r="Z5" s="143">
        <f t="shared" si="1"/>
        <v>46.9</v>
      </c>
      <c r="AA5" s="143">
        <f t="shared" si="1"/>
        <v>27</v>
      </c>
      <c r="AB5" s="143">
        <f t="shared" si="1"/>
        <v>21.5</v>
      </c>
      <c r="AC5" s="143">
        <f t="shared" si="1"/>
        <v>17</v>
      </c>
      <c r="AD5" s="143">
        <f t="shared" si="1"/>
        <v>67</v>
      </c>
      <c r="AE5" s="143"/>
      <c r="AF5" s="143"/>
      <c r="AG5" s="143"/>
      <c r="AH5" s="143">
        <f aca="true" t="shared" si="2" ref="AH5:AM5">SUM(AH6:AH29)</f>
        <v>251</v>
      </c>
      <c r="AI5" s="143">
        <f t="shared" si="2"/>
        <v>89.25</v>
      </c>
      <c r="AJ5" s="143">
        <f t="shared" si="2"/>
        <v>40</v>
      </c>
      <c r="AK5" s="143">
        <f t="shared" si="2"/>
        <v>38.25</v>
      </c>
      <c r="AL5" s="143">
        <f t="shared" si="2"/>
        <v>43.5</v>
      </c>
      <c r="AM5" s="143">
        <f t="shared" si="2"/>
        <v>40</v>
      </c>
      <c r="AN5" s="143"/>
      <c r="AO5" s="143"/>
      <c r="AP5" s="143"/>
      <c r="AQ5" s="143">
        <f aca="true" t="shared" si="3" ref="AQ5:AV5">SUM(AQ6:AQ29)</f>
        <v>385.35</v>
      </c>
      <c r="AR5" s="143">
        <f t="shared" si="3"/>
        <v>137.25</v>
      </c>
      <c r="AS5" s="143">
        <f t="shared" si="3"/>
        <v>60</v>
      </c>
      <c r="AT5" s="143">
        <f t="shared" si="3"/>
        <v>37.75</v>
      </c>
      <c r="AU5" s="143">
        <f t="shared" si="3"/>
        <v>67.6</v>
      </c>
      <c r="AV5" s="143">
        <f t="shared" si="3"/>
        <v>82.75</v>
      </c>
      <c r="AW5" s="143"/>
      <c r="AX5" s="151"/>
      <c r="AY5" s="143"/>
      <c r="AZ5" s="143">
        <f aca="true" t="shared" si="4" ref="AZ5:BE5">SUM(AZ6:AZ29)</f>
        <v>310.1</v>
      </c>
      <c r="BA5" s="143">
        <f t="shared" si="4"/>
        <v>84.75</v>
      </c>
      <c r="BB5" s="143">
        <f>SUM(BB6:BB29)</f>
        <v>54.5</v>
      </c>
      <c r="BC5" s="143">
        <f t="shared" si="4"/>
        <v>47.85</v>
      </c>
      <c r="BD5" s="143">
        <f t="shared" si="4"/>
        <v>79</v>
      </c>
      <c r="BE5" s="143">
        <f t="shared" si="4"/>
        <v>44</v>
      </c>
      <c r="BF5" s="143"/>
      <c r="BG5" s="143"/>
      <c r="BH5" s="143"/>
      <c r="BI5" s="143">
        <f aca="true" t="shared" si="5" ref="BI5:BU5">SUM(BI6:BI29)</f>
        <v>668.2</v>
      </c>
      <c r="BJ5" s="143">
        <f t="shared" si="5"/>
        <v>224.75</v>
      </c>
      <c r="BK5" s="143">
        <f>SUM(BK6:BK29)</f>
        <v>93.3</v>
      </c>
      <c r="BL5" s="143">
        <f t="shared" si="5"/>
        <v>90.15</v>
      </c>
      <c r="BM5" s="143">
        <f t="shared" si="5"/>
        <v>113</v>
      </c>
      <c r="BN5" s="143">
        <f t="shared" si="5"/>
        <v>147</v>
      </c>
      <c r="BO5" s="147">
        <f t="shared" si="5"/>
        <v>1837.6999999999998</v>
      </c>
      <c r="BP5" s="111">
        <f t="shared" si="5"/>
        <v>43.65</v>
      </c>
      <c r="BQ5" s="111">
        <f t="shared" si="5"/>
        <v>179.4</v>
      </c>
      <c r="BR5" s="111">
        <f t="shared" si="5"/>
        <v>251</v>
      </c>
      <c r="BS5" s="111">
        <f t="shared" si="5"/>
        <v>385.35</v>
      </c>
      <c r="BT5" s="111">
        <f t="shared" si="5"/>
        <v>310.1</v>
      </c>
      <c r="BU5" s="111">
        <f t="shared" si="5"/>
        <v>668.2</v>
      </c>
      <c r="BV5" s="302"/>
      <c r="BW5" s="163">
        <f aca="true" t="shared" si="6" ref="BW5:CF5">SUM(BW6:BW29)</f>
        <v>0</v>
      </c>
      <c r="BX5" s="163">
        <f t="shared" si="6"/>
        <v>0</v>
      </c>
      <c r="BY5" s="163">
        <f t="shared" si="6"/>
        <v>0</v>
      </c>
      <c r="BZ5" s="163">
        <f t="shared" si="6"/>
        <v>0</v>
      </c>
      <c r="CA5" s="163">
        <f t="shared" si="6"/>
        <v>5314902.54939759</v>
      </c>
      <c r="CB5" s="163">
        <f t="shared" si="6"/>
        <v>0</v>
      </c>
      <c r="CC5" s="163">
        <f t="shared" si="6"/>
        <v>5314902.54939759</v>
      </c>
      <c r="CD5" s="163">
        <f t="shared" si="6"/>
        <v>254399.12746987955</v>
      </c>
      <c r="CE5" s="163">
        <f t="shared" si="6"/>
        <v>390302.4</v>
      </c>
      <c r="CF5" s="163">
        <f t="shared" si="6"/>
        <v>107464</v>
      </c>
      <c r="CG5" s="163">
        <f>SUM(CG6:CG29)</f>
        <v>6067068.0768674705</v>
      </c>
      <c r="CI5" s="163">
        <f aca="true" t="shared" si="7" ref="CI5:CS5">SUM(CI6:CI29)</f>
        <v>0</v>
      </c>
      <c r="CJ5" s="163">
        <f t="shared" si="7"/>
        <v>0</v>
      </c>
      <c r="CK5" s="163">
        <f t="shared" si="7"/>
        <v>0</v>
      </c>
      <c r="CL5" s="163">
        <f t="shared" si="7"/>
        <v>0</v>
      </c>
      <c r="CM5" s="163">
        <f t="shared" si="7"/>
        <v>7973100.6</v>
      </c>
      <c r="CN5" s="163">
        <f t="shared" si="7"/>
        <v>0</v>
      </c>
      <c r="CO5" s="163">
        <f t="shared" si="7"/>
        <v>7973100.6</v>
      </c>
      <c r="CP5" s="163">
        <f t="shared" si="7"/>
        <v>797310.0599999999</v>
      </c>
      <c r="CQ5" s="163">
        <f t="shared" si="7"/>
        <v>556460.3</v>
      </c>
      <c r="CR5" s="163">
        <f t="shared" si="7"/>
        <v>157864</v>
      </c>
      <c r="CS5" s="163">
        <f t="shared" si="7"/>
        <v>9484734.959999999</v>
      </c>
      <c r="CU5" s="168">
        <f>SUM(CU6:CU29)</f>
        <v>-2658198.0506024095</v>
      </c>
      <c r="CV5" s="168">
        <f>SUM(CV6:CV29)</f>
        <v>-542910.9325301205</v>
      </c>
      <c r="CW5" s="168">
        <f>SUM(CW6:CW29)</f>
        <v>-166157.9</v>
      </c>
      <c r="CX5" s="168">
        <f>SUM(CX6:CX29)</f>
        <v>-50400</v>
      </c>
      <c r="CY5" s="289">
        <f>SUM(CY6:CY29)</f>
        <v>-3417666.883132529</v>
      </c>
      <c r="CZ5" s="288"/>
      <c r="DA5" s="289">
        <f>CY5*1.2409</f>
        <v>-4240982.835279155</v>
      </c>
      <c r="DB5" s="288"/>
    </row>
    <row r="6" spans="1:107" ht="120">
      <c r="A6" s="22" t="s">
        <v>9</v>
      </c>
      <c r="B6" s="274">
        <v>100</v>
      </c>
      <c r="C6" s="23" t="s">
        <v>10</v>
      </c>
      <c r="D6" s="24">
        <v>39</v>
      </c>
      <c r="E6" s="23" t="s">
        <v>4</v>
      </c>
      <c r="F6" s="23">
        <v>3</v>
      </c>
      <c r="G6" s="25">
        <v>204</v>
      </c>
      <c r="H6" s="26">
        <f>G6+2</f>
        <v>206</v>
      </c>
      <c r="I6" s="27">
        <f>H6+3</f>
        <v>209</v>
      </c>
      <c r="J6" s="28">
        <f>I6+4</f>
        <v>213</v>
      </c>
      <c r="K6" s="29">
        <v>217</v>
      </c>
      <c r="L6" s="30">
        <v>222</v>
      </c>
      <c r="M6" s="67">
        <v>229</v>
      </c>
      <c r="N6" s="34">
        <f>G6-M6</f>
        <v>-25</v>
      </c>
      <c r="O6" s="35">
        <f>G6/M6*100</f>
        <v>89.08296943231441</v>
      </c>
      <c r="P6" s="115">
        <f aca="true" t="shared" si="8" ref="P6:P27">SUM(Q6:U6)</f>
        <v>17.45</v>
      </c>
      <c r="Q6" s="54"/>
      <c r="R6" s="54">
        <v>1</v>
      </c>
      <c r="S6" s="54">
        <v>15.45</v>
      </c>
      <c r="T6" s="54">
        <v>1</v>
      </c>
      <c r="U6" s="68"/>
      <c r="V6" s="75">
        <v>244</v>
      </c>
      <c r="W6" s="36">
        <f>H6-V6</f>
        <v>-38</v>
      </c>
      <c r="X6" s="37">
        <f>H6/V6*100</f>
        <v>84.42622950819673</v>
      </c>
      <c r="Y6" s="118">
        <f aca="true" t="shared" si="9" ref="Y6:Y27">SUM(Z6:AD6)</f>
        <v>111.9</v>
      </c>
      <c r="Z6" s="56">
        <v>43.9</v>
      </c>
      <c r="AA6" s="56">
        <v>18</v>
      </c>
      <c r="AB6" s="56">
        <v>14</v>
      </c>
      <c r="AC6" s="56">
        <v>13</v>
      </c>
      <c r="AD6" s="76">
        <v>23</v>
      </c>
      <c r="AE6" s="83">
        <v>259</v>
      </c>
      <c r="AF6" s="38">
        <f>I6-AE6</f>
        <v>-50</v>
      </c>
      <c r="AG6" s="39">
        <f>I6/AE6*100</f>
        <v>80.6949806949807</v>
      </c>
      <c r="AH6" s="121">
        <f aca="true" t="shared" si="10" ref="AH6:AH27">SUM(AI6:AM6)</f>
        <v>170</v>
      </c>
      <c r="AI6" s="58">
        <v>58.5</v>
      </c>
      <c r="AJ6" s="58">
        <v>30</v>
      </c>
      <c r="AK6" s="58">
        <v>23.5</v>
      </c>
      <c r="AL6" s="58">
        <v>31</v>
      </c>
      <c r="AM6" s="84">
        <v>27</v>
      </c>
      <c r="AN6" s="91">
        <v>274</v>
      </c>
      <c r="AO6" s="40">
        <f>J6-AN6</f>
        <v>-61</v>
      </c>
      <c r="AP6" s="41">
        <f>J6/AN6*100</f>
        <v>77.73722627737226</v>
      </c>
      <c r="AQ6" s="124">
        <f aca="true" t="shared" si="11" ref="AQ6:AQ27">SUM(AR6:AV6)</f>
        <v>253.25</v>
      </c>
      <c r="AR6" s="60">
        <v>86</v>
      </c>
      <c r="AS6" s="60">
        <v>38</v>
      </c>
      <c r="AT6" s="60">
        <v>32</v>
      </c>
      <c r="AU6" s="60">
        <v>46.5</v>
      </c>
      <c r="AV6" s="92">
        <v>50.75</v>
      </c>
      <c r="AW6" s="99">
        <v>288</v>
      </c>
      <c r="AX6" s="152">
        <f>K6-AW6</f>
        <v>-71</v>
      </c>
      <c r="AY6" s="42">
        <f>K6/AW6*100</f>
        <v>75.34722222222221</v>
      </c>
      <c r="AZ6" s="127">
        <f aca="true" t="shared" si="12" ref="AZ6:AZ27">SUM(BA6:BE6)</f>
        <v>154.5</v>
      </c>
      <c r="BA6" s="62">
        <v>47</v>
      </c>
      <c r="BB6" s="62">
        <v>27</v>
      </c>
      <c r="BC6" s="62">
        <v>23.5</v>
      </c>
      <c r="BD6" s="62">
        <v>35</v>
      </c>
      <c r="BE6" s="100">
        <v>22</v>
      </c>
      <c r="BF6" s="106">
        <v>302</v>
      </c>
      <c r="BG6" s="156">
        <f>L6-BF6</f>
        <v>-80</v>
      </c>
      <c r="BH6" s="43">
        <f>L6/BF6*100</f>
        <v>73.50993377483444</v>
      </c>
      <c r="BI6" s="130">
        <f aca="true" t="shared" si="13" ref="BI6:BI27">SUM(BJ6:BN6)</f>
        <v>330.25</v>
      </c>
      <c r="BJ6" s="64">
        <v>134.75</v>
      </c>
      <c r="BK6" s="64">
        <v>44</v>
      </c>
      <c r="BL6" s="64">
        <v>50.5</v>
      </c>
      <c r="BM6" s="64">
        <v>58</v>
      </c>
      <c r="BN6" s="107">
        <v>43</v>
      </c>
      <c r="BO6" s="148">
        <f aca="true" t="shared" si="14" ref="BO6:BO27">SUM(BP6:BU6)</f>
        <v>1037.35</v>
      </c>
      <c r="BP6" s="112">
        <f aca="true" t="shared" si="15" ref="BP6:BP27">P6</f>
        <v>17.45</v>
      </c>
      <c r="BQ6" s="113">
        <f aca="true" t="shared" si="16" ref="BQ6:BQ27">Y6</f>
        <v>111.9</v>
      </c>
      <c r="BR6" s="113">
        <f aca="true" t="shared" si="17" ref="BR6:BR27">AH6</f>
        <v>170</v>
      </c>
      <c r="BS6" s="113">
        <f aca="true" t="shared" si="18" ref="BS6:BS27">AQ6</f>
        <v>253.25</v>
      </c>
      <c r="BT6" s="113">
        <f aca="true" t="shared" si="19" ref="BT6:BT27">AZ6</f>
        <v>154.5</v>
      </c>
      <c r="BU6" s="154">
        <f aca="true" t="shared" si="20" ref="BU6:BU27">BI6</f>
        <v>330.25</v>
      </c>
      <c r="BV6" s="302">
        <f>CG6/BO6/12</f>
        <v>259.228030558635</v>
      </c>
      <c r="BW6" s="162"/>
      <c r="BX6" s="162"/>
      <c r="BY6" s="162"/>
      <c r="BZ6" s="162"/>
      <c r="CA6" s="162">
        <f>BO6*K6*12</f>
        <v>2701259.4</v>
      </c>
      <c r="CB6" s="162"/>
      <c r="CC6" s="162">
        <f>K6*12*BO6</f>
        <v>2701259.4</v>
      </c>
      <c r="CD6" s="162">
        <f>CC6*0.05</f>
        <v>135062.97</v>
      </c>
      <c r="CE6" s="162">
        <f>160*(CE33*0.5)*244*12</f>
        <v>317688</v>
      </c>
      <c r="CF6" s="162">
        <f>160*CE33*24*14</f>
        <v>72912</v>
      </c>
      <c r="CG6" s="162">
        <f>CC6+CD6+CE6+CF6</f>
        <v>3226922.37</v>
      </c>
      <c r="CI6" s="162"/>
      <c r="CJ6" s="162"/>
      <c r="CK6" s="162"/>
      <c r="CL6" s="162"/>
      <c r="CM6" s="162">
        <f>BO6*AW6*12</f>
        <v>3585081.5999999996</v>
      </c>
      <c r="CN6" s="162"/>
      <c r="CO6" s="162">
        <f>SUM(CI6:CN6)</f>
        <v>3585081.5999999996</v>
      </c>
      <c r="CP6" s="162">
        <f>CO6*0.1</f>
        <v>358508.16</v>
      </c>
      <c r="CQ6" s="162">
        <f>160*(CQ33*0.5)*244*12</f>
        <v>421632</v>
      </c>
      <c r="CR6" s="162">
        <f>160*CQ33*24*14</f>
        <v>96768</v>
      </c>
      <c r="CS6" s="162">
        <f>CO6+CP6+CQ6+CR6</f>
        <v>4461989.76</v>
      </c>
      <c r="CU6" s="169">
        <f>CC6-CO6</f>
        <v>-883822.1999999997</v>
      </c>
      <c r="CV6" s="169">
        <f>CD6-CP6</f>
        <v>-223445.18999999997</v>
      </c>
      <c r="CW6" s="169">
        <f>CE6-CQ6</f>
        <v>-103944</v>
      </c>
      <c r="CX6" s="169">
        <f>CF6-CR6</f>
        <v>-23856</v>
      </c>
      <c r="CY6" s="295">
        <f>SUM(CU6:CX6)</f>
        <v>-1235067.3899999997</v>
      </c>
      <c r="CZ6" s="298">
        <f>CS6/12/BO6</f>
        <v>358.44457511929437</v>
      </c>
      <c r="DA6" s="289">
        <f aca="true" t="shared" si="21" ref="DA6:DA29">CY6*1.2409</f>
        <v>-1532595.1242509994</v>
      </c>
      <c r="DB6" s="291">
        <f>CZ6-BV6</f>
        <v>99.21654456065937</v>
      </c>
      <c r="DC6" s="149">
        <f>CZ6-AW6</f>
        <v>70.44457511929437</v>
      </c>
    </row>
    <row r="7" spans="1:107" ht="120">
      <c r="A7" s="22" t="s">
        <v>11</v>
      </c>
      <c r="B7" s="274">
        <v>100</v>
      </c>
      <c r="C7" s="23" t="s">
        <v>12</v>
      </c>
      <c r="D7" s="24">
        <v>39</v>
      </c>
      <c r="E7" s="23" t="s">
        <v>4</v>
      </c>
      <c r="F7" s="23">
        <v>3</v>
      </c>
      <c r="G7" s="25">
        <v>204</v>
      </c>
      <c r="H7" s="26">
        <f>G7+2</f>
        <v>206</v>
      </c>
      <c r="I7" s="27">
        <f>H7+3</f>
        <v>209</v>
      </c>
      <c r="J7" s="28">
        <f>I7+4</f>
        <v>213</v>
      </c>
      <c r="K7" s="29">
        <v>217</v>
      </c>
      <c r="L7" s="30">
        <v>222</v>
      </c>
      <c r="M7" s="67">
        <v>229</v>
      </c>
      <c r="N7" s="34">
        <f aca="true" t="shared" si="22" ref="N7:N27">G7-M7</f>
        <v>-25</v>
      </c>
      <c r="O7" s="35">
        <f aca="true" t="shared" si="23" ref="O7:O27">G7/M7*100</f>
        <v>89.08296943231441</v>
      </c>
      <c r="P7" s="115">
        <f t="shared" si="8"/>
        <v>0</v>
      </c>
      <c r="Q7" s="54"/>
      <c r="R7" s="54"/>
      <c r="S7" s="54"/>
      <c r="T7" s="54"/>
      <c r="U7" s="68"/>
      <c r="V7" s="75">
        <v>244</v>
      </c>
      <c r="W7" s="36">
        <f aca="true" t="shared" si="24" ref="W7:W27">H7-V7</f>
        <v>-38</v>
      </c>
      <c r="X7" s="37">
        <f aca="true" t="shared" si="25" ref="X7:X27">H7/V7*100</f>
        <v>84.42622950819673</v>
      </c>
      <c r="Y7" s="118">
        <f t="shared" si="9"/>
        <v>21</v>
      </c>
      <c r="Z7" s="56"/>
      <c r="AA7" s="56"/>
      <c r="AB7" s="56"/>
      <c r="AC7" s="56"/>
      <c r="AD7" s="76">
        <v>21</v>
      </c>
      <c r="AE7" s="83">
        <v>259</v>
      </c>
      <c r="AF7" s="38">
        <f aca="true" t="shared" si="26" ref="AF7:AF27">I7-AE7</f>
        <v>-50</v>
      </c>
      <c r="AG7" s="39">
        <f aca="true" t="shared" si="27" ref="AG7:AG27">I7/AE7*100</f>
        <v>80.6949806949807</v>
      </c>
      <c r="AH7" s="121">
        <f t="shared" si="10"/>
        <v>4</v>
      </c>
      <c r="AI7" s="58"/>
      <c r="AJ7" s="58"/>
      <c r="AK7" s="58"/>
      <c r="AL7" s="58"/>
      <c r="AM7" s="84">
        <v>4</v>
      </c>
      <c r="AN7" s="91">
        <v>274</v>
      </c>
      <c r="AO7" s="40">
        <f aca="true" t="shared" si="28" ref="AO7:AO27">J7-AN7</f>
        <v>-61</v>
      </c>
      <c r="AP7" s="41">
        <f aca="true" t="shared" si="29" ref="AP7:AP27">J7/AN7*100</f>
        <v>77.73722627737226</v>
      </c>
      <c r="AQ7" s="124">
        <f t="shared" si="11"/>
        <v>11</v>
      </c>
      <c r="AR7" s="60"/>
      <c r="AS7" s="60"/>
      <c r="AT7" s="60"/>
      <c r="AU7" s="60"/>
      <c r="AV7" s="92">
        <v>11</v>
      </c>
      <c r="AW7" s="99">
        <v>288</v>
      </c>
      <c r="AX7" s="152">
        <f aca="true" t="shared" si="30" ref="AX7:AX27">K7-AW7</f>
        <v>-71</v>
      </c>
      <c r="AY7" s="42">
        <f aca="true" t="shared" si="31" ref="AY7:AY27">K7/AW7*100</f>
        <v>75.34722222222221</v>
      </c>
      <c r="AZ7" s="127">
        <f t="shared" si="12"/>
        <v>1</v>
      </c>
      <c r="BA7" s="62"/>
      <c r="BB7" s="62"/>
      <c r="BC7" s="62"/>
      <c r="BD7" s="62"/>
      <c r="BE7" s="100">
        <v>1</v>
      </c>
      <c r="BF7" s="106">
        <v>302</v>
      </c>
      <c r="BG7" s="156">
        <f aca="true" t="shared" si="32" ref="BG7:BG27">L7-BF7</f>
        <v>-80</v>
      </c>
      <c r="BH7" s="43">
        <f aca="true" t="shared" si="33" ref="BH7:BH27">L7/BF7*100</f>
        <v>73.50993377483444</v>
      </c>
      <c r="BI7" s="130">
        <f t="shared" si="13"/>
        <v>16</v>
      </c>
      <c r="BJ7" s="64"/>
      <c r="BK7" s="64"/>
      <c r="BL7" s="64"/>
      <c r="BM7" s="64"/>
      <c r="BN7" s="107">
        <v>16</v>
      </c>
      <c r="BO7" s="148">
        <f t="shared" si="14"/>
        <v>53</v>
      </c>
      <c r="BP7" s="112">
        <f t="shared" si="15"/>
        <v>0</v>
      </c>
      <c r="BQ7" s="113">
        <f t="shared" si="16"/>
        <v>21</v>
      </c>
      <c r="BR7" s="113">
        <f t="shared" si="17"/>
        <v>4</v>
      </c>
      <c r="BS7" s="113">
        <f t="shared" si="18"/>
        <v>11</v>
      </c>
      <c r="BT7" s="113">
        <f t="shared" si="19"/>
        <v>1</v>
      </c>
      <c r="BU7" s="154">
        <f t="shared" si="20"/>
        <v>16</v>
      </c>
      <c r="BV7" s="302">
        <f>BV6</f>
        <v>259.228030558635</v>
      </c>
      <c r="BW7" s="162"/>
      <c r="BX7" s="162"/>
      <c r="BY7" s="162"/>
      <c r="BZ7" s="162"/>
      <c r="CA7" s="162">
        <f aca="true" t="shared" si="34" ref="CA7:CA29">BO7*K7*12</f>
        <v>138012</v>
      </c>
      <c r="CB7" s="162"/>
      <c r="CC7" s="162">
        <f aca="true" t="shared" si="35" ref="CC7:CC27">SUM(BW7:CB7)</f>
        <v>138012</v>
      </c>
      <c r="CD7" s="162">
        <f aca="true" t="shared" si="36" ref="CD7:CD27">CC7*0.05</f>
        <v>6900.6</v>
      </c>
      <c r="CE7" s="162"/>
      <c r="CF7" s="162"/>
      <c r="CG7" s="162">
        <f aca="true" t="shared" si="37" ref="CG7:CG27">CC7+CD7+CE7+CF7</f>
        <v>144912.6</v>
      </c>
      <c r="CI7" s="162"/>
      <c r="CJ7" s="162"/>
      <c r="CK7" s="162"/>
      <c r="CL7" s="162"/>
      <c r="CM7" s="162">
        <f aca="true" t="shared" si="38" ref="CM7:CM29">BO7*AW7*12</f>
        <v>183168</v>
      </c>
      <c r="CN7" s="162"/>
      <c r="CO7" s="162">
        <f aca="true" t="shared" si="39" ref="CO7:CO27">SUM(CI7:CN7)</f>
        <v>183168</v>
      </c>
      <c r="CP7" s="162">
        <f aca="true" t="shared" si="40" ref="CP7:CP29">CO7*0.1</f>
        <v>18316.8</v>
      </c>
      <c r="CQ7" s="162"/>
      <c r="CR7" s="162"/>
      <c r="CS7" s="162">
        <f aca="true" t="shared" si="41" ref="CS7:CS27">CO7+CP7+CQ7+CR7</f>
        <v>201484.8</v>
      </c>
      <c r="CU7" s="169">
        <f aca="true" t="shared" si="42" ref="CU7:CX29">CC7-CO7</f>
        <v>-45156</v>
      </c>
      <c r="CV7" s="169">
        <f t="shared" si="42"/>
        <v>-11416.199999999999</v>
      </c>
      <c r="CW7" s="169">
        <f t="shared" si="42"/>
        <v>0</v>
      </c>
      <c r="CX7" s="169">
        <f t="shared" si="42"/>
        <v>0</v>
      </c>
      <c r="CY7" s="295">
        <f aca="true" t="shared" si="43" ref="CY7:CY29">SUM(CU7:CX7)</f>
        <v>-56572.2</v>
      </c>
      <c r="CZ7" s="298">
        <f>CZ6</f>
        <v>358.44457511929437</v>
      </c>
      <c r="DA7" s="289">
        <f t="shared" si="21"/>
        <v>-70200.44297999999</v>
      </c>
      <c r="DB7" s="291">
        <f aca="true" t="shared" si="44" ref="DB7:DB29">CZ7-BV7</f>
        <v>99.21654456065937</v>
      </c>
      <c r="DC7" s="149">
        <f aca="true" t="shared" si="45" ref="DC7:DC29">CZ7-AW7</f>
        <v>70.44457511929437</v>
      </c>
    </row>
    <row r="8" spans="1:107" ht="15.75">
      <c r="A8" s="31" t="s">
        <v>21</v>
      </c>
      <c r="B8" s="274">
        <v>100</v>
      </c>
      <c r="C8" s="21" t="s">
        <v>22</v>
      </c>
      <c r="D8" s="32">
        <v>39</v>
      </c>
      <c r="E8" s="21" t="s">
        <v>5</v>
      </c>
      <c r="F8" s="21">
        <v>5</v>
      </c>
      <c r="G8" s="25">
        <v>208</v>
      </c>
      <c r="H8" s="26">
        <v>218</v>
      </c>
      <c r="I8" s="27">
        <f aca="true" t="shared" si="46" ref="I8:I14">H8+2</f>
        <v>220</v>
      </c>
      <c r="J8" s="28">
        <f aca="true" t="shared" si="47" ref="J8:J14">I8+6</f>
        <v>226</v>
      </c>
      <c r="K8" s="29">
        <f aca="true" t="shared" si="48" ref="K8:K14">J8+7</f>
        <v>233</v>
      </c>
      <c r="L8" s="30">
        <f aca="true" t="shared" si="49" ref="L8:L14">K8+12</f>
        <v>245</v>
      </c>
      <c r="M8" s="67">
        <v>285</v>
      </c>
      <c r="N8" s="34">
        <f t="shared" si="22"/>
        <v>-77</v>
      </c>
      <c r="O8" s="35">
        <f t="shared" si="23"/>
        <v>72.98245614035088</v>
      </c>
      <c r="P8" s="115">
        <f t="shared" si="8"/>
        <v>6.25</v>
      </c>
      <c r="Q8" s="54"/>
      <c r="R8" s="54">
        <v>2</v>
      </c>
      <c r="S8" s="54">
        <v>4.25</v>
      </c>
      <c r="T8" s="54"/>
      <c r="U8" s="68"/>
      <c r="V8" s="75">
        <v>306</v>
      </c>
      <c r="W8" s="36">
        <f t="shared" si="24"/>
        <v>-88</v>
      </c>
      <c r="X8" s="37">
        <f t="shared" si="25"/>
        <v>71.24183006535948</v>
      </c>
      <c r="Y8" s="118">
        <f t="shared" si="9"/>
        <v>14</v>
      </c>
      <c r="Z8" s="56"/>
      <c r="AA8" s="56">
        <v>2</v>
      </c>
      <c r="AB8" s="56">
        <v>2</v>
      </c>
      <c r="AC8" s="56">
        <v>1</v>
      </c>
      <c r="AD8" s="76">
        <v>9</v>
      </c>
      <c r="AE8" s="83">
        <v>329</v>
      </c>
      <c r="AF8" s="38">
        <f>I8-AE8</f>
        <v>-109</v>
      </c>
      <c r="AG8" s="39">
        <f>I8/AE8*100</f>
        <v>66.8693009118541</v>
      </c>
      <c r="AH8" s="121">
        <f t="shared" si="10"/>
        <v>23</v>
      </c>
      <c r="AI8" s="58">
        <v>11</v>
      </c>
      <c r="AJ8" s="58">
        <v>2</v>
      </c>
      <c r="AK8" s="58">
        <v>2</v>
      </c>
      <c r="AL8" s="58">
        <v>5</v>
      </c>
      <c r="AM8" s="84">
        <v>3</v>
      </c>
      <c r="AN8" s="91">
        <v>353</v>
      </c>
      <c r="AO8" s="40">
        <f t="shared" si="28"/>
        <v>-127</v>
      </c>
      <c r="AP8" s="41">
        <f t="shared" si="29"/>
        <v>64.02266288951841</v>
      </c>
      <c r="AQ8" s="124">
        <f t="shared" si="11"/>
        <v>40</v>
      </c>
      <c r="AR8" s="60">
        <v>9</v>
      </c>
      <c r="AS8" s="60">
        <v>8</v>
      </c>
      <c r="AT8" s="60">
        <v>1</v>
      </c>
      <c r="AU8" s="60">
        <v>12</v>
      </c>
      <c r="AV8" s="92">
        <v>10</v>
      </c>
      <c r="AW8" s="99">
        <v>378</v>
      </c>
      <c r="AX8" s="152">
        <f t="shared" si="30"/>
        <v>-145</v>
      </c>
      <c r="AY8" s="42">
        <f t="shared" si="31"/>
        <v>61.64021164021164</v>
      </c>
      <c r="AZ8" s="127">
        <f t="shared" si="12"/>
        <v>38.25</v>
      </c>
      <c r="BA8" s="62">
        <v>7</v>
      </c>
      <c r="BB8" s="62">
        <v>5</v>
      </c>
      <c r="BC8" s="62">
        <v>6.25</v>
      </c>
      <c r="BD8" s="62">
        <v>15</v>
      </c>
      <c r="BE8" s="100">
        <v>5</v>
      </c>
      <c r="BF8" s="106">
        <v>403</v>
      </c>
      <c r="BG8" s="156">
        <f t="shared" si="32"/>
        <v>-158</v>
      </c>
      <c r="BH8" s="43">
        <f t="shared" si="33"/>
        <v>60.7940446650124</v>
      </c>
      <c r="BI8" s="130">
        <f t="shared" si="13"/>
        <v>95</v>
      </c>
      <c r="BJ8" s="64">
        <v>18</v>
      </c>
      <c r="BK8" s="64">
        <v>14</v>
      </c>
      <c r="BL8" s="64">
        <v>16</v>
      </c>
      <c r="BM8" s="64">
        <v>11</v>
      </c>
      <c r="BN8" s="107">
        <v>36</v>
      </c>
      <c r="BO8" s="148">
        <f t="shared" si="14"/>
        <v>216.5</v>
      </c>
      <c r="BP8" s="112">
        <f t="shared" si="15"/>
        <v>6.25</v>
      </c>
      <c r="BQ8" s="113">
        <f t="shared" si="16"/>
        <v>14</v>
      </c>
      <c r="BR8" s="113">
        <f t="shared" si="17"/>
        <v>23</v>
      </c>
      <c r="BS8" s="113">
        <f t="shared" si="18"/>
        <v>40</v>
      </c>
      <c r="BT8" s="113">
        <f t="shared" si="19"/>
        <v>38.25</v>
      </c>
      <c r="BU8" s="154">
        <f t="shared" si="20"/>
        <v>95</v>
      </c>
      <c r="BV8" s="302">
        <f aca="true" t="shared" si="50" ref="BV8:BV28">CG8/BO8/12</f>
        <v>247.16116243264048</v>
      </c>
      <c r="BW8" s="162"/>
      <c r="BX8" s="162"/>
      <c r="BY8" s="162"/>
      <c r="BZ8" s="162"/>
      <c r="CA8" s="162">
        <f t="shared" si="34"/>
        <v>605334</v>
      </c>
      <c r="CB8" s="162"/>
      <c r="CC8" s="162">
        <f t="shared" si="35"/>
        <v>605334</v>
      </c>
      <c r="CD8" s="162">
        <f t="shared" si="36"/>
        <v>30266.7</v>
      </c>
      <c r="CE8" s="162"/>
      <c r="CF8" s="162">
        <f>40*CE35*8*14</f>
        <v>6524</v>
      </c>
      <c r="CG8" s="162">
        <f t="shared" si="37"/>
        <v>642124.7</v>
      </c>
      <c r="CI8" s="162"/>
      <c r="CJ8" s="162"/>
      <c r="CK8" s="162"/>
      <c r="CL8" s="162"/>
      <c r="CM8" s="162">
        <f t="shared" si="38"/>
        <v>982044</v>
      </c>
      <c r="CN8" s="162"/>
      <c r="CO8" s="162">
        <f t="shared" si="39"/>
        <v>982044</v>
      </c>
      <c r="CP8" s="162">
        <f t="shared" si="40"/>
        <v>98204.40000000001</v>
      </c>
      <c r="CQ8" s="162"/>
      <c r="CR8" s="162">
        <f>40*CQ35*8*14</f>
        <v>10584</v>
      </c>
      <c r="CS8" s="162">
        <f t="shared" si="41"/>
        <v>1090832.4</v>
      </c>
      <c r="CU8" s="169">
        <f t="shared" si="42"/>
        <v>-376710</v>
      </c>
      <c r="CV8" s="169">
        <f t="shared" si="42"/>
        <v>-67937.70000000001</v>
      </c>
      <c r="CW8" s="169">
        <f t="shared" si="42"/>
        <v>0</v>
      </c>
      <c r="CX8" s="169">
        <f t="shared" si="42"/>
        <v>-4060</v>
      </c>
      <c r="CY8" s="295">
        <f t="shared" si="43"/>
        <v>-448707.7</v>
      </c>
      <c r="CZ8" s="298">
        <f aca="true" t="shared" si="51" ref="CZ8:CZ29">CS8/12/BO8</f>
        <v>419.8739030023095</v>
      </c>
      <c r="DA8" s="289">
        <f t="shared" si="21"/>
        <v>-556801.38493</v>
      </c>
      <c r="DB8" s="291">
        <f t="shared" si="44"/>
        <v>172.712740569669</v>
      </c>
      <c r="DC8" s="149">
        <f t="shared" si="45"/>
        <v>41.873903002309476</v>
      </c>
    </row>
    <row r="9" spans="1:107" ht="15.75">
      <c r="A9" s="31" t="s">
        <v>23</v>
      </c>
      <c r="B9" s="274">
        <v>100</v>
      </c>
      <c r="C9" s="21" t="s">
        <v>24</v>
      </c>
      <c r="D9" s="32">
        <v>39</v>
      </c>
      <c r="E9" s="21" t="s">
        <v>5</v>
      </c>
      <c r="F9" s="21">
        <v>5</v>
      </c>
      <c r="G9" s="25">
        <v>208</v>
      </c>
      <c r="H9" s="26">
        <v>218</v>
      </c>
      <c r="I9" s="27">
        <f t="shared" si="46"/>
        <v>220</v>
      </c>
      <c r="J9" s="28">
        <f t="shared" si="47"/>
        <v>226</v>
      </c>
      <c r="K9" s="29">
        <f t="shared" si="48"/>
        <v>233</v>
      </c>
      <c r="L9" s="30">
        <f t="shared" si="49"/>
        <v>245</v>
      </c>
      <c r="M9" s="67">
        <v>285</v>
      </c>
      <c r="N9" s="34">
        <f t="shared" si="22"/>
        <v>-77</v>
      </c>
      <c r="O9" s="35">
        <f t="shared" si="23"/>
        <v>72.98245614035088</v>
      </c>
      <c r="P9" s="115">
        <f t="shared" si="8"/>
        <v>0</v>
      </c>
      <c r="Q9" s="54"/>
      <c r="R9" s="54"/>
      <c r="S9" s="54"/>
      <c r="T9" s="54"/>
      <c r="U9" s="68"/>
      <c r="V9" s="75">
        <v>306</v>
      </c>
      <c r="W9" s="36">
        <f t="shared" si="24"/>
        <v>-88</v>
      </c>
      <c r="X9" s="37">
        <f t="shared" si="25"/>
        <v>71.24183006535948</v>
      </c>
      <c r="Y9" s="118">
        <f t="shared" si="9"/>
        <v>0</v>
      </c>
      <c r="Z9" s="56"/>
      <c r="AA9" s="56"/>
      <c r="AB9" s="56"/>
      <c r="AC9" s="56"/>
      <c r="AD9" s="76"/>
      <c r="AE9" s="83">
        <v>329</v>
      </c>
      <c r="AF9" s="38">
        <f t="shared" si="26"/>
        <v>-109</v>
      </c>
      <c r="AG9" s="39">
        <f t="shared" si="27"/>
        <v>66.8693009118541</v>
      </c>
      <c r="AH9" s="121">
        <f t="shared" si="10"/>
        <v>6</v>
      </c>
      <c r="AI9" s="58">
        <v>6</v>
      </c>
      <c r="AJ9" s="58"/>
      <c r="AK9" s="58"/>
      <c r="AL9" s="58"/>
      <c r="AM9" s="84"/>
      <c r="AN9" s="91">
        <v>353</v>
      </c>
      <c r="AO9" s="40">
        <f t="shared" si="28"/>
        <v>-127</v>
      </c>
      <c r="AP9" s="41">
        <f t="shared" si="29"/>
        <v>64.02266288951841</v>
      </c>
      <c r="AQ9" s="124">
        <f t="shared" si="11"/>
        <v>2</v>
      </c>
      <c r="AR9" s="60">
        <v>2</v>
      </c>
      <c r="AS9" s="60"/>
      <c r="AT9" s="60"/>
      <c r="AU9" s="60"/>
      <c r="AV9" s="92"/>
      <c r="AW9" s="99">
        <v>378</v>
      </c>
      <c r="AX9" s="152">
        <f t="shared" si="30"/>
        <v>-145</v>
      </c>
      <c r="AY9" s="42">
        <f t="shared" si="31"/>
        <v>61.64021164021164</v>
      </c>
      <c r="AZ9" s="127">
        <f t="shared" si="12"/>
        <v>2</v>
      </c>
      <c r="BA9" s="62">
        <v>2</v>
      </c>
      <c r="BB9" s="62"/>
      <c r="BC9" s="62"/>
      <c r="BD9" s="62"/>
      <c r="BE9" s="100"/>
      <c r="BF9" s="106">
        <v>403</v>
      </c>
      <c r="BG9" s="156">
        <f t="shared" si="32"/>
        <v>-158</v>
      </c>
      <c r="BH9" s="43">
        <f t="shared" si="33"/>
        <v>60.7940446650124</v>
      </c>
      <c r="BI9" s="130">
        <f t="shared" si="13"/>
        <v>13</v>
      </c>
      <c r="BJ9" s="64">
        <v>13</v>
      </c>
      <c r="BK9" s="64"/>
      <c r="BL9" s="64"/>
      <c r="BM9" s="64"/>
      <c r="BN9" s="107"/>
      <c r="BO9" s="148">
        <f t="shared" si="14"/>
        <v>23</v>
      </c>
      <c r="BP9" s="112">
        <f t="shared" si="15"/>
        <v>0</v>
      </c>
      <c r="BQ9" s="113">
        <f t="shared" si="16"/>
        <v>0</v>
      </c>
      <c r="BR9" s="113">
        <f t="shared" si="17"/>
        <v>6</v>
      </c>
      <c r="BS9" s="113">
        <f t="shared" si="18"/>
        <v>2</v>
      </c>
      <c r="BT9" s="113">
        <f t="shared" si="19"/>
        <v>2</v>
      </c>
      <c r="BU9" s="154">
        <f t="shared" si="20"/>
        <v>13</v>
      </c>
      <c r="BV9" s="302">
        <f t="shared" si="50"/>
        <v>244.64999999999998</v>
      </c>
      <c r="BW9" s="162"/>
      <c r="BX9" s="162"/>
      <c r="BY9" s="162"/>
      <c r="BZ9" s="162"/>
      <c r="CA9" s="162">
        <f t="shared" si="34"/>
        <v>64308</v>
      </c>
      <c r="CB9" s="162"/>
      <c r="CC9" s="162">
        <f t="shared" si="35"/>
        <v>64308</v>
      </c>
      <c r="CD9" s="162">
        <f t="shared" si="36"/>
        <v>3215.4</v>
      </c>
      <c r="CE9" s="162"/>
      <c r="CF9" s="162"/>
      <c r="CG9" s="162">
        <f t="shared" si="37"/>
        <v>67523.4</v>
      </c>
      <c r="CI9" s="162"/>
      <c r="CJ9" s="162"/>
      <c r="CK9" s="162"/>
      <c r="CL9" s="162"/>
      <c r="CM9" s="162">
        <f t="shared" si="38"/>
        <v>104328</v>
      </c>
      <c r="CN9" s="162"/>
      <c r="CO9" s="162">
        <f t="shared" si="39"/>
        <v>104328</v>
      </c>
      <c r="CP9" s="162">
        <f t="shared" si="40"/>
        <v>10432.800000000001</v>
      </c>
      <c r="CQ9" s="162"/>
      <c r="CR9" s="162"/>
      <c r="CS9" s="162">
        <f t="shared" si="41"/>
        <v>114760.8</v>
      </c>
      <c r="CU9" s="169">
        <f t="shared" si="42"/>
        <v>-40020</v>
      </c>
      <c r="CV9" s="169">
        <f t="shared" si="42"/>
        <v>-7217.4000000000015</v>
      </c>
      <c r="CW9" s="169">
        <f t="shared" si="42"/>
        <v>0</v>
      </c>
      <c r="CX9" s="169">
        <f t="shared" si="42"/>
        <v>0</v>
      </c>
      <c r="CY9" s="295">
        <f t="shared" si="43"/>
        <v>-47237.4</v>
      </c>
      <c r="CZ9" s="298">
        <f t="shared" si="51"/>
        <v>415.8</v>
      </c>
      <c r="DA9" s="289">
        <f t="shared" si="21"/>
        <v>-58616.88965999999</v>
      </c>
      <c r="DB9" s="291">
        <f t="shared" si="44"/>
        <v>171.15000000000003</v>
      </c>
      <c r="DC9" s="149">
        <f t="shared" si="45"/>
        <v>37.80000000000001</v>
      </c>
    </row>
    <row r="10" spans="1:107" ht="28.5" customHeight="1">
      <c r="A10" s="31" t="s">
        <v>25</v>
      </c>
      <c r="B10" s="274">
        <v>100</v>
      </c>
      <c r="C10" s="21" t="s">
        <v>26</v>
      </c>
      <c r="D10" s="32">
        <v>39</v>
      </c>
      <c r="E10" s="21" t="s">
        <v>5</v>
      </c>
      <c r="F10" s="21">
        <v>5</v>
      </c>
      <c r="G10" s="25">
        <v>208</v>
      </c>
      <c r="H10" s="26">
        <v>218</v>
      </c>
      <c r="I10" s="27">
        <f t="shared" si="46"/>
        <v>220</v>
      </c>
      <c r="J10" s="28">
        <f t="shared" si="47"/>
        <v>226</v>
      </c>
      <c r="K10" s="29">
        <f t="shared" si="48"/>
        <v>233</v>
      </c>
      <c r="L10" s="30">
        <f t="shared" si="49"/>
        <v>245</v>
      </c>
      <c r="M10" s="67">
        <v>285</v>
      </c>
      <c r="N10" s="34">
        <f t="shared" si="22"/>
        <v>-77</v>
      </c>
      <c r="O10" s="35">
        <f t="shared" si="23"/>
        <v>72.98245614035088</v>
      </c>
      <c r="P10" s="115">
        <f t="shared" si="8"/>
        <v>5.35</v>
      </c>
      <c r="Q10" s="54"/>
      <c r="R10" s="54">
        <v>1</v>
      </c>
      <c r="S10" s="54">
        <v>3.35</v>
      </c>
      <c r="T10" s="54">
        <v>1</v>
      </c>
      <c r="U10" s="68"/>
      <c r="V10" s="75">
        <v>306</v>
      </c>
      <c r="W10" s="36">
        <f t="shared" si="24"/>
        <v>-88</v>
      </c>
      <c r="X10" s="37">
        <f t="shared" si="25"/>
        <v>71.24183006535948</v>
      </c>
      <c r="Y10" s="118">
        <f t="shared" si="9"/>
        <v>3</v>
      </c>
      <c r="Z10" s="56"/>
      <c r="AA10" s="56"/>
      <c r="AB10" s="56"/>
      <c r="AC10" s="56">
        <v>1</v>
      </c>
      <c r="AD10" s="76">
        <v>2</v>
      </c>
      <c r="AE10" s="83">
        <v>329</v>
      </c>
      <c r="AF10" s="38">
        <f t="shared" si="26"/>
        <v>-109</v>
      </c>
      <c r="AG10" s="39">
        <f t="shared" si="27"/>
        <v>66.8693009118541</v>
      </c>
      <c r="AH10" s="121">
        <f t="shared" si="10"/>
        <v>7.5</v>
      </c>
      <c r="AI10" s="58">
        <v>2</v>
      </c>
      <c r="AJ10" s="58"/>
      <c r="AK10" s="58">
        <v>0.5</v>
      </c>
      <c r="AL10" s="58">
        <v>4</v>
      </c>
      <c r="AM10" s="84">
        <v>1</v>
      </c>
      <c r="AN10" s="91">
        <v>353</v>
      </c>
      <c r="AO10" s="40">
        <f t="shared" si="28"/>
        <v>-127</v>
      </c>
      <c r="AP10" s="41">
        <f t="shared" si="29"/>
        <v>64.02266288951841</v>
      </c>
      <c r="AQ10" s="124">
        <f t="shared" si="11"/>
        <v>9</v>
      </c>
      <c r="AR10" s="60">
        <v>1</v>
      </c>
      <c r="AS10" s="60">
        <v>2</v>
      </c>
      <c r="AT10" s="60"/>
      <c r="AU10" s="60">
        <v>4</v>
      </c>
      <c r="AV10" s="92">
        <v>2</v>
      </c>
      <c r="AW10" s="99">
        <v>378</v>
      </c>
      <c r="AX10" s="152">
        <f t="shared" si="30"/>
        <v>-145</v>
      </c>
      <c r="AY10" s="42">
        <f t="shared" si="31"/>
        <v>61.64021164021164</v>
      </c>
      <c r="AZ10" s="127">
        <f t="shared" si="12"/>
        <v>13</v>
      </c>
      <c r="BA10" s="62">
        <v>3.5</v>
      </c>
      <c r="BB10" s="62">
        <v>1</v>
      </c>
      <c r="BC10" s="62">
        <v>1</v>
      </c>
      <c r="BD10" s="62">
        <v>4.5</v>
      </c>
      <c r="BE10" s="100">
        <v>3</v>
      </c>
      <c r="BF10" s="106">
        <v>403</v>
      </c>
      <c r="BG10" s="156">
        <f t="shared" si="32"/>
        <v>-158</v>
      </c>
      <c r="BH10" s="43">
        <f t="shared" si="33"/>
        <v>60.7940446650124</v>
      </c>
      <c r="BI10" s="130">
        <f t="shared" si="13"/>
        <v>7</v>
      </c>
      <c r="BJ10" s="64"/>
      <c r="BK10" s="64">
        <v>1</v>
      </c>
      <c r="BL10" s="64"/>
      <c r="BM10" s="64">
        <v>4</v>
      </c>
      <c r="BN10" s="107">
        <v>2</v>
      </c>
      <c r="BO10" s="148">
        <f t="shared" si="14"/>
        <v>44.85</v>
      </c>
      <c r="BP10" s="112">
        <f t="shared" si="15"/>
        <v>5.35</v>
      </c>
      <c r="BQ10" s="113">
        <f t="shared" si="16"/>
        <v>3</v>
      </c>
      <c r="BR10" s="113">
        <f t="shared" si="17"/>
        <v>7.5</v>
      </c>
      <c r="BS10" s="113">
        <f t="shared" si="18"/>
        <v>9</v>
      </c>
      <c r="BT10" s="113">
        <f t="shared" si="19"/>
        <v>13</v>
      </c>
      <c r="BU10" s="154">
        <f t="shared" si="20"/>
        <v>7</v>
      </c>
      <c r="BV10" s="302">
        <f t="shared" si="50"/>
        <v>244.65</v>
      </c>
      <c r="BW10" s="162"/>
      <c r="BX10" s="162"/>
      <c r="BY10" s="162"/>
      <c r="BZ10" s="162"/>
      <c r="CA10" s="162">
        <f t="shared" si="34"/>
        <v>125400.6</v>
      </c>
      <c r="CB10" s="162"/>
      <c r="CC10" s="162">
        <f t="shared" si="35"/>
        <v>125400.6</v>
      </c>
      <c r="CD10" s="162">
        <f t="shared" si="36"/>
        <v>6270.030000000001</v>
      </c>
      <c r="CE10" s="162"/>
      <c r="CF10" s="162"/>
      <c r="CG10" s="162">
        <f t="shared" si="37"/>
        <v>131670.63</v>
      </c>
      <c r="CI10" s="162"/>
      <c r="CJ10" s="162"/>
      <c r="CK10" s="162"/>
      <c r="CL10" s="162"/>
      <c r="CM10" s="162">
        <f t="shared" si="38"/>
        <v>203439.59999999998</v>
      </c>
      <c r="CN10" s="162"/>
      <c r="CO10" s="162">
        <f t="shared" si="39"/>
        <v>203439.59999999998</v>
      </c>
      <c r="CP10" s="162">
        <f t="shared" si="40"/>
        <v>20343.96</v>
      </c>
      <c r="CQ10" s="162"/>
      <c r="CR10" s="162"/>
      <c r="CS10" s="162">
        <f t="shared" si="41"/>
        <v>223783.55999999997</v>
      </c>
      <c r="CU10" s="169">
        <f t="shared" si="42"/>
        <v>-78038.99999999997</v>
      </c>
      <c r="CV10" s="169">
        <f t="shared" si="42"/>
        <v>-14073.929999999998</v>
      </c>
      <c r="CW10" s="169">
        <f t="shared" si="42"/>
        <v>0</v>
      </c>
      <c r="CX10" s="169">
        <f t="shared" si="42"/>
        <v>0</v>
      </c>
      <c r="CY10" s="295">
        <f t="shared" si="43"/>
        <v>-92112.92999999996</v>
      </c>
      <c r="CZ10" s="298">
        <f t="shared" si="51"/>
        <v>415.79999999999995</v>
      </c>
      <c r="DA10" s="289">
        <f t="shared" si="21"/>
        <v>-114302.93483699995</v>
      </c>
      <c r="DB10" s="291">
        <f t="shared" si="44"/>
        <v>171.14999999999995</v>
      </c>
      <c r="DC10" s="149">
        <f t="shared" si="45"/>
        <v>37.799999999999955</v>
      </c>
    </row>
    <row r="11" spans="1:107" ht="15.75">
      <c r="A11" s="22" t="s">
        <v>18</v>
      </c>
      <c r="B11" s="274">
        <v>100</v>
      </c>
      <c r="C11" s="23" t="s">
        <v>19</v>
      </c>
      <c r="D11" s="24" t="s">
        <v>16</v>
      </c>
      <c r="E11" s="23" t="s">
        <v>4</v>
      </c>
      <c r="F11" s="23">
        <v>5</v>
      </c>
      <c r="G11" s="25">
        <v>208</v>
      </c>
      <c r="H11" s="26">
        <v>218</v>
      </c>
      <c r="I11" s="27">
        <f t="shared" si="46"/>
        <v>220</v>
      </c>
      <c r="J11" s="28">
        <f t="shared" si="47"/>
        <v>226</v>
      </c>
      <c r="K11" s="29">
        <f t="shared" si="48"/>
        <v>233</v>
      </c>
      <c r="L11" s="30">
        <f t="shared" si="49"/>
        <v>245</v>
      </c>
      <c r="M11" s="67">
        <v>285</v>
      </c>
      <c r="N11" s="34">
        <f t="shared" si="22"/>
        <v>-77</v>
      </c>
      <c r="O11" s="35">
        <f t="shared" si="23"/>
        <v>72.98245614035088</v>
      </c>
      <c r="P11" s="115">
        <f t="shared" si="8"/>
        <v>0</v>
      </c>
      <c r="Q11" s="54"/>
      <c r="R11" s="54"/>
      <c r="S11" s="54"/>
      <c r="T11" s="54"/>
      <c r="U11" s="68"/>
      <c r="V11" s="75">
        <v>306</v>
      </c>
      <c r="W11" s="36">
        <f t="shared" si="24"/>
        <v>-88</v>
      </c>
      <c r="X11" s="37">
        <f t="shared" si="25"/>
        <v>71.24183006535948</v>
      </c>
      <c r="Y11" s="118">
        <f t="shared" si="9"/>
        <v>0</v>
      </c>
      <c r="Z11" s="56"/>
      <c r="AA11" s="56"/>
      <c r="AB11" s="56"/>
      <c r="AC11" s="56"/>
      <c r="AD11" s="76"/>
      <c r="AE11" s="83">
        <v>329</v>
      </c>
      <c r="AF11" s="38">
        <f t="shared" si="26"/>
        <v>-109</v>
      </c>
      <c r="AG11" s="39">
        <f t="shared" si="27"/>
        <v>66.8693009118541</v>
      </c>
      <c r="AH11" s="121">
        <f t="shared" si="10"/>
        <v>0</v>
      </c>
      <c r="AI11" s="58"/>
      <c r="AJ11" s="58"/>
      <c r="AK11" s="58"/>
      <c r="AL11" s="58"/>
      <c r="AM11" s="84"/>
      <c r="AN11" s="91">
        <v>353</v>
      </c>
      <c r="AO11" s="40">
        <f t="shared" si="28"/>
        <v>-127</v>
      </c>
      <c r="AP11" s="41">
        <f t="shared" si="29"/>
        <v>64.02266288951841</v>
      </c>
      <c r="AQ11" s="124">
        <f t="shared" si="11"/>
        <v>1</v>
      </c>
      <c r="AR11" s="60"/>
      <c r="AS11" s="60">
        <v>1</v>
      </c>
      <c r="AT11" s="60"/>
      <c r="AU11" s="60"/>
      <c r="AV11" s="92"/>
      <c r="AW11" s="99">
        <v>378</v>
      </c>
      <c r="AX11" s="152">
        <f t="shared" si="30"/>
        <v>-145</v>
      </c>
      <c r="AY11" s="42">
        <f t="shared" si="31"/>
        <v>61.64021164021164</v>
      </c>
      <c r="AZ11" s="127">
        <f t="shared" si="12"/>
        <v>2</v>
      </c>
      <c r="BA11" s="62"/>
      <c r="BB11" s="62">
        <v>2</v>
      </c>
      <c r="BC11" s="62"/>
      <c r="BD11" s="62"/>
      <c r="BE11" s="100"/>
      <c r="BF11" s="106">
        <v>403</v>
      </c>
      <c r="BG11" s="156">
        <f t="shared" si="32"/>
        <v>-158</v>
      </c>
      <c r="BH11" s="43">
        <f t="shared" si="33"/>
        <v>60.7940446650124</v>
      </c>
      <c r="BI11" s="130">
        <f t="shared" si="13"/>
        <v>2</v>
      </c>
      <c r="BJ11" s="64"/>
      <c r="BK11" s="64">
        <v>2</v>
      </c>
      <c r="BL11" s="64"/>
      <c r="BM11" s="64"/>
      <c r="BN11" s="107"/>
      <c r="BO11" s="148">
        <f t="shared" si="14"/>
        <v>5</v>
      </c>
      <c r="BP11" s="112">
        <f t="shared" si="15"/>
        <v>0</v>
      </c>
      <c r="BQ11" s="113">
        <f t="shared" si="16"/>
        <v>0</v>
      </c>
      <c r="BR11" s="113">
        <f t="shared" si="17"/>
        <v>0</v>
      </c>
      <c r="BS11" s="113">
        <f t="shared" si="18"/>
        <v>1</v>
      </c>
      <c r="BT11" s="113">
        <f t="shared" si="19"/>
        <v>2</v>
      </c>
      <c r="BU11" s="154">
        <f t="shared" si="20"/>
        <v>2</v>
      </c>
      <c r="BV11" s="302">
        <f t="shared" si="50"/>
        <v>244.65</v>
      </c>
      <c r="BW11" s="162"/>
      <c r="BX11" s="162"/>
      <c r="BY11" s="162"/>
      <c r="BZ11" s="162"/>
      <c r="CA11" s="162">
        <f t="shared" si="34"/>
        <v>13980</v>
      </c>
      <c r="CB11" s="162"/>
      <c r="CC11" s="162">
        <f t="shared" si="35"/>
        <v>13980</v>
      </c>
      <c r="CD11" s="162">
        <f t="shared" si="36"/>
        <v>699</v>
      </c>
      <c r="CE11" s="162"/>
      <c r="CF11" s="162"/>
      <c r="CG11" s="162">
        <f t="shared" si="37"/>
        <v>14679</v>
      </c>
      <c r="CI11" s="162"/>
      <c r="CJ11" s="162"/>
      <c r="CK11" s="162"/>
      <c r="CL11" s="162"/>
      <c r="CM11" s="162">
        <f t="shared" si="38"/>
        <v>22680</v>
      </c>
      <c r="CN11" s="162"/>
      <c r="CO11" s="162">
        <f t="shared" si="39"/>
        <v>22680</v>
      </c>
      <c r="CP11" s="162">
        <f t="shared" si="40"/>
        <v>2268</v>
      </c>
      <c r="CQ11" s="162"/>
      <c r="CR11" s="162"/>
      <c r="CS11" s="162">
        <f t="shared" si="41"/>
        <v>24948</v>
      </c>
      <c r="CU11" s="169">
        <f t="shared" si="42"/>
        <v>-8700</v>
      </c>
      <c r="CV11" s="169">
        <f t="shared" si="42"/>
        <v>-1569</v>
      </c>
      <c r="CW11" s="169">
        <f t="shared" si="42"/>
        <v>0</v>
      </c>
      <c r="CX11" s="169">
        <f t="shared" si="42"/>
        <v>0</v>
      </c>
      <c r="CY11" s="295">
        <f t="shared" si="43"/>
        <v>-10269</v>
      </c>
      <c r="CZ11" s="298">
        <f t="shared" si="51"/>
        <v>415.8</v>
      </c>
      <c r="DA11" s="289">
        <f t="shared" si="21"/>
        <v>-12742.802099999999</v>
      </c>
      <c r="DB11" s="291">
        <f t="shared" si="44"/>
        <v>171.15</v>
      </c>
      <c r="DC11" s="149">
        <f t="shared" si="45"/>
        <v>37.80000000000001</v>
      </c>
    </row>
    <row r="12" spans="1:107" ht="30">
      <c r="A12" s="22" t="s">
        <v>17</v>
      </c>
      <c r="B12" s="274">
        <v>100</v>
      </c>
      <c r="C12" s="23" t="s">
        <v>56</v>
      </c>
      <c r="D12" s="24">
        <v>39</v>
      </c>
      <c r="E12" s="23" t="s">
        <v>5</v>
      </c>
      <c r="F12" s="23">
        <v>5</v>
      </c>
      <c r="G12" s="25">
        <v>208</v>
      </c>
      <c r="H12" s="26">
        <v>218</v>
      </c>
      <c r="I12" s="27">
        <f t="shared" si="46"/>
        <v>220</v>
      </c>
      <c r="J12" s="28">
        <f t="shared" si="47"/>
        <v>226</v>
      </c>
      <c r="K12" s="29">
        <f t="shared" si="48"/>
        <v>233</v>
      </c>
      <c r="L12" s="30">
        <f t="shared" si="49"/>
        <v>245</v>
      </c>
      <c r="M12" s="67">
        <v>285</v>
      </c>
      <c r="N12" s="34">
        <f t="shared" si="22"/>
        <v>-77</v>
      </c>
      <c r="O12" s="35">
        <f t="shared" si="23"/>
        <v>72.98245614035088</v>
      </c>
      <c r="P12" s="115">
        <f t="shared" si="8"/>
        <v>2</v>
      </c>
      <c r="Q12" s="54"/>
      <c r="R12" s="54"/>
      <c r="S12" s="54">
        <v>2</v>
      </c>
      <c r="T12" s="54"/>
      <c r="U12" s="68"/>
      <c r="V12" s="75">
        <v>306</v>
      </c>
      <c r="W12" s="36">
        <f t="shared" si="24"/>
        <v>-88</v>
      </c>
      <c r="X12" s="37">
        <f t="shared" si="25"/>
        <v>71.24183006535948</v>
      </c>
      <c r="Y12" s="118">
        <f t="shared" si="9"/>
        <v>3</v>
      </c>
      <c r="Z12" s="56"/>
      <c r="AA12" s="56">
        <v>1</v>
      </c>
      <c r="AB12" s="56"/>
      <c r="AC12" s="56"/>
      <c r="AD12" s="76">
        <v>2</v>
      </c>
      <c r="AE12" s="83">
        <v>329</v>
      </c>
      <c r="AF12" s="38">
        <f t="shared" si="26"/>
        <v>-109</v>
      </c>
      <c r="AG12" s="39">
        <f t="shared" si="27"/>
        <v>66.8693009118541</v>
      </c>
      <c r="AH12" s="121">
        <f t="shared" si="10"/>
        <v>1</v>
      </c>
      <c r="AI12" s="58"/>
      <c r="AJ12" s="58"/>
      <c r="AK12" s="58"/>
      <c r="AL12" s="58"/>
      <c r="AM12" s="84">
        <v>1</v>
      </c>
      <c r="AN12" s="91">
        <v>353</v>
      </c>
      <c r="AO12" s="40">
        <f t="shared" si="28"/>
        <v>-127</v>
      </c>
      <c r="AP12" s="41">
        <f t="shared" si="29"/>
        <v>64.02266288951841</v>
      </c>
      <c r="AQ12" s="124">
        <f t="shared" si="11"/>
        <v>2</v>
      </c>
      <c r="AR12" s="60">
        <v>2</v>
      </c>
      <c r="AS12" s="60"/>
      <c r="AT12" s="60"/>
      <c r="AU12" s="60"/>
      <c r="AV12" s="92"/>
      <c r="AW12" s="99">
        <v>378</v>
      </c>
      <c r="AX12" s="152">
        <f t="shared" si="30"/>
        <v>-145</v>
      </c>
      <c r="AY12" s="42">
        <f t="shared" si="31"/>
        <v>61.64021164021164</v>
      </c>
      <c r="AZ12" s="127">
        <f t="shared" si="12"/>
        <v>1</v>
      </c>
      <c r="BA12" s="62"/>
      <c r="BB12" s="62">
        <v>1</v>
      </c>
      <c r="BC12" s="62"/>
      <c r="BD12" s="62"/>
      <c r="BE12" s="100"/>
      <c r="BF12" s="106">
        <v>403</v>
      </c>
      <c r="BG12" s="156">
        <f t="shared" si="32"/>
        <v>-158</v>
      </c>
      <c r="BH12" s="43">
        <f t="shared" si="33"/>
        <v>60.7940446650124</v>
      </c>
      <c r="BI12" s="130">
        <f t="shared" si="13"/>
        <v>0</v>
      </c>
      <c r="BJ12" s="64"/>
      <c r="BK12" s="64"/>
      <c r="BL12" s="64"/>
      <c r="BM12" s="64"/>
      <c r="BN12" s="107"/>
      <c r="BO12" s="148">
        <f t="shared" si="14"/>
        <v>9</v>
      </c>
      <c r="BP12" s="112">
        <f t="shared" si="15"/>
        <v>2</v>
      </c>
      <c r="BQ12" s="113">
        <f t="shared" si="16"/>
        <v>3</v>
      </c>
      <c r="BR12" s="113">
        <f t="shared" si="17"/>
        <v>1</v>
      </c>
      <c r="BS12" s="113">
        <f t="shared" si="18"/>
        <v>2</v>
      </c>
      <c r="BT12" s="113">
        <f t="shared" si="19"/>
        <v>1</v>
      </c>
      <c r="BU12" s="154">
        <f t="shared" si="20"/>
        <v>0</v>
      </c>
      <c r="BV12" s="302">
        <f t="shared" si="50"/>
        <v>244.65</v>
      </c>
      <c r="BW12" s="162"/>
      <c r="BX12" s="162"/>
      <c r="BY12" s="162"/>
      <c r="BZ12" s="162"/>
      <c r="CA12" s="162">
        <f t="shared" si="34"/>
        <v>25164</v>
      </c>
      <c r="CB12" s="162"/>
      <c r="CC12" s="162">
        <f t="shared" si="35"/>
        <v>25164</v>
      </c>
      <c r="CD12" s="169">
        <f t="shared" si="36"/>
        <v>1258.2</v>
      </c>
      <c r="CE12" s="162"/>
      <c r="CF12" s="162"/>
      <c r="CG12" s="162">
        <f t="shared" si="37"/>
        <v>26422.2</v>
      </c>
      <c r="CI12" s="162"/>
      <c r="CJ12" s="162"/>
      <c r="CK12" s="162"/>
      <c r="CL12" s="162"/>
      <c r="CM12" s="162">
        <f t="shared" si="38"/>
        <v>40824</v>
      </c>
      <c r="CN12" s="162"/>
      <c r="CO12" s="162">
        <f t="shared" si="39"/>
        <v>40824</v>
      </c>
      <c r="CP12" s="162">
        <f t="shared" si="40"/>
        <v>4082.4</v>
      </c>
      <c r="CQ12" s="162"/>
      <c r="CR12" s="162"/>
      <c r="CS12" s="162">
        <f t="shared" si="41"/>
        <v>44906.4</v>
      </c>
      <c r="CU12" s="169">
        <f t="shared" si="42"/>
        <v>-15660</v>
      </c>
      <c r="CV12" s="169">
        <f t="shared" si="42"/>
        <v>-2824.2</v>
      </c>
      <c r="CW12" s="169">
        <f t="shared" si="42"/>
        <v>0</v>
      </c>
      <c r="CX12" s="169">
        <f t="shared" si="42"/>
        <v>0</v>
      </c>
      <c r="CY12" s="295">
        <f t="shared" si="43"/>
        <v>-18484.2</v>
      </c>
      <c r="CZ12" s="298">
        <f t="shared" si="51"/>
        <v>415.8</v>
      </c>
      <c r="DA12" s="289">
        <f t="shared" si="21"/>
        <v>-22937.04378</v>
      </c>
      <c r="DB12" s="291">
        <f t="shared" si="44"/>
        <v>171.15</v>
      </c>
      <c r="DC12" s="149">
        <f t="shared" si="45"/>
        <v>37.80000000000001</v>
      </c>
    </row>
    <row r="13" spans="1:107" ht="30">
      <c r="A13" s="31" t="s">
        <v>55</v>
      </c>
      <c r="B13" s="274">
        <v>100</v>
      </c>
      <c r="C13" s="21" t="s">
        <v>20</v>
      </c>
      <c r="D13" s="32">
        <v>39</v>
      </c>
      <c r="E13" s="21" t="s">
        <v>5</v>
      </c>
      <c r="F13" s="21">
        <v>5</v>
      </c>
      <c r="G13" s="25">
        <v>208</v>
      </c>
      <c r="H13" s="26">
        <v>218</v>
      </c>
      <c r="I13" s="27">
        <f t="shared" si="46"/>
        <v>220</v>
      </c>
      <c r="J13" s="28">
        <f t="shared" si="47"/>
        <v>226</v>
      </c>
      <c r="K13" s="29">
        <f t="shared" si="48"/>
        <v>233</v>
      </c>
      <c r="L13" s="30">
        <f t="shared" si="49"/>
        <v>245</v>
      </c>
      <c r="M13" s="67">
        <v>285</v>
      </c>
      <c r="N13" s="34">
        <f t="shared" si="22"/>
        <v>-77</v>
      </c>
      <c r="O13" s="35">
        <f t="shared" si="23"/>
        <v>72.98245614035088</v>
      </c>
      <c r="P13" s="115">
        <f t="shared" si="8"/>
        <v>4.1</v>
      </c>
      <c r="Q13" s="54"/>
      <c r="R13" s="54">
        <v>1</v>
      </c>
      <c r="S13" s="54">
        <v>3.1</v>
      </c>
      <c r="T13" s="54"/>
      <c r="U13" s="68"/>
      <c r="V13" s="75">
        <v>306</v>
      </c>
      <c r="W13" s="36">
        <f t="shared" si="24"/>
        <v>-88</v>
      </c>
      <c r="X13" s="37">
        <f t="shared" si="25"/>
        <v>71.24183006535948</v>
      </c>
      <c r="Y13" s="118">
        <f t="shared" si="9"/>
        <v>3.5</v>
      </c>
      <c r="Z13" s="56">
        <v>0.5</v>
      </c>
      <c r="AA13" s="56">
        <v>2</v>
      </c>
      <c r="AB13" s="56">
        <v>1</v>
      </c>
      <c r="AC13" s="56"/>
      <c r="AD13" s="76"/>
      <c r="AE13" s="83">
        <v>329</v>
      </c>
      <c r="AF13" s="38">
        <f t="shared" si="26"/>
        <v>-109</v>
      </c>
      <c r="AG13" s="39">
        <f t="shared" si="27"/>
        <v>66.8693009118541</v>
      </c>
      <c r="AH13" s="121">
        <f t="shared" si="10"/>
        <v>9</v>
      </c>
      <c r="AI13" s="58"/>
      <c r="AJ13" s="58">
        <v>3</v>
      </c>
      <c r="AK13" s="58">
        <v>6</v>
      </c>
      <c r="AL13" s="58"/>
      <c r="AM13" s="84"/>
      <c r="AN13" s="91">
        <v>353</v>
      </c>
      <c r="AO13" s="40">
        <f t="shared" si="28"/>
        <v>-127</v>
      </c>
      <c r="AP13" s="41">
        <f t="shared" si="29"/>
        <v>64.02266288951841</v>
      </c>
      <c r="AQ13" s="124">
        <f t="shared" si="11"/>
        <v>13.25</v>
      </c>
      <c r="AR13" s="60">
        <v>7.75</v>
      </c>
      <c r="AS13" s="60">
        <v>3</v>
      </c>
      <c r="AT13" s="60"/>
      <c r="AU13" s="60">
        <v>1</v>
      </c>
      <c r="AV13" s="92">
        <v>1.5</v>
      </c>
      <c r="AW13" s="99">
        <v>378</v>
      </c>
      <c r="AX13" s="152">
        <f t="shared" si="30"/>
        <v>-145</v>
      </c>
      <c r="AY13" s="42">
        <f t="shared" si="31"/>
        <v>61.64021164021164</v>
      </c>
      <c r="AZ13" s="127">
        <f t="shared" si="12"/>
        <v>7.6</v>
      </c>
      <c r="BA13" s="62">
        <v>2.75</v>
      </c>
      <c r="BB13" s="62">
        <v>1</v>
      </c>
      <c r="BC13" s="62">
        <v>1.35</v>
      </c>
      <c r="BD13" s="62"/>
      <c r="BE13" s="100">
        <v>2.5</v>
      </c>
      <c r="BF13" s="106">
        <v>403</v>
      </c>
      <c r="BG13" s="156">
        <f t="shared" si="32"/>
        <v>-158</v>
      </c>
      <c r="BH13" s="43">
        <f t="shared" si="33"/>
        <v>60.7940446650124</v>
      </c>
      <c r="BI13" s="130">
        <f t="shared" si="13"/>
        <v>17.05</v>
      </c>
      <c r="BJ13" s="64">
        <v>3.75</v>
      </c>
      <c r="BK13" s="64">
        <v>3.3</v>
      </c>
      <c r="BL13" s="64">
        <v>2</v>
      </c>
      <c r="BM13" s="64"/>
      <c r="BN13" s="107">
        <v>8</v>
      </c>
      <c r="BO13" s="148">
        <f t="shared" si="14"/>
        <v>54.5</v>
      </c>
      <c r="BP13" s="112">
        <f t="shared" si="15"/>
        <v>4.1</v>
      </c>
      <c r="BQ13" s="113">
        <f t="shared" si="16"/>
        <v>3.5</v>
      </c>
      <c r="BR13" s="113">
        <f t="shared" si="17"/>
        <v>9</v>
      </c>
      <c r="BS13" s="113">
        <f t="shared" si="18"/>
        <v>13.25</v>
      </c>
      <c r="BT13" s="113">
        <f t="shared" si="19"/>
        <v>7.6</v>
      </c>
      <c r="BU13" s="154">
        <f t="shared" si="20"/>
        <v>17.05</v>
      </c>
      <c r="BV13" s="302">
        <f t="shared" si="50"/>
        <v>254.6255351681957</v>
      </c>
      <c r="BW13" s="162"/>
      <c r="BX13" s="162"/>
      <c r="BY13" s="162"/>
      <c r="BZ13" s="162"/>
      <c r="CA13" s="162">
        <f t="shared" si="34"/>
        <v>152382</v>
      </c>
      <c r="CB13" s="162"/>
      <c r="CC13" s="162">
        <f t="shared" si="35"/>
        <v>152382</v>
      </c>
      <c r="CD13" s="169">
        <f t="shared" si="36"/>
        <v>7619.1</v>
      </c>
      <c r="CE13" s="162"/>
      <c r="CF13" s="162">
        <f>40*CE36*8*14</f>
        <v>6524</v>
      </c>
      <c r="CG13" s="162">
        <f t="shared" si="37"/>
        <v>166525.1</v>
      </c>
      <c r="CI13" s="162"/>
      <c r="CJ13" s="162"/>
      <c r="CK13" s="162"/>
      <c r="CL13" s="162"/>
      <c r="CM13" s="162">
        <f t="shared" si="38"/>
        <v>247212</v>
      </c>
      <c r="CN13" s="162"/>
      <c r="CO13" s="162">
        <f t="shared" si="39"/>
        <v>247212</v>
      </c>
      <c r="CP13" s="162">
        <f t="shared" si="40"/>
        <v>24721.2</v>
      </c>
      <c r="CQ13" s="162"/>
      <c r="CR13" s="162">
        <f>40*CQ36*8*14</f>
        <v>10584</v>
      </c>
      <c r="CS13" s="162">
        <f t="shared" si="41"/>
        <v>282517.2</v>
      </c>
      <c r="CU13" s="169">
        <f t="shared" si="42"/>
        <v>-94830</v>
      </c>
      <c r="CV13" s="169">
        <f t="shared" si="42"/>
        <v>-17102.1</v>
      </c>
      <c r="CW13" s="169">
        <f t="shared" si="42"/>
        <v>0</v>
      </c>
      <c r="CX13" s="169">
        <f t="shared" si="42"/>
        <v>-4060</v>
      </c>
      <c r="CY13" s="295">
        <f t="shared" si="43"/>
        <v>-115992.1</v>
      </c>
      <c r="CZ13" s="298">
        <f t="shared" si="51"/>
        <v>431.9834862385321</v>
      </c>
      <c r="DA13" s="289">
        <f t="shared" si="21"/>
        <v>-143934.59689</v>
      </c>
      <c r="DB13" s="291">
        <f t="shared" si="44"/>
        <v>177.3579510703364</v>
      </c>
      <c r="DC13" s="149">
        <f t="shared" si="45"/>
        <v>53.98348623853212</v>
      </c>
    </row>
    <row r="14" spans="1:107" ht="45.75" thickBot="1">
      <c r="A14" s="209" t="s">
        <v>13</v>
      </c>
      <c r="B14" s="275">
        <v>100</v>
      </c>
      <c r="C14" s="210" t="s">
        <v>14</v>
      </c>
      <c r="D14" s="211" t="s">
        <v>15</v>
      </c>
      <c r="E14" s="210" t="s">
        <v>5</v>
      </c>
      <c r="F14" s="210">
        <v>5</v>
      </c>
      <c r="G14" s="212">
        <v>208</v>
      </c>
      <c r="H14" s="213">
        <v>218</v>
      </c>
      <c r="I14" s="214">
        <f t="shared" si="46"/>
        <v>220</v>
      </c>
      <c r="J14" s="215">
        <f t="shared" si="47"/>
        <v>226</v>
      </c>
      <c r="K14" s="216">
        <f t="shared" si="48"/>
        <v>233</v>
      </c>
      <c r="L14" s="217">
        <f t="shared" si="49"/>
        <v>245</v>
      </c>
      <c r="M14" s="218">
        <v>285</v>
      </c>
      <c r="N14" s="69">
        <f t="shared" si="22"/>
        <v>-77</v>
      </c>
      <c r="O14" s="70">
        <f t="shared" si="23"/>
        <v>72.98245614035088</v>
      </c>
      <c r="P14" s="116">
        <f t="shared" si="8"/>
        <v>0</v>
      </c>
      <c r="Q14" s="71"/>
      <c r="R14" s="71"/>
      <c r="S14" s="71"/>
      <c r="T14" s="71"/>
      <c r="U14" s="72"/>
      <c r="V14" s="219">
        <v>306</v>
      </c>
      <c r="W14" s="77">
        <f t="shared" si="24"/>
        <v>-88</v>
      </c>
      <c r="X14" s="78">
        <f t="shared" si="25"/>
        <v>71.24183006535948</v>
      </c>
      <c r="Y14" s="119">
        <f t="shared" si="9"/>
        <v>1</v>
      </c>
      <c r="Z14" s="79"/>
      <c r="AA14" s="79"/>
      <c r="AB14" s="79"/>
      <c r="AC14" s="79">
        <v>1</v>
      </c>
      <c r="AD14" s="80"/>
      <c r="AE14" s="220">
        <v>329</v>
      </c>
      <c r="AF14" s="85">
        <f t="shared" si="26"/>
        <v>-109</v>
      </c>
      <c r="AG14" s="86">
        <f t="shared" si="27"/>
        <v>66.8693009118541</v>
      </c>
      <c r="AH14" s="122">
        <f t="shared" si="10"/>
        <v>0</v>
      </c>
      <c r="AI14" s="87"/>
      <c r="AJ14" s="87"/>
      <c r="AK14" s="87"/>
      <c r="AL14" s="87"/>
      <c r="AM14" s="88"/>
      <c r="AN14" s="221">
        <v>353</v>
      </c>
      <c r="AO14" s="93">
        <f t="shared" si="28"/>
        <v>-127</v>
      </c>
      <c r="AP14" s="94">
        <f t="shared" si="29"/>
        <v>64.02266288951841</v>
      </c>
      <c r="AQ14" s="125">
        <f t="shared" si="11"/>
        <v>0</v>
      </c>
      <c r="AR14" s="95"/>
      <c r="AS14" s="95"/>
      <c r="AT14" s="95"/>
      <c r="AU14" s="95"/>
      <c r="AV14" s="96"/>
      <c r="AW14" s="222">
        <v>378</v>
      </c>
      <c r="AX14" s="153">
        <f t="shared" si="30"/>
        <v>-145</v>
      </c>
      <c r="AY14" s="101">
        <f t="shared" si="31"/>
        <v>61.64021164021164</v>
      </c>
      <c r="AZ14" s="128">
        <f t="shared" si="12"/>
        <v>3</v>
      </c>
      <c r="BA14" s="102"/>
      <c r="BB14" s="102"/>
      <c r="BC14" s="102"/>
      <c r="BD14" s="102">
        <v>3</v>
      </c>
      <c r="BE14" s="103"/>
      <c r="BF14" s="223">
        <v>403</v>
      </c>
      <c r="BG14" s="157">
        <f t="shared" si="32"/>
        <v>-158</v>
      </c>
      <c r="BH14" s="108">
        <f t="shared" si="33"/>
        <v>60.7940446650124</v>
      </c>
      <c r="BI14" s="131">
        <f t="shared" si="13"/>
        <v>4</v>
      </c>
      <c r="BJ14" s="109"/>
      <c r="BK14" s="109"/>
      <c r="BL14" s="109"/>
      <c r="BM14" s="109">
        <v>4</v>
      </c>
      <c r="BN14" s="110"/>
      <c r="BO14" s="224">
        <f t="shared" si="14"/>
        <v>8</v>
      </c>
      <c r="BP14" s="225">
        <f t="shared" si="15"/>
        <v>0</v>
      </c>
      <c r="BQ14" s="226">
        <f t="shared" si="16"/>
        <v>1</v>
      </c>
      <c r="BR14" s="226">
        <f t="shared" si="17"/>
        <v>0</v>
      </c>
      <c r="BS14" s="226">
        <f t="shared" si="18"/>
        <v>0</v>
      </c>
      <c r="BT14" s="226">
        <f t="shared" si="19"/>
        <v>3</v>
      </c>
      <c r="BU14" s="227">
        <f t="shared" si="20"/>
        <v>4</v>
      </c>
      <c r="BV14" s="302">
        <f t="shared" si="50"/>
        <v>244.65</v>
      </c>
      <c r="BW14" s="229"/>
      <c r="BX14" s="229"/>
      <c r="BY14" s="229"/>
      <c r="BZ14" s="229"/>
      <c r="CA14" s="229">
        <f t="shared" si="34"/>
        <v>22368</v>
      </c>
      <c r="CB14" s="229"/>
      <c r="CC14" s="229">
        <f t="shared" si="35"/>
        <v>22368</v>
      </c>
      <c r="CD14" s="229">
        <f t="shared" si="36"/>
        <v>1118.4</v>
      </c>
      <c r="CE14" s="229"/>
      <c r="CF14" s="229"/>
      <c r="CG14" s="229">
        <f t="shared" si="37"/>
        <v>23486.4</v>
      </c>
      <c r="CH14" s="228"/>
      <c r="CI14" s="229"/>
      <c r="CJ14" s="229"/>
      <c r="CK14" s="229"/>
      <c r="CL14" s="229"/>
      <c r="CM14" s="229">
        <f t="shared" si="38"/>
        <v>36288</v>
      </c>
      <c r="CN14" s="229"/>
      <c r="CO14" s="229">
        <f t="shared" si="39"/>
        <v>36288</v>
      </c>
      <c r="CP14" s="162">
        <f t="shared" si="40"/>
        <v>3628.8</v>
      </c>
      <c r="CQ14" s="229"/>
      <c r="CR14" s="229"/>
      <c r="CS14" s="229">
        <f t="shared" si="41"/>
        <v>39916.8</v>
      </c>
      <c r="CT14" s="228"/>
      <c r="CU14" s="230">
        <f t="shared" si="42"/>
        <v>-13920</v>
      </c>
      <c r="CV14" s="230">
        <f t="shared" si="42"/>
        <v>-2510.4</v>
      </c>
      <c r="CW14" s="230">
        <f t="shared" si="42"/>
        <v>0</v>
      </c>
      <c r="CX14" s="230">
        <f t="shared" si="42"/>
        <v>0</v>
      </c>
      <c r="CY14" s="296">
        <f t="shared" si="43"/>
        <v>-16430.4</v>
      </c>
      <c r="CZ14" s="298">
        <f t="shared" si="51"/>
        <v>415.8</v>
      </c>
      <c r="DA14" s="289">
        <f t="shared" si="21"/>
        <v>-20388.48336</v>
      </c>
      <c r="DB14" s="291">
        <f t="shared" si="44"/>
        <v>171.15</v>
      </c>
      <c r="DC14" s="149">
        <f t="shared" si="45"/>
        <v>37.80000000000001</v>
      </c>
    </row>
    <row r="15" spans="1:107" ht="30">
      <c r="A15" s="277" t="s">
        <v>27</v>
      </c>
      <c r="B15" s="278">
        <v>100</v>
      </c>
      <c r="C15" s="234" t="s">
        <v>28</v>
      </c>
      <c r="D15" s="279" t="s">
        <v>29</v>
      </c>
      <c r="E15" s="234" t="s">
        <v>5</v>
      </c>
      <c r="F15" s="234">
        <v>6</v>
      </c>
      <c r="G15" s="280">
        <v>225</v>
      </c>
      <c r="H15" s="281">
        <v>250</v>
      </c>
      <c r="I15" s="282">
        <v>252</v>
      </c>
      <c r="J15" s="283">
        <v>254</v>
      </c>
      <c r="K15" s="284">
        <v>256</v>
      </c>
      <c r="L15" s="285">
        <v>259</v>
      </c>
      <c r="M15" s="265">
        <f>O33</f>
        <v>330</v>
      </c>
      <c r="N15" s="173">
        <f t="shared" si="22"/>
        <v>-105</v>
      </c>
      <c r="O15" s="174">
        <f>G15/M15*100</f>
        <v>68.18181818181817</v>
      </c>
      <c r="P15" s="175">
        <f t="shared" si="8"/>
        <v>4.5</v>
      </c>
      <c r="Q15" s="176"/>
      <c r="R15" s="176">
        <v>2</v>
      </c>
      <c r="S15" s="176"/>
      <c r="T15" s="176">
        <v>2.5</v>
      </c>
      <c r="U15" s="177"/>
      <c r="V15" s="266">
        <f>X33</f>
        <v>355</v>
      </c>
      <c r="W15" s="178">
        <f t="shared" si="24"/>
        <v>-105</v>
      </c>
      <c r="X15" s="179">
        <f t="shared" si="25"/>
        <v>70.4225352112676</v>
      </c>
      <c r="Y15" s="180">
        <f t="shared" si="9"/>
        <v>7</v>
      </c>
      <c r="Z15" s="181"/>
      <c r="AA15" s="181">
        <v>2.5</v>
      </c>
      <c r="AB15" s="181">
        <v>3.5</v>
      </c>
      <c r="AC15" s="181"/>
      <c r="AD15" s="182">
        <v>1</v>
      </c>
      <c r="AE15" s="267">
        <f>AG33</f>
        <v>382</v>
      </c>
      <c r="AF15" s="183">
        <f t="shared" si="26"/>
        <v>-130</v>
      </c>
      <c r="AG15" s="184">
        <f t="shared" si="27"/>
        <v>65.96858638743456</v>
      </c>
      <c r="AH15" s="185">
        <f t="shared" si="10"/>
        <v>7.75</v>
      </c>
      <c r="AI15" s="186"/>
      <c r="AJ15" s="186">
        <v>0</v>
      </c>
      <c r="AK15" s="186">
        <v>3.75</v>
      </c>
      <c r="AL15" s="186">
        <v>2</v>
      </c>
      <c r="AM15" s="187">
        <v>2</v>
      </c>
      <c r="AN15" s="268">
        <f>AP33</f>
        <v>409</v>
      </c>
      <c r="AO15" s="188">
        <f t="shared" si="28"/>
        <v>-155</v>
      </c>
      <c r="AP15" s="189">
        <f t="shared" si="29"/>
        <v>62.10268948655256</v>
      </c>
      <c r="AQ15" s="190">
        <f t="shared" si="11"/>
        <v>8.25</v>
      </c>
      <c r="AR15" s="191"/>
      <c r="AS15" s="191">
        <v>4.5</v>
      </c>
      <c r="AT15" s="191">
        <v>2.75</v>
      </c>
      <c r="AU15" s="191">
        <v>1</v>
      </c>
      <c r="AV15" s="192"/>
      <c r="AW15" s="269">
        <f>AY33</f>
        <v>438</v>
      </c>
      <c r="AX15" s="193">
        <f t="shared" si="30"/>
        <v>-182</v>
      </c>
      <c r="AY15" s="194">
        <f t="shared" si="31"/>
        <v>58.44748858447488</v>
      </c>
      <c r="AZ15" s="195">
        <f t="shared" si="12"/>
        <v>9.5</v>
      </c>
      <c r="BA15" s="196"/>
      <c r="BB15" s="196">
        <v>0.5</v>
      </c>
      <c r="BC15" s="196">
        <v>2</v>
      </c>
      <c r="BD15" s="196">
        <v>7</v>
      </c>
      <c r="BE15" s="197"/>
      <c r="BF15" s="270">
        <f>BH33</f>
        <v>467</v>
      </c>
      <c r="BG15" s="198">
        <f>L15-BF15</f>
        <v>-208</v>
      </c>
      <c r="BH15" s="199">
        <f t="shared" si="33"/>
        <v>55.46038543897216</v>
      </c>
      <c r="BI15" s="200">
        <f t="shared" si="13"/>
        <v>21.65</v>
      </c>
      <c r="BJ15" s="201"/>
      <c r="BK15" s="201">
        <v>9</v>
      </c>
      <c r="BL15" s="201">
        <v>3.65</v>
      </c>
      <c r="BM15" s="201">
        <v>4</v>
      </c>
      <c r="BN15" s="202">
        <v>5</v>
      </c>
      <c r="BO15" s="203">
        <f t="shared" si="14"/>
        <v>58.65</v>
      </c>
      <c r="BP15" s="204">
        <f t="shared" si="15"/>
        <v>4.5</v>
      </c>
      <c r="BQ15" s="205">
        <f t="shared" si="16"/>
        <v>7</v>
      </c>
      <c r="BR15" s="205">
        <f t="shared" si="17"/>
        <v>7.75</v>
      </c>
      <c r="BS15" s="205">
        <f t="shared" si="18"/>
        <v>8.25</v>
      </c>
      <c r="BT15" s="205">
        <f t="shared" si="19"/>
        <v>9.5</v>
      </c>
      <c r="BU15" s="206">
        <f t="shared" si="20"/>
        <v>21.65</v>
      </c>
      <c r="BV15" s="302">
        <f t="shared" si="50"/>
        <v>268.8</v>
      </c>
      <c r="BW15" s="207"/>
      <c r="BX15" s="207"/>
      <c r="BY15" s="207"/>
      <c r="BZ15" s="207"/>
      <c r="CA15" s="207">
        <f t="shared" si="34"/>
        <v>180172.8</v>
      </c>
      <c r="CB15" s="207"/>
      <c r="CC15" s="207">
        <f t="shared" si="35"/>
        <v>180172.8</v>
      </c>
      <c r="CD15" s="207">
        <f t="shared" si="36"/>
        <v>9008.64</v>
      </c>
      <c r="CE15" s="207"/>
      <c r="CF15" s="207"/>
      <c r="CG15" s="207">
        <f t="shared" si="37"/>
        <v>189181.44</v>
      </c>
      <c r="CI15" s="207"/>
      <c r="CJ15" s="207"/>
      <c r="CK15" s="207"/>
      <c r="CL15" s="207"/>
      <c r="CM15" s="207">
        <f t="shared" si="38"/>
        <v>308264.4</v>
      </c>
      <c r="CN15" s="207"/>
      <c r="CO15" s="207">
        <f t="shared" si="39"/>
        <v>308264.4</v>
      </c>
      <c r="CP15" s="162">
        <f t="shared" si="40"/>
        <v>30826.440000000002</v>
      </c>
      <c r="CQ15" s="207"/>
      <c r="CR15" s="207"/>
      <c r="CS15" s="207">
        <f t="shared" si="41"/>
        <v>339090.84</v>
      </c>
      <c r="CU15" s="208">
        <f t="shared" si="42"/>
        <v>-128091.60000000003</v>
      </c>
      <c r="CV15" s="208">
        <f t="shared" si="42"/>
        <v>-21817.800000000003</v>
      </c>
      <c r="CW15" s="208">
        <f t="shared" si="42"/>
        <v>0</v>
      </c>
      <c r="CX15" s="208">
        <f t="shared" si="42"/>
        <v>0</v>
      </c>
      <c r="CY15" s="297">
        <f t="shared" si="43"/>
        <v>-149909.40000000002</v>
      </c>
      <c r="CZ15" s="298">
        <f t="shared" si="51"/>
        <v>481.80000000000007</v>
      </c>
      <c r="DA15" s="289">
        <f t="shared" si="21"/>
        <v>-186022.57446</v>
      </c>
      <c r="DB15" s="291">
        <f t="shared" si="44"/>
        <v>213.00000000000006</v>
      </c>
      <c r="DC15" s="149">
        <f t="shared" si="45"/>
        <v>43.80000000000007</v>
      </c>
    </row>
    <row r="16" spans="1:107" ht="15.75">
      <c r="A16" s="4" t="s">
        <v>30</v>
      </c>
      <c r="B16" s="286">
        <v>100</v>
      </c>
      <c r="C16" s="5" t="s">
        <v>31</v>
      </c>
      <c r="D16" s="6" t="s">
        <v>16</v>
      </c>
      <c r="E16" s="5" t="s">
        <v>6</v>
      </c>
      <c r="F16" s="5">
        <v>7</v>
      </c>
      <c r="G16" s="9">
        <v>225</v>
      </c>
      <c r="H16" s="12">
        <v>250</v>
      </c>
      <c r="I16" s="14">
        <v>253</v>
      </c>
      <c r="J16" s="20">
        <v>257</v>
      </c>
      <c r="K16" s="16">
        <v>262</v>
      </c>
      <c r="L16" s="18">
        <v>272</v>
      </c>
      <c r="M16" s="265">
        <f aca="true" t="shared" si="52" ref="M16:M28">O34</f>
        <v>372</v>
      </c>
      <c r="N16" s="34">
        <f t="shared" si="22"/>
        <v>-147</v>
      </c>
      <c r="O16" s="35">
        <f t="shared" si="23"/>
        <v>60.483870967741936</v>
      </c>
      <c r="P16" s="115">
        <f t="shared" si="8"/>
        <v>0</v>
      </c>
      <c r="Q16" s="54"/>
      <c r="R16" s="54"/>
      <c r="S16" s="54"/>
      <c r="T16" s="54"/>
      <c r="U16" s="68"/>
      <c r="V16" s="266">
        <f aca="true" t="shared" si="53" ref="V16:V29">X34</f>
        <v>401</v>
      </c>
      <c r="W16" s="36">
        <f t="shared" si="24"/>
        <v>-151</v>
      </c>
      <c r="X16" s="37">
        <f t="shared" si="25"/>
        <v>62.34413965087282</v>
      </c>
      <c r="Y16" s="118">
        <f t="shared" si="9"/>
        <v>0</v>
      </c>
      <c r="Z16" s="56"/>
      <c r="AA16" s="56"/>
      <c r="AB16" s="56"/>
      <c r="AC16" s="56"/>
      <c r="AD16" s="76"/>
      <c r="AE16" s="267">
        <f aca="true" t="shared" si="54" ref="AE16:AE29">AG34</f>
        <v>431</v>
      </c>
      <c r="AF16" s="38">
        <f t="shared" si="26"/>
        <v>-178</v>
      </c>
      <c r="AG16" s="39">
        <f t="shared" si="27"/>
        <v>58.70069605568445</v>
      </c>
      <c r="AH16" s="121">
        <f t="shared" si="10"/>
        <v>0</v>
      </c>
      <c r="AI16" s="58"/>
      <c r="AJ16" s="58"/>
      <c r="AK16" s="58"/>
      <c r="AL16" s="58"/>
      <c r="AM16" s="84"/>
      <c r="AN16" s="268">
        <f aca="true" t="shared" si="55" ref="AN16:AN29">AP34</f>
        <v>461</v>
      </c>
      <c r="AO16" s="40">
        <f t="shared" si="28"/>
        <v>-204</v>
      </c>
      <c r="AP16" s="41">
        <f t="shared" si="29"/>
        <v>55.748373101952275</v>
      </c>
      <c r="AQ16" s="124">
        <f t="shared" si="11"/>
        <v>0</v>
      </c>
      <c r="AR16" s="60"/>
      <c r="AS16" s="60"/>
      <c r="AT16" s="60"/>
      <c r="AU16" s="60"/>
      <c r="AV16" s="92"/>
      <c r="AW16" s="269">
        <f aca="true" t="shared" si="56" ref="AW16:AW28">AY34</f>
        <v>494</v>
      </c>
      <c r="AX16" s="152">
        <f t="shared" si="30"/>
        <v>-232</v>
      </c>
      <c r="AY16" s="42">
        <f t="shared" si="31"/>
        <v>53.036437246963565</v>
      </c>
      <c r="AZ16" s="127">
        <f t="shared" si="12"/>
        <v>0.5</v>
      </c>
      <c r="BA16" s="62">
        <v>0.5</v>
      </c>
      <c r="BB16" s="62"/>
      <c r="BC16" s="62"/>
      <c r="BD16" s="62"/>
      <c r="BE16" s="100"/>
      <c r="BF16" s="270">
        <f aca="true" t="shared" si="57" ref="BF16:BF29">BH34</f>
        <v>527</v>
      </c>
      <c r="BG16" s="156">
        <f t="shared" si="32"/>
        <v>-255</v>
      </c>
      <c r="BH16" s="43">
        <f t="shared" si="33"/>
        <v>51.61290322580645</v>
      </c>
      <c r="BI16" s="130">
        <f t="shared" si="13"/>
        <v>1</v>
      </c>
      <c r="BJ16" s="64">
        <v>1</v>
      </c>
      <c r="BK16" s="64"/>
      <c r="BL16" s="64"/>
      <c r="BM16" s="64"/>
      <c r="BN16" s="107"/>
      <c r="BO16" s="148">
        <f t="shared" si="14"/>
        <v>1.5</v>
      </c>
      <c r="BP16" s="112">
        <f t="shared" si="15"/>
        <v>0</v>
      </c>
      <c r="BQ16" s="113">
        <f t="shared" si="16"/>
        <v>0</v>
      </c>
      <c r="BR16" s="113">
        <f t="shared" si="17"/>
        <v>0</v>
      </c>
      <c r="BS16" s="113">
        <f t="shared" si="18"/>
        <v>0</v>
      </c>
      <c r="BT16" s="113">
        <f t="shared" si="19"/>
        <v>0.5</v>
      </c>
      <c r="BU16" s="154">
        <f t="shared" si="20"/>
        <v>1</v>
      </c>
      <c r="BV16" s="302">
        <f t="shared" si="50"/>
        <v>275.1</v>
      </c>
      <c r="BW16" s="162"/>
      <c r="BX16" s="162"/>
      <c r="BY16" s="162"/>
      <c r="BZ16" s="162"/>
      <c r="CA16" s="162">
        <f t="shared" si="34"/>
        <v>4716</v>
      </c>
      <c r="CB16" s="162"/>
      <c r="CC16" s="162">
        <f t="shared" si="35"/>
        <v>4716</v>
      </c>
      <c r="CD16" s="169">
        <f t="shared" si="36"/>
        <v>235.8</v>
      </c>
      <c r="CE16" s="162"/>
      <c r="CF16" s="162"/>
      <c r="CG16" s="162">
        <f t="shared" si="37"/>
        <v>4951.8</v>
      </c>
      <c r="CI16" s="162"/>
      <c r="CJ16" s="162"/>
      <c r="CK16" s="162"/>
      <c r="CL16" s="162"/>
      <c r="CM16" s="162">
        <f t="shared" si="38"/>
        <v>8892</v>
      </c>
      <c r="CN16" s="162"/>
      <c r="CO16" s="162">
        <f t="shared" si="39"/>
        <v>8892</v>
      </c>
      <c r="CP16" s="162">
        <f t="shared" si="40"/>
        <v>889.2</v>
      </c>
      <c r="CQ16" s="162"/>
      <c r="CR16" s="162"/>
      <c r="CS16" s="162">
        <f t="shared" si="41"/>
        <v>9781.2</v>
      </c>
      <c r="CU16" s="169">
        <f t="shared" si="42"/>
        <v>-4176</v>
      </c>
      <c r="CV16" s="169">
        <f t="shared" si="42"/>
        <v>-653.4000000000001</v>
      </c>
      <c r="CW16" s="169">
        <f t="shared" si="42"/>
        <v>0</v>
      </c>
      <c r="CX16" s="169">
        <f t="shared" si="42"/>
        <v>0</v>
      </c>
      <c r="CY16" s="295">
        <f t="shared" si="43"/>
        <v>-4829.4</v>
      </c>
      <c r="CZ16" s="298">
        <f t="shared" si="51"/>
        <v>543.4</v>
      </c>
      <c r="DA16" s="289">
        <f t="shared" si="21"/>
        <v>-5992.802459999999</v>
      </c>
      <c r="DB16" s="291">
        <f t="shared" si="44"/>
        <v>268.29999999999995</v>
      </c>
      <c r="DC16" s="149">
        <f t="shared" si="45"/>
        <v>49.39999999999998</v>
      </c>
    </row>
    <row r="17" spans="1:107" ht="15.75">
      <c r="A17" s="2" t="s">
        <v>32</v>
      </c>
      <c r="B17" s="287">
        <v>100</v>
      </c>
      <c r="C17" s="1">
        <v>2221</v>
      </c>
      <c r="D17" s="3" t="s">
        <v>16</v>
      </c>
      <c r="E17" s="1" t="s">
        <v>6</v>
      </c>
      <c r="F17" s="1">
        <v>7</v>
      </c>
      <c r="G17" s="9">
        <v>225</v>
      </c>
      <c r="H17" s="12">
        <v>250</v>
      </c>
      <c r="I17" s="14">
        <v>253</v>
      </c>
      <c r="J17" s="20">
        <v>257</v>
      </c>
      <c r="K17" s="16">
        <v>262</v>
      </c>
      <c r="L17" s="18">
        <v>272</v>
      </c>
      <c r="M17" s="265">
        <f t="shared" si="52"/>
        <v>372</v>
      </c>
      <c r="N17" s="34">
        <f t="shared" si="22"/>
        <v>-147</v>
      </c>
      <c r="O17" s="35">
        <f t="shared" si="23"/>
        <v>60.483870967741936</v>
      </c>
      <c r="P17" s="115">
        <f t="shared" si="8"/>
        <v>0.5</v>
      </c>
      <c r="Q17" s="54"/>
      <c r="R17" s="54">
        <v>0.5</v>
      </c>
      <c r="S17" s="54"/>
      <c r="T17" s="54"/>
      <c r="U17" s="68"/>
      <c r="V17" s="266">
        <f t="shared" si="53"/>
        <v>401</v>
      </c>
      <c r="W17" s="36">
        <f t="shared" si="24"/>
        <v>-151</v>
      </c>
      <c r="X17" s="37">
        <f t="shared" si="25"/>
        <v>62.34413965087282</v>
      </c>
      <c r="Y17" s="118">
        <f t="shared" si="9"/>
        <v>2.5</v>
      </c>
      <c r="Z17" s="56">
        <v>1</v>
      </c>
      <c r="AA17" s="56"/>
      <c r="AB17" s="56"/>
      <c r="AC17" s="56"/>
      <c r="AD17" s="76">
        <v>1.5</v>
      </c>
      <c r="AE17" s="267">
        <f t="shared" si="54"/>
        <v>431</v>
      </c>
      <c r="AF17" s="38">
        <f t="shared" si="26"/>
        <v>-178</v>
      </c>
      <c r="AG17" s="39">
        <f t="shared" si="27"/>
        <v>58.70069605568445</v>
      </c>
      <c r="AH17" s="121">
        <f t="shared" si="10"/>
        <v>5.75</v>
      </c>
      <c r="AI17" s="58">
        <v>4.75</v>
      </c>
      <c r="AJ17" s="58"/>
      <c r="AK17" s="58">
        <v>1</v>
      </c>
      <c r="AL17" s="58"/>
      <c r="AM17" s="84"/>
      <c r="AN17" s="268">
        <f t="shared" si="55"/>
        <v>461</v>
      </c>
      <c r="AO17" s="40">
        <f t="shared" si="28"/>
        <v>-204</v>
      </c>
      <c r="AP17" s="41">
        <f t="shared" si="29"/>
        <v>55.748373101952275</v>
      </c>
      <c r="AQ17" s="124">
        <f t="shared" si="11"/>
        <v>21</v>
      </c>
      <c r="AR17" s="60">
        <v>14.5</v>
      </c>
      <c r="AS17" s="60">
        <v>1</v>
      </c>
      <c r="AT17" s="60">
        <v>2</v>
      </c>
      <c r="AU17" s="60"/>
      <c r="AV17" s="92">
        <v>3.5</v>
      </c>
      <c r="AW17" s="269">
        <f t="shared" si="56"/>
        <v>494</v>
      </c>
      <c r="AX17" s="152">
        <f t="shared" si="30"/>
        <v>-232</v>
      </c>
      <c r="AY17" s="42">
        <f t="shared" si="31"/>
        <v>53.036437246963565</v>
      </c>
      <c r="AZ17" s="127">
        <f t="shared" si="12"/>
        <v>22</v>
      </c>
      <c r="BA17" s="62">
        <v>8</v>
      </c>
      <c r="BB17" s="62">
        <v>5</v>
      </c>
      <c r="BC17" s="62">
        <v>5</v>
      </c>
      <c r="BD17" s="62">
        <v>3</v>
      </c>
      <c r="BE17" s="100">
        <v>1</v>
      </c>
      <c r="BF17" s="270">
        <f t="shared" si="57"/>
        <v>527</v>
      </c>
      <c r="BG17" s="156">
        <f t="shared" si="32"/>
        <v>-255</v>
      </c>
      <c r="BH17" s="43">
        <f t="shared" si="33"/>
        <v>51.61290322580645</v>
      </c>
      <c r="BI17" s="130">
        <f t="shared" si="13"/>
        <v>82.75</v>
      </c>
      <c r="BJ17" s="64">
        <v>26.75</v>
      </c>
      <c r="BK17" s="64">
        <v>11</v>
      </c>
      <c r="BL17" s="64">
        <v>10.5</v>
      </c>
      <c r="BM17" s="64">
        <v>14.5</v>
      </c>
      <c r="BN17" s="107">
        <v>20</v>
      </c>
      <c r="BO17" s="148">
        <f t="shared" si="14"/>
        <v>134.5</v>
      </c>
      <c r="BP17" s="112">
        <f t="shared" si="15"/>
        <v>0.5</v>
      </c>
      <c r="BQ17" s="113">
        <f t="shared" si="16"/>
        <v>2.5</v>
      </c>
      <c r="BR17" s="113">
        <f t="shared" si="17"/>
        <v>5.75</v>
      </c>
      <c r="BS17" s="113">
        <f t="shared" si="18"/>
        <v>21</v>
      </c>
      <c r="BT17" s="113">
        <f t="shared" si="19"/>
        <v>22</v>
      </c>
      <c r="BU17" s="154">
        <f t="shared" si="20"/>
        <v>82.75</v>
      </c>
      <c r="BV17" s="302">
        <f t="shared" si="50"/>
        <v>333.4137546468402</v>
      </c>
      <c r="BW17" s="162"/>
      <c r="BX17" s="162"/>
      <c r="BY17" s="162"/>
      <c r="BZ17" s="162"/>
      <c r="CA17" s="162">
        <f t="shared" si="34"/>
        <v>422868</v>
      </c>
      <c r="CB17" s="162"/>
      <c r="CC17" s="162">
        <f t="shared" si="35"/>
        <v>422868</v>
      </c>
      <c r="CD17" s="162">
        <f t="shared" si="36"/>
        <v>21143.4</v>
      </c>
      <c r="CE17" s="162">
        <f>31*(CE34*0.5)*244*12</f>
        <v>72614.4</v>
      </c>
      <c r="CF17" s="162">
        <f>40*CE34*24*14</f>
        <v>21504</v>
      </c>
      <c r="CG17" s="162">
        <f t="shared" si="37"/>
        <v>538129.8</v>
      </c>
      <c r="CI17" s="162"/>
      <c r="CJ17" s="162"/>
      <c r="CK17" s="162"/>
      <c r="CL17" s="162"/>
      <c r="CM17" s="162">
        <f t="shared" si="38"/>
        <v>797316</v>
      </c>
      <c r="CN17" s="162"/>
      <c r="CO17" s="162">
        <f t="shared" si="39"/>
        <v>797316</v>
      </c>
      <c r="CP17" s="162">
        <f t="shared" si="40"/>
        <v>79731.6</v>
      </c>
      <c r="CQ17" s="162">
        <f>31*(CQ34*0.5)*244*12</f>
        <v>134828.3</v>
      </c>
      <c r="CR17" s="162">
        <f>40*CQ34*24*14</f>
        <v>39928</v>
      </c>
      <c r="CS17" s="162">
        <f t="shared" si="41"/>
        <v>1051803.9</v>
      </c>
      <c r="CU17" s="169">
        <f t="shared" si="42"/>
        <v>-374448</v>
      </c>
      <c r="CV17" s="169">
        <f t="shared" si="42"/>
        <v>-58588.200000000004</v>
      </c>
      <c r="CW17" s="169">
        <f t="shared" si="42"/>
        <v>-62213.899999999994</v>
      </c>
      <c r="CX17" s="169">
        <f t="shared" si="42"/>
        <v>-18424</v>
      </c>
      <c r="CY17" s="295">
        <f t="shared" si="43"/>
        <v>-513674.1</v>
      </c>
      <c r="CZ17" s="298">
        <f t="shared" si="51"/>
        <v>651.6752788104089</v>
      </c>
      <c r="DA17" s="289">
        <f t="shared" si="21"/>
        <v>-637418.19069</v>
      </c>
      <c r="DB17" s="291">
        <f t="shared" si="44"/>
        <v>318.26152416356877</v>
      </c>
      <c r="DC17" s="149">
        <f t="shared" si="45"/>
        <v>157.67527881040894</v>
      </c>
    </row>
    <row r="18" spans="1:107" ht="15.75">
      <c r="A18" s="2" t="s">
        <v>33</v>
      </c>
      <c r="B18" s="287">
        <v>100</v>
      </c>
      <c r="C18" s="1" t="s">
        <v>34</v>
      </c>
      <c r="D18" s="3" t="s">
        <v>16</v>
      </c>
      <c r="E18" s="1" t="s">
        <v>6</v>
      </c>
      <c r="F18" s="1">
        <v>7</v>
      </c>
      <c r="G18" s="9">
        <v>225</v>
      </c>
      <c r="H18" s="12">
        <v>245</v>
      </c>
      <c r="I18" s="14">
        <v>250</v>
      </c>
      <c r="J18" s="20">
        <v>255</v>
      </c>
      <c r="K18" s="16">
        <v>260</v>
      </c>
      <c r="L18" s="18">
        <v>270</v>
      </c>
      <c r="M18" s="265">
        <f t="shared" si="52"/>
        <v>372</v>
      </c>
      <c r="N18" s="34">
        <f t="shared" si="22"/>
        <v>-147</v>
      </c>
      <c r="O18" s="35">
        <f t="shared" si="23"/>
        <v>60.483870967741936</v>
      </c>
      <c r="P18" s="115">
        <f t="shared" si="8"/>
        <v>0</v>
      </c>
      <c r="Q18" s="54"/>
      <c r="R18" s="54"/>
      <c r="S18" s="54"/>
      <c r="T18" s="54"/>
      <c r="U18" s="68"/>
      <c r="V18" s="266">
        <f t="shared" si="53"/>
        <v>401</v>
      </c>
      <c r="W18" s="36">
        <f>H18-V18</f>
        <v>-156</v>
      </c>
      <c r="X18" s="37">
        <f t="shared" si="25"/>
        <v>61.09725685785536</v>
      </c>
      <c r="Y18" s="118">
        <f t="shared" si="9"/>
        <v>0.5</v>
      </c>
      <c r="Z18" s="56"/>
      <c r="AA18" s="56"/>
      <c r="AB18" s="56"/>
      <c r="AC18" s="56"/>
      <c r="AD18" s="76">
        <v>0.5</v>
      </c>
      <c r="AE18" s="267">
        <f t="shared" si="54"/>
        <v>431</v>
      </c>
      <c r="AF18" s="38">
        <f t="shared" si="26"/>
        <v>-181</v>
      </c>
      <c r="AG18" s="39">
        <f t="shared" si="27"/>
        <v>58.0046403712297</v>
      </c>
      <c r="AH18" s="121">
        <f t="shared" si="10"/>
        <v>0</v>
      </c>
      <c r="AI18" s="58"/>
      <c r="AJ18" s="58"/>
      <c r="AK18" s="58"/>
      <c r="AL18" s="58"/>
      <c r="AM18" s="84"/>
      <c r="AN18" s="268">
        <f t="shared" si="55"/>
        <v>461</v>
      </c>
      <c r="AO18" s="40">
        <f t="shared" si="28"/>
        <v>-206</v>
      </c>
      <c r="AP18" s="41">
        <f t="shared" si="29"/>
        <v>55.31453362255966</v>
      </c>
      <c r="AQ18" s="124">
        <f t="shared" si="11"/>
        <v>3</v>
      </c>
      <c r="AR18" s="60">
        <v>3</v>
      </c>
      <c r="AS18" s="60"/>
      <c r="AT18" s="60"/>
      <c r="AU18" s="60"/>
      <c r="AV18" s="92"/>
      <c r="AW18" s="269">
        <f t="shared" si="56"/>
        <v>494</v>
      </c>
      <c r="AX18" s="152">
        <f t="shared" si="30"/>
        <v>-234</v>
      </c>
      <c r="AY18" s="42">
        <f t="shared" si="31"/>
        <v>52.63157894736842</v>
      </c>
      <c r="AZ18" s="127">
        <f t="shared" si="12"/>
        <v>2</v>
      </c>
      <c r="BA18" s="62">
        <v>2</v>
      </c>
      <c r="BB18" s="62"/>
      <c r="BC18" s="62"/>
      <c r="BD18" s="62"/>
      <c r="BE18" s="100"/>
      <c r="BF18" s="270">
        <f t="shared" si="57"/>
        <v>527</v>
      </c>
      <c r="BG18" s="156">
        <f t="shared" si="32"/>
        <v>-257</v>
      </c>
      <c r="BH18" s="43">
        <f t="shared" si="33"/>
        <v>51.23339658444023</v>
      </c>
      <c r="BI18" s="130">
        <f t="shared" si="13"/>
        <v>5</v>
      </c>
      <c r="BJ18" s="64">
        <v>2</v>
      </c>
      <c r="BK18" s="64"/>
      <c r="BL18" s="64"/>
      <c r="BM18" s="64">
        <v>1</v>
      </c>
      <c r="BN18" s="107">
        <v>2</v>
      </c>
      <c r="BO18" s="148">
        <f t="shared" si="14"/>
        <v>10.5</v>
      </c>
      <c r="BP18" s="112">
        <f t="shared" si="15"/>
        <v>0</v>
      </c>
      <c r="BQ18" s="113">
        <f t="shared" si="16"/>
        <v>0.5</v>
      </c>
      <c r="BR18" s="113">
        <f t="shared" si="17"/>
        <v>0</v>
      </c>
      <c r="BS18" s="113">
        <f t="shared" si="18"/>
        <v>3</v>
      </c>
      <c r="BT18" s="113">
        <f t="shared" si="19"/>
        <v>2</v>
      </c>
      <c r="BU18" s="154">
        <f t="shared" si="20"/>
        <v>5</v>
      </c>
      <c r="BV18" s="302">
        <f t="shared" si="50"/>
        <v>273</v>
      </c>
      <c r="BW18" s="162"/>
      <c r="BX18" s="162"/>
      <c r="BY18" s="162"/>
      <c r="BZ18" s="162"/>
      <c r="CA18" s="162">
        <f t="shared" si="34"/>
        <v>32760</v>
      </c>
      <c r="CB18" s="162"/>
      <c r="CC18" s="162">
        <f t="shared" si="35"/>
        <v>32760</v>
      </c>
      <c r="CD18" s="162">
        <f t="shared" si="36"/>
        <v>1638</v>
      </c>
      <c r="CE18" s="162"/>
      <c r="CF18" s="162"/>
      <c r="CG18" s="162">
        <f t="shared" si="37"/>
        <v>34398</v>
      </c>
      <c r="CI18" s="162"/>
      <c r="CJ18" s="162"/>
      <c r="CK18" s="162"/>
      <c r="CL18" s="162"/>
      <c r="CM18" s="162">
        <f t="shared" si="38"/>
        <v>62244</v>
      </c>
      <c r="CN18" s="162"/>
      <c r="CO18" s="162">
        <f t="shared" si="39"/>
        <v>62244</v>
      </c>
      <c r="CP18" s="162">
        <f t="shared" si="40"/>
        <v>6224.400000000001</v>
      </c>
      <c r="CQ18" s="162"/>
      <c r="CR18" s="162"/>
      <c r="CS18" s="162">
        <f t="shared" si="41"/>
        <v>68468.4</v>
      </c>
      <c r="CU18" s="169">
        <f t="shared" si="42"/>
        <v>-29484</v>
      </c>
      <c r="CV18" s="169">
        <f t="shared" si="42"/>
        <v>-4586.400000000001</v>
      </c>
      <c r="CW18" s="169">
        <f t="shared" si="42"/>
        <v>0</v>
      </c>
      <c r="CX18" s="169">
        <f t="shared" si="42"/>
        <v>0</v>
      </c>
      <c r="CY18" s="295">
        <f t="shared" si="43"/>
        <v>-34070.4</v>
      </c>
      <c r="CZ18" s="298">
        <f t="shared" si="51"/>
        <v>543.4</v>
      </c>
      <c r="DA18" s="289">
        <f t="shared" si="21"/>
        <v>-42277.95936</v>
      </c>
      <c r="DB18" s="291">
        <f t="shared" si="44"/>
        <v>270.4</v>
      </c>
      <c r="DC18" s="149">
        <f t="shared" si="45"/>
        <v>49.39999999999998</v>
      </c>
    </row>
    <row r="19" spans="1:107" ht="15.75">
      <c r="A19" s="2" t="s">
        <v>44</v>
      </c>
      <c r="B19" s="287">
        <v>100</v>
      </c>
      <c r="C19" s="1" t="s">
        <v>7</v>
      </c>
      <c r="D19" s="3">
        <v>39</v>
      </c>
      <c r="E19" s="1" t="s">
        <v>6</v>
      </c>
      <c r="F19" s="1">
        <v>8</v>
      </c>
      <c r="G19" s="9">
        <v>275</v>
      </c>
      <c r="H19" s="12">
        <v>285.5</v>
      </c>
      <c r="I19" s="14">
        <v>295.432098765432</v>
      </c>
      <c r="J19" s="20">
        <v>307</v>
      </c>
      <c r="K19" s="16">
        <v>317</v>
      </c>
      <c r="L19" s="18">
        <f>318.467916366258+15</f>
        <v>333.467916366258</v>
      </c>
      <c r="M19" s="265">
        <f t="shared" si="52"/>
        <v>433</v>
      </c>
      <c r="N19" s="34">
        <f t="shared" si="22"/>
        <v>-158</v>
      </c>
      <c r="O19" s="35">
        <f t="shared" si="23"/>
        <v>63.51039260969977</v>
      </c>
      <c r="P19" s="115">
        <f t="shared" si="8"/>
        <v>0</v>
      </c>
      <c r="Q19" s="54"/>
      <c r="R19" s="54"/>
      <c r="S19" s="54"/>
      <c r="T19" s="54"/>
      <c r="U19" s="68"/>
      <c r="V19" s="266">
        <f t="shared" si="53"/>
        <v>466</v>
      </c>
      <c r="W19" s="36">
        <f t="shared" si="24"/>
        <v>-180.5</v>
      </c>
      <c r="X19" s="37">
        <f t="shared" si="25"/>
        <v>61.26609442060086</v>
      </c>
      <c r="Y19" s="118">
        <f t="shared" si="9"/>
        <v>2</v>
      </c>
      <c r="Z19" s="56"/>
      <c r="AA19" s="56">
        <v>1</v>
      </c>
      <c r="AB19" s="56"/>
      <c r="AC19" s="56">
        <v>1</v>
      </c>
      <c r="AD19" s="76">
        <v>0</v>
      </c>
      <c r="AE19" s="267">
        <f t="shared" si="54"/>
        <v>502</v>
      </c>
      <c r="AF19" s="38">
        <f t="shared" si="26"/>
        <v>-206.567901234568</v>
      </c>
      <c r="AG19" s="39">
        <f t="shared" si="27"/>
        <v>58.85101569032509</v>
      </c>
      <c r="AH19" s="121">
        <f t="shared" si="10"/>
        <v>2</v>
      </c>
      <c r="AI19" s="58"/>
      <c r="AJ19" s="58">
        <v>1</v>
      </c>
      <c r="AK19" s="58"/>
      <c r="AL19" s="58">
        <v>1</v>
      </c>
      <c r="AM19" s="84"/>
      <c r="AN19" s="268">
        <f t="shared" si="55"/>
        <v>538</v>
      </c>
      <c r="AO19" s="40">
        <f t="shared" si="28"/>
        <v>-231</v>
      </c>
      <c r="AP19" s="41">
        <f t="shared" si="29"/>
        <v>57.06319702602231</v>
      </c>
      <c r="AQ19" s="124">
        <f t="shared" si="11"/>
        <v>4.6</v>
      </c>
      <c r="AR19" s="60">
        <v>1</v>
      </c>
      <c r="AS19" s="60"/>
      <c r="AT19" s="60"/>
      <c r="AU19" s="60">
        <v>2.6</v>
      </c>
      <c r="AV19" s="92">
        <v>1</v>
      </c>
      <c r="AW19" s="269">
        <f t="shared" si="56"/>
        <v>575</v>
      </c>
      <c r="AX19" s="152">
        <f t="shared" si="30"/>
        <v>-258</v>
      </c>
      <c r="AY19" s="42">
        <f t="shared" si="31"/>
        <v>55.130434782608695</v>
      </c>
      <c r="AZ19" s="127">
        <f t="shared" si="12"/>
        <v>6</v>
      </c>
      <c r="BA19" s="62">
        <v>1</v>
      </c>
      <c r="BB19" s="62">
        <v>1</v>
      </c>
      <c r="BC19" s="62">
        <v>1</v>
      </c>
      <c r="BD19" s="62">
        <v>1</v>
      </c>
      <c r="BE19" s="100">
        <v>2</v>
      </c>
      <c r="BF19" s="270">
        <f t="shared" si="57"/>
        <v>614</v>
      </c>
      <c r="BG19" s="156">
        <f t="shared" si="32"/>
        <v>-280.532083633742</v>
      </c>
      <c r="BH19" s="43">
        <f t="shared" si="33"/>
        <v>54.31073556453714</v>
      </c>
      <c r="BI19" s="130">
        <f t="shared" si="13"/>
        <v>31.5</v>
      </c>
      <c r="BJ19" s="64">
        <v>7</v>
      </c>
      <c r="BK19" s="64">
        <v>7</v>
      </c>
      <c r="BL19" s="64">
        <v>2</v>
      </c>
      <c r="BM19" s="64">
        <v>3.5</v>
      </c>
      <c r="BN19" s="107">
        <v>12</v>
      </c>
      <c r="BO19" s="148">
        <f t="shared" si="14"/>
        <v>46.1</v>
      </c>
      <c r="BP19" s="112">
        <f t="shared" si="15"/>
        <v>0</v>
      </c>
      <c r="BQ19" s="113">
        <f t="shared" si="16"/>
        <v>2</v>
      </c>
      <c r="BR19" s="113">
        <f t="shared" si="17"/>
        <v>2</v>
      </c>
      <c r="BS19" s="113">
        <f t="shared" si="18"/>
        <v>4.6</v>
      </c>
      <c r="BT19" s="113">
        <f t="shared" si="19"/>
        <v>6</v>
      </c>
      <c r="BU19" s="154">
        <f t="shared" si="20"/>
        <v>31.5</v>
      </c>
      <c r="BV19" s="302">
        <f t="shared" si="50"/>
        <v>332.85</v>
      </c>
      <c r="BW19" s="162"/>
      <c r="BX19" s="162"/>
      <c r="BY19" s="162"/>
      <c r="BZ19" s="162"/>
      <c r="CA19" s="162">
        <f t="shared" si="34"/>
        <v>175364.40000000002</v>
      </c>
      <c r="CB19" s="162"/>
      <c r="CC19" s="162">
        <f t="shared" si="35"/>
        <v>175364.40000000002</v>
      </c>
      <c r="CD19" s="162">
        <f t="shared" si="36"/>
        <v>8768.220000000001</v>
      </c>
      <c r="CE19" s="162"/>
      <c r="CF19" s="162"/>
      <c r="CG19" s="162">
        <f t="shared" si="37"/>
        <v>184132.62000000002</v>
      </c>
      <c r="CI19" s="162"/>
      <c r="CJ19" s="162"/>
      <c r="CK19" s="162"/>
      <c r="CL19" s="162"/>
      <c r="CM19" s="162">
        <f t="shared" si="38"/>
        <v>318090</v>
      </c>
      <c r="CN19" s="162"/>
      <c r="CO19" s="162">
        <f t="shared" si="39"/>
        <v>318090</v>
      </c>
      <c r="CP19" s="162">
        <f t="shared" si="40"/>
        <v>31809</v>
      </c>
      <c r="CQ19" s="162"/>
      <c r="CR19" s="162"/>
      <c r="CS19" s="162">
        <f t="shared" si="41"/>
        <v>349899</v>
      </c>
      <c r="CU19" s="169">
        <f t="shared" si="42"/>
        <v>-142725.59999999998</v>
      </c>
      <c r="CV19" s="169">
        <f t="shared" si="42"/>
        <v>-23040.78</v>
      </c>
      <c r="CW19" s="169">
        <f t="shared" si="42"/>
        <v>0</v>
      </c>
      <c r="CX19" s="169">
        <f t="shared" si="42"/>
        <v>0</v>
      </c>
      <c r="CY19" s="295">
        <f t="shared" si="43"/>
        <v>-165766.37999999998</v>
      </c>
      <c r="CZ19" s="298">
        <f t="shared" si="51"/>
        <v>632.5</v>
      </c>
      <c r="DA19" s="289">
        <f t="shared" si="21"/>
        <v>-205699.50094199996</v>
      </c>
      <c r="DB19" s="291">
        <f t="shared" si="44"/>
        <v>299.65</v>
      </c>
      <c r="DC19" s="149">
        <f t="shared" si="45"/>
        <v>57.5</v>
      </c>
    </row>
    <row r="20" spans="1:107" ht="15.75">
      <c r="A20" s="2" t="s">
        <v>43</v>
      </c>
      <c r="B20" s="287">
        <v>100</v>
      </c>
      <c r="C20" s="1" t="s">
        <v>57</v>
      </c>
      <c r="D20" s="3" t="s">
        <v>15</v>
      </c>
      <c r="E20" s="1" t="s">
        <v>6</v>
      </c>
      <c r="F20" s="1">
        <v>8</v>
      </c>
      <c r="G20" s="9">
        <v>265</v>
      </c>
      <c r="H20" s="12">
        <v>276</v>
      </c>
      <c r="I20" s="14">
        <v>285</v>
      </c>
      <c r="J20" s="20">
        <v>297</v>
      </c>
      <c r="K20" s="16">
        <v>307</v>
      </c>
      <c r="L20" s="18">
        <v>318</v>
      </c>
      <c r="M20" s="265">
        <f t="shared" si="52"/>
        <v>433</v>
      </c>
      <c r="N20" s="34">
        <f>G20-M20</f>
        <v>-168</v>
      </c>
      <c r="O20" s="35">
        <f t="shared" si="23"/>
        <v>61.20092378752887</v>
      </c>
      <c r="P20" s="115">
        <f t="shared" si="8"/>
        <v>0</v>
      </c>
      <c r="Q20" s="54"/>
      <c r="R20" s="54"/>
      <c r="S20" s="54"/>
      <c r="T20" s="54"/>
      <c r="U20" s="68"/>
      <c r="V20" s="266">
        <f t="shared" si="53"/>
        <v>466</v>
      </c>
      <c r="W20" s="36">
        <f t="shared" si="24"/>
        <v>-190</v>
      </c>
      <c r="X20" s="37">
        <f t="shared" si="25"/>
        <v>59.227467811158796</v>
      </c>
      <c r="Y20" s="118">
        <f t="shared" si="9"/>
        <v>0</v>
      </c>
      <c r="Z20" s="56"/>
      <c r="AA20" s="56"/>
      <c r="AB20" s="56"/>
      <c r="AC20" s="56"/>
      <c r="AD20" s="76"/>
      <c r="AE20" s="267">
        <f t="shared" si="54"/>
        <v>502</v>
      </c>
      <c r="AF20" s="38">
        <f t="shared" si="26"/>
        <v>-217</v>
      </c>
      <c r="AG20" s="39">
        <f t="shared" si="27"/>
        <v>56.77290836653387</v>
      </c>
      <c r="AH20" s="121">
        <f t="shared" si="10"/>
        <v>1.5</v>
      </c>
      <c r="AI20" s="58">
        <v>1</v>
      </c>
      <c r="AJ20" s="58"/>
      <c r="AK20" s="58"/>
      <c r="AL20" s="58">
        <v>0.5</v>
      </c>
      <c r="AM20" s="84"/>
      <c r="AN20" s="268">
        <f t="shared" si="55"/>
        <v>538</v>
      </c>
      <c r="AO20" s="40">
        <f t="shared" si="28"/>
        <v>-241</v>
      </c>
      <c r="AP20" s="41">
        <f t="shared" si="29"/>
        <v>55.20446096654275</v>
      </c>
      <c r="AQ20" s="124">
        <f t="shared" si="11"/>
        <v>3.5</v>
      </c>
      <c r="AR20" s="60">
        <v>3</v>
      </c>
      <c r="AS20" s="60"/>
      <c r="AT20" s="60"/>
      <c r="AU20" s="60">
        <v>0.5</v>
      </c>
      <c r="AV20" s="92"/>
      <c r="AW20" s="269">
        <f t="shared" si="56"/>
        <v>575</v>
      </c>
      <c r="AX20" s="152">
        <f t="shared" si="30"/>
        <v>-268</v>
      </c>
      <c r="AY20" s="42">
        <f t="shared" si="31"/>
        <v>53.391304347826086</v>
      </c>
      <c r="AZ20" s="127">
        <f t="shared" si="12"/>
        <v>2.5</v>
      </c>
      <c r="BA20" s="62"/>
      <c r="BB20" s="62"/>
      <c r="BC20" s="62"/>
      <c r="BD20" s="62">
        <v>2.5</v>
      </c>
      <c r="BE20" s="100"/>
      <c r="BF20" s="270">
        <f t="shared" si="57"/>
        <v>614</v>
      </c>
      <c r="BG20" s="156">
        <f t="shared" si="32"/>
        <v>-296</v>
      </c>
      <c r="BH20" s="43">
        <f t="shared" si="33"/>
        <v>51.79153094462541</v>
      </c>
      <c r="BI20" s="130">
        <f t="shared" si="13"/>
        <v>12.5</v>
      </c>
      <c r="BJ20" s="64">
        <v>5</v>
      </c>
      <c r="BK20" s="64"/>
      <c r="BL20" s="64"/>
      <c r="BM20" s="64">
        <v>6.5</v>
      </c>
      <c r="BN20" s="107">
        <v>1</v>
      </c>
      <c r="BO20" s="148">
        <f t="shared" si="14"/>
        <v>20</v>
      </c>
      <c r="BP20" s="112">
        <f t="shared" si="15"/>
        <v>0</v>
      </c>
      <c r="BQ20" s="113">
        <f t="shared" si="16"/>
        <v>0</v>
      </c>
      <c r="BR20" s="113">
        <f t="shared" si="17"/>
        <v>1.5</v>
      </c>
      <c r="BS20" s="113">
        <f t="shared" si="18"/>
        <v>3.5</v>
      </c>
      <c r="BT20" s="113">
        <f t="shared" si="19"/>
        <v>2.5</v>
      </c>
      <c r="BU20" s="154">
        <f t="shared" si="20"/>
        <v>12.5</v>
      </c>
      <c r="BV20" s="302">
        <f t="shared" si="50"/>
        <v>322.34999999999997</v>
      </c>
      <c r="BW20" s="162"/>
      <c r="BX20" s="162"/>
      <c r="BY20" s="162"/>
      <c r="BZ20" s="162"/>
      <c r="CA20" s="162">
        <f t="shared" si="34"/>
        <v>73680</v>
      </c>
      <c r="CB20" s="162"/>
      <c r="CC20" s="162">
        <f t="shared" si="35"/>
        <v>73680</v>
      </c>
      <c r="CD20" s="162">
        <f t="shared" si="36"/>
        <v>3684</v>
      </c>
      <c r="CE20" s="162"/>
      <c r="CF20" s="162"/>
      <c r="CG20" s="162">
        <f t="shared" si="37"/>
        <v>77364</v>
      </c>
      <c r="CI20" s="162"/>
      <c r="CJ20" s="162"/>
      <c r="CK20" s="162"/>
      <c r="CL20" s="162"/>
      <c r="CM20" s="162">
        <f t="shared" si="38"/>
        <v>138000</v>
      </c>
      <c r="CN20" s="162"/>
      <c r="CO20" s="162">
        <f t="shared" si="39"/>
        <v>138000</v>
      </c>
      <c r="CP20" s="162">
        <f t="shared" si="40"/>
        <v>13800</v>
      </c>
      <c r="CQ20" s="162"/>
      <c r="CR20" s="162"/>
      <c r="CS20" s="162">
        <f t="shared" si="41"/>
        <v>151800</v>
      </c>
      <c r="CU20" s="169">
        <f t="shared" si="42"/>
        <v>-64320</v>
      </c>
      <c r="CV20" s="169">
        <f t="shared" si="42"/>
        <v>-10116</v>
      </c>
      <c r="CW20" s="169">
        <f t="shared" si="42"/>
        <v>0</v>
      </c>
      <c r="CX20" s="169">
        <f t="shared" si="42"/>
        <v>0</v>
      </c>
      <c r="CY20" s="295">
        <f t="shared" si="43"/>
        <v>-74436</v>
      </c>
      <c r="CZ20" s="298">
        <f t="shared" si="51"/>
        <v>632.5</v>
      </c>
      <c r="DA20" s="289">
        <f t="shared" si="21"/>
        <v>-92367.63239999999</v>
      </c>
      <c r="DB20" s="291">
        <f t="shared" si="44"/>
        <v>310.15000000000003</v>
      </c>
      <c r="DC20" s="149">
        <f t="shared" si="45"/>
        <v>57.5</v>
      </c>
    </row>
    <row r="21" spans="1:107" ht="30">
      <c r="A21" s="2" t="s">
        <v>46</v>
      </c>
      <c r="B21" s="287">
        <v>100</v>
      </c>
      <c r="C21" s="1" t="s">
        <v>47</v>
      </c>
      <c r="D21" s="3" t="s">
        <v>16</v>
      </c>
      <c r="E21" s="1" t="s">
        <v>8</v>
      </c>
      <c r="F21" s="1">
        <v>8</v>
      </c>
      <c r="G21" s="9">
        <v>265</v>
      </c>
      <c r="H21" s="12">
        <v>275.5</v>
      </c>
      <c r="I21" s="14">
        <v>285.432098765432</v>
      </c>
      <c r="J21" s="20">
        <v>297.381818181818</v>
      </c>
      <c r="K21" s="16">
        <v>306.578313253012</v>
      </c>
      <c r="L21" s="18">
        <v>318.4679163662581</v>
      </c>
      <c r="M21" s="265">
        <f t="shared" si="52"/>
        <v>433</v>
      </c>
      <c r="N21" s="34">
        <f t="shared" si="22"/>
        <v>-168</v>
      </c>
      <c r="O21" s="35">
        <f t="shared" si="23"/>
        <v>61.20092378752887</v>
      </c>
      <c r="P21" s="115">
        <f t="shared" si="8"/>
        <v>1</v>
      </c>
      <c r="Q21" s="54"/>
      <c r="R21" s="54"/>
      <c r="S21" s="54"/>
      <c r="T21" s="54">
        <v>1</v>
      </c>
      <c r="U21" s="68"/>
      <c r="V21" s="266">
        <f t="shared" si="53"/>
        <v>466</v>
      </c>
      <c r="W21" s="36">
        <f t="shared" si="24"/>
        <v>-190.5</v>
      </c>
      <c r="X21" s="37">
        <f t="shared" si="25"/>
        <v>59.12017167381974</v>
      </c>
      <c r="Y21" s="118">
        <f t="shared" si="9"/>
        <v>1</v>
      </c>
      <c r="Z21" s="56"/>
      <c r="AA21" s="56">
        <v>0</v>
      </c>
      <c r="AB21" s="56">
        <v>1</v>
      </c>
      <c r="AC21" s="56"/>
      <c r="AD21" s="76"/>
      <c r="AE21" s="267">
        <f t="shared" si="54"/>
        <v>502</v>
      </c>
      <c r="AF21" s="38">
        <f t="shared" si="26"/>
        <v>-216.567901234568</v>
      </c>
      <c r="AG21" s="39">
        <f t="shared" si="27"/>
        <v>56.85898381781514</v>
      </c>
      <c r="AH21" s="121">
        <f t="shared" si="10"/>
        <v>3</v>
      </c>
      <c r="AI21" s="58"/>
      <c r="AJ21" s="58">
        <v>2</v>
      </c>
      <c r="AK21" s="58">
        <v>1</v>
      </c>
      <c r="AL21" s="58"/>
      <c r="AM21" s="84"/>
      <c r="AN21" s="268">
        <f t="shared" si="55"/>
        <v>538</v>
      </c>
      <c r="AO21" s="40">
        <f t="shared" si="28"/>
        <v>-240.618181818182</v>
      </c>
      <c r="AP21" s="41">
        <f t="shared" si="29"/>
        <v>55.27543088881376</v>
      </c>
      <c r="AQ21" s="124">
        <f t="shared" si="11"/>
        <v>2</v>
      </c>
      <c r="AR21" s="60"/>
      <c r="AS21" s="60"/>
      <c r="AT21" s="60"/>
      <c r="AU21" s="60"/>
      <c r="AV21" s="92">
        <v>2</v>
      </c>
      <c r="AW21" s="269">
        <f t="shared" si="56"/>
        <v>575</v>
      </c>
      <c r="AX21" s="152">
        <f t="shared" si="30"/>
        <v>-268.421686746988</v>
      </c>
      <c r="AY21" s="42">
        <f t="shared" si="31"/>
        <v>53.31796752226297</v>
      </c>
      <c r="AZ21" s="127">
        <f t="shared" si="12"/>
        <v>3</v>
      </c>
      <c r="BA21" s="62">
        <v>1</v>
      </c>
      <c r="BB21" s="62">
        <v>2</v>
      </c>
      <c r="BC21" s="62"/>
      <c r="BD21" s="62"/>
      <c r="BE21" s="100"/>
      <c r="BF21" s="270">
        <f t="shared" si="57"/>
        <v>614</v>
      </c>
      <c r="BG21" s="156">
        <f t="shared" si="32"/>
        <v>-295.5320836337419</v>
      </c>
      <c r="BH21" s="43">
        <f t="shared" si="33"/>
        <v>51.86773882186614</v>
      </c>
      <c r="BI21" s="130">
        <f t="shared" si="13"/>
        <v>7</v>
      </c>
      <c r="BJ21" s="64">
        <v>1</v>
      </c>
      <c r="BK21" s="64"/>
      <c r="BL21" s="64">
        <v>1</v>
      </c>
      <c r="BM21" s="64">
        <v>5</v>
      </c>
      <c r="BN21" s="107">
        <v>0</v>
      </c>
      <c r="BO21" s="148">
        <f t="shared" si="14"/>
        <v>17</v>
      </c>
      <c r="BP21" s="112">
        <f t="shared" si="15"/>
        <v>1</v>
      </c>
      <c r="BQ21" s="113">
        <f t="shared" si="16"/>
        <v>1</v>
      </c>
      <c r="BR21" s="113">
        <f t="shared" si="17"/>
        <v>3</v>
      </c>
      <c r="BS21" s="113">
        <f t="shared" si="18"/>
        <v>2</v>
      </c>
      <c r="BT21" s="113">
        <f t="shared" si="19"/>
        <v>3</v>
      </c>
      <c r="BU21" s="154">
        <f t="shared" si="20"/>
        <v>7</v>
      </c>
      <c r="BV21" s="302">
        <f t="shared" si="50"/>
        <v>321.90722891566264</v>
      </c>
      <c r="BW21" s="162"/>
      <c r="BX21" s="162"/>
      <c r="BY21" s="162"/>
      <c r="BZ21" s="162"/>
      <c r="CA21" s="162">
        <f t="shared" si="34"/>
        <v>62541.97590361445</v>
      </c>
      <c r="CB21" s="162"/>
      <c r="CC21" s="162">
        <f t="shared" si="35"/>
        <v>62541.97590361445</v>
      </c>
      <c r="CD21" s="162">
        <f t="shared" si="36"/>
        <v>3127.098795180723</v>
      </c>
      <c r="CE21" s="162"/>
      <c r="CF21" s="162"/>
      <c r="CG21" s="162">
        <f t="shared" si="37"/>
        <v>65669.07469879517</v>
      </c>
      <c r="CI21" s="162"/>
      <c r="CJ21" s="162"/>
      <c r="CK21" s="162"/>
      <c r="CL21" s="162"/>
      <c r="CM21" s="162">
        <f t="shared" si="38"/>
        <v>117300</v>
      </c>
      <c r="CN21" s="162"/>
      <c r="CO21" s="162">
        <f t="shared" si="39"/>
        <v>117300</v>
      </c>
      <c r="CP21" s="162">
        <f t="shared" si="40"/>
        <v>11730</v>
      </c>
      <c r="CQ21" s="162"/>
      <c r="CR21" s="162"/>
      <c r="CS21" s="162">
        <f t="shared" si="41"/>
        <v>129030</v>
      </c>
      <c r="CU21" s="169">
        <f t="shared" si="42"/>
        <v>-54758.02409638555</v>
      </c>
      <c r="CV21" s="169">
        <f t="shared" si="42"/>
        <v>-8602.901204819278</v>
      </c>
      <c r="CW21" s="169">
        <f t="shared" si="42"/>
        <v>0</v>
      </c>
      <c r="CX21" s="169">
        <f t="shared" si="42"/>
        <v>0</v>
      </c>
      <c r="CY21" s="295">
        <f t="shared" si="43"/>
        <v>-63360.92530120483</v>
      </c>
      <c r="CZ21" s="298">
        <f t="shared" si="51"/>
        <v>632.5</v>
      </c>
      <c r="DA21" s="289">
        <f t="shared" si="21"/>
        <v>-78624.57220626506</v>
      </c>
      <c r="DB21" s="291">
        <f t="shared" si="44"/>
        <v>310.59277108433736</v>
      </c>
      <c r="DC21" s="149">
        <f t="shared" si="45"/>
        <v>57.5</v>
      </c>
    </row>
    <row r="22" spans="1:107" ht="30">
      <c r="A22" s="2" t="s">
        <v>35</v>
      </c>
      <c r="B22" s="287">
        <v>100</v>
      </c>
      <c r="C22" s="1" t="s">
        <v>36</v>
      </c>
      <c r="D22" s="3" t="s">
        <v>37</v>
      </c>
      <c r="E22" s="1" t="s">
        <v>38</v>
      </c>
      <c r="F22" s="1">
        <v>8</v>
      </c>
      <c r="G22" s="9">
        <v>265</v>
      </c>
      <c r="H22" s="12">
        <v>275.5</v>
      </c>
      <c r="I22" s="14">
        <v>285.432098765432</v>
      </c>
      <c r="J22" s="20">
        <v>297.381818181818</v>
      </c>
      <c r="K22" s="16">
        <v>306.578313253012</v>
      </c>
      <c r="L22" s="18">
        <v>318.4679163662581</v>
      </c>
      <c r="M22" s="265">
        <f t="shared" si="52"/>
        <v>433</v>
      </c>
      <c r="N22" s="34">
        <f t="shared" si="22"/>
        <v>-168</v>
      </c>
      <c r="O22" s="35">
        <f t="shared" si="23"/>
        <v>61.20092378752887</v>
      </c>
      <c r="P22" s="115">
        <f t="shared" si="8"/>
        <v>0</v>
      </c>
      <c r="Q22" s="54"/>
      <c r="R22" s="54"/>
      <c r="S22" s="54"/>
      <c r="T22" s="54"/>
      <c r="U22" s="68"/>
      <c r="V22" s="266">
        <f t="shared" si="53"/>
        <v>466</v>
      </c>
      <c r="W22" s="36">
        <f t="shared" si="24"/>
        <v>-190.5</v>
      </c>
      <c r="X22" s="37">
        <f t="shared" si="25"/>
        <v>59.12017167381974</v>
      </c>
      <c r="Y22" s="118">
        <f t="shared" si="9"/>
        <v>0</v>
      </c>
      <c r="Z22" s="56"/>
      <c r="AA22" s="56"/>
      <c r="AB22" s="56"/>
      <c r="AC22" s="56"/>
      <c r="AD22" s="76"/>
      <c r="AE22" s="267">
        <f t="shared" si="54"/>
        <v>502</v>
      </c>
      <c r="AF22" s="38">
        <f t="shared" si="26"/>
        <v>-216.567901234568</v>
      </c>
      <c r="AG22" s="39">
        <f t="shared" si="27"/>
        <v>56.85898381781514</v>
      </c>
      <c r="AH22" s="121">
        <f t="shared" si="10"/>
        <v>1</v>
      </c>
      <c r="AI22" s="58"/>
      <c r="AJ22" s="58"/>
      <c r="AK22" s="58"/>
      <c r="AL22" s="58"/>
      <c r="AM22" s="84">
        <v>1</v>
      </c>
      <c r="AN22" s="268">
        <f t="shared" si="55"/>
        <v>538</v>
      </c>
      <c r="AO22" s="40">
        <f t="shared" si="28"/>
        <v>-240.618181818182</v>
      </c>
      <c r="AP22" s="41">
        <f t="shared" si="29"/>
        <v>55.27543088881376</v>
      </c>
      <c r="AQ22" s="124">
        <f t="shared" si="11"/>
        <v>0</v>
      </c>
      <c r="AR22" s="60"/>
      <c r="AS22" s="60"/>
      <c r="AT22" s="60"/>
      <c r="AU22" s="60"/>
      <c r="AV22" s="92"/>
      <c r="AW22" s="269">
        <f t="shared" si="56"/>
        <v>575</v>
      </c>
      <c r="AX22" s="152">
        <f t="shared" si="30"/>
        <v>-268.421686746988</v>
      </c>
      <c r="AY22" s="42">
        <f t="shared" si="31"/>
        <v>53.31796752226297</v>
      </c>
      <c r="AZ22" s="127">
        <f t="shared" si="12"/>
        <v>1</v>
      </c>
      <c r="BA22" s="62"/>
      <c r="BB22" s="62"/>
      <c r="BC22" s="62"/>
      <c r="BD22" s="62"/>
      <c r="BE22" s="100">
        <v>1</v>
      </c>
      <c r="BF22" s="270">
        <f t="shared" si="57"/>
        <v>614</v>
      </c>
      <c r="BG22" s="156">
        <f t="shared" si="32"/>
        <v>-295.5320836337419</v>
      </c>
      <c r="BH22" s="43">
        <f t="shared" si="33"/>
        <v>51.86773882186614</v>
      </c>
      <c r="BI22" s="130">
        <f t="shared" si="13"/>
        <v>0</v>
      </c>
      <c r="BJ22" s="64"/>
      <c r="BK22" s="64"/>
      <c r="BL22" s="64"/>
      <c r="BM22" s="64"/>
      <c r="BN22" s="107"/>
      <c r="BO22" s="148">
        <f t="shared" si="14"/>
        <v>2</v>
      </c>
      <c r="BP22" s="112">
        <f t="shared" si="15"/>
        <v>0</v>
      </c>
      <c r="BQ22" s="113">
        <f t="shared" si="16"/>
        <v>0</v>
      </c>
      <c r="BR22" s="113">
        <f t="shared" si="17"/>
        <v>1</v>
      </c>
      <c r="BS22" s="113">
        <f t="shared" si="18"/>
        <v>0</v>
      </c>
      <c r="BT22" s="113">
        <f t="shared" si="19"/>
        <v>1</v>
      </c>
      <c r="BU22" s="154">
        <f t="shared" si="20"/>
        <v>0</v>
      </c>
      <c r="BV22" s="302">
        <f t="shared" si="50"/>
        <v>321.90722891566264</v>
      </c>
      <c r="BW22" s="162"/>
      <c r="BX22" s="162"/>
      <c r="BY22" s="162"/>
      <c r="BZ22" s="162"/>
      <c r="CA22" s="162">
        <f t="shared" si="34"/>
        <v>7357.879518072288</v>
      </c>
      <c r="CB22" s="162"/>
      <c r="CC22" s="162">
        <f t="shared" si="35"/>
        <v>7357.879518072288</v>
      </c>
      <c r="CD22" s="162">
        <f t="shared" si="36"/>
        <v>367.89397590361443</v>
      </c>
      <c r="CE22" s="162"/>
      <c r="CF22" s="162"/>
      <c r="CG22" s="162">
        <f t="shared" si="37"/>
        <v>7725.773493975903</v>
      </c>
      <c r="CI22" s="162"/>
      <c r="CJ22" s="162"/>
      <c r="CK22" s="162"/>
      <c r="CL22" s="162"/>
      <c r="CM22" s="162">
        <f t="shared" si="38"/>
        <v>13800</v>
      </c>
      <c r="CN22" s="162"/>
      <c r="CO22" s="162">
        <f t="shared" si="39"/>
        <v>13800</v>
      </c>
      <c r="CP22" s="162">
        <f t="shared" si="40"/>
        <v>1380</v>
      </c>
      <c r="CQ22" s="162"/>
      <c r="CR22" s="162"/>
      <c r="CS22" s="162">
        <f t="shared" si="41"/>
        <v>15180</v>
      </c>
      <c r="CU22" s="169">
        <f t="shared" si="42"/>
        <v>-6442.120481927712</v>
      </c>
      <c r="CV22" s="169">
        <f t="shared" si="42"/>
        <v>-1012.1060240963856</v>
      </c>
      <c r="CW22" s="169">
        <f t="shared" si="42"/>
        <v>0</v>
      </c>
      <c r="CX22" s="169">
        <f t="shared" si="42"/>
        <v>0</v>
      </c>
      <c r="CY22" s="295">
        <f t="shared" si="43"/>
        <v>-7454.226506024097</v>
      </c>
      <c r="CZ22" s="298">
        <f t="shared" si="51"/>
        <v>632.5</v>
      </c>
      <c r="DA22" s="289">
        <f t="shared" si="21"/>
        <v>-9249.949671325301</v>
      </c>
      <c r="DB22" s="291">
        <f t="shared" si="44"/>
        <v>310.59277108433736</v>
      </c>
      <c r="DC22" s="149">
        <f t="shared" si="45"/>
        <v>57.5</v>
      </c>
    </row>
    <row r="23" spans="1:107" ht="15.75">
      <c r="A23" s="2" t="s">
        <v>39</v>
      </c>
      <c r="B23" s="287">
        <v>100</v>
      </c>
      <c r="C23" s="1" t="s">
        <v>40</v>
      </c>
      <c r="D23" s="3">
        <v>39</v>
      </c>
      <c r="E23" s="1" t="s">
        <v>6</v>
      </c>
      <c r="F23" s="1">
        <v>8</v>
      </c>
      <c r="G23" s="9">
        <v>265</v>
      </c>
      <c r="H23" s="12">
        <v>275.5</v>
      </c>
      <c r="I23" s="14">
        <v>285.432098765432</v>
      </c>
      <c r="J23" s="20">
        <v>297.381818181818</v>
      </c>
      <c r="K23" s="16">
        <v>306.578313253012</v>
      </c>
      <c r="L23" s="18">
        <v>318.4679163662581</v>
      </c>
      <c r="M23" s="265">
        <f t="shared" si="52"/>
        <v>433</v>
      </c>
      <c r="N23" s="34">
        <f t="shared" si="22"/>
        <v>-168</v>
      </c>
      <c r="O23" s="35">
        <f t="shared" si="23"/>
        <v>61.20092378752887</v>
      </c>
      <c r="P23" s="115">
        <f t="shared" si="8"/>
        <v>0</v>
      </c>
      <c r="Q23" s="54"/>
      <c r="R23" s="54"/>
      <c r="S23" s="54"/>
      <c r="T23" s="54"/>
      <c r="U23" s="68"/>
      <c r="V23" s="266">
        <f t="shared" si="53"/>
        <v>466</v>
      </c>
      <c r="W23" s="36">
        <f t="shared" si="24"/>
        <v>-190.5</v>
      </c>
      <c r="X23" s="37">
        <f t="shared" si="25"/>
        <v>59.12017167381974</v>
      </c>
      <c r="Y23" s="118">
        <f t="shared" si="9"/>
        <v>0</v>
      </c>
      <c r="Z23" s="56"/>
      <c r="AA23" s="56"/>
      <c r="AB23" s="56"/>
      <c r="AC23" s="56"/>
      <c r="AD23" s="76"/>
      <c r="AE23" s="267">
        <f t="shared" si="54"/>
        <v>502</v>
      </c>
      <c r="AF23" s="38">
        <f t="shared" si="26"/>
        <v>-216.567901234568</v>
      </c>
      <c r="AG23" s="39">
        <f t="shared" si="27"/>
        <v>56.85898381781514</v>
      </c>
      <c r="AH23" s="121">
        <f t="shared" si="10"/>
        <v>0</v>
      </c>
      <c r="AI23" s="58"/>
      <c r="AJ23" s="58"/>
      <c r="AK23" s="58"/>
      <c r="AL23" s="58"/>
      <c r="AM23" s="84"/>
      <c r="AN23" s="268">
        <f t="shared" si="55"/>
        <v>538</v>
      </c>
      <c r="AO23" s="40">
        <f t="shared" si="28"/>
        <v>-240.618181818182</v>
      </c>
      <c r="AP23" s="41">
        <f t="shared" si="29"/>
        <v>55.27543088881376</v>
      </c>
      <c r="AQ23" s="124">
        <f t="shared" si="11"/>
        <v>0</v>
      </c>
      <c r="AR23" s="60"/>
      <c r="AS23" s="60"/>
      <c r="AT23" s="60"/>
      <c r="AU23" s="60"/>
      <c r="AV23" s="92"/>
      <c r="AW23" s="269">
        <f t="shared" si="56"/>
        <v>575</v>
      </c>
      <c r="AX23" s="152">
        <f t="shared" si="30"/>
        <v>-268.421686746988</v>
      </c>
      <c r="AY23" s="42">
        <f t="shared" si="31"/>
        <v>53.31796752226297</v>
      </c>
      <c r="AZ23" s="127">
        <f t="shared" si="12"/>
        <v>0.5</v>
      </c>
      <c r="BA23" s="62"/>
      <c r="BB23" s="62"/>
      <c r="BC23" s="62"/>
      <c r="BD23" s="62"/>
      <c r="BE23" s="100">
        <v>0.5</v>
      </c>
      <c r="BF23" s="270">
        <f t="shared" si="57"/>
        <v>614</v>
      </c>
      <c r="BG23" s="156">
        <f t="shared" si="32"/>
        <v>-295.5320836337419</v>
      </c>
      <c r="BH23" s="43">
        <f t="shared" si="33"/>
        <v>51.86773882186614</v>
      </c>
      <c r="BI23" s="130">
        <f t="shared" si="13"/>
        <v>8.5</v>
      </c>
      <c r="BJ23" s="64">
        <v>6</v>
      </c>
      <c r="BK23" s="64"/>
      <c r="BL23" s="64"/>
      <c r="BM23" s="64">
        <v>1.5</v>
      </c>
      <c r="BN23" s="107">
        <v>1</v>
      </c>
      <c r="BO23" s="148">
        <f t="shared" si="14"/>
        <v>9</v>
      </c>
      <c r="BP23" s="112">
        <f t="shared" si="15"/>
        <v>0</v>
      </c>
      <c r="BQ23" s="113">
        <f t="shared" si="16"/>
        <v>0</v>
      </c>
      <c r="BR23" s="113">
        <f t="shared" si="17"/>
        <v>0</v>
      </c>
      <c r="BS23" s="113">
        <f t="shared" si="18"/>
        <v>0</v>
      </c>
      <c r="BT23" s="113">
        <f t="shared" si="19"/>
        <v>0.5</v>
      </c>
      <c r="BU23" s="154">
        <f t="shared" si="20"/>
        <v>8.5</v>
      </c>
      <c r="BV23" s="302">
        <f t="shared" si="50"/>
        <v>321.90722891566264</v>
      </c>
      <c r="BW23" s="162"/>
      <c r="BX23" s="162"/>
      <c r="BY23" s="162"/>
      <c r="BZ23" s="162"/>
      <c r="CA23" s="162">
        <f t="shared" si="34"/>
        <v>33110.4578313253</v>
      </c>
      <c r="CB23" s="162"/>
      <c r="CC23" s="162">
        <f t="shared" si="35"/>
        <v>33110.4578313253</v>
      </c>
      <c r="CD23" s="162">
        <f t="shared" si="36"/>
        <v>1655.5228915662651</v>
      </c>
      <c r="CE23" s="162"/>
      <c r="CF23" s="162"/>
      <c r="CG23" s="162">
        <f t="shared" si="37"/>
        <v>34765.98072289157</v>
      </c>
      <c r="CI23" s="162"/>
      <c r="CJ23" s="162"/>
      <c r="CK23" s="162"/>
      <c r="CL23" s="162"/>
      <c r="CM23" s="162">
        <f t="shared" si="38"/>
        <v>62100</v>
      </c>
      <c r="CN23" s="162"/>
      <c r="CO23" s="162">
        <f t="shared" si="39"/>
        <v>62100</v>
      </c>
      <c r="CP23" s="162">
        <f t="shared" si="40"/>
        <v>6210</v>
      </c>
      <c r="CQ23" s="162"/>
      <c r="CR23" s="162"/>
      <c r="CS23" s="162">
        <f t="shared" si="41"/>
        <v>68310</v>
      </c>
      <c r="CU23" s="169">
        <f t="shared" si="42"/>
        <v>-28989.5421686747</v>
      </c>
      <c r="CV23" s="169">
        <f t="shared" si="42"/>
        <v>-4554.477108433735</v>
      </c>
      <c r="CW23" s="169">
        <f t="shared" si="42"/>
        <v>0</v>
      </c>
      <c r="CX23" s="169">
        <f t="shared" si="42"/>
        <v>0</v>
      </c>
      <c r="CY23" s="295">
        <f t="shared" si="43"/>
        <v>-33544.01927710843</v>
      </c>
      <c r="CZ23" s="298">
        <f t="shared" si="51"/>
        <v>632.5</v>
      </c>
      <c r="DA23" s="289">
        <f t="shared" si="21"/>
        <v>-41624.77352096385</v>
      </c>
      <c r="DB23" s="291">
        <f t="shared" si="44"/>
        <v>310.59277108433736</v>
      </c>
      <c r="DC23" s="149">
        <f t="shared" si="45"/>
        <v>57.5</v>
      </c>
    </row>
    <row r="24" spans="1:107" ht="15.75">
      <c r="A24" s="2" t="s">
        <v>41</v>
      </c>
      <c r="B24" s="287">
        <v>100</v>
      </c>
      <c r="C24" s="1" t="s">
        <v>42</v>
      </c>
      <c r="D24" s="3">
        <v>39</v>
      </c>
      <c r="E24" s="1" t="s">
        <v>6</v>
      </c>
      <c r="F24" s="1">
        <v>8</v>
      </c>
      <c r="G24" s="9">
        <v>265</v>
      </c>
      <c r="H24" s="12">
        <v>275.5</v>
      </c>
      <c r="I24" s="14">
        <v>285.432098765432</v>
      </c>
      <c r="J24" s="20">
        <v>297.381818181818</v>
      </c>
      <c r="K24" s="16">
        <v>306.578313253012</v>
      </c>
      <c r="L24" s="18">
        <v>318.4679163662581</v>
      </c>
      <c r="M24" s="265">
        <f t="shared" si="52"/>
        <v>433</v>
      </c>
      <c r="N24" s="34">
        <f t="shared" si="22"/>
        <v>-168</v>
      </c>
      <c r="O24" s="35">
        <f t="shared" si="23"/>
        <v>61.20092378752887</v>
      </c>
      <c r="P24" s="115">
        <f t="shared" si="8"/>
        <v>1</v>
      </c>
      <c r="Q24" s="54"/>
      <c r="R24" s="54"/>
      <c r="S24" s="54">
        <v>1</v>
      </c>
      <c r="T24" s="54"/>
      <c r="U24" s="68"/>
      <c r="V24" s="266">
        <f t="shared" si="53"/>
        <v>466</v>
      </c>
      <c r="W24" s="36">
        <f t="shared" si="24"/>
        <v>-190.5</v>
      </c>
      <c r="X24" s="37">
        <f t="shared" si="25"/>
        <v>59.12017167381974</v>
      </c>
      <c r="Y24" s="118">
        <f t="shared" si="9"/>
        <v>1</v>
      </c>
      <c r="Z24" s="56">
        <v>1</v>
      </c>
      <c r="AA24" s="56"/>
      <c r="AB24" s="56"/>
      <c r="AC24" s="56"/>
      <c r="AD24" s="76"/>
      <c r="AE24" s="267">
        <f t="shared" si="54"/>
        <v>502</v>
      </c>
      <c r="AF24" s="38">
        <f t="shared" si="26"/>
        <v>-216.567901234568</v>
      </c>
      <c r="AG24" s="39">
        <f t="shared" si="27"/>
        <v>56.85898381781514</v>
      </c>
      <c r="AH24" s="121">
        <f t="shared" si="10"/>
        <v>4</v>
      </c>
      <c r="AI24" s="58">
        <v>1</v>
      </c>
      <c r="AJ24" s="58">
        <v>2</v>
      </c>
      <c r="AK24" s="58"/>
      <c r="AL24" s="58"/>
      <c r="AM24" s="84">
        <v>1</v>
      </c>
      <c r="AN24" s="268">
        <f t="shared" si="55"/>
        <v>538</v>
      </c>
      <c r="AO24" s="40">
        <f t="shared" si="28"/>
        <v>-240.618181818182</v>
      </c>
      <c r="AP24" s="41">
        <f t="shared" si="29"/>
        <v>55.27543088881376</v>
      </c>
      <c r="AQ24" s="124">
        <f t="shared" si="11"/>
        <v>3.5</v>
      </c>
      <c r="AR24" s="60">
        <v>1.5</v>
      </c>
      <c r="AS24" s="60">
        <v>1</v>
      </c>
      <c r="AT24" s="60"/>
      <c r="AU24" s="60"/>
      <c r="AV24" s="92">
        <v>1</v>
      </c>
      <c r="AW24" s="269">
        <f t="shared" si="56"/>
        <v>575</v>
      </c>
      <c r="AX24" s="152">
        <f t="shared" si="30"/>
        <v>-268.421686746988</v>
      </c>
      <c r="AY24" s="42">
        <f t="shared" si="31"/>
        <v>53.31796752226297</v>
      </c>
      <c r="AZ24" s="127">
        <f t="shared" si="12"/>
        <v>4.5</v>
      </c>
      <c r="BA24" s="62">
        <v>2.75</v>
      </c>
      <c r="BB24" s="62">
        <v>0.5</v>
      </c>
      <c r="BC24" s="62">
        <v>1.25</v>
      </c>
      <c r="BD24" s="62"/>
      <c r="BE24" s="100"/>
      <c r="BF24" s="270">
        <f t="shared" si="57"/>
        <v>614</v>
      </c>
      <c r="BG24" s="156">
        <f t="shared" si="32"/>
        <v>-295.5320836337419</v>
      </c>
      <c r="BH24" s="43">
        <f t="shared" si="33"/>
        <v>51.86773882186614</v>
      </c>
      <c r="BI24" s="130">
        <f t="shared" si="13"/>
        <v>2</v>
      </c>
      <c r="BJ24" s="64"/>
      <c r="BK24" s="64"/>
      <c r="BL24" s="64">
        <v>1</v>
      </c>
      <c r="BM24" s="64"/>
      <c r="BN24" s="107">
        <v>1</v>
      </c>
      <c r="BO24" s="148">
        <f t="shared" si="14"/>
        <v>16</v>
      </c>
      <c r="BP24" s="112">
        <f t="shared" si="15"/>
        <v>1</v>
      </c>
      <c r="BQ24" s="113">
        <f t="shared" si="16"/>
        <v>1</v>
      </c>
      <c r="BR24" s="113">
        <f t="shared" si="17"/>
        <v>4</v>
      </c>
      <c r="BS24" s="113">
        <f t="shared" si="18"/>
        <v>3.5</v>
      </c>
      <c r="BT24" s="113">
        <f t="shared" si="19"/>
        <v>4.5</v>
      </c>
      <c r="BU24" s="154">
        <f t="shared" si="20"/>
        <v>2</v>
      </c>
      <c r="BV24" s="302">
        <f t="shared" si="50"/>
        <v>321.90722891566264</v>
      </c>
      <c r="BW24" s="162"/>
      <c r="BX24" s="162"/>
      <c r="BY24" s="162"/>
      <c r="BZ24" s="162"/>
      <c r="CA24" s="162">
        <f t="shared" si="34"/>
        <v>58863.036144578306</v>
      </c>
      <c r="CB24" s="162"/>
      <c r="CC24" s="162">
        <f t="shared" si="35"/>
        <v>58863.036144578306</v>
      </c>
      <c r="CD24" s="162">
        <f t="shared" si="36"/>
        <v>2943.1518072289155</v>
      </c>
      <c r="CE24" s="162"/>
      <c r="CF24" s="162"/>
      <c r="CG24" s="162">
        <f t="shared" si="37"/>
        <v>61806.187951807224</v>
      </c>
      <c r="CI24" s="162"/>
      <c r="CJ24" s="162"/>
      <c r="CK24" s="162"/>
      <c r="CL24" s="162"/>
      <c r="CM24" s="162">
        <f t="shared" si="38"/>
        <v>110400</v>
      </c>
      <c r="CN24" s="162"/>
      <c r="CO24" s="162">
        <f t="shared" si="39"/>
        <v>110400</v>
      </c>
      <c r="CP24" s="162">
        <f t="shared" si="40"/>
        <v>11040</v>
      </c>
      <c r="CQ24" s="162"/>
      <c r="CR24" s="162"/>
      <c r="CS24" s="162">
        <f t="shared" si="41"/>
        <v>121440</v>
      </c>
      <c r="CU24" s="169">
        <f t="shared" si="42"/>
        <v>-51536.963855421694</v>
      </c>
      <c r="CV24" s="169">
        <f t="shared" si="42"/>
        <v>-8096.8481927710845</v>
      </c>
      <c r="CW24" s="169">
        <f t="shared" si="42"/>
        <v>0</v>
      </c>
      <c r="CX24" s="169">
        <f t="shared" si="42"/>
        <v>0</v>
      </c>
      <c r="CY24" s="295">
        <f t="shared" si="43"/>
        <v>-59633.812048192776</v>
      </c>
      <c r="CZ24" s="298">
        <f t="shared" si="51"/>
        <v>632.5</v>
      </c>
      <c r="DA24" s="289">
        <f t="shared" si="21"/>
        <v>-73999.59737060241</v>
      </c>
      <c r="DB24" s="291">
        <f t="shared" si="44"/>
        <v>310.59277108433736</v>
      </c>
      <c r="DC24" s="149">
        <f t="shared" si="45"/>
        <v>57.5</v>
      </c>
    </row>
    <row r="25" spans="1:107" ht="19.5" customHeight="1">
      <c r="A25" s="4" t="s">
        <v>48</v>
      </c>
      <c r="B25" s="286">
        <v>100</v>
      </c>
      <c r="C25" s="5" t="s">
        <v>49</v>
      </c>
      <c r="D25" s="6" t="s">
        <v>37</v>
      </c>
      <c r="E25" s="5" t="s">
        <v>45</v>
      </c>
      <c r="F25" s="5">
        <v>9</v>
      </c>
      <c r="G25" s="9">
        <v>300</v>
      </c>
      <c r="H25" s="12">
        <v>320</v>
      </c>
      <c r="I25" s="14">
        <v>340</v>
      </c>
      <c r="J25" s="20">
        <v>360</v>
      </c>
      <c r="K25" s="16">
        <v>380</v>
      </c>
      <c r="L25" s="18">
        <v>400</v>
      </c>
      <c r="M25" s="265">
        <f t="shared" si="52"/>
        <v>493</v>
      </c>
      <c r="N25" s="34">
        <f t="shared" si="22"/>
        <v>-193</v>
      </c>
      <c r="O25" s="35">
        <f t="shared" si="23"/>
        <v>60.85192697768763</v>
      </c>
      <c r="P25" s="115">
        <f t="shared" si="8"/>
        <v>1</v>
      </c>
      <c r="Q25" s="54"/>
      <c r="R25" s="54"/>
      <c r="S25" s="54">
        <v>1</v>
      </c>
      <c r="T25" s="54"/>
      <c r="U25" s="68"/>
      <c r="V25" s="266">
        <f t="shared" si="53"/>
        <v>531</v>
      </c>
      <c r="W25" s="36">
        <f t="shared" si="24"/>
        <v>-211</v>
      </c>
      <c r="X25" s="37">
        <f t="shared" si="25"/>
        <v>60.263653483992464</v>
      </c>
      <c r="Y25" s="118">
        <f t="shared" si="9"/>
        <v>1.5</v>
      </c>
      <c r="Z25" s="56">
        <v>0.5</v>
      </c>
      <c r="AA25" s="56"/>
      <c r="AB25" s="56"/>
      <c r="AC25" s="56"/>
      <c r="AD25" s="76">
        <v>1</v>
      </c>
      <c r="AE25" s="267">
        <f t="shared" si="54"/>
        <v>571</v>
      </c>
      <c r="AF25" s="38">
        <f t="shared" si="26"/>
        <v>-231</v>
      </c>
      <c r="AG25" s="39">
        <f t="shared" si="27"/>
        <v>59.54465849387041</v>
      </c>
      <c r="AH25" s="121">
        <f t="shared" si="10"/>
        <v>1</v>
      </c>
      <c r="AI25" s="58">
        <v>1</v>
      </c>
      <c r="AJ25" s="58"/>
      <c r="AK25" s="58"/>
      <c r="AL25" s="58"/>
      <c r="AM25" s="84"/>
      <c r="AN25" s="268">
        <f t="shared" si="55"/>
        <v>611</v>
      </c>
      <c r="AO25" s="40">
        <f t="shared" si="28"/>
        <v>-251</v>
      </c>
      <c r="AP25" s="41">
        <f t="shared" si="29"/>
        <v>58.91980360065466</v>
      </c>
      <c r="AQ25" s="124">
        <f t="shared" si="11"/>
        <v>2</v>
      </c>
      <c r="AR25" s="60">
        <v>2</v>
      </c>
      <c r="AS25" s="60"/>
      <c r="AT25" s="60"/>
      <c r="AU25" s="60"/>
      <c r="AV25" s="92"/>
      <c r="AW25" s="269">
        <f t="shared" si="56"/>
        <v>655</v>
      </c>
      <c r="AX25" s="152">
        <f t="shared" si="30"/>
        <v>-275</v>
      </c>
      <c r="AY25" s="42">
        <f t="shared" si="31"/>
        <v>58.01526717557252</v>
      </c>
      <c r="AZ25" s="127">
        <f t="shared" si="12"/>
        <v>0.75</v>
      </c>
      <c r="BA25" s="62">
        <v>0.25</v>
      </c>
      <c r="BB25" s="62"/>
      <c r="BC25" s="62"/>
      <c r="BD25" s="62">
        <v>0.5</v>
      </c>
      <c r="BE25" s="100"/>
      <c r="BF25" s="270">
        <f t="shared" si="57"/>
        <v>698</v>
      </c>
      <c r="BG25" s="156">
        <f t="shared" si="32"/>
        <v>-298</v>
      </c>
      <c r="BH25" s="43">
        <f t="shared" si="33"/>
        <v>57.306590257879655</v>
      </c>
      <c r="BI25" s="130">
        <f t="shared" si="13"/>
        <v>0</v>
      </c>
      <c r="BJ25" s="64"/>
      <c r="BK25" s="64"/>
      <c r="BL25" s="64"/>
      <c r="BM25" s="64"/>
      <c r="BN25" s="107"/>
      <c r="BO25" s="148">
        <f t="shared" si="14"/>
        <v>6.25</v>
      </c>
      <c r="BP25" s="112">
        <f t="shared" si="15"/>
        <v>1</v>
      </c>
      <c r="BQ25" s="113">
        <f t="shared" si="16"/>
        <v>1.5</v>
      </c>
      <c r="BR25" s="113">
        <f t="shared" si="17"/>
        <v>1</v>
      </c>
      <c r="BS25" s="113">
        <f t="shared" si="18"/>
        <v>2</v>
      </c>
      <c r="BT25" s="113">
        <f t="shared" si="19"/>
        <v>0.75</v>
      </c>
      <c r="BU25" s="154">
        <f t="shared" si="20"/>
        <v>0</v>
      </c>
      <c r="BV25" s="302">
        <f t="shared" si="50"/>
        <v>399</v>
      </c>
      <c r="BW25" s="162"/>
      <c r="BX25" s="162"/>
      <c r="BY25" s="162"/>
      <c r="BZ25" s="162"/>
      <c r="CA25" s="162">
        <f t="shared" si="34"/>
        <v>28500</v>
      </c>
      <c r="CB25" s="162"/>
      <c r="CC25" s="162">
        <f t="shared" si="35"/>
        <v>28500</v>
      </c>
      <c r="CD25" s="162">
        <f t="shared" si="36"/>
        <v>1425</v>
      </c>
      <c r="CE25" s="162"/>
      <c r="CF25" s="162"/>
      <c r="CG25" s="162">
        <f t="shared" si="37"/>
        <v>29925</v>
      </c>
      <c r="CI25" s="162"/>
      <c r="CJ25" s="162"/>
      <c r="CK25" s="162"/>
      <c r="CL25" s="162"/>
      <c r="CM25" s="162">
        <f t="shared" si="38"/>
        <v>49125</v>
      </c>
      <c r="CN25" s="162"/>
      <c r="CO25" s="162">
        <f t="shared" si="39"/>
        <v>49125</v>
      </c>
      <c r="CP25" s="162">
        <f t="shared" si="40"/>
        <v>4912.5</v>
      </c>
      <c r="CQ25" s="162"/>
      <c r="CR25" s="162"/>
      <c r="CS25" s="162">
        <f t="shared" si="41"/>
        <v>54037.5</v>
      </c>
      <c r="CU25" s="169">
        <f t="shared" si="42"/>
        <v>-20625</v>
      </c>
      <c r="CV25" s="169">
        <f t="shared" si="42"/>
        <v>-3487.5</v>
      </c>
      <c r="CW25" s="169">
        <f t="shared" si="42"/>
        <v>0</v>
      </c>
      <c r="CX25" s="169">
        <f t="shared" si="42"/>
        <v>0</v>
      </c>
      <c r="CY25" s="295">
        <f t="shared" si="43"/>
        <v>-24112.5</v>
      </c>
      <c r="CZ25" s="298">
        <f t="shared" si="51"/>
        <v>720.5</v>
      </c>
      <c r="DA25" s="289">
        <f t="shared" si="21"/>
        <v>-29921.20125</v>
      </c>
      <c r="DB25" s="291">
        <f t="shared" si="44"/>
        <v>321.5</v>
      </c>
      <c r="DC25" s="149">
        <f t="shared" si="45"/>
        <v>65.5</v>
      </c>
    </row>
    <row r="26" spans="1:107" ht="19.5" customHeight="1">
      <c r="A26" s="4" t="s">
        <v>50</v>
      </c>
      <c r="B26" s="286">
        <v>100</v>
      </c>
      <c r="C26" s="5" t="s">
        <v>51</v>
      </c>
      <c r="D26" s="6" t="s">
        <v>37</v>
      </c>
      <c r="E26" s="5" t="s">
        <v>45</v>
      </c>
      <c r="F26" s="5">
        <v>9</v>
      </c>
      <c r="G26" s="9">
        <v>300</v>
      </c>
      <c r="H26" s="12">
        <v>320</v>
      </c>
      <c r="I26" s="14">
        <v>340</v>
      </c>
      <c r="J26" s="20">
        <v>360</v>
      </c>
      <c r="K26" s="16">
        <v>380</v>
      </c>
      <c r="L26" s="18">
        <v>400</v>
      </c>
      <c r="M26" s="265">
        <f t="shared" si="52"/>
        <v>493</v>
      </c>
      <c r="N26" s="34">
        <f t="shared" si="22"/>
        <v>-193</v>
      </c>
      <c r="O26" s="35">
        <f t="shared" si="23"/>
        <v>60.85192697768763</v>
      </c>
      <c r="P26" s="115">
        <f t="shared" si="8"/>
        <v>0</v>
      </c>
      <c r="Q26" s="54"/>
      <c r="R26" s="54"/>
      <c r="S26" s="54"/>
      <c r="T26" s="54"/>
      <c r="U26" s="68"/>
      <c r="V26" s="266">
        <f t="shared" si="53"/>
        <v>531</v>
      </c>
      <c r="W26" s="36">
        <f t="shared" si="24"/>
        <v>-211</v>
      </c>
      <c r="X26" s="37">
        <f t="shared" si="25"/>
        <v>60.263653483992464</v>
      </c>
      <c r="Y26" s="118">
        <f t="shared" si="9"/>
        <v>5.5</v>
      </c>
      <c r="Z26" s="56"/>
      <c r="AA26" s="56">
        <v>0.5</v>
      </c>
      <c r="AB26" s="56"/>
      <c r="AC26" s="56"/>
      <c r="AD26" s="76">
        <v>5</v>
      </c>
      <c r="AE26" s="267">
        <f t="shared" si="54"/>
        <v>571</v>
      </c>
      <c r="AF26" s="38">
        <f t="shared" si="26"/>
        <v>-231</v>
      </c>
      <c r="AG26" s="39">
        <f t="shared" si="27"/>
        <v>59.54465849387041</v>
      </c>
      <c r="AH26" s="121">
        <f t="shared" si="10"/>
        <v>1</v>
      </c>
      <c r="AI26" s="58">
        <v>1</v>
      </c>
      <c r="AJ26" s="58"/>
      <c r="AK26" s="58"/>
      <c r="AL26" s="58"/>
      <c r="AM26" s="84"/>
      <c r="AN26" s="268">
        <f t="shared" si="55"/>
        <v>611</v>
      </c>
      <c r="AO26" s="40">
        <f t="shared" si="28"/>
        <v>-251</v>
      </c>
      <c r="AP26" s="41">
        <f t="shared" si="29"/>
        <v>58.91980360065466</v>
      </c>
      <c r="AQ26" s="124">
        <f t="shared" si="11"/>
        <v>3.5</v>
      </c>
      <c r="AR26" s="60">
        <v>3.5</v>
      </c>
      <c r="AS26" s="60"/>
      <c r="AT26" s="60"/>
      <c r="AU26" s="60"/>
      <c r="AV26" s="92"/>
      <c r="AW26" s="269">
        <f t="shared" si="56"/>
        <v>655</v>
      </c>
      <c r="AX26" s="152">
        <f t="shared" si="30"/>
        <v>-275</v>
      </c>
      <c r="AY26" s="42">
        <f t="shared" si="31"/>
        <v>58.01526717557252</v>
      </c>
      <c r="AZ26" s="127">
        <f t="shared" si="12"/>
        <v>1</v>
      </c>
      <c r="BA26" s="62"/>
      <c r="BB26" s="62"/>
      <c r="BC26" s="62"/>
      <c r="BD26" s="62">
        <v>1</v>
      </c>
      <c r="BE26" s="100"/>
      <c r="BF26" s="270">
        <f t="shared" si="57"/>
        <v>698</v>
      </c>
      <c r="BG26" s="156">
        <f t="shared" si="32"/>
        <v>-298</v>
      </c>
      <c r="BH26" s="43">
        <f t="shared" si="33"/>
        <v>57.306590257879655</v>
      </c>
      <c r="BI26" s="130">
        <f t="shared" si="13"/>
        <v>2</v>
      </c>
      <c r="BJ26" s="64">
        <v>2</v>
      </c>
      <c r="BK26" s="64"/>
      <c r="BL26" s="64"/>
      <c r="BM26" s="64"/>
      <c r="BN26" s="107"/>
      <c r="BO26" s="148">
        <f t="shared" si="14"/>
        <v>13</v>
      </c>
      <c r="BP26" s="112">
        <f t="shared" si="15"/>
        <v>0</v>
      </c>
      <c r="BQ26" s="113">
        <f t="shared" si="16"/>
        <v>5.5</v>
      </c>
      <c r="BR26" s="113">
        <f t="shared" si="17"/>
        <v>1</v>
      </c>
      <c r="BS26" s="113">
        <f t="shared" si="18"/>
        <v>3.5</v>
      </c>
      <c r="BT26" s="113">
        <f t="shared" si="19"/>
        <v>1</v>
      </c>
      <c r="BU26" s="154">
        <f t="shared" si="20"/>
        <v>2</v>
      </c>
      <c r="BV26" s="302">
        <f t="shared" si="50"/>
        <v>399</v>
      </c>
      <c r="BW26" s="162"/>
      <c r="BX26" s="162"/>
      <c r="BY26" s="162"/>
      <c r="BZ26" s="162"/>
      <c r="CA26" s="162">
        <f t="shared" si="34"/>
        <v>59280</v>
      </c>
      <c r="CB26" s="162"/>
      <c r="CC26" s="162">
        <f t="shared" si="35"/>
        <v>59280</v>
      </c>
      <c r="CD26" s="162">
        <f t="shared" si="36"/>
        <v>2964</v>
      </c>
      <c r="CE26" s="162"/>
      <c r="CF26" s="162"/>
      <c r="CG26" s="162">
        <f t="shared" si="37"/>
        <v>62244</v>
      </c>
      <c r="CI26" s="162"/>
      <c r="CJ26" s="162"/>
      <c r="CK26" s="162"/>
      <c r="CL26" s="162"/>
      <c r="CM26" s="162">
        <f t="shared" si="38"/>
        <v>102180</v>
      </c>
      <c r="CN26" s="162"/>
      <c r="CO26" s="162">
        <f t="shared" si="39"/>
        <v>102180</v>
      </c>
      <c r="CP26" s="162">
        <f t="shared" si="40"/>
        <v>10218</v>
      </c>
      <c r="CQ26" s="162"/>
      <c r="CR26" s="162"/>
      <c r="CS26" s="162">
        <f t="shared" si="41"/>
        <v>112398</v>
      </c>
      <c r="CU26" s="169">
        <f t="shared" si="42"/>
        <v>-42900</v>
      </c>
      <c r="CV26" s="169">
        <f t="shared" si="42"/>
        <v>-7254</v>
      </c>
      <c r="CW26" s="169">
        <f t="shared" si="42"/>
        <v>0</v>
      </c>
      <c r="CX26" s="169">
        <f t="shared" si="42"/>
        <v>0</v>
      </c>
      <c r="CY26" s="295">
        <f t="shared" si="43"/>
        <v>-50154</v>
      </c>
      <c r="CZ26" s="298">
        <f t="shared" si="51"/>
        <v>720.5</v>
      </c>
      <c r="DA26" s="289">
        <f t="shared" si="21"/>
        <v>-62236.0986</v>
      </c>
      <c r="DB26" s="291">
        <f t="shared" si="44"/>
        <v>321.5</v>
      </c>
      <c r="DC26" s="149">
        <f t="shared" si="45"/>
        <v>65.5</v>
      </c>
    </row>
    <row r="27" spans="1:107" ht="19.5" customHeight="1">
      <c r="A27" s="4" t="s">
        <v>52</v>
      </c>
      <c r="B27" s="286">
        <v>100</v>
      </c>
      <c r="C27" s="5" t="s">
        <v>53</v>
      </c>
      <c r="D27" s="6" t="s">
        <v>37</v>
      </c>
      <c r="E27" s="5" t="s">
        <v>45</v>
      </c>
      <c r="F27" s="5">
        <v>9</v>
      </c>
      <c r="G27" s="9">
        <v>300</v>
      </c>
      <c r="H27" s="12">
        <v>320</v>
      </c>
      <c r="I27" s="14">
        <v>340</v>
      </c>
      <c r="J27" s="20">
        <v>360</v>
      </c>
      <c r="K27" s="16">
        <v>380</v>
      </c>
      <c r="L27" s="18">
        <v>400</v>
      </c>
      <c r="M27" s="265">
        <f t="shared" si="52"/>
        <v>493</v>
      </c>
      <c r="N27" s="34">
        <f t="shared" si="22"/>
        <v>-193</v>
      </c>
      <c r="O27" s="35">
        <f t="shared" si="23"/>
        <v>60.85192697768763</v>
      </c>
      <c r="P27" s="115">
        <f t="shared" si="8"/>
        <v>0</v>
      </c>
      <c r="Q27" s="54"/>
      <c r="R27" s="54"/>
      <c r="S27" s="54"/>
      <c r="T27" s="54"/>
      <c r="U27" s="68"/>
      <c r="V27" s="266">
        <f t="shared" si="53"/>
        <v>531</v>
      </c>
      <c r="W27" s="36">
        <f t="shared" si="24"/>
        <v>-211</v>
      </c>
      <c r="X27" s="37">
        <f t="shared" si="25"/>
        <v>60.263653483992464</v>
      </c>
      <c r="Y27" s="118">
        <f t="shared" si="9"/>
        <v>0</v>
      </c>
      <c r="Z27" s="56"/>
      <c r="AA27" s="56"/>
      <c r="AB27" s="56"/>
      <c r="AC27" s="56"/>
      <c r="AD27" s="76"/>
      <c r="AE27" s="267">
        <f t="shared" si="54"/>
        <v>571</v>
      </c>
      <c r="AF27" s="38">
        <f t="shared" si="26"/>
        <v>-231</v>
      </c>
      <c r="AG27" s="39">
        <f t="shared" si="27"/>
        <v>59.54465849387041</v>
      </c>
      <c r="AH27" s="121">
        <f t="shared" si="10"/>
        <v>0</v>
      </c>
      <c r="AI27" s="58"/>
      <c r="AJ27" s="58"/>
      <c r="AK27" s="58"/>
      <c r="AL27" s="58"/>
      <c r="AM27" s="84"/>
      <c r="AN27" s="268">
        <f t="shared" si="55"/>
        <v>611</v>
      </c>
      <c r="AO27" s="40">
        <f t="shared" si="28"/>
        <v>-251</v>
      </c>
      <c r="AP27" s="41">
        <f t="shared" si="29"/>
        <v>58.91980360065466</v>
      </c>
      <c r="AQ27" s="124">
        <f t="shared" si="11"/>
        <v>0</v>
      </c>
      <c r="AR27" s="60"/>
      <c r="AS27" s="60"/>
      <c r="AT27" s="60"/>
      <c r="AU27" s="60"/>
      <c r="AV27" s="92"/>
      <c r="AW27" s="269">
        <f t="shared" si="56"/>
        <v>655</v>
      </c>
      <c r="AX27" s="152">
        <f t="shared" si="30"/>
        <v>-275</v>
      </c>
      <c r="AY27" s="42">
        <f t="shared" si="31"/>
        <v>58.01526717557252</v>
      </c>
      <c r="AZ27" s="127">
        <f t="shared" si="12"/>
        <v>0</v>
      </c>
      <c r="BA27" s="62"/>
      <c r="BB27" s="62"/>
      <c r="BC27" s="62"/>
      <c r="BD27" s="62"/>
      <c r="BE27" s="100"/>
      <c r="BF27" s="270">
        <f t="shared" si="57"/>
        <v>698</v>
      </c>
      <c r="BG27" s="156">
        <f t="shared" si="32"/>
        <v>-298</v>
      </c>
      <c r="BH27" s="43">
        <f t="shared" si="33"/>
        <v>57.306590257879655</v>
      </c>
      <c r="BI27" s="130">
        <f t="shared" si="13"/>
        <v>1</v>
      </c>
      <c r="BJ27" s="64">
        <v>1</v>
      </c>
      <c r="BK27" s="64"/>
      <c r="BL27" s="64"/>
      <c r="BM27" s="64"/>
      <c r="BN27" s="107"/>
      <c r="BO27" s="148">
        <f t="shared" si="14"/>
        <v>1</v>
      </c>
      <c r="BP27" s="112">
        <f t="shared" si="15"/>
        <v>0</v>
      </c>
      <c r="BQ27" s="113">
        <f t="shared" si="16"/>
        <v>0</v>
      </c>
      <c r="BR27" s="113">
        <f t="shared" si="17"/>
        <v>0</v>
      </c>
      <c r="BS27" s="113">
        <f t="shared" si="18"/>
        <v>0</v>
      </c>
      <c r="BT27" s="113">
        <f t="shared" si="19"/>
        <v>0</v>
      </c>
      <c r="BU27" s="154">
        <f t="shared" si="20"/>
        <v>1</v>
      </c>
      <c r="BV27" s="302">
        <f t="shared" si="50"/>
        <v>399</v>
      </c>
      <c r="BW27" s="162"/>
      <c r="BX27" s="162"/>
      <c r="BY27" s="162"/>
      <c r="BZ27" s="162"/>
      <c r="CA27" s="162">
        <f t="shared" si="34"/>
        <v>4560</v>
      </c>
      <c r="CB27" s="162"/>
      <c r="CC27" s="162">
        <f t="shared" si="35"/>
        <v>4560</v>
      </c>
      <c r="CD27" s="162">
        <f t="shared" si="36"/>
        <v>228</v>
      </c>
      <c r="CE27" s="162"/>
      <c r="CF27" s="162"/>
      <c r="CG27" s="162">
        <f t="shared" si="37"/>
        <v>4788</v>
      </c>
      <c r="CI27" s="162"/>
      <c r="CJ27" s="162"/>
      <c r="CK27" s="162"/>
      <c r="CL27" s="162"/>
      <c r="CM27" s="162">
        <f t="shared" si="38"/>
        <v>7860</v>
      </c>
      <c r="CN27" s="162"/>
      <c r="CO27" s="162">
        <f t="shared" si="39"/>
        <v>7860</v>
      </c>
      <c r="CP27" s="162">
        <f t="shared" si="40"/>
        <v>786</v>
      </c>
      <c r="CQ27" s="162"/>
      <c r="CR27" s="162"/>
      <c r="CS27" s="162">
        <f t="shared" si="41"/>
        <v>8646</v>
      </c>
      <c r="CU27" s="169">
        <f t="shared" si="42"/>
        <v>-3300</v>
      </c>
      <c r="CV27" s="169">
        <f t="shared" si="42"/>
        <v>-558</v>
      </c>
      <c r="CW27" s="169">
        <f t="shared" si="42"/>
        <v>0</v>
      </c>
      <c r="CX27" s="169">
        <f t="shared" si="42"/>
        <v>0</v>
      </c>
      <c r="CY27" s="295">
        <f t="shared" si="43"/>
        <v>-3858</v>
      </c>
      <c r="CZ27" s="298">
        <f t="shared" si="51"/>
        <v>720.5</v>
      </c>
      <c r="DA27" s="289">
        <f t="shared" si="21"/>
        <v>-4787.392199999999</v>
      </c>
      <c r="DB27" s="291">
        <f t="shared" si="44"/>
        <v>321.5</v>
      </c>
      <c r="DC27" s="149">
        <f t="shared" si="45"/>
        <v>65.5</v>
      </c>
    </row>
    <row r="28" spans="1:107" ht="16.5" thickBot="1">
      <c r="A28" s="4" t="s">
        <v>54</v>
      </c>
      <c r="B28" s="286">
        <v>100</v>
      </c>
      <c r="C28" s="5">
        <v>2212</v>
      </c>
      <c r="D28" s="6" t="s">
        <v>37</v>
      </c>
      <c r="E28" s="5" t="s">
        <v>6</v>
      </c>
      <c r="F28" s="5">
        <v>10</v>
      </c>
      <c r="G28" s="9">
        <v>320</v>
      </c>
      <c r="H28" s="12">
        <v>370</v>
      </c>
      <c r="I28" s="14">
        <v>380</v>
      </c>
      <c r="J28" s="20">
        <v>390</v>
      </c>
      <c r="K28" s="16">
        <v>400</v>
      </c>
      <c r="L28" s="18">
        <v>420</v>
      </c>
      <c r="M28" s="265">
        <f t="shared" si="52"/>
        <v>583</v>
      </c>
      <c r="N28" s="34">
        <f>G28-M28</f>
        <v>-263</v>
      </c>
      <c r="O28" s="35">
        <f>G28/M28*100</f>
        <v>54.8885077186964</v>
      </c>
      <c r="P28" s="116">
        <f>SUM(Q28:U28)</f>
        <v>0.5</v>
      </c>
      <c r="Q28" s="71"/>
      <c r="R28" s="71">
        <v>0.5</v>
      </c>
      <c r="S28" s="71"/>
      <c r="T28" s="71"/>
      <c r="U28" s="72"/>
      <c r="V28" s="266">
        <f t="shared" si="53"/>
        <v>628</v>
      </c>
      <c r="W28" s="36">
        <f>H28-V28</f>
        <v>-258</v>
      </c>
      <c r="X28" s="37">
        <f>H28/V28*100</f>
        <v>58.917197452229296</v>
      </c>
      <c r="Y28" s="119">
        <f>SUM(Z28:AD28)</f>
        <v>1</v>
      </c>
      <c r="Z28" s="79"/>
      <c r="AA28" s="79"/>
      <c r="AB28" s="79"/>
      <c r="AC28" s="79"/>
      <c r="AD28" s="80">
        <v>1</v>
      </c>
      <c r="AE28" s="267">
        <f t="shared" si="54"/>
        <v>675</v>
      </c>
      <c r="AF28" s="38">
        <f>I28-AE28</f>
        <v>-295</v>
      </c>
      <c r="AG28" s="39">
        <f>I28/AE28*100</f>
        <v>56.2962962962963</v>
      </c>
      <c r="AH28" s="122">
        <f>SUM(AI28:AM28)</f>
        <v>3.5</v>
      </c>
      <c r="AI28" s="87">
        <v>3</v>
      </c>
      <c r="AJ28" s="87"/>
      <c r="AK28" s="87">
        <v>0.5</v>
      </c>
      <c r="AL28" s="87"/>
      <c r="AM28" s="88"/>
      <c r="AN28" s="268">
        <f t="shared" si="55"/>
        <v>722</v>
      </c>
      <c r="AO28" s="40">
        <f>J28-AN28</f>
        <v>-332</v>
      </c>
      <c r="AP28" s="41">
        <f>J28/AN28*100</f>
        <v>54.016620498614955</v>
      </c>
      <c r="AQ28" s="125">
        <f>SUM(AR28:AV28)</f>
        <v>2.5</v>
      </c>
      <c r="AR28" s="95">
        <v>1</v>
      </c>
      <c r="AS28" s="95">
        <v>1.5</v>
      </c>
      <c r="AT28" s="95"/>
      <c r="AU28" s="95"/>
      <c r="AV28" s="96"/>
      <c r="AW28" s="269">
        <f t="shared" si="56"/>
        <v>772</v>
      </c>
      <c r="AX28" s="152">
        <f>K28-AW28</f>
        <v>-372</v>
      </c>
      <c r="AY28" s="42">
        <f>K28/AW28*100</f>
        <v>51.813471502590666</v>
      </c>
      <c r="AZ28" s="128">
        <f>SUM(BA28:BE28)</f>
        <v>3.5</v>
      </c>
      <c r="BA28" s="102"/>
      <c r="BB28" s="102">
        <v>2.5</v>
      </c>
      <c r="BC28" s="102">
        <v>0.5</v>
      </c>
      <c r="BD28" s="102">
        <v>0.5</v>
      </c>
      <c r="BE28" s="103"/>
      <c r="BF28" s="270">
        <f t="shared" si="57"/>
        <v>825</v>
      </c>
      <c r="BG28" s="156">
        <f>L28-BF28</f>
        <v>-405</v>
      </c>
      <c r="BH28" s="43">
        <f>L28/BF28*100</f>
        <v>50.90909090909091</v>
      </c>
      <c r="BI28" s="131">
        <f>SUM(BJ28:BN28)</f>
        <v>9</v>
      </c>
      <c r="BJ28" s="109">
        <v>3.5</v>
      </c>
      <c r="BK28" s="109">
        <v>2</v>
      </c>
      <c r="BL28" s="109">
        <v>3.5</v>
      </c>
      <c r="BM28" s="109"/>
      <c r="BN28" s="110"/>
      <c r="BO28" s="148">
        <f>SUM(BP28:BU28)</f>
        <v>20</v>
      </c>
      <c r="BP28" s="112">
        <f>P28</f>
        <v>0.5</v>
      </c>
      <c r="BQ28" s="113">
        <f>Y28</f>
        <v>1</v>
      </c>
      <c r="BR28" s="113">
        <f>AH28</f>
        <v>3.5</v>
      </c>
      <c r="BS28" s="113">
        <f>AQ28</f>
        <v>2.5</v>
      </c>
      <c r="BT28" s="113">
        <f>AZ28</f>
        <v>3.5</v>
      </c>
      <c r="BU28" s="154">
        <f>BI28</f>
        <v>9</v>
      </c>
      <c r="BV28" s="302">
        <f t="shared" si="50"/>
        <v>420</v>
      </c>
      <c r="BW28" s="162"/>
      <c r="BX28" s="162"/>
      <c r="BY28" s="162"/>
      <c r="BZ28" s="162"/>
      <c r="CA28" s="162">
        <f t="shared" si="34"/>
        <v>96000</v>
      </c>
      <c r="CB28" s="162"/>
      <c r="CC28" s="162">
        <f>SUM(BW28:CB28)</f>
        <v>96000</v>
      </c>
      <c r="CD28" s="162">
        <f>CC28*0.05</f>
        <v>4800</v>
      </c>
      <c r="CE28" s="162"/>
      <c r="CF28" s="162"/>
      <c r="CG28" s="162">
        <f>CC28+CD28+CE28+CF28</f>
        <v>100800</v>
      </c>
      <c r="CI28" s="162"/>
      <c r="CJ28" s="162"/>
      <c r="CK28" s="162"/>
      <c r="CL28" s="162"/>
      <c r="CM28" s="162">
        <f t="shared" si="38"/>
        <v>185280</v>
      </c>
      <c r="CN28" s="162"/>
      <c r="CO28" s="162">
        <f>SUM(CI28:CN28)</f>
        <v>185280</v>
      </c>
      <c r="CP28" s="162">
        <f t="shared" si="40"/>
        <v>18528</v>
      </c>
      <c r="CQ28" s="162"/>
      <c r="CR28" s="162"/>
      <c r="CS28" s="162">
        <f>CO28+CP28+CQ28+CR28</f>
        <v>203808</v>
      </c>
      <c r="CU28" s="169">
        <f t="shared" si="42"/>
        <v>-89280</v>
      </c>
      <c r="CV28" s="169">
        <f t="shared" si="42"/>
        <v>-13728</v>
      </c>
      <c r="CW28" s="169">
        <f t="shared" si="42"/>
        <v>0</v>
      </c>
      <c r="CX28" s="169">
        <f t="shared" si="42"/>
        <v>0</v>
      </c>
      <c r="CY28" s="295">
        <f t="shared" si="43"/>
        <v>-103008</v>
      </c>
      <c r="CZ28" s="298">
        <f t="shared" si="51"/>
        <v>849.2</v>
      </c>
      <c r="DA28" s="289">
        <f t="shared" si="21"/>
        <v>-127822.62719999999</v>
      </c>
      <c r="DB28" s="291">
        <f>CZ28-BV28</f>
        <v>429.20000000000005</v>
      </c>
      <c r="DC28" s="149">
        <f t="shared" si="45"/>
        <v>77.20000000000005</v>
      </c>
    </row>
    <row r="29" spans="1:107" ht="16.5" thickBot="1">
      <c r="A29" s="4" t="s">
        <v>101</v>
      </c>
      <c r="B29" s="286">
        <v>100</v>
      </c>
      <c r="C29" s="5">
        <v>133407</v>
      </c>
      <c r="D29" s="6" t="s">
        <v>15</v>
      </c>
      <c r="E29" s="5" t="s">
        <v>8</v>
      </c>
      <c r="F29" s="5">
        <v>10</v>
      </c>
      <c r="G29" s="9">
        <v>520</v>
      </c>
      <c r="H29" s="12">
        <v>550</v>
      </c>
      <c r="I29" s="14">
        <v>570</v>
      </c>
      <c r="J29" s="20">
        <v>590</v>
      </c>
      <c r="K29" s="16">
        <v>610</v>
      </c>
      <c r="L29" s="18">
        <v>630</v>
      </c>
      <c r="M29" s="265">
        <f>O47</f>
        <v>583</v>
      </c>
      <c r="N29" s="34">
        <f>G29-M29</f>
        <v>-63</v>
      </c>
      <c r="O29" s="35">
        <f>G29/M29*100</f>
        <v>89.19382504288164</v>
      </c>
      <c r="P29" s="116">
        <f>SUM(Q29:U29)</f>
        <v>0</v>
      </c>
      <c r="Q29" s="71"/>
      <c r="R29" s="71"/>
      <c r="S29" s="71"/>
      <c r="T29" s="71"/>
      <c r="U29" s="72"/>
      <c r="V29" s="266">
        <f t="shared" si="53"/>
        <v>628</v>
      </c>
      <c r="W29" s="36">
        <f>H29-V29</f>
        <v>-78</v>
      </c>
      <c r="X29" s="37">
        <f>H29/V29*100</f>
        <v>87.57961783439491</v>
      </c>
      <c r="Y29" s="119">
        <f>SUM(Z29:AD29)</f>
        <v>0</v>
      </c>
      <c r="Z29" s="79"/>
      <c r="AA29" s="79"/>
      <c r="AB29" s="79"/>
      <c r="AC29" s="79"/>
      <c r="AD29" s="80"/>
      <c r="AE29" s="267">
        <f t="shared" si="54"/>
        <v>675</v>
      </c>
      <c r="AF29" s="38">
        <f>I29-AE29</f>
        <v>-105</v>
      </c>
      <c r="AG29" s="39">
        <f>I29/AE29*100</f>
        <v>84.44444444444444</v>
      </c>
      <c r="AH29" s="122">
        <f>SUM(AI29:AM29)</f>
        <v>0</v>
      </c>
      <c r="AI29" s="87"/>
      <c r="AJ29" s="87"/>
      <c r="AK29" s="87"/>
      <c r="AL29" s="87"/>
      <c r="AM29" s="88"/>
      <c r="AN29" s="268">
        <f t="shared" si="55"/>
        <v>722</v>
      </c>
      <c r="AO29" s="40">
        <f>J29-AN29</f>
        <v>-132</v>
      </c>
      <c r="AP29" s="41">
        <f>J29/AN29*100</f>
        <v>81.7174515235457</v>
      </c>
      <c r="AQ29" s="125">
        <f>SUM(AR29:AV29)</f>
        <v>0</v>
      </c>
      <c r="AR29" s="95"/>
      <c r="AS29" s="95"/>
      <c r="AT29" s="95"/>
      <c r="AU29" s="95"/>
      <c r="AV29" s="96"/>
      <c r="AW29" s="269">
        <f>AY47</f>
        <v>772</v>
      </c>
      <c r="AX29" s="152">
        <f>K29-AW29</f>
        <v>-162</v>
      </c>
      <c r="AY29" s="42">
        <f>K29/AW29*100</f>
        <v>79.01554404145078</v>
      </c>
      <c r="AZ29" s="128">
        <f>SUM(BA29:BE29)</f>
        <v>31</v>
      </c>
      <c r="BA29" s="102">
        <v>7</v>
      </c>
      <c r="BB29" s="102">
        <v>6</v>
      </c>
      <c r="BC29" s="102">
        <v>6</v>
      </c>
      <c r="BD29" s="102">
        <v>6</v>
      </c>
      <c r="BE29" s="103">
        <v>6</v>
      </c>
      <c r="BF29" s="270">
        <f t="shared" si="57"/>
        <v>825</v>
      </c>
      <c r="BG29" s="156">
        <f>L29-BF29</f>
        <v>-195</v>
      </c>
      <c r="BH29" s="43">
        <f>L29/BF29*100</f>
        <v>76.36363636363637</v>
      </c>
      <c r="BI29" s="131">
        <f>SUM(BJ29:BN29)</f>
        <v>0</v>
      </c>
      <c r="BJ29" s="109"/>
      <c r="BK29" s="109"/>
      <c r="BL29" s="109"/>
      <c r="BM29" s="109"/>
      <c r="BN29" s="110"/>
      <c r="BO29" s="148">
        <f>SUM(BP29:BU29)</f>
        <v>31</v>
      </c>
      <c r="BP29" s="112">
        <f>P29</f>
        <v>0</v>
      </c>
      <c r="BQ29" s="113">
        <f>Y29</f>
        <v>0</v>
      </c>
      <c r="BR29" s="113">
        <f>AH29</f>
        <v>0</v>
      </c>
      <c r="BS29" s="113">
        <f>AQ29</f>
        <v>0</v>
      </c>
      <c r="BT29" s="113">
        <f>AZ29</f>
        <v>31</v>
      </c>
      <c r="BU29" s="154">
        <f>BI29</f>
        <v>0</v>
      </c>
      <c r="BV29" s="303">
        <f>CG29/BO29/12</f>
        <v>610</v>
      </c>
      <c r="BW29" s="162"/>
      <c r="BX29" s="162"/>
      <c r="BY29" s="162"/>
      <c r="BZ29" s="162"/>
      <c r="CA29" s="162">
        <f t="shared" si="34"/>
        <v>226920</v>
      </c>
      <c r="CB29" s="162"/>
      <c r="CC29" s="162">
        <f>SUM(BW29:CB29)</f>
        <v>226920</v>
      </c>
      <c r="CD29" s="162"/>
      <c r="CE29" s="162"/>
      <c r="CF29" s="162"/>
      <c r="CG29" s="162">
        <f>CC29+CD29+CE29+CF29</f>
        <v>226920</v>
      </c>
      <c r="CI29" s="162"/>
      <c r="CJ29" s="162"/>
      <c r="CK29" s="162"/>
      <c r="CL29" s="162"/>
      <c r="CM29" s="162">
        <f t="shared" si="38"/>
        <v>287184</v>
      </c>
      <c r="CN29" s="162"/>
      <c r="CO29" s="162">
        <f>SUM(CI29:CN29)</f>
        <v>287184</v>
      </c>
      <c r="CP29" s="162">
        <f t="shared" si="40"/>
        <v>28718.4</v>
      </c>
      <c r="CQ29" s="162"/>
      <c r="CR29" s="162"/>
      <c r="CS29" s="162">
        <f>CO29+CP29+CQ29+CR29</f>
        <v>315902.4</v>
      </c>
      <c r="CU29" s="169">
        <f t="shared" si="42"/>
        <v>-60264</v>
      </c>
      <c r="CV29" s="169">
        <f t="shared" si="42"/>
        <v>-28718.4</v>
      </c>
      <c r="CW29" s="169">
        <f t="shared" si="42"/>
        <v>0</v>
      </c>
      <c r="CX29" s="169">
        <f t="shared" si="42"/>
        <v>0</v>
      </c>
      <c r="CY29" s="295">
        <f t="shared" si="43"/>
        <v>-88982.4</v>
      </c>
      <c r="CZ29" s="299">
        <f t="shared" si="51"/>
        <v>849.2</v>
      </c>
      <c r="DA29" s="289">
        <f t="shared" si="21"/>
        <v>-110418.26015999998</v>
      </c>
      <c r="DB29" s="292">
        <f t="shared" si="44"/>
        <v>239.20000000000005</v>
      </c>
      <c r="DC29" s="149">
        <f t="shared" si="45"/>
        <v>77.20000000000005</v>
      </c>
    </row>
    <row r="32" spans="12:61" ht="42.75" customHeight="1">
      <c r="L32" s="232"/>
      <c r="M32" s="231" t="s">
        <v>103</v>
      </c>
      <c r="N32" s="232" t="s">
        <v>104</v>
      </c>
      <c r="O32" s="233" t="s">
        <v>95</v>
      </c>
      <c r="P32" s="232"/>
      <c r="Q32" s="232"/>
      <c r="R32" s="232"/>
      <c r="S32" s="232"/>
      <c r="T32" s="232"/>
      <c r="U32" s="232"/>
      <c r="V32" s="231" t="s">
        <v>103</v>
      </c>
      <c r="W32" s="232" t="s">
        <v>104</v>
      </c>
      <c r="X32" s="233" t="s">
        <v>95</v>
      </c>
      <c r="Y32" s="232"/>
      <c r="Z32" s="232"/>
      <c r="AA32" s="232"/>
      <c r="AB32" s="232"/>
      <c r="AC32" s="232"/>
      <c r="AD32" s="232"/>
      <c r="AE32" s="231" t="s">
        <v>103</v>
      </c>
      <c r="AF32" s="232" t="s">
        <v>104</v>
      </c>
      <c r="AG32" s="233" t="s">
        <v>95</v>
      </c>
      <c r="AH32" s="232"/>
      <c r="AI32" s="232"/>
      <c r="AJ32" s="232"/>
      <c r="AK32" s="232"/>
      <c r="AL32" s="232"/>
      <c r="AM32" s="232"/>
      <c r="AN32" s="231" t="s">
        <v>103</v>
      </c>
      <c r="AO32" s="232" t="s">
        <v>104</v>
      </c>
      <c r="AP32" s="233" t="s">
        <v>95</v>
      </c>
      <c r="AQ32" s="232"/>
      <c r="AR32" s="232"/>
      <c r="AS32" s="232"/>
      <c r="AT32" s="232"/>
      <c r="AU32" s="232"/>
      <c r="AV32" s="232"/>
      <c r="AW32" s="231" t="s">
        <v>103</v>
      </c>
      <c r="AX32" s="232" t="s">
        <v>104</v>
      </c>
      <c r="AY32" s="233" t="s">
        <v>95</v>
      </c>
      <c r="AZ32" s="232"/>
      <c r="BA32" s="232"/>
      <c r="BB32" s="232"/>
      <c r="BC32" s="232"/>
      <c r="BD32" s="232"/>
      <c r="BE32" s="232"/>
      <c r="BF32" s="231" t="s">
        <v>103</v>
      </c>
      <c r="BG32" s="232" t="s">
        <v>104</v>
      </c>
      <c r="BH32" s="233" t="s">
        <v>95</v>
      </c>
      <c r="BI32" s="232"/>
    </row>
    <row r="33" spans="1:95" ht="30">
      <c r="A33" s="172" t="s">
        <v>27</v>
      </c>
      <c r="L33" s="234">
        <v>6</v>
      </c>
      <c r="M33" s="239">
        <v>330</v>
      </c>
      <c r="N33" s="173">
        <f>B15</f>
        <v>100</v>
      </c>
      <c r="O33" s="173">
        <f>M33*N33/100</f>
        <v>330</v>
      </c>
      <c r="P33" s="173"/>
      <c r="Q33" s="173"/>
      <c r="R33" s="173">
        <v>2</v>
      </c>
      <c r="S33" s="173"/>
      <c r="T33" s="173">
        <v>2.5</v>
      </c>
      <c r="U33" s="240"/>
      <c r="V33" s="241">
        <v>355</v>
      </c>
      <c r="W33" s="178">
        <f>N33</f>
        <v>100</v>
      </c>
      <c r="X33" s="178">
        <f>V33*W33/100</f>
        <v>355</v>
      </c>
      <c r="Y33" s="178"/>
      <c r="Z33" s="178"/>
      <c r="AA33" s="178">
        <v>2</v>
      </c>
      <c r="AB33" s="178">
        <v>3.5</v>
      </c>
      <c r="AC33" s="178"/>
      <c r="AD33" s="242">
        <v>1</v>
      </c>
      <c r="AE33" s="243">
        <v>382</v>
      </c>
      <c r="AF33" s="183">
        <f>N33</f>
        <v>100</v>
      </c>
      <c r="AG33" s="183">
        <f>AE33*AF33/100</f>
        <v>382</v>
      </c>
      <c r="AH33" s="183"/>
      <c r="AI33" s="183"/>
      <c r="AJ33" s="183">
        <v>1</v>
      </c>
      <c r="AK33" s="183">
        <v>3.75</v>
      </c>
      <c r="AL33" s="183">
        <v>2</v>
      </c>
      <c r="AM33" s="244">
        <v>2</v>
      </c>
      <c r="AN33" s="245">
        <v>409</v>
      </c>
      <c r="AO33" s="188">
        <f>N33</f>
        <v>100</v>
      </c>
      <c r="AP33" s="188">
        <f>AN33*AO33/100</f>
        <v>409</v>
      </c>
      <c r="AQ33" s="246"/>
      <c r="AR33" s="188"/>
      <c r="AS33" s="188">
        <v>4</v>
      </c>
      <c r="AT33" s="188">
        <v>2.75</v>
      </c>
      <c r="AU33" s="188">
        <v>1</v>
      </c>
      <c r="AV33" s="247"/>
      <c r="AW33" s="248">
        <v>438</v>
      </c>
      <c r="AX33" s="235">
        <f>N33</f>
        <v>100</v>
      </c>
      <c r="AY33" s="235">
        <f>AW33*AX33/100</f>
        <v>438</v>
      </c>
      <c r="AZ33" s="235"/>
      <c r="BA33" s="235"/>
      <c r="BB33" s="235"/>
      <c r="BC33" s="235">
        <v>2</v>
      </c>
      <c r="BD33" s="235">
        <v>7</v>
      </c>
      <c r="BE33" s="249"/>
      <c r="BF33" s="250">
        <v>467</v>
      </c>
      <c r="BG33" s="236">
        <f>N33</f>
        <v>100</v>
      </c>
      <c r="BH33" s="236">
        <f>BF33*BG33/100</f>
        <v>467</v>
      </c>
      <c r="BI33" s="236"/>
      <c r="BV33" s="304" t="s">
        <v>98</v>
      </c>
      <c r="CC33" s="144" t="s">
        <v>89</v>
      </c>
      <c r="CE33" s="158">
        <f>K6/160</f>
        <v>1.35625</v>
      </c>
      <c r="CH33" s="170" t="s">
        <v>98</v>
      </c>
      <c r="CO33" s="144" t="s">
        <v>89</v>
      </c>
      <c r="CQ33" s="158">
        <f>AW6/160</f>
        <v>1.8</v>
      </c>
    </row>
    <row r="34" spans="1:95" ht="15.75">
      <c r="A34" s="22" t="s">
        <v>30</v>
      </c>
      <c r="L34" s="5">
        <v>7</v>
      </c>
      <c r="M34" s="67">
        <v>372</v>
      </c>
      <c r="N34" s="34">
        <f aca="true" t="shared" si="58" ref="N34:N47">B16</f>
        <v>100</v>
      </c>
      <c r="O34" s="34">
        <f aca="true" t="shared" si="59" ref="O34:O47">M34*N34/100</f>
        <v>372</v>
      </c>
      <c r="P34" s="34"/>
      <c r="Q34" s="34"/>
      <c r="R34" s="34"/>
      <c r="S34" s="34"/>
      <c r="T34" s="34"/>
      <c r="U34" s="251"/>
      <c r="V34" s="75">
        <v>401</v>
      </c>
      <c r="W34" s="36">
        <f aca="true" t="shared" si="60" ref="W34:W47">N34</f>
        <v>100</v>
      </c>
      <c r="X34" s="36">
        <f aca="true" t="shared" si="61" ref="X34:X47">V34*W34/100</f>
        <v>401</v>
      </c>
      <c r="Y34" s="36"/>
      <c r="Z34" s="36"/>
      <c r="AA34" s="36"/>
      <c r="AB34" s="36"/>
      <c r="AC34" s="36"/>
      <c r="AD34" s="252"/>
      <c r="AE34" s="83">
        <v>431</v>
      </c>
      <c r="AF34" s="38">
        <f aca="true" t="shared" si="62" ref="AF34:AF47">N34</f>
        <v>100</v>
      </c>
      <c r="AG34" s="38">
        <f aca="true" t="shared" si="63" ref="AG34:AG47">AE34*AF34/100</f>
        <v>431</v>
      </c>
      <c r="AH34" s="38"/>
      <c r="AI34" s="38"/>
      <c r="AJ34" s="38"/>
      <c r="AK34" s="38"/>
      <c r="AL34" s="38"/>
      <c r="AM34" s="253"/>
      <c r="AN34" s="91">
        <v>461</v>
      </c>
      <c r="AO34" s="40">
        <f aca="true" t="shared" si="64" ref="AO34:AO47">N34</f>
        <v>100</v>
      </c>
      <c r="AP34" s="40">
        <f aca="true" t="shared" si="65" ref="AP34:AP47">AN34*AO34/100</f>
        <v>461</v>
      </c>
      <c r="AQ34" s="254"/>
      <c r="AR34" s="40"/>
      <c r="AS34" s="40"/>
      <c r="AT34" s="40"/>
      <c r="AU34" s="40"/>
      <c r="AV34" s="255"/>
      <c r="AW34" s="99">
        <v>494</v>
      </c>
      <c r="AX34" s="237">
        <f aca="true" t="shared" si="66" ref="AX34:AX47">N34</f>
        <v>100</v>
      </c>
      <c r="AY34" s="237">
        <f aca="true" t="shared" si="67" ref="AY34:AY47">AW34*AX34/100</f>
        <v>494</v>
      </c>
      <c r="AZ34" s="237"/>
      <c r="BA34" s="237">
        <v>0.5</v>
      </c>
      <c r="BB34" s="237"/>
      <c r="BC34" s="237"/>
      <c r="BD34" s="237"/>
      <c r="BE34" s="256"/>
      <c r="BF34" s="106">
        <v>527</v>
      </c>
      <c r="BG34" s="238">
        <f aca="true" t="shared" si="68" ref="BG34:BG47">N34</f>
        <v>100</v>
      </c>
      <c r="BH34" s="238">
        <f aca="true" t="shared" si="69" ref="BH34:BH47">BF34*BG34/100</f>
        <v>527</v>
      </c>
      <c r="BI34" s="238"/>
      <c r="CC34" s="144" t="s">
        <v>90</v>
      </c>
      <c r="CE34" s="158">
        <f>(J16+J17+J15)/3/160</f>
        <v>1.6</v>
      </c>
      <c r="CO34" s="144" t="s">
        <v>90</v>
      </c>
      <c r="CQ34" s="158">
        <f>(AW15+AW17+AW16)/3/160</f>
        <v>2.970833333333333</v>
      </c>
    </row>
    <row r="35" spans="1:95" ht="15.75">
      <c r="A35" s="31" t="s">
        <v>32</v>
      </c>
      <c r="L35" s="1">
        <v>7</v>
      </c>
      <c r="M35" s="67">
        <v>372</v>
      </c>
      <c r="N35" s="34">
        <f t="shared" si="58"/>
        <v>100</v>
      </c>
      <c r="O35" s="34">
        <f t="shared" si="59"/>
        <v>372</v>
      </c>
      <c r="P35" s="34"/>
      <c r="Q35" s="34"/>
      <c r="R35" s="34"/>
      <c r="S35" s="34"/>
      <c r="T35" s="34"/>
      <c r="U35" s="251"/>
      <c r="V35" s="75">
        <v>401</v>
      </c>
      <c r="W35" s="36">
        <f t="shared" si="60"/>
        <v>100</v>
      </c>
      <c r="X35" s="36">
        <f t="shared" si="61"/>
        <v>401</v>
      </c>
      <c r="Y35" s="36"/>
      <c r="Z35" s="36">
        <v>1</v>
      </c>
      <c r="AA35" s="36"/>
      <c r="AB35" s="36"/>
      <c r="AC35" s="36"/>
      <c r="AD35" s="252">
        <v>1.5</v>
      </c>
      <c r="AE35" s="83">
        <v>431</v>
      </c>
      <c r="AF35" s="38">
        <f t="shared" si="62"/>
        <v>100</v>
      </c>
      <c r="AG35" s="38">
        <f t="shared" si="63"/>
        <v>431</v>
      </c>
      <c r="AH35" s="38"/>
      <c r="AI35" s="38">
        <v>4.75</v>
      </c>
      <c r="AJ35" s="38"/>
      <c r="AK35" s="38">
        <v>1</v>
      </c>
      <c r="AL35" s="38"/>
      <c r="AM35" s="253"/>
      <c r="AN35" s="91">
        <v>461</v>
      </c>
      <c r="AO35" s="40">
        <f t="shared" si="64"/>
        <v>100</v>
      </c>
      <c r="AP35" s="40">
        <f t="shared" si="65"/>
        <v>461</v>
      </c>
      <c r="AQ35" s="254"/>
      <c r="AR35" s="40">
        <v>14.5</v>
      </c>
      <c r="AS35" s="40">
        <v>1</v>
      </c>
      <c r="AT35" s="40">
        <v>2</v>
      </c>
      <c r="AU35" s="40"/>
      <c r="AV35" s="255">
        <v>3.5</v>
      </c>
      <c r="AW35" s="99">
        <v>494</v>
      </c>
      <c r="AX35" s="237">
        <f t="shared" si="66"/>
        <v>100</v>
      </c>
      <c r="AY35" s="237">
        <f t="shared" si="67"/>
        <v>494</v>
      </c>
      <c r="AZ35" s="237"/>
      <c r="BA35" s="237">
        <v>8</v>
      </c>
      <c r="BB35" s="237">
        <v>6</v>
      </c>
      <c r="BC35" s="237">
        <v>2</v>
      </c>
      <c r="BD35" s="237">
        <v>3</v>
      </c>
      <c r="BE35" s="256">
        <v>1</v>
      </c>
      <c r="BF35" s="106">
        <v>527</v>
      </c>
      <c r="BG35" s="238">
        <f t="shared" si="68"/>
        <v>100</v>
      </c>
      <c r="BH35" s="238">
        <f t="shared" si="69"/>
        <v>527</v>
      </c>
      <c r="BI35" s="238"/>
      <c r="CC35" s="144" t="s">
        <v>92</v>
      </c>
      <c r="CE35" s="158">
        <f>K8/160</f>
        <v>1.45625</v>
      </c>
      <c r="CO35" s="144" t="s">
        <v>92</v>
      </c>
      <c r="CQ35" s="158">
        <f>AW8/160</f>
        <v>2.3625</v>
      </c>
    </row>
    <row r="36" spans="1:95" ht="15.75">
      <c r="A36" s="31" t="s">
        <v>33</v>
      </c>
      <c r="L36" s="1">
        <v>7</v>
      </c>
      <c r="M36" s="67">
        <v>372</v>
      </c>
      <c r="N36" s="34">
        <f t="shared" si="58"/>
        <v>100</v>
      </c>
      <c r="O36" s="34">
        <f t="shared" si="59"/>
        <v>372</v>
      </c>
      <c r="P36" s="34"/>
      <c r="Q36" s="34"/>
      <c r="R36" s="34"/>
      <c r="S36" s="34"/>
      <c r="T36" s="34"/>
      <c r="U36" s="251"/>
      <c r="V36" s="75">
        <v>401</v>
      </c>
      <c r="W36" s="36">
        <f t="shared" si="60"/>
        <v>100</v>
      </c>
      <c r="X36" s="36">
        <f t="shared" si="61"/>
        <v>401</v>
      </c>
      <c r="Y36" s="36"/>
      <c r="Z36" s="36"/>
      <c r="AA36" s="36"/>
      <c r="AB36" s="36"/>
      <c r="AC36" s="36"/>
      <c r="AD36" s="252">
        <v>0.5</v>
      </c>
      <c r="AE36" s="83">
        <v>431</v>
      </c>
      <c r="AF36" s="38">
        <f t="shared" si="62"/>
        <v>100</v>
      </c>
      <c r="AG36" s="38">
        <f t="shared" si="63"/>
        <v>431</v>
      </c>
      <c r="AH36" s="38"/>
      <c r="AI36" s="38"/>
      <c r="AJ36" s="38"/>
      <c r="AK36" s="38"/>
      <c r="AL36" s="38"/>
      <c r="AM36" s="253"/>
      <c r="AN36" s="91">
        <v>461</v>
      </c>
      <c r="AO36" s="40">
        <f t="shared" si="64"/>
        <v>100</v>
      </c>
      <c r="AP36" s="40">
        <f t="shared" si="65"/>
        <v>461</v>
      </c>
      <c r="AQ36" s="254"/>
      <c r="AR36" s="40">
        <v>3</v>
      </c>
      <c r="AS36" s="40"/>
      <c r="AT36" s="40"/>
      <c r="AU36" s="40"/>
      <c r="AV36" s="255"/>
      <c r="AW36" s="99">
        <v>494</v>
      </c>
      <c r="AX36" s="237">
        <f t="shared" si="66"/>
        <v>100</v>
      </c>
      <c r="AY36" s="237">
        <f t="shared" si="67"/>
        <v>494</v>
      </c>
      <c r="AZ36" s="237"/>
      <c r="BA36" s="237">
        <v>2</v>
      </c>
      <c r="BB36" s="237"/>
      <c r="BC36" s="237"/>
      <c r="BD36" s="237"/>
      <c r="BE36" s="256"/>
      <c r="BF36" s="106">
        <v>527</v>
      </c>
      <c r="BG36" s="238">
        <f t="shared" si="68"/>
        <v>100</v>
      </c>
      <c r="BH36" s="238">
        <f t="shared" si="69"/>
        <v>527</v>
      </c>
      <c r="BI36" s="238"/>
      <c r="CC36" s="144" t="s">
        <v>93</v>
      </c>
      <c r="CE36" s="158">
        <f>K13/160</f>
        <v>1.45625</v>
      </c>
      <c r="CO36" s="144" t="s">
        <v>93</v>
      </c>
      <c r="CQ36" s="158">
        <f>AW13/160</f>
        <v>2.3625</v>
      </c>
    </row>
    <row r="37" spans="1:61" ht="15.75">
      <c r="A37" s="31" t="s">
        <v>44</v>
      </c>
      <c r="L37" s="1">
        <v>8</v>
      </c>
      <c r="M37" s="67">
        <v>433</v>
      </c>
      <c r="N37" s="34">
        <f t="shared" si="58"/>
        <v>100</v>
      </c>
      <c r="O37" s="34">
        <f t="shared" si="59"/>
        <v>433</v>
      </c>
      <c r="P37" s="34"/>
      <c r="Q37" s="34"/>
      <c r="R37" s="34"/>
      <c r="S37" s="34"/>
      <c r="T37" s="34"/>
      <c r="U37" s="251"/>
      <c r="V37" s="75">
        <v>466</v>
      </c>
      <c r="W37" s="36">
        <f t="shared" si="60"/>
        <v>100</v>
      </c>
      <c r="X37" s="36">
        <f t="shared" si="61"/>
        <v>466</v>
      </c>
      <c r="Y37" s="36"/>
      <c r="Z37" s="36"/>
      <c r="AA37" s="36">
        <v>2</v>
      </c>
      <c r="AB37" s="36"/>
      <c r="AC37" s="36">
        <v>1</v>
      </c>
      <c r="AD37" s="252">
        <v>0</v>
      </c>
      <c r="AE37" s="83">
        <v>502</v>
      </c>
      <c r="AF37" s="38">
        <f t="shared" si="62"/>
        <v>100</v>
      </c>
      <c r="AG37" s="38">
        <f t="shared" si="63"/>
        <v>502</v>
      </c>
      <c r="AH37" s="38"/>
      <c r="AI37" s="38"/>
      <c r="AJ37" s="38">
        <v>1</v>
      </c>
      <c r="AK37" s="38"/>
      <c r="AL37" s="38">
        <v>1</v>
      </c>
      <c r="AM37" s="253"/>
      <c r="AN37" s="91">
        <v>538</v>
      </c>
      <c r="AO37" s="40">
        <f t="shared" si="64"/>
        <v>100</v>
      </c>
      <c r="AP37" s="40">
        <f t="shared" si="65"/>
        <v>538</v>
      </c>
      <c r="AQ37" s="254"/>
      <c r="AR37" s="40">
        <v>1</v>
      </c>
      <c r="AS37" s="40"/>
      <c r="AT37" s="40"/>
      <c r="AU37" s="40">
        <v>2.6</v>
      </c>
      <c r="AV37" s="255">
        <v>1</v>
      </c>
      <c r="AW37" s="99">
        <v>575</v>
      </c>
      <c r="AX37" s="237">
        <f t="shared" si="66"/>
        <v>100</v>
      </c>
      <c r="AY37" s="237">
        <f t="shared" si="67"/>
        <v>575</v>
      </c>
      <c r="AZ37" s="237"/>
      <c r="BA37" s="237">
        <v>1</v>
      </c>
      <c r="BB37" s="237">
        <v>1</v>
      </c>
      <c r="BC37" s="237">
        <v>2</v>
      </c>
      <c r="BD37" s="237">
        <v>1</v>
      </c>
      <c r="BE37" s="256">
        <v>2</v>
      </c>
      <c r="BF37" s="106">
        <v>614</v>
      </c>
      <c r="BG37" s="238">
        <f t="shared" si="68"/>
        <v>100</v>
      </c>
      <c r="BH37" s="238">
        <f t="shared" si="69"/>
        <v>614</v>
      </c>
      <c r="BI37" s="238"/>
    </row>
    <row r="38" spans="1:61" ht="15.75">
      <c r="A38" s="31" t="s">
        <v>43</v>
      </c>
      <c r="L38" s="1">
        <v>8</v>
      </c>
      <c r="M38" s="67">
        <v>433</v>
      </c>
      <c r="N38" s="34">
        <f t="shared" si="58"/>
        <v>100</v>
      </c>
      <c r="O38" s="34">
        <f t="shared" si="59"/>
        <v>433</v>
      </c>
      <c r="P38" s="34"/>
      <c r="Q38" s="34"/>
      <c r="R38" s="34"/>
      <c r="S38" s="34"/>
      <c r="T38" s="34"/>
      <c r="U38" s="251"/>
      <c r="V38" s="75">
        <v>466</v>
      </c>
      <c r="W38" s="36">
        <f t="shared" si="60"/>
        <v>100</v>
      </c>
      <c r="X38" s="36">
        <f t="shared" si="61"/>
        <v>466</v>
      </c>
      <c r="Y38" s="36"/>
      <c r="Z38" s="36"/>
      <c r="AA38" s="36"/>
      <c r="AB38" s="36"/>
      <c r="AC38" s="36"/>
      <c r="AD38" s="252"/>
      <c r="AE38" s="83">
        <v>502</v>
      </c>
      <c r="AF38" s="38">
        <f t="shared" si="62"/>
        <v>100</v>
      </c>
      <c r="AG38" s="38">
        <f t="shared" si="63"/>
        <v>502</v>
      </c>
      <c r="AH38" s="38"/>
      <c r="AI38" s="38">
        <v>1</v>
      </c>
      <c r="AJ38" s="38"/>
      <c r="AK38" s="38"/>
      <c r="AL38" s="38">
        <v>0.5</v>
      </c>
      <c r="AM38" s="253"/>
      <c r="AN38" s="91">
        <v>538</v>
      </c>
      <c r="AO38" s="40">
        <f t="shared" si="64"/>
        <v>100</v>
      </c>
      <c r="AP38" s="40">
        <f t="shared" si="65"/>
        <v>538</v>
      </c>
      <c r="AQ38" s="254"/>
      <c r="AR38" s="40">
        <v>3</v>
      </c>
      <c r="AS38" s="40"/>
      <c r="AT38" s="40"/>
      <c r="AU38" s="40">
        <v>0.5</v>
      </c>
      <c r="AV38" s="255"/>
      <c r="AW38" s="99">
        <v>575</v>
      </c>
      <c r="AX38" s="237">
        <f t="shared" si="66"/>
        <v>100</v>
      </c>
      <c r="AY38" s="237">
        <f t="shared" si="67"/>
        <v>575</v>
      </c>
      <c r="AZ38" s="237"/>
      <c r="BA38" s="237"/>
      <c r="BB38" s="237"/>
      <c r="BC38" s="237"/>
      <c r="BD38" s="237">
        <v>2.5</v>
      </c>
      <c r="BE38" s="256"/>
      <c r="BF38" s="106">
        <v>614</v>
      </c>
      <c r="BG38" s="238">
        <f t="shared" si="68"/>
        <v>100</v>
      </c>
      <c r="BH38" s="238">
        <f t="shared" si="69"/>
        <v>614</v>
      </c>
      <c r="BI38" s="238"/>
    </row>
    <row r="39" spans="1:61" ht="30">
      <c r="A39" s="31" t="s">
        <v>46</v>
      </c>
      <c r="L39" s="1">
        <v>8</v>
      </c>
      <c r="M39" s="67">
        <v>433</v>
      </c>
      <c r="N39" s="34">
        <f t="shared" si="58"/>
        <v>100</v>
      </c>
      <c r="O39" s="34">
        <f t="shared" si="59"/>
        <v>433</v>
      </c>
      <c r="P39" s="34"/>
      <c r="Q39" s="34"/>
      <c r="R39" s="34"/>
      <c r="S39" s="34"/>
      <c r="T39" s="34">
        <v>1</v>
      </c>
      <c r="U39" s="251"/>
      <c r="V39" s="75">
        <v>466</v>
      </c>
      <c r="W39" s="36">
        <f t="shared" si="60"/>
        <v>100</v>
      </c>
      <c r="X39" s="36">
        <f t="shared" si="61"/>
        <v>466</v>
      </c>
      <c r="Y39" s="36"/>
      <c r="Z39" s="36"/>
      <c r="AA39" s="36">
        <v>1</v>
      </c>
      <c r="AB39" s="36">
        <v>1</v>
      </c>
      <c r="AC39" s="36"/>
      <c r="AD39" s="252"/>
      <c r="AE39" s="83">
        <v>502</v>
      </c>
      <c r="AF39" s="38">
        <f t="shared" si="62"/>
        <v>100</v>
      </c>
      <c r="AG39" s="38">
        <f t="shared" si="63"/>
        <v>502</v>
      </c>
      <c r="AH39" s="38"/>
      <c r="AI39" s="38"/>
      <c r="AJ39" s="38">
        <v>2</v>
      </c>
      <c r="AK39" s="38">
        <v>1</v>
      </c>
      <c r="AL39" s="38"/>
      <c r="AM39" s="253"/>
      <c r="AN39" s="91">
        <v>538</v>
      </c>
      <c r="AO39" s="40">
        <f t="shared" si="64"/>
        <v>100</v>
      </c>
      <c r="AP39" s="40">
        <f t="shared" si="65"/>
        <v>538</v>
      </c>
      <c r="AQ39" s="254"/>
      <c r="AR39" s="40"/>
      <c r="AS39" s="40"/>
      <c r="AT39" s="40"/>
      <c r="AU39" s="40"/>
      <c r="AV39" s="255">
        <v>2</v>
      </c>
      <c r="AW39" s="99">
        <v>575</v>
      </c>
      <c r="AX39" s="237">
        <f t="shared" si="66"/>
        <v>100</v>
      </c>
      <c r="AY39" s="237">
        <f t="shared" si="67"/>
        <v>575</v>
      </c>
      <c r="AZ39" s="237"/>
      <c r="BA39" s="237">
        <v>1</v>
      </c>
      <c r="BB39" s="237">
        <v>1</v>
      </c>
      <c r="BC39" s="237"/>
      <c r="BD39" s="237"/>
      <c r="BE39" s="256"/>
      <c r="BF39" s="106">
        <v>614</v>
      </c>
      <c r="BG39" s="238">
        <f t="shared" si="68"/>
        <v>100</v>
      </c>
      <c r="BH39" s="238">
        <f t="shared" si="69"/>
        <v>614</v>
      </c>
      <c r="BI39" s="238"/>
    </row>
    <row r="40" spans="1:61" ht="30">
      <c r="A40" s="31" t="s">
        <v>35</v>
      </c>
      <c r="L40" s="1">
        <v>8</v>
      </c>
      <c r="M40" s="67">
        <v>433</v>
      </c>
      <c r="N40" s="34">
        <f t="shared" si="58"/>
        <v>100</v>
      </c>
      <c r="O40" s="34">
        <f t="shared" si="59"/>
        <v>433</v>
      </c>
      <c r="P40" s="34"/>
      <c r="Q40" s="34"/>
      <c r="R40" s="34"/>
      <c r="S40" s="34"/>
      <c r="T40" s="34"/>
      <c r="U40" s="251"/>
      <c r="V40" s="75">
        <v>466</v>
      </c>
      <c r="W40" s="36">
        <f t="shared" si="60"/>
        <v>100</v>
      </c>
      <c r="X40" s="36">
        <f t="shared" si="61"/>
        <v>466</v>
      </c>
      <c r="Y40" s="36"/>
      <c r="Z40" s="36"/>
      <c r="AA40" s="36"/>
      <c r="AB40" s="36"/>
      <c r="AC40" s="36"/>
      <c r="AD40" s="252"/>
      <c r="AE40" s="83">
        <v>502</v>
      </c>
      <c r="AF40" s="38">
        <f t="shared" si="62"/>
        <v>100</v>
      </c>
      <c r="AG40" s="38">
        <f t="shared" si="63"/>
        <v>502</v>
      </c>
      <c r="AH40" s="38"/>
      <c r="AI40" s="38"/>
      <c r="AJ40" s="38"/>
      <c r="AK40" s="38"/>
      <c r="AL40" s="38"/>
      <c r="AM40" s="253">
        <v>1</v>
      </c>
      <c r="AN40" s="91">
        <v>538</v>
      </c>
      <c r="AO40" s="40">
        <f t="shared" si="64"/>
        <v>100</v>
      </c>
      <c r="AP40" s="40">
        <f t="shared" si="65"/>
        <v>538</v>
      </c>
      <c r="AQ40" s="254"/>
      <c r="AR40" s="40"/>
      <c r="AS40" s="40"/>
      <c r="AT40" s="40"/>
      <c r="AU40" s="40"/>
      <c r="AV40" s="255"/>
      <c r="AW40" s="99">
        <v>575</v>
      </c>
      <c r="AX40" s="237">
        <f t="shared" si="66"/>
        <v>100</v>
      </c>
      <c r="AY40" s="237">
        <f t="shared" si="67"/>
        <v>575</v>
      </c>
      <c r="AZ40" s="237"/>
      <c r="BA40" s="237"/>
      <c r="BB40" s="237"/>
      <c r="BC40" s="237"/>
      <c r="BD40" s="237"/>
      <c r="BE40" s="256">
        <v>1</v>
      </c>
      <c r="BF40" s="106">
        <v>614</v>
      </c>
      <c r="BG40" s="238">
        <f t="shared" si="68"/>
        <v>100</v>
      </c>
      <c r="BH40" s="238">
        <f t="shared" si="69"/>
        <v>614</v>
      </c>
      <c r="BI40" s="238"/>
    </row>
    <row r="41" spans="1:61" ht="15.75">
      <c r="A41" s="31" t="s">
        <v>39</v>
      </c>
      <c r="L41" s="1">
        <v>8</v>
      </c>
      <c r="M41" s="67">
        <v>433</v>
      </c>
      <c r="N41" s="34">
        <f t="shared" si="58"/>
        <v>100</v>
      </c>
      <c r="O41" s="34">
        <f t="shared" si="59"/>
        <v>433</v>
      </c>
      <c r="P41" s="34"/>
      <c r="Q41" s="34"/>
      <c r="R41" s="34"/>
      <c r="S41" s="34"/>
      <c r="T41" s="34"/>
      <c r="U41" s="251"/>
      <c r="V41" s="75">
        <v>466</v>
      </c>
      <c r="W41" s="36">
        <f t="shared" si="60"/>
        <v>100</v>
      </c>
      <c r="X41" s="36">
        <f t="shared" si="61"/>
        <v>466</v>
      </c>
      <c r="Y41" s="36"/>
      <c r="Z41" s="36"/>
      <c r="AA41" s="36"/>
      <c r="AB41" s="36"/>
      <c r="AC41" s="36"/>
      <c r="AD41" s="252"/>
      <c r="AE41" s="83">
        <v>502</v>
      </c>
      <c r="AF41" s="38">
        <f t="shared" si="62"/>
        <v>100</v>
      </c>
      <c r="AG41" s="38">
        <f t="shared" si="63"/>
        <v>502</v>
      </c>
      <c r="AH41" s="38"/>
      <c r="AI41" s="38"/>
      <c r="AJ41" s="38"/>
      <c r="AK41" s="38"/>
      <c r="AL41" s="38"/>
      <c r="AM41" s="253"/>
      <c r="AN41" s="91">
        <v>538</v>
      </c>
      <c r="AO41" s="40">
        <f t="shared" si="64"/>
        <v>100</v>
      </c>
      <c r="AP41" s="40">
        <f t="shared" si="65"/>
        <v>538</v>
      </c>
      <c r="AQ41" s="254"/>
      <c r="AR41" s="40"/>
      <c r="AS41" s="40"/>
      <c r="AT41" s="40"/>
      <c r="AU41" s="40"/>
      <c r="AV41" s="255"/>
      <c r="AW41" s="99">
        <v>575</v>
      </c>
      <c r="AX41" s="237">
        <f t="shared" si="66"/>
        <v>100</v>
      </c>
      <c r="AY41" s="237">
        <f t="shared" si="67"/>
        <v>575</v>
      </c>
      <c r="AZ41" s="237"/>
      <c r="BA41" s="237"/>
      <c r="BB41" s="237"/>
      <c r="BC41" s="237"/>
      <c r="BD41" s="237"/>
      <c r="BE41" s="256">
        <v>0.5</v>
      </c>
      <c r="BF41" s="106">
        <v>614</v>
      </c>
      <c r="BG41" s="238">
        <f t="shared" si="68"/>
        <v>100</v>
      </c>
      <c r="BH41" s="238">
        <f t="shared" si="69"/>
        <v>614</v>
      </c>
      <c r="BI41" s="238"/>
    </row>
    <row r="42" spans="1:61" ht="15.75">
      <c r="A42" s="31" t="s">
        <v>41</v>
      </c>
      <c r="L42" s="1">
        <v>8</v>
      </c>
      <c r="M42" s="67">
        <v>433</v>
      </c>
      <c r="N42" s="34">
        <f t="shared" si="58"/>
        <v>100</v>
      </c>
      <c r="O42" s="34">
        <f t="shared" si="59"/>
        <v>433</v>
      </c>
      <c r="P42" s="34"/>
      <c r="Q42" s="34"/>
      <c r="R42" s="34"/>
      <c r="S42" s="34">
        <v>1</v>
      </c>
      <c r="T42" s="34"/>
      <c r="U42" s="251"/>
      <c r="V42" s="75">
        <v>466</v>
      </c>
      <c r="W42" s="36">
        <f t="shared" si="60"/>
        <v>100</v>
      </c>
      <c r="X42" s="36">
        <f t="shared" si="61"/>
        <v>466</v>
      </c>
      <c r="Y42" s="36"/>
      <c r="Z42" s="36">
        <v>1</v>
      </c>
      <c r="AA42" s="36"/>
      <c r="AB42" s="36"/>
      <c r="AC42" s="36"/>
      <c r="AD42" s="252"/>
      <c r="AE42" s="83">
        <v>502</v>
      </c>
      <c r="AF42" s="38">
        <f t="shared" si="62"/>
        <v>100</v>
      </c>
      <c r="AG42" s="38">
        <f t="shared" si="63"/>
        <v>502</v>
      </c>
      <c r="AH42" s="38"/>
      <c r="AI42" s="38">
        <v>1</v>
      </c>
      <c r="AJ42" s="38">
        <v>2</v>
      </c>
      <c r="AK42" s="38"/>
      <c r="AL42" s="38"/>
      <c r="AM42" s="253">
        <v>1</v>
      </c>
      <c r="AN42" s="91">
        <v>538</v>
      </c>
      <c r="AO42" s="40">
        <f t="shared" si="64"/>
        <v>100</v>
      </c>
      <c r="AP42" s="40">
        <f t="shared" si="65"/>
        <v>538</v>
      </c>
      <c r="AQ42" s="254"/>
      <c r="AR42" s="40">
        <v>1.5</v>
      </c>
      <c r="AS42" s="40">
        <v>1</v>
      </c>
      <c r="AT42" s="40"/>
      <c r="AU42" s="40"/>
      <c r="AV42" s="255">
        <v>1</v>
      </c>
      <c r="AW42" s="99">
        <v>575</v>
      </c>
      <c r="AX42" s="237">
        <f t="shared" si="66"/>
        <v>100</v>
      </c>
      <c r="AY42" s="237">
        <f t="shared" si="67"/>
        <v>575</v>
      </c>
      <c r="AZ42" s="237"/>
      <c r="BA42" s="237">
        <v>2.75</v>
      </c>
      <c r="BB42" s="237"/>
      <c r="BC42" s="237">
        <v>1.25</v>
      </c>
      <c r="BD42" s="237"/>
      <c r="BE42" s="256"/>
      <c r="BF42" s="106">
        <v>614</v>
      </c>
      <c r="BG42" s="238">
        <f t="shared" si="68"/>
        <v>100</v>
      </c>
      <c r="BH42" s="238">
        <f t="shared" si="69"/>
        <v>614</v>
      </c>
      <c r="BI42" s="238"/>
    </row>
    <row r="43" spans="1:61" ht="15.75">
      <c r="A43" s="22" t="s">
        <v>48</v>
      </c>
      <c r="L43" s="5">
        <v>9</v>
      </c>
      <c r="M43" s="67">
        <v>493</v>
      </c>
      <c r="N43" s="34">
        <f t="shared" si="58"/>
        <v>100</v>
      </c>
      <c r="O43" s="34">
        <f t="shared" si="59"/>
        <v>493</v>
      </c>
      <c r="P43" s="34"/>
      <c r="Q43" s="34"/>
      <c r="R43" s="34"/>
      <c r="S43" s="34">
        <v>1</v>
      </c>
      <c r="T43" s="34"/>
      <c r="U43" s="251"/>
      <c r="V43" s="75">
        <v>531</v>
      </c>
      <c r="W43" s="36">
        <f t="shared" si="60"/>
        <v>100</v>
      </c>
      <c r="X43" s="36">
        <f t="shared" si="61"/>
        <v>531</v>
      </c>
      <c r="Y43" s="36"/>
      <c r="Z43" s="36">
        <v>0.5</v>
      </c>
      <c r="AA43" s="36"/>
      <c r="AB43" s="36"/>
      <c r="AC43" s="36"/>
      <c r="AD43" s="252">
        <v>1</v>
      </c>
      <c r="AE43" s="83">
        <v>571</v>
      </c>
      <c r="AF43" s="38">
        <f t="shared" si="62"/>
        <v>100</v>
      </c>
      <c r="AG43" s="38">
        <f t="shared" si="63"/>
        <v>571</v>
      </c>
      <c r="AH43" s="38"/>
      <c r="AI43" s="38">
        <v>1</v>
      </c>
      <c r="AJ43" s="38"/>
      <c r="AK43" s="38"/>
      <c r="AL43" s="38"/>
      <c r="AM43" s="253"/>
      <c r="AN43" s="91">
        <v>611</v>
      </c>
      <c r="AO43" s="40">
        <f t="shared" si="64"/>
        <v>100</v>
      </c>
      <c r="AP43" s="40">
        <f t="shared" si="65"/>
        <v>611</v>
      </c>
      <c r="AQ43" s="254"/>
      <c r="AR43" s="40">
        <v>2</v>
      </c>
      <c r="AS43" s="40"/>
      <c r="AT43" s="40"/>
      <c r="AU43" s="40"/>
      <c r="AV43" s="255"/>
      <c r="AW43" s="99">
        <v>655</v>
      </c>
      <c r="AX43" s="237">
        <f t="shared" si="66"/>
        <v>100</v>
      </c>
      <c r="AY43" s="237">
        <f t="shared" si="67"/>
        <v>655</v>
      </c>
      <c r="AZ43" s="237"/>
      <c r="BA43" s="237">
        <v>0.25</v>
      </c>
      <c r="BB43" s="237"/>
      <c r="BC43" s="237"/>
      <c r="BD43" s="237">
        <v>0.5</v>
      </c>
      <c r="BE43" s="256"/>
      <c r="BF43" s="106">
        <v>698</v>
      </c>
      <c r="BG43" s="238">
        <f t="shared" si="68"/>
        <v>100</v>
      </c>
      <c r="BH43" s="238">
        <f t="shared" si="69"/>
        <v>698</v>
      </c>
      <c r="BI43" s="238"/>
    </row>
    <row r="44" spans="1:61" ht="15.75">
      <c r="A44" s="22" t="s">
        <v>50</v>
      </c>
      <c r="L44" s="5">
        <v>9</v>
      </c>
      <c r="M44" s="67">
        <v>493</v>
      </c>
      <c r="N44" s="34">
        <f t="shared" si="58"/>
        <v>100</v>
      </c>
      <c r="O44" s="34">
        <f t="shared" si="59"/>
        <v>493</v>
      </c>
      <c r="P44" s="34"/>
      <c r="Q44" s="34"/>
      <c r="R44" s="34"/>
      <c r="S44" s="34"/>
      <c r="T44" s="34"/>
      <c r="U44" s="251"/>
      <c r="V44" s="75">
        <v>531</v>
      </c>
      <c r="W44" s="36">
        <f t="shared" si="60"/>
        <v>100</v>
      </c>
      <c r="X44" s="36">
        <f t="shared" si="61"/>
        <v>531</v>
      </c>
      <c r="Y44" s="36"/>
      <c r="Z44" s="36"/>
      <c r="AA44" s="36"/>
      <c r="AB44" s="36"/>
      <c r="AC44" s="36"/>
      <c r="AD44" s="252">
        <v>5</v>
      </c>
      <c r="AE44" s="83">
        <v>571</v>
      </c>
      <c r="AF44" s="38">
        <f t="shared" si="62"/>
        <v>100</v>
      </c>
      <c r="AG44" s="38">
        <f t="shared" si="63"/>
        <v>571</v>
      </c>
      <c r="AH44" s="38"/>
      <c r="AI44" s="38">
        <v>1</v>
      </c>
      <c r="AJ44" s="38"/>
      <c r="AK44" s="38"/>
      <c r="AL44" s="38"/>
      <c r="AM44" s="253"/>
      <c r="AN44" s="91">
        <v>611</v>
      </c>
      <c r="AO44" s="40">
        <f t="shared" si="64"/>
        <v>100</v>
      </c>
      <c r="AP44" s="40">
        <f t="shared" si="65"/>
        <v>611</v>
      </c>
      <c r="AQ44" s="254"/>
      <c r="AR44" s="40">
        <v>3.5</v>
      </c>
      <c r="AS44" s="40"/>
      <c r="AT44" s="40"/>
      <c r="AU44" s="40"/>
      <c r="AV44" s="255"/>
      <c r="AW44" s="99">
        <v>655</v>
      </c>
      <c r="AX44" s="237">
        <f t="shared" si="66"/>
        <v>100</v>
      </c>
      <c r="AY44" s="237">
        <f t="shared" si="67"/>
        <v>655</v>
      </c>
      <c r="AZ44" s="237"/>
      <c r="BA44" s="237"/>
      <c r="BB44" s="237"/>
      <c r="BC44" s="237"/>
      <c r="BD44" s="237">
        <v>1</v>
      </c>
      <c r="BE44" s="256"/>
      <c r="BF44" s="106">
        <v>698</v>
      </c>
      <c r="BG44" s="238">
        <f t="shared" si="68"/>
        <v>100</v>
      </c>
      <c r="BH44" s="238">
        <f t="shared" si="69"/>
        <v>698</v>
      </c>
      <c r="BI44" s="238"/>
    </row>
    <row r="45" spans="1:61" ht="15.75">
      <c r="A45" s="22" t="s">
        <v>52</v>
      </c>
      <c r="L45" s="5">
        <v>9</v>
      </c>
      <c r="M45" s="67">
        <v>493</v>
      </c>
      <c r="N45" s="34">
        <f t="shared" si="58"/>
        <v>100</v>
      </c>
      <c r="O45" s="34">
        <f t="shared" si="59"/>
        <v>493</v>
      </c>
      <c r="P45" s="34"/>
      <c r="Q45" s="34"/>
      <c r="R45" s="34"/>
      <c r="S45" s="34"/>
      <c r="T45" s="34"/>
      <c r="U45" s="251"/>
      <c r="V45" s="75">
        <v>531</v>
      </c>
      <c r="W45" s="36">
        <f t="shared" si="60"/>
        <v>100</v>
      </c>
      <c r="X45" s="36">
        <f t="shared" si="61"/>
        <v>531</v>
      </c>
      <c r="Y45" s="36"/>
      <c r="Z45" s="36"/>
      <c r="AA45" s="36"/>
      <c r="AB45" s="36"/>
      <c r="AC45" s="36"/>
      <c r="AD45" s="252"/>
      <c r="AE45" s="83">
        <v>571</v>
      </c>
      <c r="AF45" s="38">
        <f t="shared" si="62"/>
        <v>100</v>
      </c>
      <c r="AG45" s="38">
        <f t="shared" si="63"/>
        <v>571</v>
      </c>
      <c r="AH45" s="38"/>
      <c r="AI45" s="38"/>
      <c r="AJ45" s="38"/>
      <c r="AK45" s="38"/>
      <c r="AL45" s="38"/>
      <c r="AM45" s="253"/>
      <c r="AN45" s="91">
        <v>611</v>
      </c>
      <c r="AO45" s="40">
        <f t="shared" si="64"/>
        <v>100</v>
      </c>
      <c r="AP45" s="40">
        <f t="shared" si="65"/>
        <v>611</v>
      </c>
      <c r="AQ45" s="254"/>
      <c r="AR45" s="40"/>
      <c r="AS45" s="40"/>
      <c r="AT45" s="40"/>
      <c r="AU45" s="40"/>
      <c r="AV45" s="255"/>
      <c r="AW45" s="99">
        <v>655</v>
      </c>
      <c r="AX45" s="237">
        <f t="shared" si="66"/>
        <v>100</v>
      </c>
      <c r="AY45" s="237">
        <f t="shared" si="67"/>
        <v>655</v>
      </c>
      <c r="AZ45" s="237"/>
      <c r="BA45" s="237"/>
      <c r="BB45" s="237"/>
      <c r="BC45" s="237"/>
      <c r="BD45" s="237"/>
      <c r="BE45" s="256"/>
      <c r="BF45" s="106">
        <v>698</v>
      </c>
      <c r="BG45" s="238">
        <f t="shared" si="68"/>
        <v>100</v>
      </c>
      <c r="BH45" s="238">
        <f t="shared" si="69"/>
        <v>698</v>
      </c>
      <c r="BI45" s="238"/>
    </row>
    <row r="46" spans="1:61" ht="16.5" thickBot="1">
      <c r="A46" s="22" t="s">
        <v>54</v>
      </c>
      <c r="L46" s="5">
        <v>10</v>
      </c>
      <c r="M46" s="218">
        <v>583</v>
      </c>
      <c r="N46" s="34">
        <f t="shared" si="58"/>
        <v>100</v>
      </c>
      <c r="O46" s="34">
        <f t="shared" si="59"/>
        <v>583</v>
      </c>
      <c r="P46" s="69"/>
      <c r="Q46" s="69"/>
      <c r="R46" s="69"/>
      <c r="S46" s="69"/>
      <c r="T46" s="69"/>
      <c r="U46" s="257"/>
      <c r="V46" s="219">
        <v>628</v>
      </c>
      <c r="W46" s="36">
        <f t="shared" si="60"/>
        <v>100</v>
      </c>
      <c r="X46" s="36">
        <f t="shared" si="61"/>
        <v>628</v>
      </c>
      <c r="Y46" s="77"/>
      <c r="Z46" s="77"/>
      <c r="AA46" s="77"/>
      <c r="AB46" s="77"/>
      <c r="AC46" s="77"/>
      <c r="AD46" s="258">
        <v>1</v>
      </c>
      <c r="AE46" s="220">
        <v>675</v>
      </c>
      <c r="AF46" s="38">
        <f t="shared" si="62"/>
        <v>100</v>
      </c>
      <c r="AG46" s="38">
        <f t="shared" si="63"/>
        <v>675</v>
      </c>
      <c r="AH46" s="85"/>
      <c r="AI46" s="85">
        <v>3</v>
      </c>
      <c r="AJ46" s="85"/>
      <c r="AK46" s="85">
        <v>0.5</v>
      </c>
      <c r="AL46" s="85"/>
      <c r="AM46" s="259"/>
      <c r="AN46" s="221">
        <v>722</v>
      </c>
      <c r="AO46" s="40">
        <f t="shared" si="64"/>
        <v>100</v>
      </c>
      <c r="AP46" s="40">
        <f t="shared" si="65"/>
        <v>722</v>
      </c>
      <c r="AQ46" s="260"/>
      <c r="AR46" s="93">
        <v>1</v>
      </c>
      <c r="AS46" s="93"/>
      <c r="AT46" s="93"/>
      <c r="AU46" s="93"/>
      <c r="AV46" s="261"/>
      <c r="AW46" s="222">
        <v>772</v>
      </c>
      <c r="AX46" s="237">
        <f t="shared" si="66"/>
        <v>100</v>
      </c>
      <c r="AY46" s="237">
        <f t="shared" si="67"/>
        <v>772</v>
      </c>
      <c r="AZ46" s="262"/>
      <c r="BA46" s="262"/>
      <c r="BB46" s="262">
        <v>1</v>
      </c>
      <c r="BC46" s="262">
        <v>0.5</v>
      </c>
      <c r="BD46" s="262">
        <v>0.5</v>
      </c>
      <c r="BE46" s="263"/>
      <c r="BF46" s="223">
        <v>825</v>
      </c>
      <c r="BG46" s="238">
        <f t="shared" si="68"/>
        <v>100</v>
      </c>
      <c r="BH46" s="238">
        <f t="shared" si="69"/>
        <v>825</v>
      </c>
      <c r="BI46" s="264"/>
    </row>
    <row r="47" spans="1:61" ht="16.5" thickBot="1">
      <c r="A47" s="22" t="s">
        <v>101</v>
      </c>
      <c r="L47" s="5">
        <v>10</v>
      </c>
      <c r="M47" s="218">
        <f>583</f>
        <v>583</v>
      </c>
      <c r="N47" s="34">
        <f t="shared" si="58"/>
        <v>100</v>
      </c>
      <c r="O47" s="34">
        <f t="shared" si="59"/>
        <v>583</v>
      </c>
      <c r="P47" s="69"/>
      <c r="Q47" s="69"/>
      <c r="R47" s="69"/>
      <c r="S47" s="69"/>
      <c r="T47" s="69"/>
      <c r="U47" s="257"/>
      <c r="V47" s="219">
        <v>628</v>
      </c>
      <c r="W47" s="36">
        <f t="shared" si="60"/>
        <v>100</v>
      </c>
      <c r="X47" s="36">
        <f t="shared" si="61"/>
        <v>628</v>
      </c>
      <c r="Y47" s="77"/>
      <c r="Z47" s="77"/>
      <c r="AA47" s="77"/>
      <c r="AB47" s="77"/>
      <c r="AC47" s="77"/>
      <c r="AD47" s="258"/>
      <c r="AE47" s="220">
        <v>675</v>
      </c>
      <c r="AF47" s="38">
        <f t="shared" si="62"/>
        <v>100</v>
      </c>
      <c r="AG47" s="38">
        <f t="shared" si="63"/>
        <v>675</v>
      </c>
      <c r="AH47" s="85"/>
      <c r="AI47" s="85"/>
      <c r="AJ47" s="85"/>
      <c r="AK47" s="85"/>
      <c r="AL47" s="85"/>
      <c r="AM47" s="259"/>
      <c r="AN47" s="221">
        <v>722</v>
      </c>
      <c r="AO47" s="40">
        <f t="shared" si="64"/>
        <v>100</v>
      </c>
      <c r="AP47" s="40">
        <f t="shared" si="65"/>
        <v>722</v>
      </c>
      <c r="AQ47" s="260"/>
      <c r="AR47" s="93"/>
      <c r="AS47" s="93"/>
      <c r="AT47" s="93"/>
      <c r="AU47" s="93"/>
      <c r="AV47" s="261"/>
      <c r="AW47" s="222">
        <v>772</v>
      </c>
      <c r="AX47" s="237">
        <f t="shared" si="66"/>
        <v>100</v>
      </c>
      <c r="AY47" s="237">
        <f t="shared" si="67"/>
        <v>772</v>
      </c>
      <c r="AZ47" s="262"/>
      <c r="BA47" s="262">
        <v>7</v>
      </c>
      <c r="BB47" s="262">
        <v>6</v>
      </c>
      <c r="BC47" s="262">
        <v>6</v>
      </c>
      <c r="BD47" s="262">
        <v>6</v>
      </c>
      <c r="BE47" s="263">
        <v>6</v>
      </c>
      <c r="BF47" s="223">
        <v>825</v>
      </c>
      <c r="BG47" s="238">
        <f t="shared" si="68"/>
        <v>100</v>
      </c>
      <c r="BH47" s="238">
        <f t="shared" si="69"/>
        <v>825</v>
      </c>
      <c r="BI47" s="264"/>
    </row>
    <row r="48" spans="13:61" ht="15.75"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</row>
  </sheetData>
  <sheetProtection/>
  <mergeCells count="10">
    <mergeCell ref="M3:U3"/>
    <mergeCell ref="V3:AD3"/>
    <mergeCell ref="AE3:AM3"/>
    <mergeCell ref="AN3:AV3"/>
    <mergeCell ref="CI3:CS3"/>
    <mergeCell ref="CU3:CY3"/>
    <mergeCell ref="AW3:BE3"/>
    <mergeCell ref="BF3:BN3"/>
    <mergeCell ref="BP3:BU3"/>
    <mergeCell ref="BW3:CG3"/>
  </mergeCells>
  <printOptions/>
  <pageMargins left="0.28" right="0.25" top="0.45" bottom="0.32" header="0.27" footer="0.18"/>
  <pageSetup fitToHeight="1" fitToWidth="1" horizontalDpi="600" verticalDpi="6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tabSelected="1" zoomScale="75" zoomScaleNormal="75" workbookViewId="0" topLeftCell="A19">
      <selection activeCell="A41" sqref="A41"/>
    </sheetView>
  </sheetViews>
  <sheetFormatPr defaultColWidth="9.140625" defaultRowHeight="12.75"/>
  <cols>
    <col min="1" max="1" width="19.7109375" style="144" bestFit="1" customWidth="1"/>
    <col min="2" max="2" width="8.8515625" style="144" bestFit="1" customWidth="1"/>
    <col min="3" max="3" width="3.7109375" style="144" bestFit="1" customWidth="1"/>
    <col min="4" max="4" width="4.00390625" style="144" bestFit="1" customWidth="1"/>
    <col min="5" max="5" width="3.7109375" style="144" customWidth="1"/>
    <col min="6" max="6" width="6.57421875" style="144" bestFit="1" customWidth="1"/>
    <col min="7" max="7" width="5.8515625" style="144" bestFit="1" customWidth="1"/>
    <col min="8" max="8" width="8.8515625" style="144" customWidth="1"/>
    <col min="9" max="9" width="7.140625" style="475" customWidth="1"/>
    <col min="10" max="10" width="5.8515625" style="144" customWidth="1"/>
    <col min="11" max="11" width="5.8515625" style="324" bestFit="1" customWidth="1"/>
    <col min="12" max="12" width="8.7109375" style="324" customWidth="1"/>
    <col min="13" max="13" width="6.421875" style="324" customWidth="1"/>
    <col min="14" max="14" width="10.00390625" style="144" customWidth="1"/>
    <col min="15" max="15" width="10.57421875" style="144" bestFit="1" customWidth="1"/>
    <col min="16" max="17" width="10.57421875" style="144" customWidth="1"/>
    <col min="18" max="18" width="11.00390625" style="144" bestFit="1" customWidth="1"/>
    <col min="19" max="19" width="10.8515625" style="144" bestFit="1" customWidth="1"/>
    <col min="20" max="20" width="11.57421875" style="144" bestFit="1" customWidth="1"/>
    <col min="21" max="22" width="10.57421875" style="144" customWidth="1"/>
    <col min="23" max="23" width="11.00390625" style="144" bestFit="1" customWidth="1"/>
    <col min="24" max="24" width="11.57421875" style="144" bestFit="1" customWidth="1"/>
    <col min="25" max="25" width="10.57421875" style="144" bestFit="1" customWidth="1"/>
    <col min="26" max="27" width="10.57421875" style="144" customWidth="1"/>
    <col min="28" max="28" width="11.00390625" style="144" bestFit="1" customWidth="1"/>
    <col min="29" max="29" width="13.57421875" style="144" bestFit="1" customWidth="1"/>
    <col min="30" max="30" width="10.57421875" style="144" bestFit="1" customWidth="1"/>
    <col min="31" max="31" width="9.7109375" style="144" hidden="1" customWidth="1"/>
    <col min="32" max="16384" width="9.140625" style="144" customWidth="1"/>
  </cols>
  <sheetData>
    <row r="1" spans="9:30" s="334" customFormat="1" ht="15.75">
      <c r="I1" s="326"/>
      <c r="T1" s="327"/>
      <c r="AD1" s="328" t="s">
        <v>133</v>
      </c>
    </row>
    <row r="2" spans="9:30" s="334" customFormat="1" ht="15.75">
      <c r="I2" s="326"/>
      <c r="T2" s="329"/>
      <c r="AD2" s="328" t="s">
        <v>131</v>
      </c>
    </row>
    <row r="3" spans="9:30" s="334" customFormat="1" ht="15.75">
      <c r="I3" s="326"/>
      <c r="T3" s="329"/>
      <c r="AD3" s="328" t="s">
        <v>132</v>
      </c>
    </row>
    <row r="4" spans="6:14" s="334" customFormat="1" ht="15.75">
      <c r="F4" s="330"/>
      <c r="G4" s="330"/>
      <c r="H4" s="330"/>
      <c r="I4" s="331"/>
      <c r="J4" s="330"/>
      <c r="K4" s="332"/>
      <c r="L4" s="332"/>
      <c r="M4" s="332"/>
      <c r="N4" s="333" t="s">
        <v>128</v>
      </c>
    </row>
    <row r="5" spans="6:25" ht="16.5" customHeight="1" thickBot="1">
      <c r="F5" s="513"/>
      <c r="G5" s="513"/>
      <c r="H5" s="513"/>
      <c r="I5" s="513"/>
      <c r="J5" s="513"/>
      <c r="K5" s="513"/>
      <c r="L5" s="513"/>
      <c r="M5" s="513"/>
      <c r="N5" s="513"/>
      <c r="Y5" s="319"/>
    </row>
    <row r="6" spans="6:30" ht="13.5" thickBot="1">
      <c r="F6" s="511" t="s">
        <v>77</v>
      </c>
      <c r="G6" s="512"/>
      <c r="H6" s="512"/>
      <c r="I6" s="512"/>
      <c r="J6" s="512"/>
      <c r="K6" s="512"/>
      <c r="L6" s="512"/>
      <c r="M6" s="512"/>
      <c r="N6" s="504" t="s">
        <v>72</v>
      </c>
      <c r="O6" s="501" t="s">
        <v>116</v>
      </c>
      <c r="P6" s="501"/>
      <c r="Q6" s="501"/>
      <c r="R6" s="502"/>
      <c r="S6" s="503"/>
      <c r="T6" s="521" t="s">
        <v>122</v>
      </c>
      <c r="U6" s="501"/>
      <c r="V6" s="501"/>
      <c r="W6" s="502"/>
      <c r="X6" s="522"/>
      <c r="Y6" s="518" t="s">
        <v>123</v>
      </c>
      <c r="Z6" s="519"/>
      <c r="AA6" s="519"/>
      <c r="AB6" s="519"/>
      <c r="AC6" s="519"/>
      <c r="AD6" s="520"/>
    </row>
    <row r="7" spans="6:30" ht="13.5" thickBot="1">
      <c r="F7" s="514" t="s">
        <v>116</v>
      </c>
      <c r="G7" s="515"/>
      <c r="H7" s="516"/>
      <c r="I7" s="517"/>
      <c r="J7" s="511" t="s">
        <v>122</v>
      </c>
      <c r="K7" s="512"/>
      <c r="L7" s="512"/>
      <c r="M7" s="512"/>
      <c r="N7" s="505"/>
      <c r="O7" s="391"/>
      <c r="P7" s="507" t="s">
        <v>137</v>
      </c>
      <c r="Q7" s="508"/>
      <c r="R7" s="509"/>
      <c r="S7" s="421"/>
      <c r="T7" s="310"/>
      <c r="U7" s="507" t="s">
        <v>137</v>
      </c>
      <c r="V7" s="508"/>
      <c r="W7" s="509"/>
      <c r="X7" s="311"/>
      <c r="Y7" s="320"/>
      <c r="Z7" s="507" t="s">
        <v>137</v>
      </c>
      <c r="AA7" s="508"/>
      <c r="AB7" s="509"/>
      <c r="AC7" s="321"/>
      <c r="AD7" s="322"/>
    </row>
    <row r="8" spans="1:31" ht="131.25" customHeight="1" thickBot="1">
      <c r="A8" s="312" t="s">
        <v>0</v>
      </c>
      <c r="B8" s="313" t="s">
        <v>1</v>
      </c>
      <c r="C8" s="314" t="s">
        <v>2</v>
      </c>
      <c r="D8" s="313" t="s">
        <v>3</v>
      </c>
      <c r="E8" s="315" t="s">
        <v>58</v>
      </c>
      <c r="F8" s="305" t="s">
        <v>120</v>
      </c>
      <c r="G8" s="306" t="s">
        <v>59</v>
      </c>
      <c r="H8" s="446" t="s">
        <v>136</v>
      </c>
      <c r="I8" s="307" t="s">
        <v>121</v>
      </c>
      <c r="J8" s="305" t="s">
        <v>120</v>
      </c>
      <c r="K8" s="305" t="s">
        <v>59</v>
      </c>
      <c r="L8" s="446" t="s">
        <v>136</v>
      </c>
      <c r="M8" s="323" t="s">
        <v>121</v>
      </c>
      <c r="N8" s="506"/>
      <c r="O8" s="392" t="s">
        <v>118</v>
      </c>
      <c r="P8" s="392" t="s">
        <v>138</v>
      </c>
      <c r="Q8" s="392" t="s">
        <v>139</v>
      </c>
      <c r="R8" s="317" t="s">
        <v>145</v>
      </c>
      <c r="S8" s="422" t="s">
        <v>117</v>
      </c>
      <c r="T8" s="316" t="s">
        <v>118</v>
      </c>
      <c r="U8" s="392" t="s">
        <v>140</v>
      </c>
      <c r="V8" s="392" t="s">
        <v>139</v>
      </c>
      <c r="W8" s="317" t="s">
        <v>144</v>
      </c>
      <c r="X8" s="318" t="s">
        <v>117</v>
      </c>
      <c r="Y8" s="370" t="s">
        <v>118</v>
      </c>
      <c r="Z8" s="447" t="s">
        <v>140</v>
      </c>
      <c r="AA8" s="447" t="s">
        <v>139</v>
      </c>
      <c r="AB8" s="368" t="s">
        <v>144</v>
      </c>
      <c r="AC8" s="368" t="s">
        <v>117</v>
      </c>
      <c r="AD8" s="369" t="s">
        <v>119</v>
      </c>
      <c r="AE8" s="448" t="s">
        <v>111</v>
      </c>
    </row>
    <row r="9" spans="1:31" s="336" customFormat="1" ht="23.25" thickBot="1">
      <c r="A9" s="393">
        <v>1</v>
      </c>
      <c r="B9" s="394">
        <v>2</v>
      </c>
      <c r="C9" s="394" t="s">
        <v>129</v>
      </c>
      <c r="D9" s="394">
        <v>4</v>
      </c>
      <c r="E9" s="395">
        <v>5</v>
      </c>
      <c r="F9" s="396">
        <v>6</v>
      </c>
      <c r="G9" s="397">
        <v>7</v>
      </c>
      <c r="H9" s="398" t="s">
        <v>158</v>
      </c>
      <c r="I9" s="398" t="s">
        <v>154</v>
      </c>
      <c r="J9" s="396">
        <v>10</v>
      </c>
      <c r="K9" s="399">
        <v>11</v>
      </c>
      <c r="L9" s="449" t="s">
        <v>159</v>
      </c>
      <c r="M9" s="398" t="s">
        <v>155</v>
      </c>
      <c r="N9" s="400">
        <v>14</v>
      </c>
      <c r="O9" s="387" t="s">
        <v>146</v>
      </c>
      <c r="P9" s="387" t="s">
        <v>156</v>
      </c>
      <c r="Q9" s="387">
        <v>17</v>
      </c>
      <c r="R9" s="387" t="s">
        <v>130</v>
      </c>
      <c r="S9" s="388" t="s">
        <v>147</v>
      </c>
      <c r="T9" s="386" t="s">
        <v>148</v>
      </c>
      <c r="U9" s="387" t="s">
        <v>161</v>
      </c>
      <c r="V9" s="387">
        <v>22</v>
      </c>
      <c r="W9" s="387" t="s">
        <v>149</v>
      </c>
      <c r="X9" s="427" t="s">
        <v>150</v>
      </c>
      <c r="Y9" s="386" t="s">
        <v>141</v>
      </c>
      <c r="Z9" s="387" t="s">
        <v>142</v>
      </c>
      <c r="AA9" s="387" t="s">
        <v>143</v>
      </c>
      <c r="AB9" s="387" t="s">
        <v>151</v>
      </c>
      <c r="AC9" s="401" t="s">
        <v>152</v>
      </c>
      <c r="AD9" s="402" t="s">
        <v>153</v>
      </c>
      <c r="AE9" s="335"/>
    </row>
    <row r="10" spans="1:31" s="451" customFormat="1" ht="38.25">
      <c r="A10" s="417" t="s">
        <v>135</v>
      </c>
      <c r="B10" s="372"/>
      <c r="C10" s="418"/>
      <c r="D10" s="372"/>
      <c r="E10" s="374"/>
      <c r="F10" s="371"/>
      <c r="G10" s="372"/>
      <c r="H10" s="374"/>
      <c r="I10" s="373"/>
      <c r="J10" s="371"/>
      <c r="K10" s="372"/>
      <c r="L10" s="374"/>
      <c r="M10" s="374"/>
      <c r="N10" s="366">
        <f aca="true" t="shared" si="0" ref="N10:AC10">SUM(N11:N34)</f>
        <v>1837.6999999999998</v>
      </c>
      <c r="O10" s="340">
        <f t="shared" si="0"/>
        <v>5314902.54939759</v>
      </c>
      <c r="P10" s="419">
        <f>SUM(P11:P34)</f>
        <v>254399.12746987955</v>
      </c>
      <c r="Q10" s="419">
        <f>SUM(Q11:Q34)</f>
        <v>497766</v>
      </c>
      <c r="R10" s="419">
        <f t="shared" si="0"/>
        <v>752165.1274698795</v>
      </c>
      <c r="S10" s="423">
        <f t="shared" si="0"/>
        <v>6067067.676867471</v>
      </c>
      <c r="T10" s="367">
        <f t="shared" si="0"/>
        <v>6762221.88</v>
      </c>
      <c r="U10" s="419">
        <f>SUM(U11:U34)</f>
        <v>1690555.47</v>
      </c>
      <c r="V10" s="419">
        <f>SUM(V11:V34)</f>
        <v>674998.4249999999</v>
      </c>
      <c r="W10" s="419">
        <f t="shared" si="0"/>
        <v>2365553.895</v>
      </c>
      <c r="X10" s="423">
        <f t="shared" si="0"/>
        <v>9127775.774999999</v>
      </c>
      <c r="Y10" s="367">
        <f t="shared" si="0"/>
        <v>1447319.3306024089</v>
      </c>
      <c r="Z10" s="419">
        <f>SUM(Z11:Z34)</f>
        <v>1436156.3425301209</v>
      </c>
      <c r="AA10" s="419">
        <f>SUM(AA11:AA34)</f>
        <v>177232.42499999996</v>
      </c>
      <c r="AB10" s="419">
        <f t="shared" si="0"/>
        <v>1613388.7675301204</v>
      </c>
      <c r="AC10" s="442">
        <f t="shared" si="0"/>
        <v>3060708.0981325293</v>
      </c>
      <c r="AD10" s="443">
        <f>AC10*1.2409-0.3</f>
        <v>3798032.3789726556</v>
      </c>
      <c r="AE10" s="450"/>
    </row>
    <row r="11" spans="1:31" ht="15">
      <c r="A11" s="308" t="s">
        <v>9</v>
      </c>
      <c r="B11" s="341" t="s">
        <v>10</v>
      </c>
      <c r="C11" s="342">
        <v>39</v>
      </c>
      <c r="D11" s="341" t="s">
        <v>4</v>
      </c>
      <c r="E11" s="343">
        <v>3</v>
      </c>
      <c r="F11" s="344">
        <v>217</v>
      </c>
      <c r="G11" s="345">
        <v>75.34722222222221</v>
      </c>
      <c r="H11" s="351">
        <f>R11/N11/12</f>
        <v>42.228030558634984</v>
      </c>
      <c r="I11" s="351">
        <f>F11+H11</f>
        <v>259.228030558635</v>
      </c>
      <c r="J11" s="346">
        <v>259.2</v>
      </c>
      <c r="K11" s="441">
        <v>90</v>
      </c>
      <c r="L11" s="351">
        <f>W11/N11/12</f>
        <v>106.96513230828553</v>
      </c>
      <c r="M11" s="351">
        <f>J11+L11</f>
        <v>366.16513230828554</v>
      </c>
      <c r="N11" s="347">
        <v>1037.35</v>
      </c>
      <c r="O11" s="364">
        <f>F11*N11*12</f>
        <v>2701259.4</v>
      </c>
      <c r="P11" s="350">
        <f>O11*0.05</f>
        <v>135062.97</v>
      </c>
      <c r="Q11" s="350">
        <v>390600</v>
      </c>
      <c r="R11" s="350">
        <f>P11+Q11</f>
        <v>525662.97</v>
      </c>
      <c r="S11" s="424">
        <f>O11+R11</f>
        <v>3226922.37</v>
      </c>
      <c r="T11" s="349">
        <f>J11*N11*12</f>
        <v>3226573.4399999995</v>
      </c>
      <c r="U11" s="350">
        <f>T11*0.25</f>
        <v>806643.3599999999</v>
      </c>
      <c r="V11" s="350">
        <v>524880</v>
      </c>
      <c r="W11" s="350">
        <f>U11+V11</f>
        <v>1331523.3599999999</v>
      </c>
      <c r="X11" s="424">
        <f>T11+W11</f>
        <v>4558096.799999999</v>
      </c>
      <c r="Y11" s="349">
        <f>T11-O11</f>
        <v>525314.0399999996</v>
      </c>
      <c r="Z11" s="350">
        <f>U11-P11</f>
        <v>671580.3899999999</v>
      </c>
      <c r="AA11" s="350">
        <f>V11-Q11</f>
        <v>134280</v>
      </c>
      <c r="AB11" s="350">
        <f>W11-R11</f>
        <v>805860.3899999999</v>
      </c>
      <c r="AC11" s="441">
        <f>X11-S11</f>
        <v>1331174.4299999988</v>
      </c>
      <c r="AD11" s="352">
        <f>AC11*1.2409</f>
        <v>1651854.3501869983</v>
      </c>
      <c r="AE11" s="452" t="e">
        <f>#REF!-J11</f>
        <v>#REF!</v>
      </c>
    </row>
    <row r="12" spans="1:31" ht="30">
      <c r="A12" s="308" t="s">
        <v>11</v>
      </c>
      <c r="B12" s="341" t="s">
        <v>12</v>
      </c>
      <c r="C12" s="342">
        <v>39</v>
      </c>
      <c r="D12" s="341" t="s">
        <v>4</v>
      </c>
      <c r="E12" s="343">
        <v>3</v>
      </c>
      <c r="F12" s="344">
        <v>217</v>
      </c>
      <c r="G12" s="345">
        <v>75.34722222222221</v>
      </c>
      <c r="H12" s="351">
        <f aca="true" t="shared" si="1" ref="H12:H34">R12/N12/12</f>
        <v>10.850000000000001</v>
      </c>
      <c r="I12" s="351">
        <f aca="true" t="shared" si="2" ref="I12:I35">F12+H12</f>
        <v>227.85</v>
      </c>
      <c r="J12" s="346">
        <v>259.2</v>
      </c>
      <c r="K12" s="441">
        <v>90</v>
      </c>
      <c r="L12" s="351">
        <f aca="true" t="shared" si="3" ref="L12:L34">W12/N12/12</f>
        <v>64.8</v>
      </c>
      <c r="M12" s="351">
        <f aca="true" t="shared" si="4" ref="M12:M35">J12+L12</f>
        <v>324</v>
      </c>
      <c r="N12" s="347">
        <v>53</v>
      </c>
      <c r="O12" s="364">
        <f aca="true" t="shared" si="5" ref="O12:O34">F12*N12*12</f>
        <v>138012</v>
      </c>
      <c r="P12" s="350">
        <f>O12*0.05</f>
        <v>6900.6</v>
      </c>
      <c r="Q12" s="350">
        <v>0</v>
      </c>
      <c r="R12" s="350">
        <f aca="true" t="shared" si="6" ref="R12:R34">P12+Q12</f>
        <v>6900.6</v>
      </c>
      <c r="S12" s="424">
        <f aca="true" t="shared" si="7" ref="S12:S35">O12+R12</f>
        <v>144912.6</v>
      </c>
      <c r="T12" s="349">
        <f aca="true" t="shared" si="8" ref="T12:T34">J12*N12*12</f>
        <v>164851.19999999998</v>
      </c>
      <c r="U12" s="350">
        <f aca="true" t="shared" si="9" ref="U12:U34">T12*0.25</f>
        <v>41212.799999999996</v>
      </c>
      <c r="V12" s="350">
        <v>0</v>
      </c>
      <c r="W12" s="350">
        <f aca="true" t="shared" si="10" ref="W12:W35">U12+V12</f>
        <v>41212.799999999996</v>
      </c>
      <c r="X12" s="424">
        <f aca="true" t="shared" si="11" ref="X12:X35">T12+W12</f>
        <v>206063.99999999997</v>
      </c>
      <c r="Y12" s="349">
        <f aca="true" t="shared" si="12" ref="Y12:Y35">T12-O12</f>
        <v>26839.199999999983</v>
      </c>
      <c r="Z12" s="350">
        <f aca="true" t="shared" si="13" ref="Z12:Z36">U12-P12</f>
        <v>34312.2</v>
      </c>
      <c r="AA12" s="350">
        <f aca="true" t="shared" si="14" ref="AA12:AA36">V12-Q12</f>
        <v>0</v>
      </c>
      <c r="AB12" s="350">
        <f aca="true" t="shared" si="15" ref="AB12:AB34">W12-R12</f>
        <v>34312.2</v>
      </c>
      <c r="AC12" s="441">
        <f aca="true" t="shared" si="16" ref="AC12:AC34">X12-S12</f>
        <v>61151.399999999965</v>
      </c>
      <c r="AD12" s="352">
        <f aca="true" t="shared" si="17" ref="AD12:AD35">AC12*1.2409</f>
        <v>75882.77225999995</v>
      </c>
      <c r="AE12" s="452" t="e">
        <f>#REF!-J12</f>
        <v>#REF!</v>
      </c>
    </row>
    <row r="13" spans="1:31" ht="15">
      <c r="A13" s="309" t="s">
        <v>21</v>
      </c>
      <c r="B13" s="353" t="s">
        <v>22</v>
      </c>
      <c r="C13" s="354">
        <v>39</v>
      </c>
      <c r="D13" s="353" t="s">
        <v>5</v>
      </c>
      <c r="E13" s="355">
        <v>5</v>
      </c>
      <c r="F13" s="344">
        <v>233</v>
      </c>
      <c r="G13" s="345">
        <v>61.64021164021164</v>
      </c>
      <c r="H13" s="351">
        <f t="shared" si="1"/>
        <v>14.161162432640493</v>
      </c>
      <c r="I13" s="351">
        <f t="shared" si="2"/>
        <v>247.16116243264048</v>
      </c>
      <c r="J13" s="346">
        <v>340.2</v>
      </c>
      <c r="K13" s="441">
        <v>90</v>
      </c>
      <c r="L13" s="351">
        <f t="shared" si="3"/>
        <v>88.71651270207853</v>
      </c>
      <c r="M13" s="351">
        <f t="shared" si="4"/>
        <v>428.91651270207853</v>
      </c>
      <c r="N13" s="347">
        <v>216.5</v>
      </c>
      <c r="O13" s="364">
        <f t="shared" si="5"/>
        <v>605334</v>
      </c>
      <c r="P13" s="350">
        <f aca="true" t="shared" si="18" ref="P13:P33">O13*0.05</f>
        <v>30266.7</v>
      </c>
      <c r="Q13" s="350">
        <v>6524</v>
      </c>
      <c r="R13" s="350">
        <f t="shared" si="6"/>
        <v>36790.7</v>
      </c>
      <c r="S13" s="424">
        <f t="shared" si="7"/>
        <v>642124.7</v>
      </c>
      <c r="T13" s="349">
        <f t="shared" si="8"/>
        <v>883839.6000000001</v>
      </c>
      <c r="U13" s="350">
        <f t="shared" si="9"/>
        <v>220959.90000000002</v>
      </c>
      <c r="V13" s="350">
        <v>9525.599999999977</v>
      </c>
      <c r="W13" s="350">
        <f t="shared" si="10"/>
        <v>230485.5</v>
      </c>
      <c r="X13" s="424">
        <f t="shared" si="11"/>
        <v>1114325.1</v>
      </c>
      <c r="Y13" s="349">
        <f t="shared" si="12"/>
        <v>278505.6000000001</v>
      </c>
      <c r="Z13" s="350">
        <f t="shared" si="13"/>
        <v>190693.2</v>
      </c>
      <c r="AA13" s="350">
        <f t="shared" si="14"/>
        <v>3001.5999999999767</v>
      </c>
      <c r="AB13" s="350">
        <f t="shared" si="15"/>
        <v>193694.8</v>
      </c>
      <c r="AC13" s="441">
        <f t="shared" si="16"/>
        <v>472200.40000000014</v>
      </c>
      <c r="AD13" s="352">
        <f t="shared" si="17"/>
        <v>585953.4763600001</v>
      </c>
      <c r="AE13" s="452" t="e">
        <f>#REF!-J13</f>
        <v>#REF!</v>
      </c>
    </row>
    <row r="14" spans="1:31" ht="15">
      <c r="A14" s="309" t="s">
        <v>23</v>
      </c>
      <c r="B14" s="353" t="s">
        <v>24</v>
      </c>
      <c r="C14" s="354">
        <v>39</v>
      </c>
      <c r="D14" s="353" t="s">
        <v>5</v>
      </c>
      <c r="E14" s="355">
        <v>5</v>
      </c>
      <c r="F14" s="344">
        <v>233</v>
      </c>
      <c r="G14" s="345">
        <v>61.64021164021164</v>
      </c>
      <c r="H14" s="351">
        <f t="shared" si="1"/>
        <v>11.65</v>
      </c>
      <c r="I14" s="351">
        <f t="shared" si="2"/>
        <v>244.65</v>
      </c>
      <c r="J14" s="346">
        <v>340.2</v>
      </c>
      <c r="K14" s="441">
        <v>90</v>
      </c>
      <c r="L14" s="351">
        <f t="shared" si="3"/>
        <v>85.05</v>
      </c>
      <c r="M14" s="351">
        <f t="shared" si="4"/>
        <v>425.25</v>
      </c>
      <c r="N14" s="347">
        <v>23</v>
      </c>
      <c r="O14" s="364">
        <f t="shared" si="5"/>
        <v>64308</v>
      </c>
      <c r="P14" s="350">
        <f t="shared" si="18"/>
        <v>3215.4</v>
      </c>
      <c r="Q14" s="350">
        <v>0</v>
      </c>
      <c r="R14" s="350">
        <f t="shared" si="6"/>
        <v>3215.4</v>
      </c>
      <c r="S14" s="424">
        <f t="shared" si="7"/>
        <v>67523.4</v>
      </c>
      <c r="T14" s="349">
        <f t="shared" si="8"/>
        <v>93895.2</v>
      </c>
      <c r="U14" s="350">
        <f t="shared" si="9"/>
        <v>23473.8</v>
      </c>
      <c r="V14" s="350">
        <v>0</v>
      </c>
      <c r="W14" s="350">
        <f t="shared" si="10"/>
        <v>23473.8</v>
      </c>
      <c r="X14" s="424">
        <f t="shared" si="11"/>
        <v>117369</v>
      </c>
      <c r="Y14" s="349">
        <f t="shared" si="12"/>
        <v>29587.199999999997</v>
      </c>
      <c r="Z14" s="350">
        <f t="shared" si="13"/>
        <v>20258.399999999998</v>
      </c>
      <c r="AA14" s="350">
        <f t="shared" si="14"/>
        <v>0</v>
      </c>
      <c r="AB14" s="350">
        <f t="shared" si="15"/>
        <v>20258.399999999998</v>
      </c>
      <c r="AC14" s="441">
        <f t="shared" si="16"/>
        <v>49845.600000000006</v>
      </c>
      <c r="AD14" s="352">
        <f t="shared" si="17"/>
        <v>61853.405040000005</v>
      </c>
      <c r="AE14" s="452" t="e">
        <f>#REF!-J14</f>
        <v>#REF!</v>
      </c>
    </row>
    <row r="15" spans="1:31" ht="15">
      <c r="A15" s="309" t="s">
        <v>25</v>
      </c>
      <c r="B15" s="353" t="s">
        <v>26</v>
      </c>
      <c r="C15" s="354">
        <v>39</v>
      </c>
      <c r="D15" s="353" t="s">
        <v>5</v>
      </c>
      <c r="E15" s="355">
        <v>5</v>
      </c>
      <c r="F15" s="344">
        <v>233</v>
      </c>
      <c r="G15" s="345">
        <v>61.64021164021164</v>
      </c>
      <c r="H15" s="351">
        <f t="shared" si="1"/>
        <v>11.65</v>
      </c>
      <c r="I15" s="351">
        <f t="shared" si="2"/>
        <v>244.65</v>
      </c>
      <c r="J15" s="346">
        <v>340.2</v>
      </c>
      <c r="K15" s="441">
        <v>90</v>
      </c>
      <c r="L15" s="351">
        <f t="shared" si="3"/>
        <v>85.05</v>
      </c>
      <c r="M15" s="351">
        <f t="shared" si="4"/>
        <v>425.25</v>
      </c>
      <c r="N15" s="347">
        <v>44.85</v>
      </c>
      <c r="O15" s="364">
        <f t="shared" si="5"/>
        <v>125400.6</v>
      </c>
      <c r="P15" s="350">
        <f t="shared" si="18"/>
        <v>6270.030000000001</v>
      </c>
      <c r="Q15" s="350">
        <v>0</v>
      </c>
      <c r="R15" s="350">
        <f t="shared" si="6"/>
        <v>6270.030000000001</v>
      </c>
      <c r="S15" s="424">
        <f t="shared" si="7"/>
        <v>131670.63</v>
      </c>
      <c r="T15" s="349">
        <f t="shared" si="8"/>
        <v>183095.63999999998</v>
      </c>
      <c r="U15" s="350">
        <f t="shared" si="9"/>
        <v>45773.909999999996</v>
      </c>
      <c r="V15" s="350">
        <v>0</v>
      </c>
      <c r="W15" s="350">
        <f t="shared" si="10"/>
        <v>45773.909999999996</v>
      </c>
      <c r="X15" s="424">
        <f t="shared" si="11"/>
        <v>228869.55</v>
      </c>
      <c r="Y15" s="349">
        <f t="shared" si="12"/>
        <v>57695.03999999998</v>
      </c>
      <c r="Z15" s="350">
        <f t="shared" si="13"/>
        <v>39503.88</v>
      </c>
      <c r="AA15" s="350">
        <f t="shared" si="14"/>
        <v>0</v>
      </c>
      <c r="AB15" s="350">
        <f t="shared" si="15"/>
        <v>39503.88</v>
      </c>
      <c r="AC15" s="441">
        <f t="shared" si="16"/>
        <v>97198.91999999998</v>
      </c>
      <c r="AD15" s="352">
        <f t="shared" si="17"/>
        <v>120614.13982799997</v>
      </c>
      <c r="AE15" s="452" t="e">
        <f>#REF!-J15</f>
        <v>#REF!</v>
      </c>
    </row>
    <row r="16" spans="1:31" ht="15">
      <c r="A16" s="308" t="s">
        <v>18</v>
      </c>
      <c r="B16" s="341" t="s">
        <v>19</v>
      </c>
      <c r="C16" s="342" t="s">
        <v>16</v>
      </c>
      <c r="D16" s="341" t="s">
        <v>4</v>
      </c>
      <c r="E16" s="343">
        <v>5</v>
      </c>
      <c r="F16" s="344">
        <v>233</v>
      </c>
      <c r="G16" s="345">
        <v>61.64021164021164</v>
      </c>
      <c r="H16" s="351">
        <f t="shared" si="1"/>
        <v>11.65</v>
      </c>
      <c r="I16" s="351">
        <f t="shared" si="2"/>
        <v>244.65</v>
      </c>
      <c r="J16" s="346">
        <v>302.4</v>
      </c>
      <c r="K16" s="441">
        <v>80</v>
      </c>
      <c r="L16" s="351">
        <f t="shared" si="3"/>
        <v>75.60000000000001</v>
      </c>
      <c r="M16" s="351">
        <f t="shared" si="4"/>
        <v>378</v>
      </c>
      <c r="N16" s="347">
        <v>5</v>
      </c>
      <c r="O16" s="364">
        <f t="shared" si="5"/>
        <v>13980</v>
      </c>
      <c r="P16" s="350">
        <f t="shared" si="18"/>
        <v>699</v>
      </c>
      <c r="Q16" s="350">
        <v>0</v>
      </c>
      <c r="R16" s="350">
        <f t="shared" si="6"/>
        <v>699</v>
      </c>
      <c r="S16" s="424">
        <f t="shared" si="7"/>
        <v>14679</v>
      </c>
      <c r="T16" s="349">
        <f t="shared" si="8"/>
        <v>18144</v>
      </c>
      <c r="U16" s="350">
        <f t="shared" si="9"/>
        <v>4536</v>
      </c>
      <c r="V16" s="350">
        <v>0</v>
      </c>
      <c r="W16" s="350">
        <f t="shared" si="10"/>
        <v>4536</v>
      </c>
      <c r="X16" s="424">
        <f t="shared" si="11"/>
        <v>22680</v>
      </c>
      <c r="Y16" s="349">
        <f t="shared" si="12"/>
        <v>4164</v>
      </c>
      <c r="Z16" s="350">
        <f t="shared" si="13"/>
        <v>3837</v>
      </c>
      <c r="AA16" s="350">
        <f t="shared" si="14"/>
        <v>0</v>
      </c>
      <c r="AB16" s="350">
        <f t="shared" si="15"/>
        <v>3837</v>
      </c>
      <c r="AC16" s="441">
        <f t="shared" si="16"/>
        <v>8001</v>
      </c>
      <c r="AD16" s="352">
        <f t="shared" si="17"/>
        <v>9928.4409</v>
      </c>
      <c r="AE16" s="452" t="e">
        <f>#REF!-J16</f>
        <v>#REF!</v>
      </c>
    </row>
    <row r="17" spans="1:31" ht="30">
      <c r="A17" s="308" t="s">
        <v>17</v>
      </c>
      <c r="B17" s="341" t="s">
        <v>56</v>
      </c>
      <c r="C17" s="342">
        <v>39</v>
      </c>
      <c r="D17" s="341" t="s">
        <v>5</v>
      </c>
      <c r="E17" s="343">
        <v>5</v>
      </c>
      <c r="F17" s="344">
        <v>233</v>
      </c>
      <c r="G17" s="345">
        <v>61.64021164021164</v>
      </c>
      <c r="H17" s="351">
        <f t="shared" si="1"/>
        <v>11.65</v>
      </c>
      <c r="I17" s="351">
        <f t="shared" si="2"/>
        <v>244.65</v>
      </c>
      <c r="J17" s="346">
        <v>340.2</v>
      </c>
      <c r="K17" s="441">
        <v>90</v>
      </c>
      <c r="L17" s="351">
        <f t="shared" si="3"/>
        <v>85.05</v>
      </c>
      <c r="M17" s="351">
        <f t="shared" si="4"/>
        <v>425.25</v>
      </c>
      <c r="N17" s="347">
        <v>9</v>
      </c>
      <c r="O17" s="364">
        <f t="shared" si="5"/>
        <v>25164</v>
      </c>
      <c r="P17" s="350">
        <f t="shared" si="18"/>
        <v>1258.2</v>
      </c>
      <c r="Q17" s="350">
        <v>0</v>
      </c>
      <c r="R17" s="350">
        <f t="shared" si="6"/>
        <v>1258.2</v>
      </c>
      <c r="S17" s="424">
        <f t="shared" si="7"/>
        <v>26422.2</v>
      </c>
      <c r="T17" s="349">
        <f t="shared" si="8"/>
        <v>36741.6</v>
      </c>
      <c r="U17" s="350">
        <f t="shared" si="9"/>
        <v>9185.4</v>
      </c>
      <c r="V17" s="350">
        <v>0</v>
      </c>
      <c r="W17" s="350">
        <f t="shared" si="10"/>
        <v>9185.4</v>
      </c>
      <c r="X17" s="424">
        <f t="shared" si="11"/>
        <v>45927</v>
      </c>
      <c r="Y17" s="349">
        <f t="shared" si="12"/>
        <v>11577.599999999999</v>
      </c>
      <c r="Z17" s="350">
        <f t="shared" si="13"/>
        <v>7927.2</v>
      </c>
      <c r="AA17" s="350">
        <f t="shared" si="14"/>
        <v>0</v>
      </c>
      <c r="AB17" s="350">
        <f t="shared" si="15"/>
        <v>7927.2</v>
      </c>
      <c r="AC17" s="441">
        <f t="shared" si="16"/>
        <v>19504.8</v>
      </c>
      <c r="AD17" s="352">
        <f t="shared" si="17"/>
        <v>24203.506319999997</v>
      </c>
      <c r="AE17" s="452" t="e">
        <f>#REF!-J17</f>
        <v>#REF!</v>
      </c>
    </row>
    <row r="18" spans="1:31" ht="30">
      <c r="A18" s="309" t="s">
        <v>55</v>
      </c>
      <c r="B18" s="353" t="s">
        <v>20</v>
      </c>
      <c r="C18" s="354">
        <v>39</v>
      </c>
      <c r="D18" s="353" t="s">
        <v>5</v>
      </c>
      <c r="E18" s="355">
        <v>5</v>
      </c>
      <c r="F18" s="344">
        <v>233</v>
      </c>
      <c r="G18" s="345">
        <v>61.64021164021164</v>
      </c>
      <c r="H18" s="351">
        <f t="shared" si="1"/>
        <v>21.62553516819572</v>
      </c>
      <c r="I18" s="351">
        <f t="shared" si="2"/>
        <v>254.6255351681957</v>
      </c>
      <c r="J18" s="346">
        <v>340.2</v>
      </c>
      <c r="K18" s="441">
        <v>90</v>
      </c>
      <c r="L18" s="351">
        <f t="shared" si="3"/>
        <v>99.61513761467891</v>
      </c>
      <c r="M18" s="351">
        <f t="shared" si="4"/>
        <v>439.8151376146789</v>
      </c>
      <c r="N18" s="347">
        <v>54.5</v>
      </c>
      <c r="O18" s="364">
        <f t="shared" si="5"/>
        <v>152382</v>
      </c>
      <c r="P18" s="350">
        <f t="shared" si="18"/>
        <v>7619.1</v>
      </c>
      <c r="Q18" s="350">
        <v>6524</v>
      </c>
      <c r="R18" s="350">
        <f t="shared" si="6"/>
        <v>14143.1</v>
      </c>
      <c r="S18" s="424">
        <f t="shared" si="7"/>
        <v>166525.1</v>
      </c>
      <c r="T18" s="349">
        <f t="shared" si="8"/>
        <v>222490.8</v>
      </c>
      <c r="U18" s="350">
        <f t="shared" si="9"/>
        <v>55622.7</v>
      </c>
      <c r="V18" s="350">
        <v>9525.600000000006</v>
      </c>
      <c r="W18" s="350">
        <f t="shared" si="10"/>
        <v>65148.3</v>
      </c>
      <c r="X18" s="424">
        <f t="shared" si="11"/>
        <v>287639.1</v>
      </c>
      <c r="Y18" s="349">
        <f t="shared" si="12"/>
        <v>70108.79999999999</v>
      </c>
      <c r="Z18" s="350">
        <f t="shared" si="13"/>
        <v>48003.6</v>
      </c>
      <c r="AA18" s="350">
        <f t="shared" si="14"/>
        <v>3001.600000000006</v>
      </c>
      <c r="AB18" s="350">
        <f t="shared" si="15"/>
        <v>51005.200000000004</v>
      </c>
      <c r="AC18" s="441">
        <f t="shared" si="16"/>
        <v>121113.99999999997</v>
      </c>
      <c r="AD18" s="352">
        <f t="shared" si="17"/>
        <v>150290.36259999996</v>
      </c>
      <c r="AE18" s="452" t="e">
        <f>#REF!-J18</f>
        <v>#REF!</v>
      </c>
    </row>
    <row r="19" spans="1:31" ht="45.75" thickBot="1">
      <c r="A19" s="420" t="s">
        <v>13</v>
      </c>
      <c r="B19" s="384" t="s">
        <v>14</v>
      </c>
      <c r="C19" s="383" t="s">
        <v>15</v>
      </c>
      <c r="D19" s="384" t="s">
        <v>5</v>
      </c>
      <c r="E19" s="385">
        <v>5</v>
      </c>
      <c r="F19" s="375">
        <v>233</v>
      </c>
      <c r="G19" s="376">
        <v>61.64021164021164</v>
      </c>
      <c r="H19" s="351">
        <f t="shared" si="1"/>
        <v>11.65</v>
      </c>
      <c r="I19" s="377">
        <f t="shared" si="2"/>
        <v>244.65</v>
      </c>
      <c r="J19" s="359">
        <v>340.2</v>
      </c>
      <c r="K19" s="444">
        <v>90</v>
      </c>
      <c r="L19" s="351">
        <f t="shared" si="3"/>
        <v>85.05</v>
      </c>
      <c r="M19" s="377">
        <f t="shared" si="4"/>
        <v>425.25</v>
      </c>
      <c r="N19" s="360">
        <v>8</v>
      </c>
      <c r="O19" s="365">
        <f t="shared" si="5"/>
        <v>22368</v>
      </c>
      <c r="P19" s="362">
        <f t="shared" si="18"/>
        <v>1118.4</v>
      </c>
      <c r="Q19" s="362">
        <v>0</v>
      </c>
      <c r="R19" s="362">
        <f t="shared" si="6"/>
        <v>1118.4</v>
      </c>
      <c r="S19" s="425">
        <f t="shared" si="7"/>
        <v>23486.4</v>
      </c>
      <c r="T19" s="361">
        <f t="shared" si="8"/>
        <v>32659.199999999997</v>
      </c>
      <c r="U19" s="362">
        <f t="shared" si="9"/>
        <v>8164.799999999999</v>
      </c>
      <c r="V19" s="362">
        <v>0</v>
      </c>
      <c r="W19" s="362">
        <f t="shared" si="10"/>
        <v>8164.799999999999</v>
      </c>
      <c r="X19" s="425">
        <f t="shared" si="11"/>
        <v>40824</v>
      </c>
      <c r="Y19" s="361">
        <f t="shared" si="12"/>
        <v>10291.199999999997</v>
      </c>
      <c r="Z19" s="362">
        <f t="shared" si="13"/>
        <v>7046.4</v>
      </c>
      <c r="AA19" s="362">
        <f t="shared" si="14"/>
        <v>0</v>
      </c>
      <c r="AB19" s="362">
        <f t="shared" si="15"/>
        <v>7046.4</v>
      </c>
      <c r="AC19" s="444">
        <f t="shared" si="16"/>
        <v>17337.6</v>
      </c>
      <c r="AD19" s="363">
        <f t="shared" si="17"/>
        <v>21514.227839999996</v>
      </c>
      <c r="AE19" s="452" t="e">
        <f>#REF!-J19</f>
        <v>#REF!</v>
      </c>
    </row>
    <row r="20" spans="1:31" ht="30">
      <c r="A20" s="403" t="s">
        <v>160</v>
      </c>
      <c r="B20" s="404" t="s">
        <v>28</v>
      </c>
      <c r="C20" s="405" t="s">
        <v>29</v>
      </c>
      <c r="D20" s="406" t="s">
        <v>5</v>
      </c>
      <c r="E20" s="407">
        <v>6</v>
      </c>
      <c r="F20" s="408">
        <v>256</v>
      </c>
      <c r="G20" s="409">
        <v>58.44748858447488</v>
      </c>
      <c r="H20" s="351">
        <f t="shared" si="1"/>
        <v>12.799999999999999</v>
      </c>
      <c r="I20" s="415">
        <f t="shared" si="2"/>
        <v>268.8</v>
      </c>
      <c r="J20" s="410">
        <v>328.5</v>
      </c>
      <c r="K20" s="411">
        <v>75</v>
      </c>
      <c r="L20" s="351">
        <f t="shared" si="3"/>
        <v>82.125</v>
      </c>
      <c r="M20" s="415">
        <f t="shared" si="4"/>
        <v>410.625</v>
      </c>
      <c r="N20" s="412">
        <v>58.65</v>
      </c>
      <c r="O20" s="389">
        <f t="shared" si="5"/>
        <v>180172.8</v>
      </c>
      <c r="P20" s="389">
        <f t="shared" si="18"/>
        <v>9008.64</v>
      </c>
      <c r="Q20" s="389">
        <v>0</v>
      </c>
      <c r="R20" s="414">
        <f t="shared" si="6"/>
        <v>9008.64</v>
      </c>
      <c r="S20" s="426">
        <f t="shared" si="7"/>
        <v>189181.44</v>
      </c>
      <c r="T20" s="413">
        <f t="shared" si="8"/>
        <v>231198.3</v>
      </c>
      <c r="U20" s="389">
        <f t="shared" si="9"/>
        <v>57799.575</v>
      </c>
      <c r="V20" s="389">
        <v>0</v>
      </c>
      <c r="W20" s="414">
        <f t="shared" si="10"/>
        <v>57799.575</v>
      </c>
      <c r="X20" s="390">
        <f t="shared" si="11"/>
        <v>288997.875</v>
      </c>
      <c r="Y20" s="413">
        <f t="shared" si="12"/>
        <v>51025.5</v>
      </c>
      <c r="Z20" s="389">
        <f t="shared" si="13"/>
        <v>48790.935</v>
      </c>
      <c r="AA20" s="389">
        <f t="shared" si="14"/>
        <v>0</v>
      </c>
      <c r="AB20" s="414">
        <f t="shared" si="15"/>
        <v>48790.935</v>
      </c>
      <c r="AC20" s="415">
        <f t="shared" si="16"/>
        <v>99816.435</v>
      </c>
      <c r="AD20" s="416">
        <f t="shared" si="17"/>
        <v>123862.21419149998</v>
      </c>
      <c r="AE20" s="452" t="e">
        <f>#REF!-J20</f>
        <v>#REF!</v>
      </c>
    </row>
    <row r="21" spans="1:31" ht="15">
      <c r="A21" s="378" t="s">
        <v>30</v>
      </c>
      <c r="B21" s="381" t="s">
        <v>31</v>
      </c>
      <c r="C21" s="342" t="s">
        <v>16</v>
      </c>
      <c r="D21" s="341" t="s">
        <v>6</v>
      </c>
      <c r="E21" s="343">
        <v>7</v>
      </c>
      <c r="F21" s="344">
        <v>262</v>
      </c>
      <c r="G21" s="345">
        <v>53.036437246963565</v>
      </c>
      <c r="H21" s="351">
        <f t="shared" si="1"/>
        <v>13.100000000000001</v>
      </c>
      <c r="I21" s="351">
        <f t="shared" si="2"/>
        <v>275.1</v>
      </c>
      <c r="J21" s="346">
        <v>370.5</v>
      </c>
      <c r="K21" s="441">
        <v>75</v>
      </c>
      <c r="L21" s="351">
        <f t="shared" si="3"/>
        <v>92.625</v>
      </c>
      <c r="M21" s="351">
        <f t="shared" si="4"/>
        <v>463.125</v>
      </c>
      <c r="N21" s="347">
        <v>1.5</v>
      </c>
      <c r="O21" s="364">
        <f t="shared" si="5"/>
        <v>4716</v>
      </c>
      <c r="P21" s="364">
        <f t="shared" si="18"/>
        <v>235.8</v>
      </c>
      <c r="Q21" s="364">
        <v>0</v>
      </c>
      <c r="R21" s="350">
        <f t="shared" si="6"/>
        <v>235.8</v>
      </c>
      <c r="S21" s="424">
        <f t="shared" si="7"/>
        <v>4951.8</v>
      </c>
      <c r="T21" s="349">
        <f t="shared" si="8"/>
        <v>6669</v>
      </c>
      <c r="U21" s="364">
        <f t="shared" si="9"/>
        <v>1667.25</v>
      </c>
      <c r="V21" s="364">
        <v>0</v>
      </c>
      <c r="W21" s="350">
        <f t="shared" si="10"/>
        <v>1667.25</v>
      </c>
      <c r="X21" s="348">
        <f t="shared" si="11"/>
        <v>8336.25</v>
      </c>
      <c r="Y21" s="349">
        <f t="shared" si="12"/>
        <v>1953</v>
      </c>
      <c r="Z21" s="364">
        <f t="shared" si="13"/>
        <v>1431.45</v>
      </c>
      <c r="AA21" s="364">
        <f t="shared" si="14"/>
        <v>0</v>
      </c>
      <c r="AB21" s="350">
        <f t="shared" si="15"/>
        <v>1431.45</v>
      </c>
      <c r="AC21" s="351">
        <f t="shared" si="16"/>
        <v>3384.45</v>
      </c>
      <c r="AD21" s="352">
        <f t="shared" si="17"/>
        <v>4199.764004999999</v>
      </c>
      <c r="AE21" s="452" t="e">
        <f>#REF!-J21</f>
        <v>#REF!</v>
      </c>
    </row>
    <row r="22" spans="1:31" ht="15">
      <c r="A22" s="379" t="s">
        <v>32</v>
      </c>
      <c r="B22" s="382">
        <v>2221</v>
      </c>
      <c r="C22" s="354" t="s">
        <v>16</v>
      </c>
      <c r="D22" s="353" t="s">
        <v>6</v>
      </c>
      <c r="E22" s="355">
        <v>7</v>
      </c>
      <c r="F22" s="344">
        <v>262</v>
      </c>
      <c r="G22" s="345">
        <v>53.036437246963565</v>
      </c>
      <c r="H22" s="351">
        <f t="shared" si="1"/>
        <v>71.41350681536555</v>
      </c>
      <c r="I22" s="351">
        <f t="shared" si="2"/>
        <v>333.41350681536557</v>
      </c>
      <c r="J22" s="346">
        <v>370.5</v>
      </c>
      <c r="K22" s="441">
        <v>75</v>
      </c>
      <c r="L22" s="351">
        <f t="shared" si="3"/>
        <v>173.8314591078067</v>
      </c>
      <c r="M22" s="351">
        <f t="shared" si="4"/>
        <v>544.3314591078067</v>
      </c>
      <c r="N22" s="347">
        <v>134.5</v>
      </c>
      <c r="O22" s="364">
        <f t="shared" si="5"/>
        <v>422868</v>
      </c>
      <c r="P22" s="364">
        <f t="shared" si="18"/>
        <v>21143.4</v>
      </c>
      <c r="Q22" s="364">
        <v>94118</v>
      </c>
      <c r="R22" s="350">
        <f t="shared" si="6"/>
        <v>115261.4</v>
      </c>
      <c r="S22" s="424">
        <f t="shared" si="7"/>
        <v>538129.4</v>
      </c>
      <c r="T22" s="349">
        <f t="shared" si="8"/>
        <v>597987</v>
      </c>
      <c r="U22" s="364">
        <f t="shared" si="9"/>
        <v>149496.75</v>
      </c>
      <c r="V22" s="364">
        <v>131067.22499999998</v>
      </c>
      <c r="W22" s="350">
        <f t="shared" si="10"/>
        <v>280563.975</v>
      </c>
      <c r="X22" s="348">
        <f t="shared" si="11"/>
        <v>878550.975</v>
      </c>
      <c r="Y22" s="349">
        <f t="shared" si="12"/>
        <v>175119</v>
      </c>
      <c r="Z22" s="364">
        <f t="shared" si="13"/>
        <v>128353.35</v>
      </c>
      <c r="AA22" s="364">
        <f t="shared" si="14"/>
        <v>36949.22499999998</v>
      </c>
      <c r="AB22" s="350">
        <f t="shared" si="15"/>
        <v>165302.57499999998</v>
      </c>
      <c r="AC22" s="351">
        <f t="shared" si="16"/>
        <v>340421.57499999995</v>
      </c>
      <c r="AD22" s="352">
        <f t="shared" si="17"/>
        <v>422429.1324174999</v>
      </c>
      <c r="AE22" s="452" t="e">
        <f>#REF!-J22</f>
        <v>#REF!</v>
      </c>
    </row>
    <row r="23" spans="1:31" ht="15">
      <c r="A23" s="379" t="s">
        <v>33</v>
      </c>
      <c r="B23" s="382" t="s">
        <v>34</v>
      </c>
      <c r="C23" s="354" t="s">
        <v>16</v>
      </c>
      <c r="D23" s="353" t="s">
        <v>6</v>
      </c>
      <c r="E23" s="355">
        <v>7</v>
      </c>
      <c r="F23" s="344">
        <v>260</v>
      </c>
      <c r="G23" s="345">
        <v>52.63157894736842</v>
      </c>
      <c r="H23" s="351">
        <f t="shared" si="1"/>
        <v>13</v>
      </c>
      <c r="I23" s="351">
        <f t="shared" si="2"/>
        <v>273</v>
      </c>
      <c r="J23" s="346">
        <v>370.5</v>
      </c>
      <c r="K23" s="441">
        <v>75</v>
      </c>
      <c r="L23" s="351">
        <f t="shared" si="3"/>
        <v>92.625</v>
      </c>
      <c r="M23" s="351">
        <f t="shared" si="4"/>
        <v>463.125</v>
      </c>
      <c r="N23" s="347">
        <v>10.5</v>
      </c>
      <c r="O23" s="364">
        <f t="shared" si="5"/>
        <v>32760</v>
      </c>
      <c r="P23" s="364">
        <f t="shared" si="18"/>
        <v>1638</v>
      </c>
      <c r="Q23" s="364">
        <v>0</v>
      </c>
      <c r="R23" s="350">
        <f t="shared" si="6"/>
        <v>1638</v>
      </c>
      <c r="S23" s="424">
        <f t="shared" si="7"/>
        <v>34398</v>
      </c>
      <c r="T23" s="349">
        <f t="shared" si="8"/>
        <v>46683</v>
      </c>
      <c r="U23" s="364">
        <f t="shared" si="9"/>
        <v>11670.75</v>
      </c>
      <c r="V23" s="364">
        <v>0</v>
      </c>
      <c r="W23" s="350">
        <f t="shared" si="10"/>
        <v>11670.75</v>
      </c>
      <c r="X23" s="348">
        <f t="shared" si="11"/>
        <v>58353.75</v>
      </c>
      <c r="Y23" s="349">
        <f t="shared" si="12"/>
        <v>13923</v>
      </c>
      <c r="Z23" s="364">
        <f t="shared" si="13"/>
        <v>10032.75</v>
      </c>
      <c r="AA23" s="364">
        <f t="shared" si="14"/>
        <v>0</v>
      </c>
      <c r="AB23" s="350">
        <f t="shared" si="15"/>
        <v>10032.75</v>
      </c>
      <c r="AC23" s="351">
        <f t="shared" si="16"/>
        <v>23955.75</v>
      </c>
      <c r="AD23" s="352">
        <f t="shared" si="17"/>
        <v>29726.690174999996</v>
      </c>
      <c r="AE23" s="452" t="e">
        <f>#REF!-J23</f>
        <v>#REF!</v>
      </c>
    </row>
    <row r="24" spans="1:31" ht="15">
      <c r="A24" s="379" t="s">
        <v>44</v>
      </c>
      <c r="B24" s="382" t="s">
        <v>7</v>
      </c>
      <c r="C24" s="354">
        <v>39</v>
      </c>
      <c r="D24" s="353" t="s">
        <v>6</v>
      </c>
      <c r="E24" s="355">
        <v>8</v>
      </c>
      <c r="F24" s="344">
        <v>317</v>
      </c>
      <c r="G24" s="345">
        <v>55.130434782608695</v>
      </c>
      <c r="H24" s="351">
        <f t="shared" si="1"/>
        <v>15.850000000000001</v>
      </c>
      <c r="I24" s="351">
        <f t="shared" si="2"/>
        <v>332.85</v>
      </c>
      <c r="J24" s="346">
        <v>402.5</v>
      </c>
      <c r="K24" s="441">
        <v>70</v>
      </c>
      <c r="L24" s="351">
        <f t="shared" si="3"/>
        <v>100.625</v>
      </c>
      <c r="M24" s="351">
        <f t="shared" si="4"/>
        <v>503.125</v>
      </c>
      <c r="N24" s="347">
        <v>46.1</v>
      </c>
      <c r="O24" s="364">
        <f t="shared" si="5"/>
        <v>175364.40000000002</v>
      </c>
      <c r="P24" s="364">
        <f t="shared" si="18"/>
        <v>8768.220000000001</v>
      </c>
      <c r="Q24" s="364">
        <v>0</v>
      </c>
      <c r="R24" s="350">
        <f t="shared" si="6"/>
        <v>8768.220000000001</v>
      </c>
      <c r="S24" s="424">
        <f t="shared" si="7"/>
        <v>184132.62000000002</v>
      </c>
      <c r="T24" s="349">
        <f t="shared" si="8"/>
        <v>222663</v>
      </c>
      <c r="U24" s="364">
        <f t="shared" si="9"/>
        <v>55665.75</v>
      </c>
      <c r="V24" s="364">
        <v>0</v>
      </c>
      <c r="W24" s="350">
        <f t="shared" si="10"/>
        <v>55665.75</v>
      </c>
      <c r="X24" s="348">
        <f t="shared" si="11"/>
        <v>278328.75</v>
      </c>
      <c r="Y24" s="349">
        <f t="shared" si="12"/>
        <v>47298.59999999998</v>
      </c>
      <c r="Z24" s="364">
        <f t="shared" si="13"/>
        <v>46897.53</v>
      </c>
      <c r="AA24" s="364">
        <f t="shared" si="14"/>
        <v>0</v>
      </c>
      <c r="AB24" s="350">
        <f t="shared" si="15"/>
        <v>46897.53</v>
      </c>
      <c r="AC24" s="351">
        <f t="shared" si="16"/>
        <v>94196.12999999998</v>
      </c>
      <c r="AD24" s="352">
        <f t="shared" si="17"/>
        <v>116887.97771699996</v>
      </c>
      <c r="AE24" s="452" t="e">
        <f>#REF!-J24</f>
        <v>#REF!</v>
      </c>
    </row>
    <row r="25" spans="1:31" ht="15">
      <c r="A25" s="379" t="s">
        <v>43</v>
      </c>
      <c r="B25" s="382" t="s">
        <v>57</v>
      </c>
      <c r="C25" s="354" t="s">
        <v>15</v>
      </c>
      <c r="D25" s="353" t="s">
        <v>6</v>
      </c>
      <c r="E25" s="355">
        <v>8</v>
      </c>
      <c r="F25" s="344">
        <v>307</v>
      </c>
      <c r="G25" s="345">
        <v>53.391304347826086</v>
      </c>
      <c r="H25" s="351">
        <f t="shared" si="1"/>
        <v>15.35</v>
      </c>
      <c r="I25" s="351">
        <f t="shared" si="2"/>
        <v>322.35</v>
      </c>
      <c r="J25" s="346">
        <v>402.5</v>
      </c>
      <c r="K25" s="441">
        <v>70</v>
      </c>
      <c r="L25" s="351">
        <f t="shared" si="3"/>
        <v>100.625</v>
      </c>
      <c r="M25" s="351">
        <f t="shared" si="4"/>
        <v>503.125</v>
      </c>
      <c r="N25" s="347">
        <v>20</v>
      </c>
      <c r="O25" s="364">
        <f t="shared" si="5"/>
        <v>73680</v>
      </c>
      <c r="P25" s="364">
        <f t="shared" si="18"/>
        <v>3684</v>
      </c>
      <c r="Q25" s="364">
        <v>0</v>
      </c>
      <c r="R25" s="350">
        <f t="shared" si="6"/>
        <v>3684</v>
      </c>
      <c r="S25" s="424">
        <f t="shared" si="7"/>
        <v>77364</v>
      </c>
      <c r="T25" s="349">
        <f t="shared" si="8"/>
        <v>96600</v>
      </c>
      <c r="U25" s="364">
        <f t="shared" si="9"/>
        <v>24150</v>
      </c>
      <c r="V25" s="364">
        <v>0</v>
      </c>
      <c r="W25" s="350">
        <f t="shared" si="10"/>
        <v>24150</v>
      </c>
      <c r="X25" s="348">
        <f t="shared" si="11"/>
        <v>120750</v>
      </c>
      <c r="Y25" s="349">
        <f t="shared" si="12"/>
        <v>22920</v>
      </c>
      <c r="Z25" s="364">
        <f t="shared" si="13"/>
        <v>20466</v>
      </c>
      <c r="AA25" s="364">
        <f t="shared" si="14"/>
        <v>0</v>
      </c>
      <c r="AB25" s="350">
        <f t="shared" si="15"/>
        <v>20466</v>
      </c>
      <c r="AC25" s="351">
        <f t="shared" si="16"/>
        <v>43386</v>
      </c>
      <c r="AD25" s="352">
        <f t="shared" si="17"/>
        <v>53837.687399999995</v>
      </c>
      <c r="AE25" s="452" t="e">
        <f>#REF!-J25</f>
        <v>#REF!</v>
      </c>
    </row>
    <row r="26" spans="1:31" ht="30">
      <c r="A26" s="379" t="s">
        <v>46</v>
      </c>
      <c r="B26" s="382" t="s">
        <v>47</v>
      </c>
      <c r="C26" s="354" t="s">
        <v>16</v>
      </c>
      <c r="D26" s="353" t="s">
        <v>8</v>
      </c>
      <c r="E26" s="355">
        <v>8</v>
      </c>
      <c r="F26" s="344">
        <v>306.578313253012</v>
      </c>
      <c r="G26" s="345">
        <v>53.31796752226297</v>
      </c>
      <c r="H26" s="351">
        <f t="shared" si="1"/>
        <v>15.328915662650601</v>
      </c>
      <c r="I26" s="351">
        <f t="shared" si="2"/>
        <v>321.90722891566264</v>
      </c>
      <c r="J26" s="346">
        <v>402.5</v>
      </c>
      <c r="K26" s="441">
        <v>70</v>
      </c>
      <c r="L26" s="351">
        <f t="shared" si="3"/>
        <v>100.625</v>
      </c>
      <c r="M26" s="351">
        <f t="shared" si="4"/>
        <v>503.125</v>
      </c>
      <c r="N26" s="347">
        <v>17</v>
      </c>
      <c r="O26" s="364">
        <f t="shared" si="5"/>
        <v>62541.97590361445</v>
      </c>
      <c r="P26" s="364">
        <f t="shared" si="18"/>
        <v>3127.098795180723</v>
      </c>
      <c r="Q26" s="364">
        <v>0</v>
      </c>
      <c r="R26" s="350">
        <f t="shared" si="6"/>
        <v>3127.098795180723</v>
      </c>
      <c r="S26" s="424">
        <f t="shared" si="7"/>
        <v>65669.07469879517</v>
      </c>
      <c r="T26" s="349">
        <f t="shared" si="8"/>
        <v>82110</v>
      </c>
      <c r="U26" s="364">
        <f t="shared" si="9"/>
        <v>20527.5</v>
      </c>
      <c r="V26" s="364">
        <v>0</v>
      </c>
      <c r="W26" s="350">
        <f t="shared" si="10"/>
        <v>20527.5</v>
      </c>
      <c r="X26" s="348">
        <f t="shared" si="11"/>
        <v>102637.5</v>
      </c>
      <c r="Y26" s="349">
        <f t="shared" si="12"/>
        <v>19568.024096385547</v>
      </c>
      <c r="Z26" s="364">
        <f t="shared" si="13"/>
        <v>17400.401204819278</v>
      </c>
      <c r="AA26" s="364">
        <f t="shared" si="14"/>
        <v>0</v>
      </c>
      <c r="AB26" s="350">
        <f t="shared" si="15"/>
        <v>17400.401204819278</v>
      </c>
      <c r="AC26" s="351">
        <f t="shared" si="16"/>
        <v>36968.42530120483</v>
      </c>
      <c r="AD26" s="352">
        <f t="shared" si="17"/>
        <v>45874.11895626507</v>
      </c>
      <c r="AE26" s="452" t="e">
        <f>#REF!-J26</f>
        <v>#REF!</v>
      </c>
    </row>
    <row r="27" spans="1:31" ht="30">
      <c r="A27" s="379" t="s">
        <v>35</v>
      </c>
      <c r="B27" s="382" t="s">
        <v>36</v>
      </c>
      <c r="C27" s="354" t="s">
        <v>37</v>
      </c>
      <c r="D27" s="353" t="s">
        <v>38</v>
      </c>
      <c r="E27" s="355">
        <v>8</v>
      </c>
      <c r="F27" s="344">
        <v>306.578313253012</v>
      </c>
      <c r="G27" s="345">
        <v>53.31796752226297</v>
      </c>
      <c r="H27" s="351">
        <f t="shared" si="1"/>
        <v>15.328915662650601</v>
      </c>
      <c r="I27" s="351">
        <f t="shared" si="2"/>
        <v>321.90722891566264</v>
      </c>
      <c r="J27" s="346">
        <v>402.5</v>
      </c>
      <c r="K27" s="441">
        <v>70</v>
      </c>
      <c r="L27" s="351">
        <f t="shared" si="3"/>
        <v>100.625</v>
      </c>
      <c r="M27" s="351">
        <f t="shared" si="4"/>
        <v>503.125</v>
      </c>
      <c r="N27" s="347">
        <v>2</v>
      </c>
      <c r="O27" s="364">
        <f t="shared" si="5"/>
        <v>7357.879518072288</v>
      </c>
      <c r="P27" s="364">
        <f t="shared" si="18"/>
        <v>367.89397590361443</v>
      </c>
      <c r="Q27" s="364">
        <v>0</v>
      </c>
      <c r="R27" s="350">
        <f t="shared" si="6"/>
        <v>367.89397590361443</v>
      </c>
      <c r="S27" s="424">
        <f t="shared" si="7"/>
        <v>7725.773493975903</v>
      </c>
      <c r="T27" s="349">
        <f t="shared" si="8"/>
        <v>9660</v>
      </c>
      <c r="U27" s="364">
        <f t="shared" si="9"/>
        <v>2415</v>
      </c>
      <c r="V27" s="364">
        <v>0</v>
      </c>
      <c r="W27" s="350">
        <f t="shared" si="10"/>
        <v>2415</v>
      </c>
      <c r="X27" s="348">
        <f t="shared" si="11"/>
        <v>12075</v>
      </c>
      <c r="Y27" s="349">
        <f t="shared" si="12"/>
        <v>2302.120481927712</v>
      </c>
      <c r="Z27" s="364">
        <f t="shared" si="13"/>
        <v>2047.1060240963857</v>
      </c>
      <c r="AA27" s="364">
        <f t="shared" si="14"/>
        <v>0</v>
      </c>
      <c r="AB27" s="350">
        <f t="shared" si="15"/>
        <v>2047.1060240963857</v>
      </c>
      <c r="AC27" s="351">
        <f t="shared" si="16"/>
        <v>4349.226506024097</v>
      </c>
      <c r="AD27" s="352">
        <f t="shared" si="17"/>
        <v>5396.955171325301</v>
      </c>
      <c r="AE27" s="452" t="e">
        <f>#REF!-J27</f>
        <v>#REF!</v>
      </c>
    </row>
    <row r="28" spans="1:31" ht="15">
      <c r="A28" s="379" t="s">
        <v>39</v>
      </c>
      <c r="B28" s="382" t="s">
        <v>40</v>
      </c>
      <c r="C28" s="354">
        <v>39</v>
      </c>
      <c r="D28" s="353" t="s">
        <v>6</v>
      </c>
      <c r="E28" s="355">
        <v>8</v>
      </c>
      <c r="F28" s="344">
        <v>306.578313253012</v>
      </c>
      <c r="G28" s="345">
        <v>53.31796752226297</v>
      </c>
      <c r="H28" s="351">
        <f t="shared" si="1"/>
        <v>15.328915662650603</v>
      </c>
      <c r="I28" s="351">
        <f t="shared" si="2"/>
        <v>321.90722891566264</v>
      </c>
      <c r="J28" s="346">
        <v>402.5</v>
      </c>
      <c r="K28" s="441">
        <v>70</v>
      </c>
      <c r="L28" s="351">
        <f t="shared" si="3"/>
        <v>100.625</v>
      </c>
      <c r="M28" s="351">
        <f t="shared" si="4"/>
        <v>503.125</v>
      </c>
      <c r="N28" s="347">
        <v>9</v>
      </c>
      <c r="O28" s="364">
        <f t="shared" si="5"/>
        <v>33110.4578313253</v>
      </c>
      <c r="P28" s="364">
        <f t="shared" si="18"/>
        <v>1655.5228915662651</v>
      </c>
      <c r="Q28" s="364">
        <v>0</v>
      </c>
      <c r="R28" s="350">
        <f t="shared" si="6"/>
        <v>1655.5228915662651</v>
      </c>
      <c r="S28" s="424">
        <f t="shared" si="7"/>
        <v>34765.98072289157</v>
      </c>
      <c r="T28" s="349">
        <f t="shared" si="8"/>
        <v>43470</v>
      </c>
      <c r="U28" s="364">
        <f t="shared" si="9"/>
        <v>10867.5</v>
      </c>
      <c r="V28" s="364">
        <v>0</v>
      </c>
      <c r="W28" s="350">
        <f t="shared" si="10"/>
        <v>10867.5</v>
      </c>
      <c r="X28" s="348">
        <f t="shared" si="11"/>
        <v>54337.5</v>
      </c>
      <c r="Y28" s="349">
        <f t="shared" si="12"/>
        <v>10359.5421686747</v>
      </c>
      <c r="Z28" s="364">
        <f t="shared" si="13"/>
        <v>9211.977108433735</v>
      </c>
      <c r="AA28" s="364">
        <f t="shared" si="14"/>
        <v>0</v>
      </c>
      <c r="AB28" s="350">
        <f t="shared" si="15"/>
        <v>9211.977108433735</v>
      </c>
      <c r="AC28" s="351">
        <f t="shared" si="16"/>
        <v>19571.519277108433</v>
      </c>
      <c r="AD28" s="352">
        <f t="shared" si="17"/>
        <v>24286.298270963853</v>
      </c>
      <c r="AE28" s="452" t="e">
        <f>#REF!-J28</f>
        <v>#REF!</v>
      </c>
    </row>
    <row r="29" spans="1:31" ht="15">
      <c r="A29" s="379" t="s">
        <v>41</v>
      </c>
      <c r="B29" s="382" t="s">
        <v>42</v>
      </c>
      <c r="C29" s="354">
        <v>39</v>
      </c>
      <c r="D29" s="353" t="s">
        <v>6</v>
      </c>
      <c r="E29" s="355">
        <v>8</v>
      </c>
      <c r="F29" s="344">
        <v>306.578313253012</v>
      </c>
      <c r="G29" s="345">
        <v>53.31796752226297</v>
      </c>
      <c r="H29" s="351">
        <f t="shared" si="1"/>
        <v>15.328915662650601</v>
      </c>
      <c r="I29" s="351">
        <f t="shared" si="2"/>
        <v>321.90722891566264</v>
      </c>
      <c r="J29" s="346">
        <v>402.5</v>
      </c>
      <c r="K29" s="441">
        <v>70</v>
      </c>
      <c r="L29" s="351">
        <f t="shared" si="3"/>
        <v>100.625</v>
      </c>
      <c r="M29" s="351">
        <f t="shared" si="4"/>
        <v>503.125</v>
      </c>
      <c r="N29" s="347">
        <v>16</v>
      </c>
      <c r="O29" s="364">
        <f t="shared" si="5"/>
        <v>58863.036144578306</v>
      </c>
      <c r="P29" s="364">
        <f t="shared" si="18"/>
        <v>2943.1518072289155</v>
      </c>
      <c r="Q29" s="364">
        <v>0</v>
      </c>
      <c r="R29" s="350">
        <f t="shared" si="6"/>
        <v>2943.1518072289155</v>
      </c>
      <c r="S29" s="424">
        <f t="shared" si="7"/>
        <v>61806.187951807224</v>
      </c>
      <c r="T29" s="349">
        <f t="shared" si="8"/>
        <v>77280</v>
      </c>
      <c r="U29" s="364">
        <f t="shared" si="9"/>
        <v>19320</v>
      </c>
      <c r="V29" s="364">
        <v>0</v>
      </c>
      <c r="W29" s="350">
        <f t="shared" si="10"/>
        <v>19320</v>
      </c>
      <c r="X29" s="348">
        <f t="shared" si="11"/>
        <v>96600</v>
      </c>
      <c r="Y29" s="349">
        <f t="shared" si="12"/>
        <v>18416.963855421694</v>
      </c>
      <c r="Z29" s="364">
        <f t="shared" si="13"/>
        <v>16376.848192771085</v>
      </c>
      <c r="AA29" s="364">
        <f t="shared" si="14"/>
        <v>0</v>
      </c>
      <c r="AB29" s="350">
        <f t="shared" si="15"/>
        <v>16376.848192771085</v>
      </c>
      <c r="AC29" s="351">
        <f t="shared" si="16"/>
        <v>34793.812048192776</v>
      </c>
      <c r="AD29" s="352">
        <f t="shared" si="17"/>
        <v>43175.64137060241</v>
      </c>
      <c r="AE29" s="452" t="e">
        <f>#REF!-J29</f>
        <v>#REF!</v>
      </c>
    </row>
    <row r="30" spans="1:31" ht="19.5" customHeight="1">
      <c r="A30" s="378" t="s">
        <v>48</v>
      </c>
      <c r="B30" s="381" t="s">
        <v>49</v>
      </c>
      <c r="C30" s="342" t="s">
        <v>37</v>
      </c>
      <c r="D30" s="341" t="s">
        <v>45</v>
      </c>
      <c r="E30" s="343">
        <v>9</v>
      </c>
      <c r="F30" s="344">
        <v>380</v>
      </c>
      <c r="G30" s="345">
        <v>58.01526717557252</v>
      </c>
      <c r="H30" s="351">
        <f t="shared" si="1"/>
        <v>19</v>
      </c>
      <c r="I30" s="351">
        <f t="shared" si="2"/>
        <v>399</v>
      </c>
      <c r="J30" s="346">
        <v>458.5</v>
      </c>
      <c r="K30" s="441">
        <v>70</v>
      </c>
      <c r="L30" s="351">
        <f t="shared" si="3"/>
        <v>114.625</v>
      </c>
      <c r="M30" s="351">
        <f t="shared" si="4"/>
        <v>573.125</v>
      </c>
      <c r="N30" s="347">
        <v>6.25</v>
      </c>
      <c r="O30" s="364">
        <f t="shared" si="5"/>
        <v>28500</v>
      </c>
      <c r="P30" s="364">
        <f t="shared" si="18"/>
        <v>1425</v>
      </c>
      <c r="Q30" s="364">
        <v>0</v>
      </c>
      <c r="R30" s="350">
        <f t="shared" si="6"/>
        <v>1425</v>
      </c>
      <c r="S30" s="424">
        <f t="shared" si="7"/>
        <v>29925</v>
      </c>
      <c r="T30" s="349">
        <f t="shared" si="8"/>
        <v>34387.5</v>
      </c>
      <c r="U30" s="364">
        <f t="shared" si="9"/>
        <v>8596.875</v>
      </c>
      <c r="V30" s="364">
        <v>0</v>
      </c>
      <c r="W30" s="350">
        <f t="shared" si="10"/>
        <v>8596.875</v>
      </c>
      <c r="X30" s="348">
        <f t="shared" si="11"/>
        <v>42984.375</v>
      </c>
      <c r="Y30" s="349">
        <f t="shared" si="12"/>
        <v>5887.5</v>
      </c>
      <c r="Z30" s="364">
        <f t="shared" si="13"/>
        <v>7171.875</v>
      </c>
      <c r="AA30" s="364">
        <f t="shared" si="14"/>
        <v>0</v>
      </c>
      <c r="AB30" s="350">
        <f t="shared" si="15"/>
        <v>7171.875</v>
      </c>
      <c r="AC30" s="351">
        <f t="shared" si="16"/>
        <v>13059.375</v>
      </c>
      <c r="AD30" s="352">
        <f t="shared" si="17"/>
        <v>16205.378437499998</v>
      </c>
      <c r="AE30" s="452" t="e">
        <f>#REF!-J30</f>
        <v>#REF!</v>
      </c>
    </row>
    <row r="31" spans="1:31" ht="19.5" customHeight="1">
      <c r="A31" s="378" t="s">
        <v>50</v>
      </c>
      <c r="B31" s="381" t="s">
        <v>51</v>
      </c>
      <c r="C31" s="342" t="s">
        <v>37</v>
      </c>
      <c r="D31" s="341" t="s">
        <v>45</v>
      </c>
      <c r="E31" s="343">
        <v>9</v>
      </c>
      <c r="F31" s="344">
        <v>380</v>
      </c>
      <c r="G31" s="345">
        <v>58.01526717557252</v>
      </c>
      <c r="H31" s="351">
        <f t="shared" si="1"/>
        <v>19</v>
      </c>
      <c r="I31" s="351">
        <f t="shared" si="2"/>
        <v>399</v>
      </c>
      <c r="J31" s="346">
        <v>458.5</v>
      </c>
      <c r="K31" s="441">
        <v>70</v>
      </c>
      <c r="L31" s="351">
        <f t="shared" si="3"/>
        <v>114.625</v>
      </c>
      <c r="M31" s="351">
        <f t="shared" si="4"/>
        <v>573.125</v>
      </c>
      <c r="N31" s="347">
        <v>13</v>
      </c>
      <c r="O31" s="364">
        <f t="shared" si="5"/>
        <v>59280</v>
      </c>
      <c r="P31" s="364">
        <f t="shared" si="18"/>
        <v>2964</v>
      </c>
      <c r="Q31" s="364">
        <v>0</v>
      </c>
      <c r="R31" s="350">
        <f t="shared" si="6"/>
        <v>2964</v>
      </c>
      <c r="S31" s="424">
        <f t="shared" si="7"/>
        <v>62244</v>
      </c>
      <c r="T31" s="349">
        <f t="shared" si="8"/>
        <v>71526</v>
      </c>
      <c r="U31" s="364">
        <f t="shared" si="9"/>
        <v>17881.5</v>
      </c>
      <c r="V31" s="364">
        <v>0</v>
      </c>
      <c r="W31" s="350">
        <f t="shared" si="10"/>
        <v>17881.5</v>
      </c>
      <c r="X31" s="348">
        <f t="shared" si="11"/>
        <v>89407.5</v>
      </c>
      <c r="Y31" s="349">
        <f t="shared" si="12"/>
        <v>12246</v>
      </c>
      <c r="Z31" s="364">
        <f t="shared" si="13"/>
        <v>14917.5</v>
      </c>
      <c r="AA31" s="364">
        <f t="shared" si="14"/>
        <v>0</v>
      </c>
      <c r="AB31" s="350">
        <f t="shared" si="15"/>
        <v>14917.5</v>
      </c>
      <c r="AC31" s="351">
        <f t="shared" si="16"/>
        <v>27163.5</v>
      </c>
      <c r="AD31" s="352">
        <f t="shared" si="17"/>
        <v>33707.18715</v>
      </c>
      <c r="AE31" s="452" t="e">
        <f>#REF!-J31</f>
        <v>#REF!</v>
      </c>
    </row>
    <row r="32" spans="1:31" ht="19.5" customHeight="1">
      <c r="A32" s="378" t="s">
        <v>52</v>
      </c>
      <c r="B32" s="381" t="s">
        <v>53</v>
      </c>
      <c r="C32" s="342" t="s">
        <v>37</v>
      </c>
      <c r="D32" s="341" t="s">
        <v>45</v>
      </c>
      <c r="E32" s="343">
        <v>9</v>
      </c>
      <c r="F32" s="344">
        <v>380</v>
      </c>
      <c r="G32" s="345">
        <v>58.01526717557252</v>
      </c>
      <c r="H32" s="351">
        <f t="shared" si="1"/>
        <v>19</v>
      </c>
      <c r="I32" s="351">
        <f t="shared" si="2"/>
        <v>399</v>
      </c>
      <c r="J32" s="346">
        <v>491.25</v>
      </c>
      <c r="K32" s="441">
        <v>75</v>
      </c>
      <c r="L32" s="351">
        <f t="shared" si="3"/>
        <v>122.8125</v>
      </c>
      <c r="M32" s="351">
        <f t="shared" si="4"/>
        <v>614.0625</v>
      </c>
      <c r="N32" s="347">
        <v>1</v>
      </c>
      <c r="O32" s="364">
        <f t="shared" si="5"/>
        <v>4560</v>
      </c>
      <c r="P32" s="364">
        <f t="shared" si="18"/>
        <v>228</v>
      </c>
      <c r="Q32" s="364">
        <v>0</v>
      </c>
      <c r="R32" s="350">
        <f t="shared" si="6"/>
        <v>228</v>
      </c>
      <c r="S32" s="424">
        <f t="shared" si="7"/>
        <v>4788</v>
      </c>
      <c r="T32" s="349">
        <f t="shared" si="8"/>
        <v>5895</v>
      </c>
      <c r="U32" s="364">
        <f t="shared" si="9"/>
        <v>1473.75</v>
      </c>
      <c r="V32" s="364">
        <v>0</v>
      </c>
      <c r="W32" s="350">
        <f t="shared" si="10"/>
        <v>1473.75</v>
      </c>
      <c r="X32" s="348">
        <f t="shared" si="11"/>
        <v>7368.75</v>
      </c>
      <c r="Y32" s="349">
        <f t="shared" si="12"/>
        <v>1335</v>
      </c>
      <c r="Z32" s="364">
        <f t="shared" si="13"/>
        <v>1245.75</v>
      </c>
      <c r="AA32" s="364">
        <f t="shared" si="14"/>
        <v>0</v>
      </c>
      <c r="AB32" s="350">
        <f t="shared" si="15"/>
        <v>1245.75</v>
      </c>
      <c r="AC32" s="351">
        <f t="shared" si="16"/>
        <v>2580.75</v>
      </c>
      <c r="AD32" s="352">
        <f t="shared" si="17"/>
        <v>3202.4526749999995</v>
      </c>
      <c r="AE32" s="452" t="e">
        <f>#REF!-J32</f>
        <v>#REF!</v>
      </c>
    </row>
    <row r="33" spans="1:31" ht="15">
      <c r="A33" s="378" t="s">
        <v>54</v>
      </c>
      <c r="B33" s="381">
        <v>2212</v>
      </c>
      <c r="C33" s="342" t="s">
        <v>37</v>
      </c>
      <c r="D33" s="341" t="s">
        <v>6</v>
      </c>
      <c r="E33" s="343">
        <v>10</v>
      </c>
      <c r="F33" s="344">
        <v>400</v>
      </c>
      <c r="G33" s="345">
        <v>51.813471502590666</v>
      </c>
      <c r="H33" s="351">
        <f t="shared" si="1"/>
        <v>20</v>
      </c>
      <c r="I33" s="351">
        <f t="shared" si="2"/>
        <v>420</v>
      </c>
      <c r="J33" s="346">
        <v>540.4</v>
      </c>
      <c r="K33" s="441">
        <v>70</v>
      </c>
      <c r="L33" s="351">
        <f t="shared" si="3"/>
        <v>135.1</v>
      </c>
      <c r="M33" s="351">
        <f t="shared" si="4"/>
        <v>675.5</v>
      </c>
      <c r="N33" s="347">
        <v>20</v>
      </c>
      <c r="O33" s="364">
        <f t="shared" si="5"/>
        <v>96000</v>
      </c>
      <c r="P33" s="364">
        <f t="shared" si="18"/>
        <v>4800</v>
      </c>
      <c r="Q33" s="364">
        <v>0</v>
      </c>
      <c r="R33" s="350">
        <f t="shared" si="6"/>
        <v>4800</v>
      </c>
      <c r="S33" s="424">
        <f t="shared" si="7"/>
        <v>100800</v>
      </c>
      <c r="T33" s="349">
        <f t="shared" si="8"/>
        <v>129696</v>
      </c>
      <c r="U33" s="364">
        <f t="shared" si="9"/>
        <v>32424</v>
      </c>
      <c r="V33" s="364">
        <v>0</v>
      </c>
      <c r="W33" s="350">
        <f t="shared" si="10"/>
        <v>32424</v>
      </c>
      <c r="X33" s="348">
        <f t="shared" si="11"/>
        <v>162120</v>
      </c>
      <c r="Y33" s="349">
        <f t="shared" si="12"/>
        <v>33696</v>
      </c>
      <c r="Z33" s="364">
        <f t="shared" si="13"/>
        <v>27624</v>
      </c>
      <c r="AA33" s="364">
        <f t="shared" si="14"/>
        <v>0</v>
      </c>
      <c r="AB33" s="350">
        <f t="shared" si="15"/>
        <v>27624</v>
      </c>
      <c r="AC33" s="351">
        <f t="shared" si="16"/>
        <v>61320</v>
      </c>
      <c r="AD33" s="352">
        <f t="shared" si="17"/>
        <v>76091.988</v>
      </c>
      <c r="AE33" s="452" t="e">
        <f>#REF!-J33</f>
        <v>#REF!</v>
      </c>
    </row>
    <row r="34" spans="1:31" ht="45.75" thickBot="1">
      <c r="A34" s="380" t="s">
        <v>124</v>
      </c>
      <c r="B34" s="428">
        <v>133407</v>
      </c>
      <c r="C34" s="357" t="s">
        <v>15</v>
      </c>
      <c r="D34" s="356" t="s">
        <v>8</v>
      </c>
      <c r="E34" s="358">
        <v>10</v>
      </c>
      <c r="F34" s="429">
        <v>610</v>
      </c>
      <c r="G34" s="430">
        <v>79.01554404145078</v>
      </c>
      <c r="H34" s="351">
        <f t="shared" si="1"/>
        <v>0</v>
      </c>
      <c r="I34" s="439">
        <f t="shared" si="2"/>
        <v>610</v>
      </c>
      <c r="J34" s="431">
        <v>656.2</v>
      </c>
      <c r="K34" s="432">
        <v>85</v>
      </c>
      <c r="L34" s="351">
        <f t="shared" si="3"/>
        <v>164.05</v>
      </c>
      <c r="M34" s="439">
        <f t="shared" si="4"/>
        <v>820.25</v>
      </c>
      <c r="N34" s="433">
        <v>31</v>
      </c>
      <c r="O34" s="434">
        <f t="shared" si="5"/>
        <v>226920</v>
      </c>
      <c r="P34" s="434">
        <v>0</v>
      </c>
      <c r="Q34" s="434">
        <v>0</v>
      </c>
      <c r="R34" s="438">
        <f t="shared" si="6"/>
        <v>0</v>
      </c>
      <c r="S34" s="435">
        <f t="shared" si="7"/>
        <v>226920</v>
      </c>
      <c r="T34" s="437">
        <f t="shared" si="8"/>
        <v>244106.40000000002</v>
      </c>
      <c r="U34" s="434">
        <f t="shared" si="9"/>
        <v>61026.600000000006</v>
      </c>
      <c r="V34" s="434">
        <v>0</v>
      </c>
      <c r="W34" s="438">
        <f t="shared" si="10"/>
        <v>61026.600000000006</v>
      </c>
      <c r="X34" s="436">
        <f t="shared" si="11"/>
        <v>305133</v>
      </c>
      <c r="Y34" s="437">
        <f t="shared" si="12"/>
        <v>17186.400000000023</v>
      </c>
      <c r="Z34" s="434">
        <f t="shared" si="13"/>
        <v>61026.600000000006</v>
      </c>
      <c r="AA34" s="434">
        <f t="shared" si="14"/>
        <v>0</v>
      </c>
      <c r="AB34" s="438">
        <f t="shared" si="15"/>
        <v>61026.600000000006</v>
      </c>
      <c r="AC34" s="439">
        <f t="shared" si="16"/>
        <v>78213</v>
      </c>
      <c r="AD34" s="440">
        <f t="shared" si="17"/>
        <v>97054.51169999999</v>
      </c>
      <c r="AE34" s="452" t="e">
        <f>#REF!-J34</f>
        <v>#REF!</v>
      </c>
    </row>
    <row r="35" spans="1:30" s="461" customFormat="1" ht="57" customHeight="1">
      <c r="A35" s="453" t="s">
        <v>157</v>
      </c>
      <c r="B35" s="454"/>
      <c r="C35" s="454"/>
      <c r="D35" s="454"/>
      <c r="E35" s="454"/>
      <c r="F35" s="419">
        <f>O35/N35/12</f>
        <v>250.40635113268607</v>
      </c>
      <c r="G35" s="455"/>
      <c r="H35" s="419">
        <f>Q35/N35/12</f>
        <v>10.716963322545846</v>
      </c>
      <c r="I35" s="456">
        <f t="shared" si="2"/>
        <v>261.12331445523193</v>
      </c>
      <c r="J35" s="419">
        <f>T35/N35/12</f>
        <v>250.40635113268607</v>
      </c>
      <c r="K35" s="457"/>
      <c r="L35" s="458">
        <v>10.716963322545846</v>
      </c>
      <c r="M35" s="456">
        <f t="shared" si="4"/>
        <v>261.12331445523193</v>
      </c>
      <c r="N35" s="459">
        <v>1236</v>
      </c>
      <c r="O35" s="340">
        <v>3714027</v>
      </c>
      <c r="P35" s="340">
        <v>0</v>
      </c>
      <c r="Q35" s="340">
        <v>158954</v>
      </c>
      <c r="R35" s="419">
        <f>P35+Q35</f>
        <v>158954</v>
      </c>
      <c r="S35" s="423">
        <f t="shared" si="7"/>
        <v>3872981</v>
      </c>
      <c r="T35" s="367">
        <v>3714027</v>
      </c>
      <c r="U35" s="340">
        <v>0</v>
      </c>
      <c r="V35" s="340">
        <v>158954</v>
      </c>
      <c r="W35" s="419">
        <f t="shared" si="10"/>
        <v>158954</v>
      </c>
      <c r="X35" s="460">
        <f t="shared" si="11"/>
        <v>3872981</v>
      </c>
      <c r="Y35" s="367">
        <f t="shared" si="12"/>
        <v>0</v>
      </c>
      <c r="Z35" s="340">
        <f t="shared" si="13"/>
        <v>0</v>
      </c>
      <c r="AA35" s="340">
        <f t="shared" si="14"/>
        <v>0</v>
      </c>
      <c r="AB35" s="419">
        <f>W35-R35</f>
        <v>0</v>
      </c>
      <c r="AC35" s="419">
        <f>X35-S35</f>
        <v>0</v>
      </c>
      <c r="AD35" s="460">
        <f t="shared" si="17"/>
        <v>0</v>
      </c>
    </row>
    <row r="36" spans="1:31" s="461" customFormat="1" ht="21.75" customHeight="1" thickBot="1">
      <c r="A36" s="462" t="s">
        <v>134</v>
      </c>
      <c r="B36" s="463"/>
      <c r="C36" s="463"/>
      <c r="D36" s="463"/>
      <c r="E36" s="463"/>
      <c r="F36" s="463"/>
      <c r="G36" s="463"/>
      <c r="H36" s="463"/>
      <c r="I36" s="464"/>
      <c r="J36" s="463"/>
      <c r="K36" s="465"/>
      <c r="L36" s="466"/>
      <c r="M36" s="466"/>
      <c r="N36" s="467">
        <f>N10+N35</f>
        <v>3073.7</v>
      </c>
      <c r="O36" s="468">
        <f aca="true" t="shared" si="19" ref="O36:AE36">O10+O35</f>
        <v>9028929.54939759</v>
      </c>
      <c r="P36" s="468">
        <f>P10+P35</f>
        <v>254399.12746987955</v>
      </c>
      <c r="Q36" s="468">
        <f>Q10+Q35</f>
        <v>656720</v>
      </c>
      <c r="R36" s="469">
        <f t="shared" si="19"/>
        <v>911119.1274698795</v>
      </c>
      <c r="S36" s="470">
        <f>S10+S35</f>
        <v>9940048.67686747</v>
      </c>
      <c r="T36" s="471">
        <f t="shared" si="19"/>
        <v>10476248.879999999</v>
      </c>
      <c r="U36" s="468">
        <f>U10+U35</f>
        <v>1690555.47</v>
      </c>
      <c r="V36" s="468">
        <f>V10+V35</f>
        <v>833952.4249999999</v>
      </c>
      <c r="W36" s="469">
        <f t="shared" si="19"/>
        <v>2524507.895</v>
      </c>
      <c r="X36" s="472">
        <f t="shared" si="19"/>
        <v>13000756.774999999</v>
      </c>
      <c r="Y36" s="471">
        <f t="shared" si="19"/>
        <v>1447319.3306024089</v>
      </c>
      <c r="Z36" s="468">
        <f t="shared" si="13"/>
        <v>1436156.3425301204</v>
      </c>
      <c r="AA36" s="468">
        <f t="shared" si="14"/>
        <v>177232.42499999993</v>
      </c>
      <c r="AB36" s="469">
        <f t="shared" si="19"/>
        <v>1613388.7675301204</v>
      </c>
      <c r="AC36" s="469">
        <f t="shared" si="19"/>
        <v>3060708.0981325293</v>
      </c>
      <c r="AD36" s="472">
        <f t="shared" si="19"/>
        <v>3798032.3789726556</v>
      </c>
      <c r="AE36" s="473">
        <f t="shared" si="19"/>
        <v>0</v>
      </c>
    </row>
    <row r="37" spans="1:30" ht="30.75" customHeight="1">
      <c r="A37" s="337"/>
      <c r="B37" s="339"/>
      <c r="C37" s="339"/>
      <c r="D37" s="339"/>
      <c r="E37" s="339"/>
      <c r="F37" s="339"/>
      <c r="G37" s="339"/>
      <c r="H37" s="339"/>
      <c r="I37" s="474"/>
      <c r="J37" s="339"/>
      <c r="K37" s="338"/>
      <c r="L37" s="338"/>
      <c r="M37" s="338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</row>
    <row r="38" spans="15:27" ht="24.75" customHeight="1">
      <c r="O38" s="319"/>
      <c r="P38" s="319"/>
      <c r="Q38" s="319"/>
      <c r="R38" s="319"/>
      <c r="S38" s="319"/>
      <c r="U38" s="319"/>
      <c r="V38" s="319"/>
      <c r="Z38" s="319"/>
      <c r="AA38" s="319"/>
    </row>
    <row r="39" spans="2:27" ht="15.75">
      <c r="B39" s="510" t="s">
        <v>127</v>
      </c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445"/>
      <c r="V39" s="445"/>
      <c r="W39" s="476"/>
      <c r="Z39" s="445"/>
      <c r="AA39" s="445"/>
    </row>
    <row r="41" spans="1:19" ht="15.75">
      <c r="A41" s="334" t="s">
        <v>162</v>
      </c>
      <c r="S41" s="319"/>
    </row>
    <row r="42" ht="15.75">
      <c r="A42" s="334"/>
    </row>
    <row r="43" ht="15.75">
      <c r="A43" s="477" t="s">
        <v>125</v>
      </c>
    </row>
    <row r="44" ht="15.75">
      <c r="A44" s="325" t="s">
        <v>126</v>
      </c>
    </row>
  </sheetData>
  <sheetProtection/>
  <mergeCells count="12">
    <mergeCell ref="F5:N5"/>
    <mergeCell ref="F7:I7"/>
    <mergeCell ref="P7:R7"/>
    <mergeCell ref="Y6:AD6"/>
    <mergeCell ref="F6:M6"/>
    <mergeCell ref="T6:X6"/>
    <mergeCell ref="O6:S6"/>
    <mergeCell ref="N6:N8"/>
    <mergeCell ref="U7:W7"/>
    <mergeCell ref="Z7:AB7"/>
    <mergeCell ref="B39:T39"/>
    <mergeCell ref="J7:M7"/>
  </mergeCells>
  <printOptions/>
  <pageMargins left="0.1968503937007874" right="0.1968503937007874" top="0.3937007874015748" bottom="0.3937007874015748" header="0.2755905511811024" footer="0.15748031496062992"/>
  <pageSetup fitToHeight="1" fitToWidth="1" horizontalDpi="600" verticalDpi="600" orientation="landscape" paperSize="9" scale="51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"Par situācijas stabilizēšanu valsts sociālās aprūpes centros"</dc:title>
  <dc:subject>2.pielikums</dc:subject>
  <dc:creator>aija grīnberga</dc:creator>
  <cp:keywords>2.pielikums</cp:keywords>
  <dc:description>Aija.Grinberga@lm.gov.lv</dc:description>
  <cp:lastModifiedBy>Egita Dorozkina</cp:lastModifiedBy>
  <cp:lastPrinted>2012-06-15T13:24:49Z</cp:lastPrinted>
  <dcterms:created xsi:type="dcterms:W3CDTF">1996-10-14T23:33:28Z</dcterms:created>
  <dcterms:modified xsi:type="dcterms:W3CDTF">2012-06-18T12:49:06Z</dcterms:modified>
  <cp:category/>
  <cp:version/>
  <cp:contentType/>
  <cp:contentStatus/>
</cp:coreProperties>
</file>