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LAF\Padome_2014\Informativais_zinojums\Uz_MK_300814\"/>
    </mc:Choice>
  </mc:AlternateContent>
  <bookViews>
    <workbookView xWindow="0" yWindow="0" windowWidth="24000" windowHeight="9720"/>
  </bookViews>
  <sheets>
    <sheet name="2.pielikum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6" i="1" l="1"/>
  <c r="AO36" i="1"/>
  <c r="AJ36" i="1"/>
  <c r="AR35" i="1"/>
  <c r="AO35" i="1"/>
  <c r="BA34" i="1"/>
  <c r="AY34" i="1"/>
  <c r="AX34" i="1"/>
  <c r="AU34" i="1"/>
  <c r="AS34" i="1"/>
  <c r="AQ34" i="1"/>
  <c r="AP34" i="1"/>
  <c r="AR34" i="1" s="1"/>
  <c r="AO34" i="1"/>
  <c r="AN34" i="1"/>
  <c r="AM34" i="1"/>
  <c r="AL34" i="1"/>
  <c r="AK34" i="1"/>
  <c r="AJ34" i="1"/>
  <c r="AI34" i="1"/>
  <c r="AH34" i="1"/>
  <c r="AG34" i="1"/>
  <c r="AF34" i="1"/>
  <c r="AE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W32" i="1"/>
  <c r="AR32" i="1"/>
  <c r="AO32" i="1"/>
  <c r="AK32" i="1"/>
  <c r="AJ32" i="1"/>
  <c r="AG32" i="1"/>
  <c r="AG26" i="1" s="1"/>
  <c r="AR31" i="1"/>
  <c r="AO31" i="1"/>
  <c r="AJ31" i="1"/>
  <c r="AH31" i="1"/>
  <c r="AW30" i="1"/>
  <c r="AR30" i="1"/>
  <c r="AO30" i="1"/>
  <c r="AK30" i="1"/>
  <c r="AJ30" i="1"/>
  <c r="AH30" i="1"/>
  <c r="AW29" i="1"/>
  <c r="AR29" i="1"/>
  <c r="AO29" i="1"/>
  <c r="AK29" i="1"/>
  <c r="AJ29" i="1"/>
  <c r="AJ26" i="1" s="1"/>
  <c r="AH29" i="1"/>
  <c r="AH26" i="1" s="1"/>
  <c r="AU28" i="1"/>
  <c r="AW28" i="1" s="1"/>
  <c r="AP28" i="1"/>
  <c r="AR28" i="1" s="1"/>
  <c r="AO28" i="1"/>
  <c r="AR27" i="1"/>
  <c r="AO27" i="1"/>
  <c r="AX26" i="1"/>
  <c r="AV26" i="1"/>
  <c r="AU26" i="1"/>
  <c r="AT26" i="1"/>
  <c r="AS26" i="1"/>
  <c r="AQ26" i="1"/>
  <c r="AP26" i="1"/>
  <c r="AN26" i="1"/>
  <c r="AM26" i="1"/>
  <c r="AL26" i="1"/>
  <c r="AI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W25" i="1"/>
  <c r="AR25" i="1"/>
  <c r="AO25" i="1"/>
  <c r="AW24" i="1"/>
  <c r="AS24" i="1"/>
  <c r="AS19" i="1" s="1"/>
  <c r="AR24" i="1"/>
  <c r="AO24" i="1"/>
  <c r="AW23" i="1"/>
  <c r="AO23" i="1"/>
  <c r="AW22" i="1"/>
  <c r="AS22" i="1"/>
  <c r="AR22" i="1"/>
  <c r="AO22" i="1"/>
  <c r="AW20" i="1"/>
  <c r="AR20" i="1"/>
  <c r="AO20" i="1"/>
  <c r="BA19" i="1"/>
  <c r="AY19" i="1"/>
  <c r="AX19" i="1"/>
  <c r="AW19" i="1"/>
  <c r="AV19" i="1"/>
  <c r="AU19" i="1"/>
  <c r="AT19" i="1"/>
  <c r="AR19" i="1"/>
  <c r="AQ19" i="1"/>
  <c r="AP19" i="1"/>
  <c r="AN19" i="1"/>
  <c r="AO19" i="1" s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S18" i="1"/>
  <c r="AR18" i="1"/>
  <c r="AP18" i="1"/>
  <c r="AQ18" i="1" s="1"/>
  <c r="AT18" i="1" s="1"/>
  <c r="AN18" i="1"/>
  <c r="AO18" i="1" s="1"/>
  <c r="AM18" i="1"/>
  <c r="AK18" i="1"/>
  <c r="AL18" i="1" s="1"/>
  <c r="AJ18" i="1"/>
  <c r="AI18" i="1"/>
  <c r="AH18" i="1"/>
  <c r="AG18" i="1"/>
  <c r="AF18" i="1"/>
  <c r="AE18" i="1"/>
  <c r="AD18" i="1"/>
  <c r="AC18" i="1"/>
  <c r="AC37" i="1" s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AW17" i="1"/>
  <c r="AV17" i="1"/>
  <c r="AT17" i="1"/>
  <c r="AR17" i="1"/>
  <c r="AQ17" i="1"/>
  <c r="AO17" i="1"/>
  <c r="AL17" i="1"/>
  <c r="AJ17" i="1"/>
  <c r="AH17" i="1"/>
  <c r="AF17" i="1"/>
  <c r="AB17" i="1"/>
  <c r="AW16" i="1"/>
  <c r="AV16" i="1"/>
  <c r="AT16" i="1"/>
  <c r="AT15" i="1" s="1"/>
  <c r="AR16" i="1"/>
  <c r="AQ16" i="1"/>
  <c r="AO16" i="1"/>
  <c r="AL16" i="1"/>
  <c r="AL15" i="1" s="1"/>
  <c r="AJ16" i="1"/>
  <c r="AJ15" i="1" s="1"/>
  <c r="AH16" i="1"/>
  <c r="AF16" i="1"/>
  <c r="AB16" i="1"/>
  <c r="AB15" i="1" s="1"/>
  <c r="BA15" i="1"/>
  <c r="AZ15" i="1"/>
  <c r="AY15" i="1"/>
  <c r="AX15" i="1"/>
  <c r="AU15" i="1"/>
  <c r="AS15" i="1"/>
  <c r="AQ15" i="1"/>
  <c r="AP15" i="1"/>
  <c r="AR15" i="1" s="1"/>
  <c r="AO15" i="1"/>
  <c r="AN15" i="1"/>
  <c r="AM15" i="1"/>
  <c r="AK15" i="1"/>
  <c r="AI15" i="1"/>
  <c r="AH15" i="1"/>
  <c r="AG15" i="1"/>
  <c r="AE15" i="1"/>
  <c r="AD15" i="1"/>
  <c r="AC15" i="1"/>
  <c r="AA15" i="1"/>
  <c r="Z15" i="1"/>
  <c r="Y15" i="1"/>
  <c r="X15" i="1"/>
  <c r="W15" i="1"/>
  <c r="V15" i="1"/>
  <c r="U15" i="1"/>
  <c r="U37" i="1" s="1"/>
  <c r="T15" i="1"/>
  <c r="S15" i="1"/>
  <c r="R15" i="1"/>
  <c r="Q15" i="1"/>
  <c r="Q37" i="1" s="1"/>
  <c r="P15" i="1"/>
  <c r="O15" i="1"/>
  <c r="N15" i="1"/>
  <c r="M15" i="1"/>
  <c r="L15" i="1"/>
  <c r="K15" i="1"/>
  <c r="J15" i="1"/>
  <c r="I15" i="1"/>
  <c r="H15" i="1"/>
  <c r="G15" i="1"/>
  <c r="F15" i="1"/>
  <c r="F37" i="1" s="1"/>
  <c r="E15" i="1"/>
  <c r="E37" i="1" s="1"/>
  <c r="D15" i="1"/>
  <c r="C15" i="1"/>
  <c r="AW14" i="1"/>
  <c r="AV14" i="1"/>
  <c r="AT14" i="1"/>
  <c r="AR14" i="1"/>
  <c r="AQ14" i="1"/>
  <c r="AO14" i="1"/>
  <c r="AL14" i="1"/>
  <c r="AJ14" i="1"/>
  <c r="AH14" i="1"/>
  <c r="AF14" i="1"/>
  <c r="AB14" i="1"/>
  <c r="AZ13" i="1"/>
  <c r="AW13" i="1"/>
  <c r="AV13" i="1"/>
  <c r="AV12" i="1" s="1"/>
  <c r="AT13" i="1"/>
  <c r="AR13" i="1"/>
  <c r="AQ13" i="1"/>
  <c r="AO13" i="1"/>
  <c r="AL13" i="1"/>
  <c r="AJ13" i="1"/>
  <c r="AH13" i="1"/>
  <c r="AH12" i="1" s="1"/>
  <c r="AF13" i="1"/>
  <c r="AB13" i="1"/>
  <c r="BA12" i="1"/>
  <c r="AZ12" i="1"/>
  <c r="AY12" i="1"/>
  <c r="AX12" i="1"/>
  <c r="AU12" i="1"/>
  <c r="AW12" i="1" s="1"/>
  <c r="AT12" i="1"/>
  <c r="AS12" i="1"/>
  <c r="AQ12" i="1"/>
  <c r="AP12" i="1"/>
  <c r="AN12" i="1"/>
  <c r="AM12" i="1"/>
  <c r="AL12" i="1"/>
  <c r="AK12" i="1"/>
  <c r="AJ12" i="1"/>
  <c r="AI12" i="1"/>
  <c r="AR12" i="1" s="1"/>
  <c r="AG12" i="1"/>
  <c r="AF12" i="1"/>
  <c r="AE12" i="1"/>
  <c r="AD12" i="1"/>
  <c r="AC12" i="1"/>
  <c r="AB12" i="1"/>
  <c r="AA12" i="1"/>
  <c r="Z12" i="1"/>
  <c r="Y12" i="1"/>
  <c r="X12" i="1"/>
  <c r="X7" i="1" s="1"/>
  <c r="X37" i="1" s="1"/>
  <c r="W12" i="1"/>
  <c r="V12" i="1"/>
  <c r="U12" i="1"/>
  <c r="T12" i="1"/>
  <c r="T7" i="1" s="1"/>
  <c r="T37" i="1" s="1"/>
  <c r="S12" i="1"/>
  <c r="R12" i="1"/>
  <c r="Q12" i="1"/>
  <c r="P12" i="1"/>
  <c r="P7" i="1" s="1"/>
  <c r="P37" i="1" s="1"/>
  <c r="O12" i="1"/>
  <c r="N12" i="1"/>
  <c r="M12" i="1"/>
  <c r="L12" i="1"/>
  <c r="K12" i="1"/>
  <c r="J12" i="1"/>
  <c r="I12" i="1"/>
  <c r="H12" i="1"/>
  <c r="H7" i="1" s="1"/>
  <c r="H37" i="1" s="1"/>
  <c r="G12" i="1"/>
  <c r="F12" i="1"/>
  <c r="E12" i="1"/>
  <c r="D12" i="1"/>
  <c r="D7" i="1" s="1"/>
  <c r="D37" i="1" s="1"/>
  <c r="C12" i="1"/>
  <c r="AZ11" i="1"/>
  <c r="AW11" i="1"/>
  <c r="AV11" i="1"/>
  <c r="AT11" i="1"/>
  <c r="AR11" i="1"/>
  <c r="AQ11" i="1"/>
  <c r="AO11" i="1"/>
  <c r="AL11" i="1"/>
  <c r="AJ11" i="1"/>
  <c r="AH11" i="1"/>
  <c r="AF11" i="1"/>
  <c r="AB11" i="1"/>
  <c r="AZ10" i="1"/>
  <c r="AW10" i="1"/>
  <c r="AV10" i="1"/>
  <c r="AT10" i="1"/>
  <c r="AR10" i="1"/>
  <c r="AQ10" i="1"/>
  <c r="AO10" i="1"/>
  <c r="AL10" i="1"/>
  <c r="AJ10" i="1"/>
  <c r="AH10" i="1"/>
  <c r="AF10" i="1"/>
  <c r="AE10" i="1"/>
  <c r="AB10" i="1"/>
  <c r="Z10" i="1"/>
  <c r="Y10" i="1"/>
  <c r="Y8" i="1" s="1"/>
  <c r="Y7" i="1" s="1"/>
  <c r="Y37" i="1" s="1"/>
  <c r="AZ9" i="1"/>
  <c r="AZ8" i="1" s="1"/>
  <c r="AW9" i="1"/>
  <c r="AV9" i="1"/>
  <c r="AT9" i="1"/>
  <c r="AT8" i="1" s="1"/>
  <c r="AT7" i="1" s="1"/>
  <c r="AR9" i="1"/>
  <c r="AQ9" i="1"/>
  <c r="AO9" i="1"/>
  <c r="AL9" i="1"/>
  <c r="AJ9" i="1"/>
  <c r="AJ8" i="1" s="1"/>
  <c r="AH9" i="1"/>
  <c r="AE9" i="1"/>
  <c r="AB9" i="1"/>
  <c r="AB8" i="1" s="1"/>
  <c r="AB7" i="1" s="1"/>
  <c r="AB37" i="1" s="1"/>
  <c r="Z9" i="1"/>
  <c r="Y9" i="1"/>
  <c r="V9" i="1"/>
  <c r="BA8" i="1"/>
  <c r="BA7" i="1" s="1"/>
  <c r="BA37" i="1" s="1"/>
  <c r="AY8" i="1"/>
  <c r="AX8" i="1"/>
  <c r="AX7" i="1" s="1"/>
  <c r="AU8" i="1"/>
  <c r="AS8" i="1"/>
  <c r="AS7" i="1" s="1"/>
  <c r="AQ8" i="1"/>
  <c r="AP8" i="1"/>
  <c r="AO8" i="1"/>
  <c r="AN8" i="1"/>
  <c r="AM8" i="1"/>
  <c r="AL8" i="1"/>
  <c r="AL7" i="1" s="1"/>
  <c r="AK8" i="1"/>
  <c r="AK7" i="1" s="1"/>
  <c r="AI8" i="1"/>
  <c r="AH8" i="1"/>
  <c r="AH7" i="1" s="1"/>
  <c r="AG8" i="1"/>
  <c r="AG7" i="1" s="1"/>
  <c r="AG37" i="1" s="1"/>
  <c r="AD8" i="1"/>
  <c r="AD7" i="1" s="1"/>
  <c r="AC8" i="1"/>
  <c r="AC7" i="1" s="1"/>
  <c r="AA8" i="1"/>
  <c r="Z8" i="1"/>
  <c r="Z7" i="1" s="1"/>
  <c r="Z37" i="1" s="1"/>
  <c r="X8" i="1"/>
  <c r="W8" i="1"/>
  <c r="V8" i="1"/>
  <c r="V7" i="1" s="1"/>
  <c r="V37" i="1" s="1"/>
  <c r="U8" i="1"/>
  <c r="U7" i="1" s="1"/>
  <c r="T8" i="1"/>
  <c r="S8" i="1"/>
  <c r="R8" i="1"/>
  <c r="R7" i="1" s="1"/>
  <c r="R37" i="1" s="1"/>
  <c r="P8" i="1"/>
  <c r="O8" i="1"/>
  <c r="N8" i="1"/>
  <c r="N7" i="1" s="1"/>
  <c r="N37" i="1" s="1"/>
  <c r="M8" i="1"/>
  <c r="M7" i="1" s="1"/>
  <c r="M37" i="1" s="1"/>
  <c r="L8" i="1"/>
  <c r="K8" i="1"/>
  <c r="J8" i="1"/>
  <c r="J7" i="1" s="1"/>
  <c r="J37" i="1" s="1"/>
  <c r="I8" i="1"/>
  <c r="I7" i="1" s="1"/>
  <c r="I37" i="1" s="1"/>
  <c r="H8" i="1"/>
  <c r="G8" i="1"/>
  <c r="AZ7" i="1"/>
  <c r="AZ37" i="1" s="1"/>
  <c r="AY7" i="1"/>
  <c r="AY37" i="1" s="1"/>
  <c r="AQ7" i="1"/>
  <c r="AQ37" i="1" s="1"/>
  <c r="AN7" i="1"/>
  <c r="AM7" i="1"/>
  <c r="AM37" i="1" s="1"/>
  <c r="AJ7" i="1"/>
  <c r="AI7" i="1"/>
  <c r="AI37" i="1" s="1"/>
  <c r="AA7" i="1"/>
  <c r="AA37" i="1" s="1"/>
  <c r="W7" i="1"/>
  <c r="S7" i="1"/>
  <c r="S37" i="1" s="1"/>
  <c r="Q7" i="1"/>
  <c r="O7" i="1"/>
  <c r="O37" i="1" s="1"/>
  <c r="L7" i="1"/>
  <c r="L37" i="1" s="1"/>
  <c r="K7" i="1"/>
  <c r="G7" i="1"/>
  <c r="G37" i="1" s="1"/>
  <c r="F7" i="1"/>
  <c r="E7" i="1"/>
  <c r="C7" i="1"/>
  <c r="C37" i="1" s="1"/>
  <c r="AT37" i="1" l="1"/>
  <c r="AS37" i="1"/>
  <c r="AL37" i="1"/>
  <c r="AR8" i="1"/>
  <c r="AP7" i="1"/>
  <c r="AR26" i="1"/>
  <c r="AW26" i="1"/>
  <c r="AJ37" i="1"/>
  <c r="AH37" i="1"/>
  <c r="AW8" i="1"/>
  <c r="AF9" i="1"/>
  <c r="AF8" i="1" s="1"/>
  <c r="AF7" i="1" s="1"/>
  <c r="AF37" i="1" s="1"/>
  <c r="AE8" i="1"/>
  <c r="AE7" i="1" s="1"/>
  <c r="AE37" i="1" s="1"/>
  <c r="AV8" i="1"/>
  <c r="AV7" i="1" s="1"/>
  <c r="AF15" i="1"/>
  <c r="AV15" i="1"/>
  <c r="W37" i="1"/>
  <c r="AU7" i="1"/>
  <c r="AX37" i="1"/>
  <c r="K37" i="1"/>
  <c r="AN37" i="1"/>
  <c r="AO37" i="1" s="1"/>
  <c r="AO7" i="1"/>
  <c r="AD37" i="1"/>
  <c r="AO12" i="1"/>
  <c r="AW15" i="1"/>
  <c r="AO26" i="1"/>
  <c r="AK26" i="1"/>
  <c r="AK37" i="1" s="1"/>
  <c r="AU37" i="1" l="1"/>
  <c r="AW37" i="1" s="1"/>
  <c r="AW7" i="1"/>
  <c r="AV37" i="1"/>
  <c r="AP37" i="1"/>
  <c r="AR7" i="1"/>
  <c r="AR37" i="1" l="1"/>
</calcChain>
</file>

<file path=xl/comments1.xml><?xml version="1.0" encoding="utf-8"?>
<comments xmlns="http://schemas.openxmlformats.org/spreadsheetml/2006/main">
  <authors>
    <author>FM</author>
    <author>Aiva Avota</author>
  </authors>
  <commentList>
    <comment ref="AK4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</t>
        </r>
      </text>
    </comment>
    <comment ref="AN4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AP4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
</t>
        </r>
      </text>
    </comment>
    <comment ref="AS4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AU4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
</t>
        </r>
      </text>
    </comment>
    <comment ref="AX4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 (2007.+ 2008.g.pr.)+IeM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KM(tikai no 2007.g.pr.)+IeM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 (2008.g.pr.)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 (2009.g.pr.)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
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W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  (2010.+2011.g.pr.) +IeM</t>
        </r>
      </text>
    </comment>
    <comment ref="X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Y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A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IeM+KM(2011.+2012.g.pr.)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AC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 (2011.+2012.g.pr.)</t>
        </r>
      </text>
    </comment>
    <comment ref="AD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AE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 (2011.g.pr.)</t>
        </r>
      </text>
    </comment>
    <comment ref="AG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 (2007+2008.+2009.+ 2010.+2011.+2012.g.pr. bez TP)+IeM</t>
        </r>
      </text>
    </comment>
    <comment ref="AI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 (2007-2012.g.pr., bez TP) uz 31.12.2013.</t>
        </r>
      </text>
    </comment>
    <comment ref="AK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 (Līgumu kopsumma, kuros konstatētas neatbilstības (no 2007. līdz 2011.g.pr.)). Uz 31.12.2013.</t>
        </r>
      </text>
    </comment>
    <comment ref="AM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 (no 2007.-2012.g.pr) uz 31.12.2013.</t>
        </r>
      </text>
    </comment>
    <comment ref="AN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AP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 (no 2007. - 2011.g.pr.) uz 31.12.2013.</t>
        </r>
      </text>
    </comment>
    <comment ref="AU18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AX18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2008.gadā Latvijas partneriem netika veikti maksājumi projektu ieviešanai </t>
        </r>
      </text>
    </comment>
    <comment ref="AG2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Kopējais piešķirtais finansējums Latvijas partneriem (ERAF+ nacionālais līdzfinansējums)</t>
        </r>
      </text>
    </comment>
    <comment ref="AI2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Kopējais apgūtais finansējums pa gadiem=Kopējais sertificētais finansējums LV partneriem pa gadiem (Saskaņā ar pirmā līmeņa finanšu kontroles (VRAA) datiem). Maksājumus un uzskaiti veic attiecīgās programmas Vadošās iestādes, kuras atrodas dažādās ES dalībvalstīs.</t>
        </r>
      </text>
    </comment>
  </commentList>
</comments>
</file>

<file path=xl/sharedStrings.xml><?xml version="1.0" encoding="utf-8"?>
<sst xmlns="http://schemas.openxmlformats.org/spreadsheetml/2006/main" count="171" uniqueCount="100">
  <si>
    <t>2.pielikums</t>
  </si>
  <si>
    <t>Nr.p.k.</t>
  </si>
  <si>
    <t>Fondi/programmas</t>
  </si>
  <si>
    <t>2007.-2013.gada plānošanas periodā līdz 31.12.2013.</t>
  </si>
  <si>
    <t>2007.-2013.gada plānošanas periodā līdz 31.12.2013. atgūšana</t>
  </si>
  <si>
    <t>Maksātnespējas un bankrota gadījumu skaits un apjoms [6]</t>
  </si>
  <si>
    <t>Kopējais pieprasītais publiskais finansējums</t>
  </si>
  <si>
    <t>Apstiprināto projektu skaits</t>
  </si>
  <si>
    <t>Neatbilstību skaits</t>
  </si>
  <si>
    <t>Neatbilstību summa</t>
  </si>
  <si>
    <t>Kopā pieejamais publiskais finansējums ES fondu projektiem</t>
  </si>
  <si>
    <t>Kopējais pieprasītais publiskais finansējums*</t>
  </si>
  <si>
    <t>Kopējais finansējums projektiem, kuros konstatētas neatbilstības</t>
  </si>
  <si>
    <t>Neatbilstību skaits **
(kumulatīvi)</t>
  </si>
  <si>
    <t>Neatbilstību skaita procents kopējā apstiprināto projektu skaitā, %</t>
  </si>
  <si>
    <t>Neatbilstību summa (kumulatīvi)</t>
  </si>
  <si>
    <t>Neatbilstību summas procents kopējā pieprasītā publiskā finansējumā, %</t>
  </si>
  <si>
    <t>Atgūstamā summa
(kumulatīvi)</t>
  </si>
  <si>
    <t xml:space="preserve">Faktiski atgūtā summa (kumulatīvi) </t>
  </si>
  <si>
    <t xml:space="preserve">Slēgto neatbilstību gadījumu skaits (kumulatīvi) </t>
  </si>
  <si>
    <t>LVL</t>
  </si>
  <si>
    <t>EUR</t>
  </si>
  <si>
    <t>Skaits</t>
  </si>
  <si>
    <t>41=40/39</t>
  </si>
  <si>
    <t>44=42/35</t>
  </si>
  <si>
    <t>49=47/42</t>
  </si>
  <si>
    <t>1.</t>
  </si>
  <si>
    <t>Eiropas Savienības struktūrfondi 2007.-2013.gada plānošanas periods</t>
  </si>
  <si>
    <t>1.1.</t>
  </si>
  <si>
    <t>ERAF</t>
  </si>
  <si>
    <t>1.1.1.</t>
  </si>
  <si>
    <t>2.darbības programma "Uzņēmējdarbība un inovācijas"</t>
  </si>
  <si>
    <t>1.1.2.</t>
  </si>
  <si>
    <t>3.darbības programma "Infrastruktūra un pakalpojumi"</t>
  </si>
  <si>
    <t>1.1.3.</t>
  </si>
  <si>
    <t>Tehniskā palīdzība ERAF ieviešanai</t>
  </si>
  <si>
    <t>1.2.</t>
  </si>
  <si>
    <t>ESF</t>
  </si>
  <si>
    <t>1.2.1.</t>
  </si>
  <si>
    <t>1.darbības programma "Cilvēkresursi un nodarbinātība"</t>
  </si>
  <si>
    <t>1.2.2.</t>
  </si>
  <si>
    <t>Tehniskā palīdzība ESF ieviešanai</t>
  </si>
  <si>
    <t>2.</t>
  </si>
  <si>
    <r>
      <t xml:space="preserve">Eiropas Savienības Kohēzijas fonds </t>
    </r>
    <r>
      <rPr>
        <b/>
        <sz val="12"/>
        <color rgb="FF000000"/>
        <rFont val="Times New Roman"/>
        <family val="1"/>
        <charset val="186"/>
      </rPr>
      <t>2007.-2013.gada plānošanas periods</t>
    </r>
  </si>
  <si>
    <t>2.1.</t>
  </si>
  <si>
    <t>2.2.</t>
  </si>
  <si>
    <t>Tehniskā palīdzība KF ieviešanai</t>
  </si>
  <si>
    <t>3.</t>
  </si>
  <si>
    <t>Vispārīgā programma „Solidaritāte un migrācijas plūsmu pārvaldība”</t>
  </si>
  <si>
    <t>4.</t>
  </si>
  <si>
    <t>Eiropas Lauksaimniecības un lauku attīstības fondi 2007.-2013.gada plānošanas periods, neskaitot priekšfinansējumu[4]</t>
  </si>
  <si>
    <t>4.1.</t>
  </si>
  <si>
    <r>
      <t>Eiropas Lauksaimniecības garantiju fonds (E</t>
    </r>
    <r>
      <rPr>
        <sz val="12"/>
        <color rgb="FF000000"/>
        <rFont val="Times New Roman"/>
        <family val="1"/>
        <charset val="186"/>
      </rPr>
      <t>LGF)</t>
    </r>
  </si>
  <si>
    <t>4.1.1.</t>
  </si>
  <si>
    <t>Priekšfinansējums ELGF ietvaros</t>
  </si>
  <si>
    <t>X</t>
  </si>
  <si>
    <t>x</t>
  </si>
  <si>
    <t>4.2.</t>
  </si>
  <si>
    <r>
      <t>Eiropas Lauksaimniecības fonds lauku attīstībai (</t>
    </r>
    <r>
      <rPr>
        <sz val="12"/>
        <color rgb="FF000000"/>
        <rFont val="Times New Roman"/>
        <family val="1"/>
        <charset val="186"/>
      </rPr>
      <t>ELFLA)</t>
    </r>
  </si>
  <si>
    <t>4.2.1.</t>
  </si>
  <si>
    <t>Priekšfinansējums ELFLA ietvaros [10]</t>
  </si>
  <si>
    <t>4.3.</t>
  </si>
  <si>
    <t>Eiropas Zivsaimniecības fonds (EZF)</t>
  </si>
  <si>
    <t>4.3.1.</t>
  </si>
  <si>
    <t>Priekšfinansējums EZF ietvaros</t>
  </si>
  <si>
    <t>5.</t>
  </si>
  <si>
    <t>Eiropas Savienības struktūrfondu 3.mērķa „Eiropas teritoriālā sadarbība” programmas [11]</t>
  </si>
  <si>
    <t>5.1.</t>
  </si>
  <si>
    <t>Latvijas-Lietuvas pārrobežu sadarbības programma</t>
  </si>
  <si>
    <t>5.2.</t>
  </si>
  <si>
    <t>Igaunijas-Latvijas pārrobežu sadarbības programma</t>
  </si>
  <si>
    <t>37702, 22</t>
  </si>
  <si>
    <t>5.3.</t>
  </si>
  <si>
    <t>Centrālā Baltijas jūras reģiona INTERREG IVA pārrobežu sadarbības programma</t>
  </si>
  <si>
    <t>5.4.</t>
  </si>
  <si>
    <t>Baltijas jūras reģiona transnacionālās sadarbības programma</t>
  </si>
  <si>
    <t>5.5.</t>
  </si>
  <si>
    <t>Starpreģionu sadarbības programmas INTERREG IVC</t>
  </si>
  <si>
    <t>5.6.</t>
  </si>
  <si>
    <t>Pilsētvides attīstības programmas URBACT II</t>
  </si>
  <si>
    <t>5.7.</t>
  </si>
  <si>
    <t>ESPON 2013</t>
  </si>
  <si>
    <t>6.</t>
  </si>
  <si>
    <t>Citi ES finanšu palīdzības instrumenti</t>
  </si>
  <si>
    <t>6.1.</t>
  </si>
  <si>
    <t>TEN-T programma</t>
  </si>
  <si>
    <t>6.2.</t>
  </si>
  <si>
    <t>TEN-E programma</t>
  </si>
  <si>
    <t>Kopā</t>
  </si>
  <si>
    <t>[10] ELFLA priekšfinansējumā lielākā daļa neatbilstības attiecas uz pašvaldībām - Latvijā īstenotās novadu reformas rezultātā, jaunajām pašvaldībām pārņemot veco pašvaldību līgumus, daudzas izlēma projektu realizāciju neturpināt un atmaksāt saņemtos priekšfinansējuma maksājumus (99% faktiski atgūtās summas 2007.-2013.gada plānošanas periodā līdz 31.12.2011).</t>
  </si>
  <si>
    <t>[11] Kopējais piešķirtais finansējums Latvijas partneriem (ERAF+nacionālais līdzfinansējums); Kopējais apgūtais finansējums pa gadiem=Kopējais sertificētais finansējums LV partneriem pa gadiem (Saskaņā ar pirmā līmeņa finanšu kontroles (VRAA) datiem). Maksājumus un uzskaiti veic attiecīgās programmas Vadošās iestādes, kuras atrodas dažādās ES dalībvalstīs.</t>
  </si>
  <si>
    <t xml:space="preserve">* Pieprasītais finansējums atbisltoši VIS datiem. Pieprasīto finasējumu ņemot vērā avansu dzēšanas laika periodu (līdz pat gadam) nav iespējams kumulēt, saskaitot summas par iepriekšējos gados pieprasīto finasējumu. </t>
  </si>
  <si>
    <t xml:space="preserve">** Neatbilstību kumulatīvais apjoms un skaits nevar tikt rēķināts, saskaitot summas par ieriekšējiem gadiem, jo dati mainās uz pārsūdzību un atceltu neatbisltību rēķina.  </t>
  </si>
  <si>
    <r>
      <t>2007. - 2013.gada plānošanas periodā līdz 2013.gada 31.decembrim konstatētie neatbilstību gadījumi un ar tiem saistītās summas (latos un</t>
    </r>
    <r>
      <rPr>
        <b/>
        <i/>
        <sz val="12"/>
        <color theme="1"/>
        <rFont val="Times New Roman"/>
        <family val="1"/>
        <charset val="186"/>
      </rPr>
      <t xml:space="preserve"> euro</t>
    </r>
    <r>
      <rPr>
        <b/>
        <sz val="12"/>
        <color theme="1"/>
        <rFont val="Times New Roman"/>
        <family val="1"/>
        <charset val="186"/>
      </rPr>
      <t>)  sadalījumā pa fondiem/programmām, izdalot atsevišķi maksātnespējas un bankrota gadījumus</t>
    </r>
  </si>
  <si>
    <t>%</t>
  </si>
  <si>
    <t>finanšu ministrs</t>
  </si>
  <si>
    <t>A.Vilks</t>
  </si>
  <si>
    <t>A.Avota</t>
  </si>
  <si>
    <t>67083954, aiva.avota@fm.gov.lv</t>
  </si>
  <si>
    <t>29.08.2014.  10:53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</si>
</sst>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2"/>
      <charset val="186"/>
    </font>
    <font>
      <u/>
      <sz val="12"/>
      <color theme="10"/>
      <name val="Times New Roman"/>
      <family val="2"/>
      <charset val="186"/>
    </font>
    <font>
      <i/>
      <sz val="9"/>
      <color rgb="FF000000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4"/>
      <color theme="1"/>
      <name val="Times New Roman"/>
      <family val="2"/>
      <charset val="186"/>
    </font>
    <font>
      <b/>
      <i/>
      <sz val="12"/>
      <color theme="1"/>
      <name val="Times New Roman"/>
      <family val="1"/>
      <charset val="186"/>
    </font>
    <font>
      <sz val="18"/>
      <color theme="1"/>
      <name val="Times New Roman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0">
    <xf numFmtId="0" fontId="0" fillId="0" borderId="0" xfId="0"/>
    <xf numFmtId="0" fontId="3" fillId="0" borderId="0" xfId="0" applyFont="1"/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5" borderId="33" xfId="2" applyFont="1" applyFill="1" applyBorder="1" applyAlignment="1">
      <alignment horizontal="center" vertical="center" wrapText="1"/>
    </xf>
    <xf numFmtId="0" fontId="10" fillId="5" borderId="32" xfId="2" applyFont="1" applyFill="1" applyBorder="1" applyAlignment="1">
      <alignment horizontal="center" vertical="center" wrapText="1"/>
    </xf>
    <xf numFmtId="0" fontId="10" fillId="5" borderId="26" xfId="2" applyFont="1" applyFill="1" applyBorder="1" applyAlignment="1">
      <alignment horizontal="center" vertical="center" wrapText="1"/>
    </xf>
    <xf numFmtId="0" fontId="11" fillId="5" borderId="31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vertical="center" wrapText="1"/>
    </xf>
    <xf numFmtId="4" fontId="12" fillId="6" borderId="14" xfId="0" applyNumberFormat="1" applyFont="1" applyFill="1" applyBorder="1" applyAlignment="1">
      <alignment horizontal="center" vertical="center" wrapText="1"/>
    </xf>
    <xf numFmtId="0" fontId="12" fillId="6" borderId="15" xfId="0" applyNumberFormat="1" applyFont="1" applyFill="1" applyBorder="1" applyAlignment="1">
      <alignment horizontal="center" vertical="center" wrapText="1"/>
    </xf>
    <xf numFmtId="4" fontId="12" fillId="6" borderId="16" xfId="0" applyNumberFormat="1" applyFont="1" applyFill="1" applyBorder="1" applyAlignment="1">
      <alignment horizontal="center" vertical="center" wrapText="1"/>
    </xf>
    <xf numFmtId="4" fontId="12" fillId="6" borderId="17" xfId="0" applyNumberFormat="1" applyFont="1" applyFill="1" applyBorder="1" applyAlignment="1">
      <alignment horizontal="center" vertical="center" wrapText="1"/>
    </xf>
    <xf numFmtId="4" fontId="12" fillId="6" borderId="18" xfId="0" applyNumberFormat="1" applyFont="1" applyFill="1" applyBorder="1" applyAlignment="1">
      <alignment horizontal="center" vertical="center" wrapText="1"/>
    </xf>
    <xf numFmtId="3" fontId="12" fillId="6" borderId="15" xfId="0" applyNumberFormat="1" applyFont="1" applyFill="1" applyBorder="1" applyAlignment="1">
      <alignment horizontal="center" vertical="center" wrapText="1"/>
    </xf>
    <xf numFmtId="4" fontId="12" fillId="6" borderId="15" xfId="0" applyNumberFormat="1" applyFont="1" applyFill="1" applyBorder="1" applyAlignment="1">
      <alignment horizontal="center" vertical="center" wrapText="1"/>
    </xf>
    <xf numFmtId="3" fontId="2" fillId="7" borderId="15" xfId="0" applyNumberFormat="1" applyFont="1" applyFill="1" applyBorder="1" applyAlignment="1">
      <alignment horizontal="center" vertical="center"/>
    </xf>
    <xf numFmtId="10" fontId="2" fillId="7" borderId="15" xfId="0" applyNumberFormat="1" applyFont="1" applyFill="1" applyBorder="1" applyAlignment="1">
      <alignment horizontal="center" vertical="center"/>
    </xf>
    <xf numFmtId="4" fontId="2" fillId="7" borderId="15" xfId="0" applyNumberFormat="1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center" vertical="center"/>
    </xf>
    <xf numFmtId="10" fontId="2" fillId="7" borderId="17" xfId="0" applyNumberFormat="1" applyFont="1" applyFill="1" applyBorder="1" applyAlignment="1">
      <alignment horizontal="center" vertical="center"/>
    </xf>
    <xf numFmtId="4" fontId="2" fillId="7" borderId="14" xfId="0" applyNumberFormat="1" applyFont="1" applyFill="1" applyBorder="1" applyAlignment="1">
      <alignment horizontal="center" vertical="center"/>
    </xf>
    <xf numFmtId="4" fontId="2" fillId="7" borderId="18" xfId="0" applyNumberFormat="1" applyFont="1" applyFill="1" applyBorder="1" applyAlignment="1">
      <alignment horizontal="center" vertical="center"/>
    </xf>
    <xf numFmtId="3" fontId="2" fillId="7" borderId="17" xfId="0" applyNumberFormat="1" applyFont="1" applyFill="1" applyBorder="1" applyAlignment="1">
      <alignment horizontal="center" vertical="center"/>
    </xf>
    <xf numFmtId="4" fontId="2" fillId="7" borderId="23" xfId="0" applyNumberFormat="1" applyFont="1" applyFill="1" applyBorder="1" applyAlignment="1">
      <alignment horizontal="center" vertical="center"/>
    </xf>
    <xf numFmtId="3" fontId="2" fillId="7" borderId="16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4" fontId="13" fillId="8" borderId="14" xfId="0" applyNumberFormat="1" applyFont="1" applyFill="1" applyBorder="1" applyAlignment="1">
      <alignment horizontal="center" vertical="center" wrapText="1"/>
    </xf>
    <xf numFmtId="0" fontId="13" fillId="8" borderId="15" xfId="0" applyNumberFormat="1" applyFont="1" applyFill="1" applyBorder="1" applyAlignment="1">
      <alignment horizontal="center" vertical="center" wrapText="1"/>
    </xf>
    <xf numFmtId="4" fontId="13" fillId="8" borderId="16" xfId="0" applyNumberFormat="1" applyFont="1" applyFill="1" applyBorder="1" applyAlignment="1">
      <alignment horizontal="center" vertical="center" wrapText="1"/>
    </xf>
    <xf numFmtId="4" fontId="13" fillId="8" borderId="17" xfId="0" applyNumberFormat="1" applyFont="1" applyFill="1" applyBorder="1" applyAlignment="1">
      <alignment horizontal="center" vertical="center" wrapText="1"/>
    </xf>
    <xf numFmtId="4" fontId="14" fillId="8" borderId="16" xfId="0" applyNumberFormat="1" applyFont="1" applyFill="1" applyBorder="1" applyAlignment="1">
      <alignment horizontal="center" vertical="center"/>
    </xf>
    <xf numFmtId="4" fontId="14" fillId="8" borderId="18" xfId="0" applyNumberFormat="1" applyFont="1" applyFill="1" applyBorder="1" applyAlignment="1">
      <alignment horizontal="center" vertical="center"/>
    </xf>
    <xf numFmtId="3" fontId="14" fillId="8" borderId="15" xfId="0" applyNumberFormat="1" applyFont="1" applyFill="1" applyBorder="1" applyAlignment="1">
      <alignment horizontal="center" vertical="center"/>
    </xf>
    <xf numFmtId="4" fontId="14" fillId="8" borderId="17" xfId="0" applyNumberFormat="1" applyFont="1" applyFill="1" applyBorder="1" applyAlignment="1">
      <alignment horizontal="center" vertical="center"/>
    </xf>
    <xf numFmtId="4" fontId="14" fillId="8" borderId="14" xfId="0" applyNumberFormat="1" applyFont="1" applyFill="1" applyBorder="1" applyAlignment="1">
      <alignment horizontal="center" vertical="center"/>
    </xf>
    <xf numFmtId="4" fontId="14" fillId="8" borderId="15" xfId="0" applyNumberFormat="1" applyFont="1" applyFill="1" applyBorder="1" applyAlignment="1">
      <alignment horizontal="center" vertical="center"/>
    </xf>
    <xf numFmtId="10" fontId="14" fillId="8" borderId="15" xfId="0" applyNumberFormat="1" applyFont="1" applyFill="1" applyBorder="1" applyAlignment="1">
      <alignment horizontal="center"/>
    </xf>
    <xf numFmtId="4" fontId="14" fillId="8" borderId="15" xfId="0" applyNumberFormat="1" applyFont="1" applyFill="1" applyBorder="1" applyAlignment="1">
      <alignment horizontal="center"/>
    </xf>
    <xf numFmtId="4" fontId="14" fillId="8" borderId="17" xfId="0" applyNumberFormat="1" applyFont="1" applyFill="1" applyBorder="1" applyAlignment="1">
      <alignment horizontal="center"/>
    </xf>
    <xf numFmtId="10" fontId="14" fillId="8" borderId="17" xfId="0" applyNumberFormat="1" applyFont="1" applyFill="1" applyBorder="1" applyAlignment="1">
      <alignment horizontal="center" vertical="center"/>
    </xf>
    <xf numFmtId="4" fontId="14" fillId="8" borderId="14" xfId="0" applyNumberFormat="1" applyFont="1" applyFill="1" applyBorder="1" applyAlignment="1">
      <alignment horizontal="center"/>
    </xf>
    <xf numFmtId="4" fontId="14" fillId="8" borderId="18" xfId="0" applyNumberFormat="1" applyFont="1" applyFill="1" applyBorder="1" applyAlignment="1">
      <alignment horizontal="center"/>
    </xf>
    <xf numFmtId="3" fontId="14" fillId="8" borderId="17" xfId="0" applyNumberFormat="1" applyFont="1" applyFill="1" applyBorder="1" applyAlignment="1">
      <alignment horizontal="center"/>
    </xf>
    <xf numFmtId="4" fontId="14" fillId="8" borderId="23" xfId="0" applyNumberFormat="1" applyFont="1" applyFill="1" applyBorder="1" applyAlignment="1">
      <alignment horizontal="center" vertical="center"/>
    </xf>
    <xf numFmtId="3" fontId="14" fillId="8" borderId="16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right" vertical="center" wrapText="1"/>
    </xf>
    <xf numFmtId="4" fontId="13" fillId="4" borderId="14" xfId="0" applyNumberFormat="1" applyFont="1" applyFill="1" applyBorder="1" applyAlignment="1">
      <alignment horizontal="center" vertical="center" wrapText="1"/>
    </xf>
    <xf numFmtId="0" fontId="13" fillId="4" borderId="15" xfId="0" applyNumberFormat="1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4" fontId="13" fillId="4" borderId="17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 wrapText="1"/>
    </xf>
    <xf numFmtId="4" fontId="13" fillId="4" borderId="15" xfId="0" applyNumberFormat="1" applyFont="1" applyFill="1" applyBorder="1" applyAlignment="1">
      <alignment horizontal="center" vertical="center" wrapText="1"/>
    </xf>
    <xf numFmtId="4" fontId="13" fillId="4" borderId="18" xfId="0" applyNumberFormat="1" applyFont="1" applyFill="1" applyBorder="1" applyAlignment="1">
      <alignment horizontal="center" vertical="center" wrapText="1"/>
    </xf>
    <xf numFmtId="10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10" fontId="14" fillId="0" borderId="17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10" fontId="14" fillId="8" borderId="15" xfId="0" applyNumberFormat="1" applyFont="1" applyFill="1" applyBorder="1" applyAlignment="1">
      <alignment horizontal="center" vertical="center"/>
    </xf>
    <xf numFmtId="3" fontId="14" fillId="8" borderId="17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vertical="center" wrapText="1"/>
    </xf>
    <xf numFmtId="4" fontId="2" fillId="6" borderId="14" xfId="0" applyNumberFormat="1" applyFont="1" applyFill="1" applyBorder="1" applyAlignment="1">
      <alignment horizontal="center" vertical="center" wrapText="1"/>
    </xf>
    <xf numFmtId="0" fontId="2" fillId="6" borderId="15" xfId="0" applyNumberFormat="1" applyFont="1" applyFill="1" applyBorder="1" applyAlignment="1">
      <alignment horizontal="center" vertical="center" wrapText="1"/>
    </xf>
    <xf numFmtId="10" fontId="12" fillId="6" borderId="15" xfId="0" applyNumberFormat="1" applyFont="1" applyFill="1" applyBorder="1" applyAlignment="1">
      <alignment horizontal="center" vertical="center" wrapText="1"/>
    </xf>
    <xf numFmtId="10" fontId="12" fillId="6" borderId="17" xfId="0" applyNumberFormat="1" applyFont="1" applyFill="1" applyBorder="1" applyAlignment="1">
      <alignment horizontal="center" vertical="center" wrapText="1"/>
    </xf>
    <xf numFmtId="3" fontId="12" fillId="6" borderId="17" xfId="0" applyNumberFormat="1" applyFont="1" applyFill="1" applyBorder="1" applyAlignment="1">
      <alignment horizontal="center" vertical="center" wrapText="1"/>
    </xf>
    <xf numFmtId="4" fontId="12" fillId="6" borderId="23" xfId="0" applyNumberFormat="1" applyFont="1" applyFill="1" applyBorder="1" applyAlignment="1">
      <alignment horizontal="center" vertical="center" wrapText="1"/>
    </xf>
    <xf numFmtId="3" fontId="12" fillId="6" borderId="16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left" vertical="center" wrapText="1"/>
    </xf>
    <xf numFmtId="4" fontId="15" fillId="7" borderId="14" xfId="0" applyNumberFormat="1" applyFont="1" applyFill="1" applyBorder="1" applyAlignment="1">
      <alignment horizontal="center" vertical="center" wrapText="1"/>
    </xf>
    <xf numFmtId="0" fontId="15" fillId="7" borderId="15" xfId="0" applyNumberFormat="1" applyFont="1" applyFill="1" applyBorder="1" applyAlignment="1">
      <alignment horizontal="center" vertical="center" wrapText="1"/>
    </xf>
    <xf numFmtId="4" fontId="15" fillId="7" borderId="16" xfId="0" applyNumberFormat="1" applyFont="1" applyFill="1" applyBorder="1" applyAlignment="1">
      <alignment horizontal="center" vertical="center" wrapText="1"/>
    </xf>
    <xf numFmtId="4" fontId="15" fillId="7" borderId="18" xfId="0" applyNumberFormat="1" applyFont="1" applyFill="1" applyBorder="1" applyAlignment="1">
      <alignment horizontal="center" vertical="center" wrapText="1"/>
    </xf>
    <xf numFmtId="4" fontId="15" fillId="7" borderId="15" xfId="0" applyNumberFormat="1" applyFont="1" applyFill="1" applyBorder="1" applyAlignment="1">
      <alignment horizontal="center" vertical="center" wrapText="1"/>
    </xf>
    <xf numFmtId="3" fontId="15" fillId="7" borderId="15" xfId="0" applyNumberFormat="1" applyFont="1" applyFill="1" applyBorder="1" applyAlignment="1">
      <alignment horizontal="center" vertical="center"/>
    </xf>
    <xf numFmtId="10" fontId="15" fillId="7" borderId="15" xfId="0" applyNumberFormat="1" applyFont="1" applyFill="1" applyBorder="1" applyAlignment="1">
      <alignment horizontal="center" vertical="center"/>
    </xf>
    <xf numFmtId="4" fontId="15" fillId="7" borderId="15" xfId="0" applyNumberFormat="1" applyFont="1" applyFill="1" applyBorder="1" applyAlignment="1">
      <alignment horizontal="center" vertical="center"/>
    </xf>
    <xf numFmtId="4" fontId="15" fillId="7" borderId="17" xfId="0" applyNumberFormat="1" applyFont="1" applyFill="1" applyBorder="1" applyAlignment="1">
      <alignment horizontal="center" vertical="center"/>
    </xf>
    <xf numFmtId="10" fontId="15" fillId="7" borderId="17" xfId="0" applyNumberFormat="1" applyFont="1" applyFill="1" applyBorder="1" applyAlignment="1">
      <alignment horizontal="center" vertical="center"/>
    </xf>
    <xf numFmtId="4" fontId="15" fillId="7" borderId="14" xfId="0" applyNumberFormat="1" applyFont="1" applyFill="1" applyBorder="1" applyAlignment="1">
      <alignment horizontal="center" vertical="center"/>
    </xf>
    <xf numFmtId="4" fontId="15" fillId="7" borderId="18" xfId="0" applyNumberFormat="1" applyFont="1" applyFill="1" applyBorder="1" applyAlignment="1">
      <alignment horizontal="center" vertical="center"/>
    </xf>
    <xf numFmtId="3" fontId="15" fillId="7" borderId="17" xfId="0" applyNumberFormat="1" applyFont="1" applyFill="1" applyBorder="1" applyAlignment="1">
      <alignment horizontal="center" vertical="center"/>
    </xf>
    <xf numFmtId="4" fontId="15" fillId="7" borderId="23" xfId="0" applyNumberFormat="1" applyFont="1" applyFill="1" applyBorder="1" applyAlignment="1">
      <alignment horizontal="center" vertical="center"/>
    </xf>
    <xf numFmtId="3" fontId="15" fillId="7" borderId="16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 vertical="top" wrapText="1"/>
    </xf>
    <xf numFmtId="4" fontId="15" fillId="6" borderId="14" xfId="2" applyNumberFormat="1" applyFont="1" applyFill="1" applyBorder="1" applyAlignment="1">
      <alignment horizontal="center" vertical="center" wrapText="1"/>
    </xf>
    <xf numFmtId="1" fontId="15" fillId="6" borderId="15" xfId="2" applyNumberFormat="1" applyFont="1" applyFill="1" applyBorder="1" applyAlignment="1">
      <alignment horizontal="center" vertical="center" wrapText="1"/>
    </xf>
    <xf numFmtId="4" fontId="15" fillId="6" borderId="16" xfId="2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4" fontId="14" fillId="0" borderId="0" xfId="0" applyNumberFormat="1" applyFont="1" applyBorder="1" applyAlignment="1">
      <alignment horizontal="center" vertical="center"/>
    </xf>
    <xf numFmtId="10" fontId="14" fillId="0" borderId="0" xfId="1" applyNumberFormat="1" applyFont="1" applyAlignment="1">
      <alignment horizontal="center" vertical="center"/>
    </xf>
    <xf numFmtId="0" fontId="2" fillId="7" borderId="0" xfId="0" applyFont="1" applyFill="1" applyAlignment="1">
      <alignment wrapText="1"/>
    </xf>
    <xf numFmtId="0" fontId="16" fillId="0" borderId="17" xfId="0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vertical="center" wrapText="1"/>
    </xf>
    <xf numFmtId="4" fontId="2" fillId="9" borderId="14" xfId="0" applyNumberFormat="1" applyFont="1" applyFill="1" applyBorder="1" applyAlignment="1">
      <alignment horizontal="center" vertical="center" wrapText="1"/>
    </xf>
    <xf numFmtId="0" fontId="2" fillId="9" borderId="15" xfId="0" applyNumberFormat="1" applyFont="1" applyFill="1" applyBorder="1" applyAlignment="1">
      <alignment horizontal="center" vertical="center" wrapText="1"/>
    </xf>
    <xf numFmtId="0" fontId="12" fillId="9" borderId="15" xfId="0" applyNumberFormat="1" applyFont="1" applyFill="1" applyBorder="1" applyAlignment="1">
      <alignment horizontal="center" vertical="center" wrapText="1"/>
    </xf>
    <xf numFmtId="4" fontId="12" fillId="9" borderId="16" xfId="0" applyNumberFormat="1" applyFont="1" applyFill="1" applyBorder="1" applyAlignment="1">
      <alignment horizontal="center" vertical="center" wrapText="1"/>
    </xf>
    <xf numFmtId="4" fontId="12" fillId="9" borderId="14" xfId="0" applyNumberFormat="1" applyFont="1" applyFill="1" applyBorder="1" applyAlignment="1">
      <alignment horizontal="center" vertical="center" wrapText="1"/>
    </xf>
    <xf numFmtId="4" fontId="12" fillId="9" borderId="17" xfId="0" applyNumberFormat="1" applyFont="1" applyFill="1" applyBorder="1" applyAlignment="1">
      <alignment horizontal="center" vertical="center" wrapText="1"/>
    </xf>
    <xf numFmtId="3" fontId="12" fillId="9" borderId="15" xfId="0" applyNumberFormat="1" applyFont="1" applyFill="1" applyBorder="1" applyAlignment="1">
      <alignment horizontal="center" vertical="center" wrapText="1"/>
    </xf>
    <xf numFmtId="4" fontId="12" fillId="9" borderId="18" xfId="0" applyNumberFormat="1" applyFont="1" applyFill="1" applyBorder="1" applyAlignment="1">
      <alignment horizontal="center" vertical="center" wrapText="1"/>
    </xf>
    <xf numFmtId="3" fontId="12" fillId="9" borderId="17" xfId="0" applyNumberFormat="1" applyFont="1" applyFill="1" applyBorder="1" applyAlignment="1">
      <alignment horizontal="center" vertical="center" wrapText="1"/>
    </xf>
    <xf numFmtId="3" fontId="12" fillId="9" borderId="14" xfId="0" applyNumberFormat="1" applyFont="1" applyFill="1" applyBorder="1" applyAlignment="1">
      <alignment horizontal="center" vertical="center" wrapText="1"/>
    </xf>
    <xf numFmtId="3" fontId="12" fillId="9" borderId="16" xfId="0" applyNumberFormat="1" applyFont="1" applyFill="1" applyBorder="1" applyAlignment="1">
      <alignment horizontal="center" vertical="center" wrapText="1"/>
    </xf>
    <xf numFmtId="4" fontId="12" fillId="9" borderId="23" xfId="0" applyNumberFormat="1" applyFont="1" applyFill="1" applyBorder="1" applyAlignment="1">
      <alignment horizontal="center" vertical="center" wrapText="1"/>
    </xf>
    <xf numFmtId="4" fontId="12" fillId="9" borderId="15" xfId="0" applyNumberFormat="1" applyFont="1" applyFill="1" applyBorder="1" applyAlignment="1">
      <alignment horizontal="center" vertical="center" wrapText="1"/>
    </xf>
    <xf numFmtId="10" fontId="12" fillId="9" borderId="15" xfId="0" applyNumberFormat="1" applyFont="1" applyFill="1" applyBorder="1" applyAlignment="1">
      <alignment horizontal="center" vertical="center" wrapText="1"/>
    </xf>
    <xf numFmtId="10" fontId="12" fillId="9" borderId="17" xfId="0" applyNumberFormat="1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right" vertical="center" wrapText="1"/>
    </xf>
    <xf numFmtId="4" fontId="14" fillId="4" borderId="14" xfId="0" applyNumberFormat="1" applyFont="1" applyFill="1" applyBorder="1" applyAlignment="1">
      <alignment horizontal="center" vertical="center" wrapText="1"/>
    </xf>
    <xf numFmtId="0" fontId="14" fillId="4" borderId="15" xfId="0" applyNumberFormat="1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right" vertical="center" wrapText="1"/>
    </xf>
    <xf numFmtId="3" fontId="2" fillId="10" borderId="28" xfId="0" applyNumberFormat="1" applyFont="1" applyFill="1" applyBorder="1" applyAlignment="1">
      <alignment horizontal="center" vertical="center"/>
    </xf>
    <xf numFmtId="10" fontId="2" fillId="10" borderId="28" xfId="0" applyNumberFormat="1" applyFont="1" applyFill="1" applyBorder="1" applyAlignment="1">
      <alignment horizontal="center" vertical="center"/>
    </xf>
    <xf numFmtId="4" fontId="2" fillId="10" borderId="28" xfId="0" applyNumberFormat="1" applyFont="1" applyFill="1" applyBorder="1" applyAlignment="1">
      <alignment horizontal="center" vertical="center"/>
    </xf>
    <xf numFmtId="4" fontId="2" fillId="10" borderId="29" xfId="0" applyNumberFormat="1" applyFont="1" applyFill="1" applyBorder="1" applyAlignment="1">
      <alignment horizontal="center" vertical="center"/>
    </xf>
    <xf numFmtId="10" fontId="2" fillId="10" borderId="29" xfId="0" applyNumberFormat="1" applyFont="1" applyFill="1" applyBorder="1" applyAlignment="1">
      <alignment horizontal="center" vertical="center"/>
    </xf>
    <xf numFmtId="4" fontId="2" fillId="10" borderId="30" xfId="0" applyNumberFormat="1" applyFont="1" applyFill="1" applyBorder="1" applyAlignment="1">
      <alignment horizontal="center" vertical="center"/>
    </xf>
    <xf numFmtId="4" fontId="2" fillId="10" borderId="27" xfId="0" applyNumberFormat="1" applyFont="1" applyFill="1" applyBorder="1" applyAlignment="1">
      <alignment horizontal="center" vertical="center"/>
    </xf>
    <xf numFmtId="3" fontId="2" fillId="10" borderId="29" xfId="0" applyNumberFormat="1" applyFont="1" applyFill="1" applyBorder="1" applyAlignment="1">
      <alignment horizontal="center" vertical="center"/>
    </xf>
    <xf numFmtId="4" fontId="2" fillId="10" borderId="36" xfId="0" applyNumberFormat="1" applyFont="1" applyFill="1" applyBorder="1" applyAlignment="1">
      <alignment horizontal="center" vertical="center"/>
    </xf>
    <xf numFmtId="3" fontId="2" fillId="10" borderId="35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/>
    <xf numFmtId="10" fontId="3" fillId="0" borderId="0" xfId="1" applyNumberFormat="1" applyFont="1"/>
    <xf numFmtId="2" fontId="3" fillId="0" borderId="0" xfId="1" applyNumberFormat="1" applyFont="1"/>
    <xf numFmtId="1" fontId="3" fillId="0" borderId="0" xfId="1" applyNumberFormat="1" applyFont="1"/>
    <xf numFmtId="4" fontId="3" fillId="0" borderId="0" xfId="1" applyNumberFormat="1" applyFont="1"/>
    <xf numFmtId="9" fontId="3" fillId="0" borderId="0" xfId="1" applyFont="1"/>
    <xf numFmtId="4" fontId="3" fillId="0" borderId="0" xfId="0" applyNumberFormat="1" applyFont="1"/>
    <xf numFmtId="164" fontId="3" fillId="0" borderId="0" xfId="1" applyNumberFormat="1" applyFont="1"/>
    <xf numFmtId="10" fontId="0" fillId="0" borderId="0" xfId="1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2" fillId="10" borderId="30" xfId="0" applyNumberFormat="1" applyFont="1" applyFill="1" applyBorder="1" applyAlignment="1">
      <alignment horizontal="center" vertical="center" wrapText="1"/>
    </xf>
    <xf numFmtId="3" fontId="12" fillId="10" borderId="28" xfId="0" applyNumberFormat="1" applyFont="1" applyFill="1" applyBorder="1" applyAlignment="1">
      <alignment horizontal="center" vertical="center" wrapText="1"/>
    </xf>
    <xf numFmtId="1" fontId="12" fillId="10" borderId="28" xfId="0" applyNumberFormat="1" applyFont="1" applyFill="1" applyBorder="1" applyAlignment="1">
      <alignment horizontal="center" vertical="center" wrapText="1"/>
    </xf>
    <xf numFmtId="4" fontId="12" fillId="10" borderId="35" xfId="0" applyNumberFormat="1" applyFont="1" applyFill="1" applyBorder="1" applyAlignment="1">
      <alignment horizontal="center" vertical="center" wrapText="1"/>
    </xf>
    <xf numFmtId="0" fontId="12" fillId="10" borderId="28" xfId="0" applyNumberFormat="1" applyFont="1" applyFill="1" applyBorder="1" applyAlignment="1">
      <alignment horizontal="center" vertical="center" wrapText="1"/>
    </xf>
    <xf numFmtId="4" fontId="12" fillId="10" borderId="29" xfId="0" applyNumberFormat="1" applyFont="1" applyFill="1" applyBorder="1" applyAlignment="1">
      <alignment horizontal="center" vertical="center" wrapText="1"/>
    </xf>
    <xf numFmtId="4" fontId="12" fillId="10" borderId="27" xfId="0" applyNumberFormat="1" applyFont="1" applyFill="1" applyBorder="1" applyAlignment="1">
      <alignment horizontal="center" vertical="center" wrapText="1"/>
    </xf>
    <xf numFmtId="4" fontId="12" fillId="10" borderId="28" xfId="0" applyNumberFormat="1" applyFont="1" applyFill="1" applyBorder="1" applyAlignment="1">
      <alignment horizontal="center" vertical="center" wrapText="1"/>
    </xf>
    <xf numFmtId="3" fontId="15" fillId="6" borderId="15" xfId="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2" fillId="10" borderId="11" xfId="0" applyFont="1" applyFill="1" applyBorder="1" applyAlignment="1">
      <alignment horizontal="right" vertical="center" wrapText="1"/>
    </xf>
    <xf numFmtId="0" fontId="12" fillId="10" borderId="10" xfId="0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1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AF/Padome_2014/Informativais_zinojums/Copy%20of%20FMzinop1_1604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vads"/>
      <sheetName val="1.pielikums"/>
      <sheetName val="2.pielikums"/>
      <sheetName val="3.pielikums"/>
      <sheetName val="4.pielikums"/>
      <sheetName val="1.1.attēls"/>
      <sheetName val="1.2., 1.3.attēls"/>
      <sheetName val="1.4. attēls"/>
      <sheetName val="1.5.attēls pa nozarēm"/>
      <sheetName val="1.6.attēls"/>
      <sheetName val="Kumulatīvi Atklāšanas veids"/>
      <sheetName val="Kumulatīvi Pārkāpumu veids"/>
      <sheetName val="Kumulatīvi Pa finans.saņēmējiem"/>
      <sheetName val="2.1.attēls"/>
      <sheetName val="2.2.attēls"/>
      <sheetName val="Sheet4"/>
      <sheetName val="5.Par saņemtajiem iesniegumiem"/>
    </sheetNames>
    <sheetDataSet>
      <sheetData sheetId="0"/>
      <sheetData sheetId="1">
        <row r="20">
          <cell r="T20">
            <v>7549072.8700000001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5"/>
  <sheetViews>
    <sheetView tabSelected="1" topLeftCell="A28" zoomScale="70" zoomScaleNormal="70" workbookViewId="0">
      <pane xSplit="2" topLeftCell="C1" activePane="topRight" state="frozen"/>
      <selection activeCell="A13" sqref="A13"/>
      <selection pane="topRight" activeCell="A54" sqref="A54"/>
    </sheetView>
  </sheetViews>
  <sheetFormatPr defaultRowHeight="15.75" x14ac:dyDescent="0.25"/>
  <cols>
    <col min="2" max="2" width="36.125" customWidth="1"/>
    <col min="3" max="3" width="15.75" customWidth="1"/>
    <col min="4" max="4" width="11.875" bestFit="1" customWidth="1"/>
    <col min="5" max="5" width="9.875" customWidth="1"/>
    <col min="6" max="6" width="10.125" customWidth="1"/>
    <col min="7" max="7" width="14.375" customWidth="1"/>
    <col min="8" max="8" width="9.75" customWidth="1"/>
    <col min="9" max="9" width="9.625" customWidth="1"/>
    <col min="10" max="10" width="11.75" customWidth="1"/>
    <col min="11" max="11" width="16.375" customWidth="1"/>
    <col min="12" max="12" width="10.25" customWidth="1"/>
    <col min="13" max="13" width="9.25" customWidth="1"/>
    <col min="14" max="14" width="12.75" customWidth="1"/>
    <col min="15" max="15" width="15" customWidth="1"/>
    <col min="16" max="16" width="11.25" customWidth="1"/>
    <col min="17" max="17" width="9.25" customWidth="1"/>
    <col min="18" max="18" width="13.75" customWidth="1"/>
    <col min="19" max="19" width="14.75" customWidth="1"/>
    <col min="20" max="20" width="9.75" customWidth="1"/>
    <col min="21" max="21" width="9.125" bestFit="1" customWidth="1"/>
    <col min="22" max="22" width="12.375" customWidth="1"/>
    <col min="23" max="23" width="16.625" customWidth="1"/>
    <col min="24" max="24" width="10.5" customWidth="1"/>
    <col min="25" max="25" width="9.5" customWidth="1"/>
    <col min="26" max="26" width="13.25" customWidth="1"/>
    <col min="27" max="27" width="17.375" customWidth="1"/>
    <col min="28" max="28" width="16.375" customWidth="1"/>
    <col min="29" max="29" width="10.75" customWidth="1"/>
    <col min="30" max="30" width="10.125" customWidth="1"/>
    <col min="31" max="32" width="13.625" bestFit="1" customWidth="1"/>
    <col min="33" max="34" width="16.625" bestFit="1" customWidth="1"/>
    <col min="35" max="35" width="17" customWidth="1"/>
    <col min="36" max="36" width="16.375" customWidth="1"/>
    <col min="37" max="38" width="16.625" bestFit="1" customWidth="1"/>
    <col min="39" max="39" width="11" customWidth="1"/>
    <col min="40" max="40" width="10.5" customWidth="1"/>
    <col min="41" max="41" width="11" customWidth="1"/>
    <col min="42" max="42" width="13.625" bestFit="1" customWidth="1"/>
    <col min="43" max="43" width="14.25" customWidth="1"/>
    <col min="44" max="44" width="11.625" customWidth="1"/>
    <col min="45" max="48" width="13.625" bestFit="1" customWidth="1"/>
    <col min="49" max="49" width="8.875" bestFit="1" customWidth="1"/>
    <col min="50" max="50" width="12" customWidth="1"/>
    <col min="51" max="51" width="12.375" customWidth="1"/>
    <col min="52" max="52" width="12.625" bestFit="1" customWidth="1"/>
    <col min="53" max="53" width="5.625" customWidth="1"/>
  </cols>
  <sheetData>
    <row r="1" spans="1:53" ht="15.6" customHeight="1" x14ac:dyDescent="0.25">
      <c r="A1" s="218" t="s">
        <v>93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1"/>
      <c r="AY1" s="1" t="s">
        <v>0</v>
      </c>
      <c r="AZ1" s="1"/>
      <c r="BA1" s="1"/>
    </row>
    <row r="2" spans="1:53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6.149999999999999" customHeight="1" thickBot="1" x14ac:dyDescent="0.3">
      <c r="A3" s="219" t="s">
        <v>1</v>
      </c>
      <c r="B3" s="222" t="s">
        <v>2</v>
      </c>
      <c r="C3" s="225">
        <v>2007</v>
      </c>
      <c r="D3" s="226"/>
      <c r="E3" s="226"/>
      <c r="F3" s="227"/>
      <c r="G3" s="225">
        <v>2008</v>
      </c>
      <c r="H3" s="226"/>
      <c r="I3" s="226"/>
      <c r="J3" s="227"/>
      <c r="K3" s="225">
        <v>2009</v>
      </c>
      <c r="L3" s="226"/>
      <c r="M3" s="226"/>
      <c r="N3" s="226"/>
      <c r="O3" s="228">
        <v>2010</v>
      </c>
      <c r="P3" s="229"/>
      <c r="Q3" s="229"/>
      <c r="R3" s="230"/>
      <c r="S3" s="226">
        <v>2011</v>
      </c>
      <c r="T3" s="226"/>
      <c r="U3" s="226"/>
      <c r="V3" s="226"/>
      <c r="W3" s="228">
        <v>2012</v>
      </c>
      <c r="X3" s="229"/>
      <c r="Y3" s="229"/>
      <c r="Z3" s="231"/>
      <c r="AA3" s="228">
        <v>2013</v>
      </c>
      <c r="AB3" s="229"/>
      <c r="AC3" s="229"/>
      <c r="AD3" s="229"/>
      <c r="AE3" s="229"/>
      <c r="AF3" s="230"/>
      <c r="AG3" s="234" t="s">
        <v>3</v>
      </c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5" t="s">
        <v>4</v>
      </c>
      <c r="AT3" s="234"/>
      <c r="AU3" s="234"/>
      <c r="AV3" s="234"/>
      <c r="AW3" s="234"/>
      <c r="AX3" s="234"/>
      <c r="AY3" s="209" t="s">
        <v>5</v>
      </c>
      <c r="AZ3" s="210"/>
      <c r="BA3" s="211"/>
    </row>
    <row r="4" spans="1:53" ht="119.25" customHeight="1" x14ac:dyDescent="0.25">
      <c r="A4" s="220"/>
      <c r="B4" s="223"/>
      <c r="C4" s="2" t="s">
        <v>6</v>
      </c>
      <c r="D4" s="215" t="s">
        <v>7</v>
      </c>
      <c r="E4" s="215" t="s">
        <v>8</v>
      </c>
      <c r="F4" s="3" t="s">
        <v>9</v>
      </c>
      <c r="G4" s="2" t="s">
        <v>6</v>
      </c>
      <c r="H4" s="215" t="s">
        <v>7</v>
      </c>
      <c r="I4" s="215" t="s">
        <v>8</v>
      </c>
      <c r="J4" s="3" t="s">
        <v>9</v>
      </c>
      <c r="K4" s="2" t="s">
        <v>6</v>
      </c>
      <c r="L4" s="215" t="s">
        <v>7</v>
      </c>
      <c r="M4" s="215" t="s">
        <v>8</v>
      </c>
      <c r="N4" s="4" t="s">
        <v>9</v>
      </c>
      <c r="O4" s="2" t="s">
        <v>6</v>
      </c>
      <c r="P4" s="215" t="s">
        <v>7</v>
      </c>
      <c r="Q4" s="215" t="s">
        <v>8</v>
      </c>
      <c r="R4" s="3" t="s">
        <v>9</v>
      </c>
      <c r="S4" s="5" t="s">
        <v>6</v>
      </c>
      <c r="T4" s="215" t="s">
        <v>7</v>
      </c>
      <c r="U4" s="215" t="s">
        <v>8</v>
      </c>
      <c r="V4" s="4" t="s">
        <v>9</v>
      </c>
      <c r="W4" s="2" t="s">
        <v>6</v>
      </c>
      <c r="X4" s="215" t="s">
        <v>7</v>
      </c>
      <c r="Y4" s="215" t="s">
        <v>8</v>
      </c>
      <c r="Z4" s="4" t="s">
        <v>9</v>
      </c>
      <c r="AA4" s="232" t="s">
        <v>6</v>
      </c>
      <c r="AB4" s="233"/>
      <c r="AC4" s="202" t="s">
        <v>7</v>
      </c>
      <c r="AD4" s="202" t="s">
        <v>8</v>
      </c>
      <c r="AE4" s="204" t="s">
        <v>9</v>
      </c>
      <c r="AF4" s="205"/>
      <c r="AG4" s="206" t="s">
        <v>10</v>
      </c>
      <c r="AH4" s="207"/>
      <c r="AI4" s="208" t="s">
        <v>11</v>
      </c>
      <c r="AJ4" s="207"/>
      <c r="AK4" s="208" t="s">
        <v>12</v>
      </c>
      <c r="AL4" s="207"/>
      <c r="AM4" s="200" t="s">
        <v>7</v>
      </c>
      <c r="AN4" s="200" t="s">
        <v>13</v>
      </c>
      <c r="AO4" s="200" t="s">
        <v>14</v>
      </c>
      <c r="AP4" s="208" t="s">
        <v>15</v>
      </c>
      <c r="AQ4" s="207"/>
      <c r="AR4" s="6" t="s">
        <v>16</v>
      </c>
      <c r="AS4" s="236" t="s">
        <v>17</v>
      </c>
      <c r="AT4" s="237"/>
      <c r="AU4" s="238" t="s">
        <v>18</v>
      </c>
      <c r="AV4" s="238"/>
      <c r="AW4" s="238"/>
      <c r="AX4" s="216" t="s">
        <v>19</v>
      </c>
      <c r="AY4" s="212"/>
      <c r="AZ4" s="213"/>
      <c r="BA4" s="214"/>
    </row>
    <row r="5" spans="1:53" ht="53.45" customHeight="1" thickBot="1" x14ac:dyDescent="0.3">
      <c r="A5" s="221"/>
      <c r="B5" s="224"/>
      <c r="C5" s="2" t="s">
        <v>20</v>
      </c>
      <c r="D5" s="215"/>
      <c r="E5" s="215"/>
      <c r="F5" s="3" t="s">
        <v>20</v>
      </c>
      <c r="G5" s="2" t="s">
        <v>20</v>
      </c>
      <c r="H5" s="215"/>
      <c r="I5" s="215"/>
      <c r="J5" s="3" t="s">
        <v>20</v>
      </c>
      <c r="K5" s="2" t="s">
        <v>20</v>
      </c>
      <c r="L5" s="215"/>
      <c r="M5" s="215"/>
      <c r="N5" s="4" t="s">
        <v>20</v>
      </c>
      <c r="O5" s="2" t="s">
        <v>20</v>
      </c>
      <c r="P5" s="215"/>
      <c r="Q5" s="215"/>
      <c r="R5" s="3" t="s">
        <v>20</v>
      </c>
      <c r="S5" s="5" t="s">
        <v>20</v>
      </c>
      <c r="T5" s="215"/>
      <c r="U5" s="215"/>
      <c r="V5" s="4" t="s">
        <v>20</v>
      </c>
      <c r="W5" s="2" t="s">
        <v>20</v>
      </c>
      <c r="X5" s="215"/>
      <c r="Y5" s="215"/>
      <c r="Z5" s="4" t="s">
        <v>20</v>
      </c>
      <c r="AA5" s="2" t="s">
        <v>20</v>
      </c>
      <c r="AB5" s="7" t="s">
        <v>21</v>
      </c>
      <c r="AC5" s="203"/>
      <c r="AD5" s="203"/>
      <c r="AE5" s="7" t="s">
        <v>20</v>
      </c>
      <c r="AF5" s="3" t="s">
        <v>21</v>
      </c>
      <c r="AG5" s="8" t="s">
        <v>20</v>
      </c>
      <c r="AH5" s="8" t="s">
        <v>21</v>
      </c>
      <c r="AI5" s="9" t="s">
        <v>20</v>
      </c>
      <c r="AJ5" s="9" t="s">
        <v>21</v>
      </c>
      <c r="AK5" s="9" t="s">
        <v>20</v>
      </c>
      <c r="AL5" s="9" t="s">
        <v>21</v>
      </c>
      <c r="AM5" s="201"/>
      <c r="AN5" s="201"/>
      <c r="AO5" s="201"/>
      <c r="AP5" s="9" t="s">
        <v>20</v>
      </c>
      <c r="AQ5" s="10" t="s">
        <v>21</v>
      </c>
      <c r="AR5" s="11" t="s">
        <v>94</v>
      </c>
      <c r="AS5" s="12" t="s">
        <v>20</v>
      </c>
      <c r="AT5" s="13" t="s">
        <v>21</v>
      </c>
      <c r="AU5" s="14" t="s">
        <v>20</v>
      </c>
      <c r="AV5" s="14" t="s">
        <v>21</v>
      </c>
      <c r="AW5" s="14" t="s">
        <v>94</v>
      </c>
      <c r="AX5" s="217"/>
      <c r="AY5" s="15" t="s">
        <v>20</v>
      </c>
      <c r="AZ5" s="16" t="s">
        <v>21</v>
      </c>
      <c r="BA5" s="17" t="s">
        <v>22</v>
      </c>
    </row>
    <row r="6" spans="1:53" x14ac:dyDescent="0.25">
      <c r="A6" s="18">
        <v>1</v>
      </c>
      <c r="B6" s="19">
        <v>2</v>
      </c>
      <c r="C6" s="20">
        <v>3</v>
      </c>
      <c r="D6" s="21">
        <v>4</v>
      </c>
      <c r="E6" s="21">
        <v>5</v>
      </c>
      <c r="F6" s="22">
        <v>6</v>
      </c>
      <c r="G6" s="20">
        <v>7</v>
      </c>
      <c r="H6" s="21">
        <v>8</v>
      </c>
      <c r="I6" s="21">
        <v>9</v>
      </c>
      <c r="J6" s="22">
        <v>10</v>
      </c>
      <c r="K6" s="20">
        <v>11</v>
      </c>
      <c r="L6" s="21">
        <v>12</v>
      </c>
      <c r="M6" s="21">
        <v>13</v>
      </c>
      <c r="N6" s="23">
        <v>14</v>
      </c>
      <c r="O6" s="20">
        <v>15</v>
      </c>
      <c r="P6" s="21">
        <v>16</v>
      </c>
      <c r="Q6" s="21">
        <v>17</v>
      </c>
      <c r="R6" s="22">
        <v>18</v>
      </c>
      <c r="S6" s="24">
        <v>19</v>
      </c>
      <c r="T6" s="21">
        <v>20</v>
      </c>
      <c r="U6" s="21">
        <v>21</v>
      </c>
      <c r="V6" s="23">
        <v>22</v>
      </c>
      <c r="W6" s="20">
        <v>23</v>
      </c>
      <c r="X6" s="21">
        <v>24</v>
      </c>
      <c r="Y6" s="21">
        <v>25</v>
      </c>
      <c r="Z6" s="23">
        <v>26</v>
      </c>
      <c r="AA6" s="20">
        <v>27</v>
      </c>
      <c r="AB6" s="21">
        <v>28</v>
      </c>
      <c r="AC6" s="21">
        <v>29</v>
      </c>
      <c r="AD6" s="21">
        <v>30</v>
      </c>
      <c r="AE6" s="21">
        <v>31</v>
      </c>
      <c r="AF6" s="22">
        <v>32</v>
      </c>
      <c r="AG6" s="25">
        <v>33</v>
      </c>
      <c r="AH6" s="25">
        <v>34</v>
      </c>
      <c r="AI6" s="18">
        <v>35</v>
      </c>
      <c r="AJ6" s="18">
        <v>36</v>
      </c>
      <c r="AK6" s="18">
        <v>37</v>
      </c>
      <c r="AL6" s="18">
        <v>38</v>
      </c>
      <c r="AM6" s="26">
        <v>39</v>
      </c>
      <c r="AN6" s="27">
        <v>40</v>
      </c>
      <c r="AO6" s="27" t="s">
        <v>23</v>
      </c>
      <c r="AP6" s="27">
        <v>42</v>
      </c>
      <c r="AQ6" s="28">
        <v>43</v>
      </c>
      <c r="AR6" s="28" t="s">
        <v>24</v>
      </c>
      <c r="AS6" s="29">
        <v>45</v>
      </c>
      <c r="AT6" s="30">
        <v>46</v>
      </c>
      <c r="AU6" s="31">
        <v>47</v>
      </c>
      <c r="AV6" s="31">
        <v>48</v>
      </c>
      <c r="AW6" s="31" t="s">
        <v>25</v>
      </c>
      <c r="AX6" s="32">
        <v>50</v>
      </c>
      <c r="AY6" s="33">
        <v>51</v>
      </c>
      <c r="AZ6" s="34">
        <v>52</v>
      </c>
      <c r="BA6" s="35">
        <v>53</v>
      </c>
    </row>
    <row r="7" spans="1:53" ht="31.5" x14ac:dyDescent="0.25">
      <c r="A7" s="36" t="s">
        <v>26</v>
      </c>
      <c r="B7" s="37" t="s">
        <v>27</v>
      </c>
      <c r="C7" s="38">
        <f t="shared" ref="C7:AN7" si="0">C8+C12</f>
        <v>0</v>
      </c>
      <c r="D7" s="39">
        <f t="shared" si="0"/>
        <v>0</v>
      </c>
      <c r="E7" s="39">
        <f t="shared" si="0"/>
        <v>0</v>
      </c>
      <c r="F7" s="40">
        <f t="shared" si="0"/>
        <v>0</v>
      </c>
      <c r="G7" s="38">
        <f t="shared" si="0"/>
        <v>67781987.370000005</v>
      </c>
      <c r="H7" s="39">
        <f t="shared" si="0"/>
        <v>309</v>
      </c>
      <c r="I7" s="39">
        <f t="shared" si="0"/>
        <v>0</v>
      </c>
      <c r="J7" s="40">
        <f t="shared" si="0"/>
        <v>0</v>
      </c>
      <c r="K7" s="38">
        <f t="shared" si="0"/>
        <v>288322382.53000003</v>
      </c>
      <c r="L7" s="39">
        <f t="shared" si="0"/>
        <v>819</v>
      </c>
      <c r="M7" s="39">
        <f t="shared" si="0"/>
        <v>200</v>
      </c>
      <c r="N7" s="41">
        <f t="shared" si="0"/>
        <v>326235.39</v>
      </c>
      <c r="O7" s="38">
        <f t="shared" si="0"/>
        <v>335368088.25</v>
      </c>
      <c r="P7" s="39">
        <f t="shared" si="0"/>
        <v>925</v>
      </c>
      <c r="Q7" s="39">
        <f t="shared" si="0"/>
        <v>209</v>
      </c>
      <c r="R7" s="40">
        <f t="shared" si="0"/>
        <v>2817053.9799999995</v>
      </c>
      <c r="S7" s="42">
        <f t="shared" si="0"/>
        <v>453202577.56999999</v>
      </c>
      <c r="T7" s="43">
        <f t="shared" si="0"/>
        <v>1361</v>
      </c>
      <c r="U7" s="43">
        <f t="shared" si="0"/>
        <v>962</v>
      </c>
      <c r="V7" s="41">
        <f t="shared" si="0"/>
        <v>7930915.3200000003</v>
      </c>
      <c r="W7" s="38">
        <f t="shared" si="0"/>
        <v>1236865443.9100003</v>
      </c>
      <c r="X7" s="43">
        <f t="shared" si="0"/>
        <v>1944</v>
      </c>
      <c r="Y7" s="43">
        <f t="shared" si="0"/>
        <v>1539</v>
      </c>
      <c r="Z7" s="41">
        <f t="shared" si="0"/>
        <v>15083728.620000008</v>
      </c>
      <c r="AA7" s="38">
        <f t="shared" si="0"/>
        <v>529405704.86000001</v>
      </c>
      <c r="AB7" s="44">
        <f t="shared" si="0"/>
        <v>753276453.83999991</v>
      </c>
      <c r="AC7" s="43">
        <f t="shared" si="0"/>
        <v>3214</v>
      </c>
      <c r="AD7" s="43">
        <f t="shared" si="0"/>
        <v>1457</v>
      </c>
      <c r="AE7" s="44">
        <f t="shared" si="0"/>
        <v>29111134.375537101</v>
      </c>
      <c r="AF7" s="40">
        <f t="shared" si="0"/>
        <v>41421412.480000004</v>
      </c>
      <c r="AG7" s="42">
        <f t="shared" si="0"/>
        <v>2313275073.559144</v>
      </c>
      <c r="AH7" s="42">
        <f>AH8+AH12</f>
        <v>3291493892.4200001</v>
      </c>
      <c r="AI7" s="44">
        <f t="shared" si="0"/>
        <v>1972632397.46</v>
      </c>
      <c r="AJ7" s="44">
        <f t="shared" si="0"/>
        <v>2806803031.0900002</v>
      </c>
      <c r="AK7" s="44">
        <f t="shared" si="0"/>
        <v>1463843794.9209375</v>
      </c>
      <c r="AL7" s="44">
        <f t="shared" si="0"/>
        <v>2082862070.96</v>
      </c>
      <c r="AM7" s="45">
        <f t="shared" si="0"/>
        <v>5673</v>
      </c>
      <c r="AN7" s="45">
        <f t="shared" si="0"/>
        <v>4566</v>
      </c>
      <c r="AO7" s="46">
        <f>AN7/AM7</f>
        <v>0.80486515071390796</v>
      </c>
      <c r="AP7" s="47">
        <f>AP8+AP12</f>
        <v>55334732.850000016</v>
      </c>
      <c r="AQ7" s="48">
        <f>AQ8+AQ12</f>
        <v>78734231.519999996</v>
      </c>
      <c r="AR7" s="49">
        <f t="shared" ref="AR7:AR20" si="1">AP7/AI7</f>
        <v>2.8051213658079478E-2</v>
      </c>
      <c r="AS7" s="50">
        <f>AS8+AS12</f>
        <v>55334732.850000016</v>
      </c>
      <c r="AT7" s="51">
        <f>AT8+AT12</f>
        <v>78734231.519999996</v>
      </c>
      <c r="AU7" s="47">
        <f>AU8+AU12</f>
        <v>39146387.899999999</v>
      </c>
      <c r="AV7" s="47">
        <f>AV8+AV12</f>
        <v>55700291.830000006</v>
      </c>
      <c r="AW7" s="46">
        <f t="shared" ref="AW7:AW20" si="2">AU7/AP7</f>
        <v>0.70744694848562895</v>
      </c>
      <c r="AX7" s="52">
        <f>AX8+AX12</f>
        <v>4399</v>
      </c>
      <c r="AY7" s="50">
        <f>AY8+AY12</f>
        <v>3907809.78</v>
      </c>
      <c r="AZ7" s="53">
        <f>AZ8+AZ12</f>
        <v>5560312.3699999992</v>
      </c>
      <c r="BA7" s="54">
        <f>BA8+BA12</f>
        <v>40</v>
      </c>
    </row>
    <row r="8" spans="1:53" x14ac:dyDescent="0.25">
      <c r="A8" s="55" t="s">
        <v>28</v>
      </c>
      <c r="B8" s="56" t="s">
        <v>29</v>
      </c>
      <c r="C8" s="57"/>
      <c r="D8" s="58"/>
      <c r="E8" s="58"/>
      <c r="F8" s="59"/>
      <c r="G8" s="57">
        <f t="shared" ref="G8:P8" si="3">SUM(G9:G11)</f>
        <v>66195563.460000001</v>
      </c>
      <c r="H8" s="58">
        <f t="shared" si="3"/>
        <v>143</v>
      </c>
      <c r="I8" s="58">
        <f t="shared" si="3"/>
        <v>0</v>
      </c>
      <c r="J8" s="59">
        <f t="shared" si="3"/>
        <v>0</v>
      </c>
      <c r="K8" s="57">
        <f t="shared" si="3"/>
        <v>222224463.49000001</v>
      </c>
      <c r="L8" s="58">
        <f t="shared" si="3"/>
        <v>680</v>
      </c>
      <c r="M8" s="58">
        <f t="shared" si="3"/>
        <v>116</v>
      </c>
      <c r="N8" s="60">
        <f t="shared" si="3"/>
        <v>123484.39000000001</v>
      </c>
      <c r="O8" s="57">
        <f t="shared" si="3"/>
        <v>237025445.22000003</v>
      </c>
      <c r="P8" s="58">
        <f t="shared" si="3"/>
        <v>603</v>
      </c>
      <c r="Q8" s="58">
        <v>114</v>
      </c>
      <c r="R8" s="61">
        <f t="shared" ref="R8:BA8" si="4">SUM(R9:R11)</f>
        <v>2734586.1799999997</v>
      </c>
      <c r="S8" s="62">
        <f t="shared" si="4"/>
        <v>332387503.62</v>
      </c>
      <c r="T8" s="63">
        <f t="shared" si="4"/>
        <v>1143</v>
      </c>
      <c r="U8" s="63">
        <f t="shared" si="4"/>
        <v>658</v>
      </c>
      <c r="V8" s="64">
        <f t="shared" si="4"/>
        <v>7303917.5600000005</v>
      </c>
      <c r="W8" s="65">
        <f t="shared" si="4"/>
        <v>885320925.47000015</v>
      </c>
      <c r="X8" s="63">
        <f t="shared" si="4"/>
        <v>1857</v>
      </c>
      <c r="Y8" s="63">
        <f t="shared" si="4"/>
        <v>980</v>
      </c>
      <c r="Z8" s="64">
        <f t="shared" si="4"/>
        <v>14381705.280000007</v>
      </c>
      <c r="AA8" s="65">
        <f t="shared" si="4"/>
        <v>441862578.93000007</v>
      </c>
      <c r="AB8" s="66">
        <f t="shared" si="4"/>
        <v>628713807.73999989</v>
      </c>
      <c r="AC8" s="63">
        <f t="shared" si="4"/>
        <v>2696</v>
      </c>
      <c r="AD8" s="63">
        <f t="shared" si="4"/>
        <v>1028</v>
      </c>
      <c r="AE8" s="66">
        <f t="shared" si="4"/>
        <v>24712309.055537101</v>
      </c>
      <c r="AF8" s="61">
        <f t="shared" si="4"/>
        <v>35162447.93</v>
      </c>
      <c r="AG8" s="62">
        <f t="shared" si="4"/>
        <v>1857959877.2696559</v>
      </c>
      <c r="AH8" s="62">
        <f t="shared" si="4"/>
        <v>2643638734.6599998</v>
      </c>
      <c r="AI8" s="66">
        <f>SUM(AI9:AI11)</f>
        <v>1520879301.3000002</v>
      </c>
      <c r="AJ8" s="66">
        <f>SUM(AJ9:AJ11)</f>
        <v>2164016285.2000003</v>
      </c>
      <c r="AK8" s="66">
        <f t="shared" si="4"/>
        <v>995382910.94793117</v>
      </c>
      <c r="AL8" s="66">
        <f>SUM(AL9:AL11)</f>
        <v>1416302284.78</v>
      </c>
      <c r="AM8" s="63">
        <f t="shared" si="4"/>
        <v>4820</v>
      </c>
      <c r="AN8" s="63">
        <f t="shared" si="4"/>
        <v>3101</v>
      </c>
      <c r="AO8" s="67">
        <f t="shared" ref="AO8:AO20" si="5">AN8/AM8</f>
        <v>0.64336099585062245</v>
      </c>
      <c r="AP8" s="68">
        <f t="shared" si="4"/>
        <v>49385150.930000015</v>
      </c>
      <c r="AQ8" s="69">
        <f t="shared" si="4"/>
        <v>70268739.11999999</v>
      </c>
      <c r="AR8" s="70">
        <f t="shared" si="1"/>
        <v>3.2471446542659321E-2</v>
      </c>
      <c r="AS8" s="71">
        <f t="shared" si="4"/>
        <v>49385150.930000015</v>
      </c>
      <c r="AT8" s="72">
        <f t="shared" si="4"/>
        <v>70268739.11999999</v>
      </c>
      <c r="AU8" s="68">
        <f t="shared" si="4"/>
        <v>33310346.439999998</v>
      </c>
      <c r="AV8" s="68">
        <f t="shared" si="4"/>
        <v>47396352.950000003</v>
      </c>
      <c r="AW8" s="67">
        <f t="shared" si="2"/>
        <v>0.67450125822668994</v>
      </c>
      <c r="AX8" s="73">
        <f t="shared" si="4"/>
        <v>2973</v>
      </c>
      <c r="AY8" s="65">
        <f t="shared" si="4"/>
        <v>3652683.07</v>
      </c>
      <c r="AZ8" s="74">
        <f t="shared" si="4"/>
        <v>5197299.7699999996</v>
      </c>
      <c r="BA8" s="75">
        <f t="shared" si="4"/>
        <v>27</v>
      </c>
    </row>
    <row r="9" spans="1:53" ht="31.5" x14ac:dyDescent="0.25">
      <c r="A9" s="55" t="s">
        <v>30</v>
      </c>
      <c r="B9" s="76" t="s">
        <v>31</v>
      </c>
      <c r="C9" s="77">
        <v>0</v>
      </c>
      <c r="D9" s="78">
        <v>0</v>
      </c>
      <c r="E9" s="78">
        <v>0</v>
      </c>
      <c r="F9" s="79">
        <v>0</v>
      </c>
      <c r="G9" s="77">
        <v>65079563.469999999</v>
      </c>
      <c r="H9" s="78">
        <v>113</v>
      </c>
      <c r="I9" s="78">
        <v>0</v>
      </c>
      <c r="J9" s="79">
        <v>0</v>
      </c>
      <c r="K9" s="77">
        <v>112038411.01000001</v>
      </c>
      <c r="L9" s="78">
        <v>99</v>
      </c>
      <c r="M9" s="78">
        <v>0</v>
      </c>
      <c r="N9" s="80">
        <v>0</v>
      </c>
      <c r="O9" s="77">
        <v>39399960.609999999</v>
      </c>
      <c r="P9" s="78">
        <v>76</v>
      </c>
      <c r="Q9" s="78">
        <v>7</v>
      </c>
      <c r="R9" s="81">
        <v>111324.81</v>
      </c>
      <c r="S9" s="82">
        <v>99070063.659999996</v>
      </c>
      <c r="T9" s="83">
        <v>457</v>
      </c>
      <c r="U9" s="83">
        <v>342</v>
      </c>
      <c r="V9" s="80">
        <f>6525941.17-3024529.26</f>
        <v>3501411.91</v>
      </c>
      <c r="W9" s="77">
        <v>308732419.41000003</v>
      </c>
      <c r="X9" s="84">
        <v>1303</v>
      </c>
      <c r="Y9" s="84">
        <f>404-2</f>
        <v>402</v>
      </c>
      <c r="Z9" s="80">
        <f>6137850.25-1112855.21</f>
        <v>5024995.04</v>
      </c>
      <c r="AA9" s="77">
        <v>57651959.26000005</v>
      </c>
      <c r="AB9" s="85">
        <f>ROUND(AA9/0.702804,2)</f>
        <v>82031347.659999996</v>
      </c>
      <c r="AC9" s="84">
        <v>1155</v>
      </c>
      <c r="AD9" s="84">
        <v>433</v>
      </c>
      <c r="AE9" s="85">
        <f>17298341.4455371-141925.85</f>
        <v>17156415.5955371</v>
      </c>
      <c r="AF9" s="79">
        <f>ROUND(AE9/0.702804,2)</f>
        <v>24411380.120000001</v>
      </c>
      <c r="AG9" s="86">
        <v>495854223.785712</v>
      </c>
      <c r="AH9" s="86">
        <f>ROUND(AG9/0.702804,2)</f>
        <v>705536997.21000004</v>
      </c>
      <c r="AI9" s="85">
        <v>413513291.58000004</v>
      </c>
      <c r="AJ9" s="85">
        <f>ROUND(AI9/0.702804,2)</f>
        <v>588376405.90999997</v>
      </c>
      <c r="AK9" s="85">
        <v>381264236.84957093</v>
      </c>
      <c r="AL9" s="85">
        <f>ROUND(AK9/0.702804,2)</f>
        <v>542490135.01999998</v>
      </c>
      <c r="AM9" s="83">
        <v>2443</v>
      </c>
      <c r="AN9" s="83">
        <v>1180</v>
      </c>
      <c r="AO9" s="87">
        <f>AN9/AM9</f>
        <v>0.48301268931641422</v>
      </c>
      <c r="AP9" s="88">
        <v>25953125.379999999</v>
      </c>
      <c r="AQ9" s="89">
        <f>ROUND(AP9/0.702804,2)</f>
        <v>36927970.5</v>
      </c>
      <c r="AR9" s="90">
        <f t="shared" si="1"/>
        <v>6.2762493754034504E-2</v>
      </c>
      <c r="AS9" s="91">
        <v>25953125.379999999</v>
      </c>
      <c r="AT9" s="82">
        <f>ROUND(AS9/0.702804,2)</f>
        <v>36927970.5</v>
      </c>
      <c r="AU9" s="88">
        <v>13732341.119999999</v>
      </c>
      <c r="AV9" s="88">
        <f>ROUND(AU9/0.702804,2)</f>
        <v>19539361.07</v>
      </c>
      <c r="AW9" s="87">
        <f>AU9/AP9</f>
        <v>0.52912090235507503</v>
      </c>
      <c r="AX9" s="92">
        <v>1143</v>
      </c>
      <c r="AY9" s="91">
        <v>3652683.07</v>
      </c>
      <c r="AZ9" s="93">
        <f>ROUND(AY9/0.702804,2)</f>
        <v>5197299.7699999996</v>
      </c>
      <c r="BA9" s="94">
        <v>27</v>
      </c>
    </row>
    <row r="10" spans="1:53" ht="31.5" x14ac:dyDescent="0.25">
      <c r="A10" s="55" t="s">
        <v>32</v>
      </c>
      <c r="B10" s="76" t="s">
        <v>33</v>
      </c>
      <c r="C10" s="77">
        <v>0</v>
      </c>
      <c r="D10" s="78">
        <v>0</v>
      </c>
      <c r="E10" s="78">
        <v>0</v>
      </c>
      <c r="F10" s="79">
        <v>0</v>
      </c>
      <c r="G10" s="77">
        <v>1115999.99</v>
      </c>
      <c r="H10" s="78">
        <v>7</v>
      </c>
      <c r="I10" s="78">
        <v>0</v>
      </c>
      <c r="J10" s="79">
        <v>0</v>
      </c>
      <c r="K10" s="77">
        <v>107631811.20999999</v>
      </c>
      <c r="L10" s="78">
        <v>581</v>
      </c>
      <c r="M10" s="78">
        <v>28</v>
      </c>
      <c r="N10" s="80">
        <v>92423.71</v>
      </c>
      <c r="O10" s="77">
        <v>188187577.36000001</v>
      </c>
      <c r="P10" s="78">
        <v>527</v>
      </c>
      <c r="Q10" s="78">
        <v>123</v>
      </c>
      <c r="R10" s="81">
        <v>2583211.5699999998</v>
      </c>
      <c r="S10" s="82">
        <v>226715144.31</v>
      </c>
      <c r="T10" s="83">
        <v>663</v>
      </c>
      <c r="U10" s="83">
        <v>266</v>
      </c>
      <c r="V10" s="80">
        <v>3792449.16</v>
      </c>
      <c r="W10" s="77">
        <v>549769422.1500001</v>
      </c>
      <c r="X10" s="84">
        <v>518</v>
      </c>
      <c r="Y10" s="84">
        <f>539-1</f>
        <v>538</v>
      </c>
      <c r="Z10" s="80">
        <f>9359185.26000001-6370.96</f>
        <v>9352814.3000000082</v>
      </c>
      <c r="AA10" s="77">
        <v>377233266.74000001</v>
      </c>
      <c r="AB10" s="85">
        <f t="shared" ref="AB10:AB17" si="6">ROUND(AA10/0.702804,2)</f>
        <v>536754581.27999997</v>
      </c>
      <c r="AC10" s="84">
        <v>1522</v>
      </c>
      <c r="AD10" s="84">
        <v>587</v>
      </c>
      <c r="AE10" s="85">
        <f>'[1]1.pielikums'!T20</f>
        <v>7549072.8700000001</v>
      </c>
      <c r="AF10" s="79">
        <f t="shared" ref="AF10:AF16" si="7">ROUND(AE10/0.702804,2)</f>
        <v>10741362.98</v>
      </c>
      <c r="AG10" s="86">
        <v>1305463094.1207399</v>
      </c>
      <c r="AH10" s="86">
        <f t="shared" ref="AH10:AH17" si="8">ROUND(AG10/0.702804,2)</f>
        <v>1857506636.45</v>
      </c>
      <c r="AI10" s="85">
        <v>1073640986.8200001</v>
      </c>
      <c r="AJ10" s="85">
        <f t="shared" ref="AJ10:AJ17" si="9">ROUND(AI10/0.702804,2)</f>
        <v>1527653494.8900001</v>
      </c>
      <c r="AK10" s="85">
        <v>596543200.64134753</v>
      </c>
      <c r="AL10" s="85">
        <f t="shared" ref="AL10:AL17" si="10">ROUND(AK10/0.702804,2)</f>
        <v>848804504.01999998</v>
      </c>
      <c r="AM10" s="83">
        <v>2305</v>
      </c>
      <c r="AN10" s="83">
        <v>1613</v>
      </c>
      <c r="AO10" s="87">
        <f t="shared" si="5"/>
        <v>0.69978308026030367</v>
      </c>
      <c r="AP10" s="88">
        <v>23251332.300000016</v>
      </c>
      <c r="AQ10" s="89">
        <f t="shared" ref="AQ10:AQ17" si="11">ROUND(AP10/0.702804,2)</f>
        <v>33083665.289999999</v>
      </c>
      <c r="AR10" s="90">
        <f t="shared" si="1"/>
        <v>2.1656524467147779E-2</v>
      </c>
      <c r="AS10" s="91">
        <v>23251332.300000016</v>
      </c>
      <c r="AT10" s="82">
        <f t="shared" ref="AT10:AT17" si="12">ROUND(AS10/0.702804,2)</f>
        <v>33083665.289999999</v>
      </c>
      <c r="AU10" s="88">
        <v>19397312.07</v>
      </c>
      <c r="AV10" s="88">
        <f t="shared" ref="AV10:AV17" si="13">ROUND(AU10/0.702804,2)</f>
        <v>27599888.550000001</v>
      </c>
      <c r="AW10" s="87">
        <f t="shared" si="2"/>
        <v>0.83424518731771713</v>
      </c>
      <c r="AX10" s="92">
        <v>1522</v>
      </c>
      <c r="AY10" s="91">
        <v>0</v>
      </c>
      <c r="AZ10" s="93">
        <f t="shared" ref="AZ10:AZ11" si="14">ROUND(AY10/0.702804,2)</f>
        <v>0</v>
      </c>
      <c r="BA10" s="94">
        <v>0</v>
      </c>
    </row>
    <row r="11" spans="1:53" x14ac:dyDescent="0.25">
      <c r="A11" s="55" t="s">
        <v>34</v>
      </c>
      <c r="B11" s="76" t="s">
        <v>35</v>
      </c>
      <c r="C11" s="77">
        <v>0</v>
      </c>
      <c r="D11" s="78">
        <v>0</v>
      </c>
      <c r="E11" s="78">
        <v>0</v>
      </c>
      <c r="F11" s="79">
        <v>0</v>
      </c>
      <c r="G11" s="77">
        <v>0</v>
      </c>
      <c r="H11" s="78">
        <v>23</v>
      </c>
      <c r="I11" s="78">
        <v>0</v>
      </c>
      <c r="J11" s="79">
        <v>0</v>
      </c>
      <c r="K11" s="77">
        <v>2554241.27</v>
      </c>
      <c r="L11" s="78">
        <v>0</v>
      </c>
      <c r="M11" s="78">
        <v>88</v>
      </c>
      <c r="N11" s="80">
        <v>31060.68</v>
      </c>
      <c r="O11" s="77">
        <v>9437907.25</v>
      </c>
      <c r="P11" s="78">
        <v>0</v>
      </c>
      <c r="Q11" s="78">
        <v>32</v>
      </c>
      <c r="R11" s="81">
        <v>40049.800000000003</v>
      </c>
      <c r="S11" s="82">
        <v>6602295.6500000004</v>
      </c>
      <c r="T11" s="83">
        <v>23</v>
      </c>
      <c r="U11" s="83">
        <v>50</v>
      </c>
      <c r="V11" s="80">
        <v>10056.49</v>
      </c>
      <c r="W11" s="77">
        <v>26819083.909999996</v>
      </c>
      <c r="X11" s="84">
        <v>36</v>
      </c>
      <c r="Y11" s="84">
        <v>40</v>
      </c>
      <c r="Z11" s="80">
        <v>3895.94</v>
      </c>
      <c r="AA11" s="77">
        <v>6977352.9299999997</v>
      </c>
      <c r="AB11" s="85">
        <f t="shared" si="6"/>
        <v>9927878.8000000007</v>
      </c>
      <c r="AC11" s="84">
        <v>19</v>
      </c>
      <c r="AD11" s="84">
        <v>8</v>
      </c>
      <c r="AE11" s="85">
        <v>6820.59</v>
      </c>
      <c r="AF11" s="79">
        <f t="shared" si="7"/>
        <v>9704.83</v>
      </c>
      <c r="AG11" s="86">
        <v>56642559.363204002</v>
      </c>
      <c r="AH11" s="86">
        <f t="shared" si="8"/>
        <v>80595101</v>
      </c>
      <c r="AI11" s="85">
        <v>33725022.899999999</v>
      </c>
      <c r="AJ11" s="85">
        <f t="shared" si="9"/>
        <v>47986384.399999999</v>
      </c>
      <c r="AK11" s="85">
        <v>17575473.457012765</v>
      </c>
      <c r="AL11" s="85">
        <f t="shared" si="10"/>
        <v>25007645.739999998</v>
      </c>
      <c r="AM11" s="83">
        <v>72</v>
      </c>
      <c r="AN11" s="83">
        <v>308</v>
      </c>
      <c r="AO11" s="87">
        <f t="shared" si="5"/>
        <v>4.2777777777777777</v>
      </c>
      <c r="AP11" s="88">
        <v>180693.25</v>
      </c>
      <c r="AQ11" s="89">
        <f t="shared" si="11"/>
        <v>257103.33</v>
      </c>
      <c r="AR11" s="90">
        <f t="shared" si="1"/>
        <v>5.3578392084650001E-3</v>
      </c>
      <c r="AS11" s="91">
        <v>180693.25</v>
      </c>
      <c r="AT11" s="82">
        <f t="shared" si="12"/>
        <v>257103.33</v>
      </c>
      <c r="AU11" s="88">
        <v>180693.25</v>
      </c>
      <c r="AV11" s="88">
        <f t="shared" si="13"/>
        <v>257103.33</v>
      </c>
      <c r="AW11" s="87">
        <f t="shared" si="2"/>
        <v>1</v>
      </c>
      <c r="AX11" s="92">
        <v>308</v>
      </c>
      <c r="AY11" s="91">
        <v>0</v>
      </c>
      <c r="AZ11" s="93">
        <f t="shared" si="14"/>
        <v>0</v>
      </c>
      <c r="BA11" s="94">
        <v>0</v>
      </c>
    </row>
    <row r="12" spans="1:53" x14ac:dyDescent="0.25">
      <c r="A12" s="55" t="s">
        <v>36</v>
      </c>
      <c r="B12" s="56" t="s">
        <v>37</v>
      </c>
      <c r="C12" s="57">
        <f t="shared" ref="C12:AH12" si="15">SUM(C13:C14)</f>
        <v>0</v>
      </c>
      <c r="D12" s="58">
        <f t="shared" si="15"/>
        <v>0</v>
      </c>
      <c r="E12" s="58">
        <f t="shared" si="15"/>
        <v>0</v>
      </c>
      <c r="F12" s="59">
        <f t="shared" si="15"/>
        <v>0</v>
      </c>
      <c r="G12" s="57">
        <f t="shared" si="15"/>
        <v>1586423.91</v>
      </c>
      <c r="H12" s="58">
        <f t="shared" si="15"/>
        <v>166</v>
      </c>
      <c r="I12" s="58">
        <f t="shared" si="15"/>
        <v>0</v>
      </c>
      <c r="J12" s="59">
        <f t="shared" si="15"/>
        <v>0</v>
      </c>
      <c r="K12" s="57">
        <f t="shared" si="15"/>
        <v>66097919.039999999</v>
      </c>
      <c r="L12" s="58">
        <f t="shared" si="15"/>
        <v>139</v>
      </c>
      <c r="M12" s="58">
        <f t="shared" si="15"/>
        <v>84</v>
      </c>
      <c r="N12" s="60">
        <f t="shared" si="15"/>
        <v>202751</v>
      </c>
      <c r="O12" s="57">
        <f t="shared" si="15"/>
        <v>98342643.030000001</v>
      </c>
      <c r="P12" s="58">
        <f t="shared" si="15"/>
        <v>322</v>
      </c>
      <c r="Q12" s="58">
        <f t="shared" si="15"/>
        <v>95</v>
      </c>
      <c r="R12" s="61">
        <f t="shared" si="15"/>
        <v>82467.8</v>
      </c>
      <c r="S12" s="62">
        <f t="shared" si="15"/>
        <v>120815073.94999999</v>
      </c>
      <c r="T12" s="63">
        <f t="shared" si="15"/>
        <v>218</v>
      </c>
      <c r="U12" s="63">
        <f t="shared" si="15"/>
        <v>304</v>
      </c>
      <c r="V12" s="64">
        <f t="shared" si="15"/>
        <v>626997.76000000001</v>
      </c>
      <c r="W12" s="65">
        <f t="shared" si="15"/>
        <v>351544518.44000006</v>
      </c>
      <c r="X12" s="63">
        <f t="shared" si="15"/>
        <v>87</v>
      </c>
      <c r="Y12" s="63">
        <f t="shared" si="15"/>
        <v>559</v>
      </c>
      <c r="Z12" s="64">
        <f t="shared" si="15"/>
        <v>702023.3400000009</v>
      </c>
      <c r="AA12" s="65">
        <f t="shared" si="15"/>
        <v>87543125.929999918</v>
      </c>
      <c r="AB12" s="66">
        <f t="shared" si="15"/>
        <v>124562646.09999999</v>
      </c>
      <c r="AC12" s="63">
        <f t="shared" si="15"/>
        <v>518</v>
      </c>
      <c r="AD12" s="63">
        <f t="shared" si="15"/>
        <v>429</v>
      </c>
      <c r="AE12" s="66">
        <f t="shared" si="15"/>
        <v>4398825.32</v>
      </c>
      <c r="AF12" s="61">
        <f t="shared" si="15"/>
        <v>6258964.5500000007</v>
      </c>
      <c r="AG12" s="62">
        <f t="shared" si="15"/>
        <v>455315196.28948808</v>
      </c>
      <c r="AH12" s="62">
        <f t="shared" si="15"/>
        <v>647855157.75999999</v>
      </c>
      <c r="AI12" s="66">
        <f>SUM(AI13:AI14)</f>
        <v>451753096.15999991</v>
      </c>
      <c r="AJ12" s="66">
        <f>SUM(AJ13:AJ14)</f>
        <v>642786745.8900001</v>
      </c>
      <c r="AK12" s="66">
        <f t="shared" ref="AK12:BA12" si="16">SUM(AK13:AK14)</f>
        <v>468460883.97300631</v>
      </c>
      <c r="AL12" s="66">
        <f>SUM(AL13:AL14)</f>
        <v>666559786.17999995</v>
      </c>
      <c r="AM12" s="63">
        <f t="shared" si="16"/>
        <v>853</v>
      </c>
      <c r="AN12" s="63">
        <f t="shared" si="16"/>
        <v>1465</v>
      </c>
      <c r="AO12" s="95">
        <f t="shared" si="5"/>
        <v>1.7174677608440798</v>
      </c>
      <c r="AP12" s="66">
        <f t="shared" si="16"/>
        <v>5949581.919999999</v>
      </c>
      <c r="AQ12" s="64">
        <f t="shared" si="16"/>
        <v>8465492.4000000004</v>
      </c>
      <c r="AR12" s="70">
        <f t="shared" si="1"/>
        <v>1.3169985929421948E-2</v>
      </c>
      <c r="AS12" s="65">
        <f t="shared" si="16"/>
        <v>5949581.919999999</v>
      </c>
      <c r="AT12" s="62">
        <f t="shared" si="16"/>
        <v>8465492.4000000004</v>
      </c>
      <c r="AU12" s="66">
        <f t="shared" si="16"/>
        <v>5836041.459999999</v>
      </c>
      <c r="AV12" s="66">
        <f t="shared" si="16"/>
        <v>8303938.8799999999</v>
      </c>
      <c r="AW12" s="95">
        <f t="shared" si="2"/>
        <v>0.98091622881629303</v>
      </c>
      <c r="AX12" s="96">
        <f t="shared" si="16"/>
        <v>1426</v>
      </c>
      <c r="AY12" s="65">
        <f t="shared" si="16"/>
        <v>255126.70999999996</v>
      </c>
      <c r="AZ12" s="74">
        <f t="shared" si="16"/>
        <v>363012.6</v>
      </c>
      <c r="BA12" s="75">
        <f t="shared" si="16"/>
        <v>13</v>
      </c>
    </row>
    <row r="13" spans="1:53" ht="31.5" x14ac:dyDescent="0.25">
      <c r="A13" s="55" t="s">
        <v>38</v>
      </c>
      <c r="B13" s="76" t="s">
        <v>39</v>
      </c>
      <c r="C13" s="77">
        <v>0</v>
      </c>
      <c r="D13" s="78">
        <v>0</v>
      </c>
      <c r="E13" s="78">
        <v>0</v>
      </c>
      <c r="F13" s="79">
        <v>0</v>
      </c>
      <c r="G13" s="77">
        <v>1586423.91</v>
      </c>
      <c r="H13" s="78">
        <v>143</v>
      </c>
      <c r="I13" s="78">
        <v>0</v>
      </c>
      <c r="J13" s="79">
        <v>0</v>
      </c>
      <c r="K13" s="77">
        <v>64049025.740000002</v>
      </c>
      <c r="L13" s="78">
        <v>139</v>
      </c>
      <c r="M13" s="78">
        <v>12</v>
      </c>
      <c r="N13" s="80">
        <v>181332.7</v>
      </c>
      <c r="O13" s="77">
        <v>96551361.829999998</v>
      </c>
      <c r="P13" s="78">
        <v>322</v>
      </c>
      <c r="Q13" s="78">
        <v>62</v>
      </c>
      <c r="R13" s="81">
        <v>71633.88</v>
      </c>
      <c r="S13" s="82">
        <v>118621616.48999999</v>
      </c>
      <c r="T13" s="83">
        <v>196</v>
      </c>
      <c r="U13" s="83">
        <v>262</v>
      </c>
      <c r="V13" s="80">
        <v>624404.76</v>
      </c>
      <c r="W13" s="77">
        <v>343175593.94000006</v>
      </c>
      <c r="X13" s="84">
        <v>87</v>
      </c>
      <c r="Y13" s="84">
        <v>536</v>
      </c>
      <c r="Z13" s="80">
        <v>701605.98000000091</v>
      </c>
      <c r="AA13" s="77">
        <v>86180640.089999914</v>
      </c>
      <c r="AB13" s="85">
        <f t="shared" si="6"/>
        <v>122624003.41</v>
      </c>
      <c r="AC13" s="84">
        <v>507</v>
      </c>
      <c r="AD13" s="84">
        <v>423</v>
      </c>
      <c r="AE13" s="85">
        <v>4398555.84</v>
      </c>
      <c r="AF13" s="79">
        <f>ROUND(AE13/0.702804,2)</f>
        <v>6258581.1100000003</v>
      </c>
      <c r="AG13" s="86">
        <v>442467435.28948808</v>
      </c>
      <c r="AH13" s="86">
        <f t="shared" si="8"/>
        <v>629574440.79999995</v>
      </c>
      <c r="AI13" s="85">
        <v>442144696.7299999</v>
      </c>
      <c r="AJ13" s="85">
        <f t="shared" si="9"/>
        <v>629115225.20000005</v>
      </c>
      <c r="AK13" s="85">
        <v>466987882.32300633</v>
      </c>
      <c r="AL13" s="85">
        <f t="shared" si="10"/>
        <v>664463893.65999997</v>
      </c>
      <c r="AM13" s="83">
        <v>812</v>
      </c>
      <c r="AN13" s="83">
        <v>1289</v>
      </c>
      <c r="AO13" s="87">
        <f t="shared" si="5"/>
        <v>1.5874384236453203</v>
      </c>
      <c r="AP13" s="88">
        <v>5914049.8599999994</v>
      </c>
      <c r="AQ13" s="89">
        <f t="shared" si="11"/>
        <v>8414934.8300000001</v>
      </c>
      <c r="AR13" s="90">
        <f t="shared" si="1"/>
        <v>1.3375824484018348E-2</v>
      </c>
      <c r="AS13" s="91">
        <v>5914049.8599999994</v>
      </c>
      <c r="AT13" s="82">
        <f t="shared" si="12"/>
        <v>8414934.8300000001</v>
      </c>
      <c r="AU13" s="88">
        <v>5800509.3999999994</v>
      </c>
      <c r="AV13" s="88">
        <f t="shared" si="13"/>
        <v>8253381.3099999996</v>
      </c>
      <c r="AW13" s="87">
        <f t="shared" si="2"/>
        <v>0.98080157207196761</v>
      </c>
      <c r="AX13" s="92">
        <v>1250</v>
      </c>
      <c r="AY13" s="91">
        <v>255126.70999999996</v>
      </c>
      <c r="AZ13" s="93">
        <f>ROUND(AY13/0.702804,2)</f>
        <v>363012.6</v>
      </c>
      <c r="BA13" s="94">
        <v>13</v>
      </c>
    </row>
    <row r="14" spans="1:53" x14ac:dyDescent="0.25">
      <c r="A14" s="55" t="s">
        <v>40</v>
      </c>
      <c r="B14" s="76" t="s">
        <v>41</v>
      </c>
      <c r="C14" s="77">
        <v>0</v>
      </c>
      <c r="D14" s="78">
        <v>0</v>
      </c>
      <c r="E14" s="78">
        <v>0</v>
      </c>
      <c r="F14" s="79">
        <v>0</v>
      </c>
      <c r="G14" s="77">
        <v>0</v>
      </c>
      <c r="H14" s="78">
        <v>23</v>
      </c>
      <c r="I14" s="78">
        <v>0</v>
      </c>
      <c r="J14" s="79">
        <v>0</v>
      </c>
      <c r="K14" s="77">
        <v>2048893.3</v>
      </c>
      <c r="L14" s="78">
        <v>0</v>
      </c>
      <c r="M14" s="78">
        <v>72</v>
      </c>
      <c r="N14" s="80">
        <v>21418.3</v>
      </c>
      <c r="O14" s="77">
        <v>1791281.2</v>
      </c>
      <c r="P14" s="78">
        <v>0</v>
      </c>
      <c r="Q14" s="78">
        <v>33</v>
      </c>
      <c r="R14" s="81">
        <v>10833.92</v>
      </c>
      <c r="S14" s="82">
        <v>2193457.46</v>
      </c>
      <c r="T14" s="83">
        <v>22</v>
      </c>
      <c r="U14" s="83">
        <v>42</v>
      </c>
      <c r="V14" s="80">
        <v>2593</v>
      </c>
      <c r="W14" s="77">
        <v>8368924.5</v>
      </c>
      <c r="X14" s="84">
        <v>0</v>
      </c>
      <c r="Y14" s="84">
        <v>23</v>
      </c>
      <c r="Z14" s="80">
        <v>417.36</v>
      </c>
      <c r="AA14" s="77">
        <v>1362485.8399999999</v>
      </c>
      <c r="AB14" s="85">
        <f t="shared" si="6"/>
        <v>1938642.69</v>
      </c>
      <c r="AC14" s="84">
        <v>11</v>
      </c>
      <c r="AD14" s="84">
        <v>6</v>
      </c>
      <c r="AE14" s="85">
        <v>269.48</v>
      </c>
      <c r="AF14" s="79">
        <f>ROUND(AE14/0.702804,2)</f>
        <v>383.44</v>
      </c>
      <c r="AG14" s="86">
        <v>12847761</v>
      </c>
      <c r="AH14" s="86">
        <f t="shared" si="8"/>
        <v>18280716.960000001</v>
      </c>
      <c r="AI14" s="85">
        <v>9608399.4299999997</v>
      </c>
      <c r="AJ14" s="85">
        <f t="shared" si="9"/>
        <v>13671520.689999999</v>
      </c>
      <c r="AK14" s="85">
        <v>1473001.65</v>
      </c>
      <c r="AL14" s="85">
        <f t="shared" si="10"/>
        <v>2095892.52</v>
      </c>
      <c r="AM14" s="83">
        <v>41</v>
      </c>
      <c r="AN14" s="83">
        <v>176</v>
      </c>
      <c r="AO14" s="87">
        <f t="shared" si="5"/>
        <v>4.2926829268292686</v>
      </c>
      <c r="AP14" s="88">
        <v>35532.06</v>
      </c>
      <c r="AQ14" s="89">
        <f t="shared" si="11"/>
        <v>50557.57</v>
      </c>
      <c r="AR14" s="90">
        <f t="shared" si="1"/>
        <v>3.698020701456205E-3</v>
      </c>
      <c r="AS14" s="91">
        <v>35532.06</v>
      </c>
      <c r="AT14" s="82">
        <f t="shared" si="12"/>
        <v>50557.57</v>
      </c>
      <c r="AU14" s="88">
        <v>35532.06</v>
      </c>
      <c r="AV14" s="88">
        <f t="shared" si="13"/>
        <v>50557.57</v>
      </c>
      <c r="AW14" s="87">
        <f t="shared" si="2"/>
        <v>1</v>
      </c>
      <c r="AX14" s="92">
        <v>176</v>
      </c>
      <c r="AY14" s="91"/>
      <c r="AZ14" s="93"/>
      <c r="BA14" s="94">
        <v>0</v>
      </c>
    </row>
    <row r="15" spans="1:53" ht="31.5" x14ac:dyDescent="0.25">
      <c r="A15" s="36" t="s">
        <v>42</v>
      </c>
      <c r="B15" s="97" t="s">
        <v>43</v>
      </c>
      <c r="C15" s="98">
        <f t="shared" ref="C15:AH15" si="17">SUM(C16:C17)</f>
        <v>0</v>
      </c>
      <c r="D15" s="99">
        <f t="shared" si="17"/>
        <v>0</v>
      </c>
      <c r="E15" s="39">
        <f t="shared" si="17"/>
        <v>0</v>
      </c>
      <c r="F15" s="40">
        <f t="shared" si="17"/>
        <v>0</v>
      </c>
      <c r="G15" s="38">
        <f t="shared" si="17"/>
        <v>31566288.789999999</v>
      </c>
      <c r="H15" s="39">
        <f t="shared" si="17"/>
        <v>65</v>
      </c>
      <c r="I15" s="39">
        <f t="shared" si="17"/>
        <v>0</v>
      </c>
      <c r="J15" s="40">
        <f t="shared" si="17"/>
        <v>0</v>
      </c>
      <c r="K15" s="38">
        <f t="shared" si="17"/>
        <v>149868790.00999999</v>
      </c>
      <c r="L15" s="39">
        <f t="shared" si="17"/>
        <v>47</v>
      </c>
      <c r="M15" s="39">
        <f t="shared" si="17"/>
        <v>61</v>
      </c>
      <c r="N15" s="41">
        <f t="shared" si="17"/>
        <v>209731.49</v>
      </c>
      <c r="O15" s="38">
        <f t="shared" si="17"/>
        <v>162188754.02000001</v>
      </c>
      <c r="P15" s="39">
        <f t="shared" si="17"/>
        <v>61</v>
      </c>
      <c r="Q15" s="39">
        <f t="shared" si="17"/>
        <v>57</v>
      </c>
      <c r="R15" s="40">
        <f t="shared" si="17"/>
        <v>272417.78000000003</v>
      </c>
      <c r="S15" s="42">
        <f t="shared" si="17"/>
        <v>158302206.52000001</v>
      </c>
      <c r="T15" s="43">
        <f t="shared" si="17"/>
        <v>111</v>
      </c>
      <c r="U15" s="43">
        <f t="shared" si="17"/>
        <v>65</v>
      </c>
      <c r="V15" s="41">
        <f t="shared" si="17"/>
        <v>204158.53999999998</v>
      </c>
      <c r="W15" s="38">
        <f t="shared" si="17"/>
        <v>441075357.89999992</v>
      </c>
      <c r="X15" s="43">
        <f t="shared" si="17"/>
        <v>119</v>
      </c>
      <c r="Y15" s="43">
        <f t="shared" si="17"/>
        <v>71</v>
      </c>
      <c r="Z15" s="41">
        <f t="shared" si="17"/>
        <v>484518.05</v>
      </c>
      <c r="AA15" s="38">
        <f t="shared" si="17"/>
        <v>261179773.40000021</v>
      </c>
      <c r="AB15" s="44">
        <f t="shared" si="17"/>
        <v>371625337.08000004</v>
      </c>
      <c r="AC15" s="43">
        <f t="shared" si="17"/>
        <v>236</v>
      </c>
      <c r="AD15" s="43">
        <f t="shared" si="17"/>
        <v>67</v>
      </c>
      <c r="AE15" s="44">
        <f t="shared" si="17"/>
        <v>3114306.6399999997</v>
      </c>
      <c r="AF15" s="40">
        <f t="shared" si="17"/>
        <v>4431259.13</v>
      </c>
      <c r="AG15" s="42">
        <f t="shared" si="17"/>
        <v>1112584175.0046122</v>
      </c>
      <c r="AH15" s="42">
        <f t="shared" si="17"/>
        <v>1583064659.5699999</v>
      </c>
      <c r="AI15" s="44">
        <f>SUM(AI16:AI17)</f>
        <v>847844191.64000022</v>
      </c>
      <c r="AJ15" s="44">
        <f>SUM(AJ16:AJ17)</f>
        <v>1206373600.0999999</v>
      </c>
      <c r="AK15" s="44">
        <f t="shared" ref="AK15:BA15" si="18">SUM(AK16:AK17)</f>
        <v>654122750.98999953</v>
      </c>
      <c r="AL15" s="44">
        <f>SUM(AL16:AL17)</f>
        <v>930732823.07999992</v>
      </c>
      <c r="AM15" s="43">
        <f t="shared" si="18"/>
        <v>413</v>
      </c>
      <c r="AN15" s="43">
        <f t="shared" si="18"/>
        <v>343</v>
      </c>
      <c r="AO15" s="100">
        <f t="shared" si="5"/>
        <v>0.83050847457627119</v>
      </c>
      <c r="AP15" s="44">
        <f t="shared" si="18"/>
        <v>4670879.0300000012</v>
      </c>
      <c r="AQ15" s="41">
        <f t="shared" si="18"/>
        <v>6646062.1100000003</v>
      </c>
      <c r="AR15" s="101">
        <f t="shared" si="1"/>
        <v>5.5091242896469408E-3</v>
      </c>
      <c r="AS15" s="38">
        <f t="shared" si="18"/>
        <v>4670879.0300000012</v>
      </c>
      <c r="AT15" s="42">
        <f t="shared" si="18"/>
        <v>6646062.1100000003</v>
      </c>
      <c r="AU15" s="44">
        <f t="shared" si="18"/>
        <v>4559185.7299999995</v>
      </c>
      <c r="AV15" s="44">
        <f t="shared" si="18"/>
        <v>6487136.8600000003</v>
      </c>
      <c r="AW15" s="100">
        <f t="shared" si="2"/>
        <v>0.97608730620454509</v>
      </c>
      <c r="AX15" s="102">
        <f t="shared" si="18"/>
        <v>329</v>
      </c>
      <c r="AY15" s="38">
        <f t="shared" si="18"/>
        <v>0</v>
      </c>
      <c r="AZ15" s="103">
        <f t="shared" si="18"/>
        <v>0</v>
      </c>
      <c r="BA15" s="104">
        <f t="shared" si="18"/>
        <v>0</v>
      </c>
    </row>
    <row r="16" spans="1:53" ht="31.5" x14ac:dyDescent="0.25">
      <c r="A16" s="105" t="s">
        <v>44</v>
      </c>
      <c r="B16" s="76" t="s">
        <v>33</v>
      </c>
      <c r="C16" s="77">
        <v>0</v>
      </c>
      <c r="D16" s="78">
        <v>0</v>
      </c>
      <c r="E16" s="106">
        <v>0</v>
      </c>
      <c r="F16" s="107">
        <v>0</v>
      </c>
      <c r="G16" s="108">
        <v>31566288.789999999</v>
      </c>
      <c r="H16" s="106">
        <v>49</v>
      </c>
      <c r="I16" s="106">
        <v>0</v>
      </c>
      <c r="J16" s="107">
        <v>0</v>
      </c>
      <c r="K16" s="108">
        <v>149349485.5</v>
      </c>
      <c r="L16" s="106">
        <v>47</v>
      </c>
      <c r="M16" s="106">
        <v>16</v>
      </c>
      <c r="N16" s="109">
        <v>204901.34</v>
      </c>
      <c r="O16" s="108">
        <v>161593416.08000001</v>
      </c>
      <c r="P16" s="106">
        <v>61</v>
      </c>
      <c r="Q16" s="106">
        <v>42</v>
      </c>
      <c r="R16" s="107">
        <v>272146.21000000002</v>
      </c>
      <c r="S16" s="110">
        <v>157518134.28</v>
      </c>
      <c r="T16" s="111">
        <v>93</v>
      </c>
      <c r="U16" s="111">
        <v>43</v>
      </c>
      <c r="V16" s="109">
        <v>203260.18</v>
      </c>
      <c r="W16" s="108">
        <v>438174168.62999994</v>
      </c>
      <c r="X16" s="111">
        <v>119</v>
      </c>
      <c r="Y16" s="111">
        <v>58</v>
      </c>
      <c r="Z16" s="109">
        <v>484426.33999999997</v>
      </c>
      <c r="AA16" s="108">
        <v>260089672.76000023</v>
      </c>
      <c r="AB16" s="112">
        <f t="shared" si="6"/>
        <v>370074263.61000001</v>
      </c>
      <c r="AC16" s="111">
        <v>227</v>
      </c>
      <c r="AD16" s="111">
        <v>63</v>
      </c>
      <c r="AE16" s="112">
        <v>3114124.34</v>
      </c>
      <c r="AF16" s="107">
        <f t="shared" si="7"/>
        <v>4430999.74</v>
      </c>
      <c r="AG16" s="110">
        <v>1104009966.2046123</v>
      </c>
      <c r="AH16" s="110">
        <f t="shared" si="8"/>
        <v>1570864659.5699999</v>
      </c>
      <c r="AI16" s="112">
        <v>843870469.2900002</v>
      </c>
      <c r="AJ16" s="112">
        <f t="shared" si="9"/>
        <v>1200719502.5799999</v>
      </c>
      <c r="AK16" s="112">
        <v>646483359.33999956</v>
      </c>
      <c r="AL16" s="112">
        <f t="shared" si="10"/>
        <v>919862948.04999995</v>
      </c>
      <c r="AM16" s="83">
        <v>383</v>
      </c>
      <c r="AN16" s="83">
        <v>244</v>
      </c>
      <c r="AO16" s="87">
        <f t="shared" si="5"/>
        <v>0.63707571801566576</v>
      </c>
      <c r="AP16" s="88">
        <v>4664604.9400000013</v>
      </c>
      <c r="AQ16" s="89">
        <f t="shared" si="11"/>
        <v>6637134.8799999999</v>
      </c>
      <c r="AR16" s="90">
        <f t="shared" si="1"/>
        <v>5.5276314431581168E-3</v>
      </c>
      <c r="AS16" s="91">
        <v>4664604.9400000013</v>
      </c>
      <c r="AT16" s="82">
        <f t="shared" si="12"/>
        <v>6637134.8799999999</v>
      </c>
      <c r="AU16" s="88">
        <v>4552911.6399999997</v>
      </c>
      <c r="AV16" s="88">
        <f t="shared" si="13"/>
        <v>6478209.6299999999</v>
      </c>
      <c r="AW16" s="87">
        <f t="shared" si="2"/>
        <v>0.97605514262478965</v>
      </c>
      <c r="AX16" s="92">
        <v>230</v>
      </c>
      <c r="AY16" s="91"/>
      <c r="AZ16" s="93"/>
      <c r="BA16" s="94"/>
    </row>
    <row r="17" spans="1:53" x14ac:dyDescent="0.25">
      <c r="A17" s="105" t="s">
        <v>45</v>
      </c>
      <c r="B17" s="76" t="s">
        <v>46</v>
      </c>
      <c r="C17" s="77">
        <v>0</v>
      </c>
      <c r="D17" s="78">
        <v>0</v>
      </c>
      <c r="E17" s="106">
        <v>0</v>
      </c>
      <c r="F17" s="107">
        <v>0</v>
      </c>
      <c r="G17" s="108">
        <v>0</v>
      </c>
      <c r="H17" s="106">
        <v>16</v>
      </c>
      <c r="I17" s="106">
        <v>0</v>
      </c>
      <c r="J17" s="107">
        <v>0</v>
      </c>
      <c r="K17" s="108">
        <v>519304.51</v>
      </c>
      <c r="L17" s="106">
        <v>0</v>
      </c>
      <c r="M17" s="106">
        <v>45</v>
      </c>
      <c r="N17" s="109">
        <v>4830.1499999999996</v>
      </c>
      <c r="O17" s="108">
        <v>595337.93999999994</v>
      </c>
      <c r="P17" s="106">
        <v>0</v>
      </c>
      <c r="Q17" s="106">
        <v>15</v>
      </c>
      <c r="R17" s="107">
        <v>271.57</v>
      </c>
      <c r="S17" s="110">
        <v>784072.24</v>
      </c>
      <c r="T17" s="111">
        <v>18</v>
      </c>
      <c r="U17" s="111">
        <v>22</v>
      </c>
      <c r="V17" s="109">
        <v>898.36</v>
      </c>
      <c r="W17" s="108">
        <v>2901189.27</v>
      </c>
      <c r="X17" s="111">
        <v>0</v>
      </c>
      <c r="Y17" s="111">
        <v>13</v>
      </c>
      <c r="Z17" s="109">
        <v>91.71</v>
      </c>
      <c r="AA17" s="108">
        <v>1090100.6400000001</v>
      </c>
      <c r="AB17" s="112">
        <f t="shared" si="6"/>
        <v>1551073.47</v>
      </c>
      <c r="AC17" s="111">
        <v>9</v>
      </c>
      <c r="AD17" s="111">
        <v>4</v>
      </c>
      <c r="AE17" s="112">
        <v>182.3</v>
      </c>
      <c r="AF17" s="107">
        <f>ROUND(AE17/0.702804,2)</f>
        <v>259.39</v>
      </c>
      <c r="AG17" s="110">
        <v>8574208.7999999989</v>
      </c>
      <c r="AH17" s="110">
        <f t="shared" si="8"/>
        <v>12200000</v>
      </c>
      <c r="AI17" s="112">
        <v>3973722.35</v>
      </c>
      <c r="AJ17" s="112">
        <f t="shared" si="9"/>
        <v>5654097.5199999996</v>
      </c>
      <c r="AK17" s="112">
        <v>7639391.6499999985</v>
      </c>
      <c r="AL17" s="112">
        <f t="shared" si="10"/>
        <v>10869875.029999999</v>
      </c>
      <c r="AM17" s="83">
        <v>30</v>
      </c>
      <c r="AN17" s="83">
        <v>99</v>
      </c>
      <c r="AO17" s="87">
        <f t="shared" si="5"/>
        <v>3.3</v>
      </c>
      <c r="AP17" s="88">
        <v>6274.0899999999992</v>
      </c>
      <c r="AQ17" s="89">
        <f t="shared" si="11"/>
        <v>8927.23</v>
      </c>
      <c r="AR17" s="90">
        <f t="shared" si="1"/>
        <v>1.5788949119708877E-3</v>
      </c>
      <c r="AS17" s="91">
        <v>6274.0899999999992</v>
      </c>
      <c r="AT17" s="82">
        <f t="shared" si="12"/>
        <v>8927.23</v>
      </c>
      <c r="AU17" s="88">
        <v>6274.09</v>
      </c>
      <c r="AV17" s="88">
        <f t="shared" si="13"/>
        <v>8927.23</v>
      </c>
      <c r="AW17" s="87">
        <f t="shared" si="2"/>
        <v>1.0000000000000002</v>
      </c>
      <c r="AX17" s="92">
        <v>99</v>
      </c>
      <c r="AY17" s="91"/>
      <c r="AZ17" s="93"/>
      <c r="BA17" s="94"/>
    </row>
    <row r="18" spans="1:53" ht="31.5" x14ac:dyDescent="0.25">
      <c r="A18" s="36" t="s">
        <v>47</v>
      </c>
      <c r="B18" s="113" t="s">
        <v>48</v>
      </c>
      <c r="C18" s="38"/>
      <c r="D18" s="39"/>
      <c r="E18" s="39"/>
      <c r="F18" s="40"/>
      <c r="G18" s="38">
        <v>49191.4</v>
      </c>
      <c r="H18" s="39">
        <v>1</v>
      </c>
      <c r="I18" s="39">
        <v>1</v>
      </c>
      <c r="J18" s="40">
        <v>18.88</v>
      </c>
      <c r="K18" s="38">
        <f>1312395.43+2545539.43</f>
        <v>3857934.8600000003</v>
      </c>
      <c r="L18" s="39">
        <f>23+30</f>
        <v>53</v>
      </c>
      <c r="M18" s="39">
        <f>9+22</f>
        <v>31</v>
      </c>
      <c r="N18" s="41">
        <f>4042.61+7954.99</f>
        <v>11997.6</v>
      </c>
      <c r="O18" s="114">
        <f>1814056.61+120142.41</f>
        <v>1934199.02</v>
      </c>
      <c r="P18" s="115">
        <f>58+1</f>
        <v>59</v>
      </c>
      <c r="Q18" s="115">
        <f>10+14</f>
        <v>24</v>
      </c>
      <c r="R18" s="116">
        <f>5077.56+12663.22</f>
        <v>17740.78</v>
      </c>
      <c r="S18" s="42">
        <f>3434826.04+585723.86</f>
        <v>4020549.9</v>
      </c>
      <c r="T18" s="43">
        <f>54+20</f>
        <v>74</v>
      </c>
      <c r="U18" s="43">
        <f>14+39</f>
        <v>53</v>
      </c>
      <c r="V18" s="41">
        <f>2002.54+5201.41</f>
        <v>7203.95</v>
      </c>
      <c r="W18" s="38">
        <f>1601616.79+2433133</f>
        <v>4034749.79</v>
      </c>
      <c r="X18" s="43">
        <f>26+22</f>
        <v>48</v>
      </c>
      <c r="Y18" s="43">
        <f>19+13</f>
        <v>32</v>
      </c>
      <c r="Z18" s="41">
        <f>8171.9+4282.37</f>
        <v>12454.27</v>
      </c>
      <c r="AA18" s="38">
        <f>3387049+975783.07</f>
        <v>4362832.07</v>
      </c>
      <c r="AB18" s="44">
        <f>4819336.54+1388414.22</f>
        <v>6207750.7599999998</v>
      </c>
      <c r="AC18" s="43">
        <f>35+14</f>
        <v>49</v>
      </c>
      <c r="AD18" s="43">
        <f>27+28</f>
        <v>55</v>
      </c>
      <c r="AE18" s="44">
        <f>4785.88+4163.05</f>
        <v>8948.93</v>
      </c>
      <c r="AF18" s="40">
        <f>6809.69+5923.49</f>
        <v>12733.18</v>
      </c>
      <c r="AG18" s="117">
        <f>9474129.83+20696755.39</f>
        <v>30170885.219999999</v>
      </c>
      <c r="AH18" s="117">
        <f>13480472.27+29448829.82</f>
        <v>42929302.090000004</v>
      </c>
      <c r="AI18" s="118">
        <f>12550793.89+4595661.56</f>
        <v>17146455.449999999</v>
      </c>
      <c r="AJ18" s="118">
        <f>ROUND(AI18/0.702804,2)</f>
        <v>24397208.109999999</v>
      </c>
      <c r="AK18" s="118">
        <f>4328421.6+2539287.16</f>
        <v>6867708.7599999998</v>
      </c>
      <c r="AL18" s="118">
        <f>ROUND(AK18/0.702804,2)</f>
        <v>9771869.1999999993</v>
      </c>
      <c r="AM18" s="119">
        <f>200+90</f>
        <v>290</v>
      </c>
      <c r="AN18" s="119">
        <f>87+109</f>
        <v>196</v>
      </c>
      <c r="AO18" s="120">
        <f>AN18/AM18</f>
        <v>0.67586206896551726</v>
      </c>
      <c r="AP18" s="121">
        <f>24122.43+34242.19</f>
        <v>58364.62</v>
      </c>
      <c r="AQ18" s="122">
        <f>ROUND(AP18/0.702804,2)</f>
        <v>83045.37</v>
      </c>
      <c r="AR18" s="123">
        <f t="shared" si="1"/>
        <v>3.4038883529131968E-3</v>
      </c>
      <c r="AS18" s="124">
        <f>AP18</f>
        <v>58364.62</v>
      </c>
      <c r="AT18" s="125">
        <f>AQ18</f>
        <v>83045.37</v>
      </c>
      <c r="AU18" s="121">
        <f>18020.82+34242.19</f>
        <v>52263.01</v>
      </c>
      <c r="AV18" s="121">
        <f>ROUND(AU18/0.702804,2)</f>
        <v>74363.56</v>
      </c>
      <c r="AW18" s="120">
        <f t="shared" si="2"/>
        <v>0.89545704229719991</v>
      </c>
      <c r="AX18" s="126">
        <f>54+109</f>
        <v>163</v>
      </c>
      <c r="AY18" s="124">
        <v>0</v>
      </c>
      <c r="AZ18" s="127">
        <v>0</v>
      </c>
      <c r="BA18" s="128">
        <v>0</v>
      </c>
    </row>
    <row r="19" spans="1:53" ht="63" x14ac:dyDescent="0.25">
      <c r="A19" s="36" t="s">
        <v>49</v>
      </c>
      <c r="B19" s="129" t="s">
        <v>50</v>
      </c>
      <c r="C19" s="130">
        <f>C20+C22+C24</f>
        <v>67977068</v>
      </c>
      <c r="D19" s="195">
        <f>D20+D22+D24</f>
        <v>159296</v>
      </c>
      <c r="E19" s="131">
        <f>E20+E22+E24</f>
        <v>55</v>
      </c>
      <c r="F19" s="132">
        <f>F20+F22+F24</f>
        <v>30986.720000000001</v>
      </c>
      <c r="G19" s="38">
        <f>G20+G22+G24</f>
        <v>186948493</v>
      </c>
      <c r="H19" s="43">
        <f t="shared" ref="H19:AM19" si="19">H20+H22+H24</f>
        <v>311574</v>
      </c>
      <c r="I19" s="39">
        <f t="shared" si="19"/>
        <v>878</v>
      </c>
      <c r="J19" s="40">
        <f t="shared" si="19"/>
        <v>45906.48</v>
      </c>
      <c r="K19" s="38">
        <f t="shared" si="19"/>
        <v>252522860.33000001</v>
      </c>
      <c r="L19" s="43">
        <f t="shared" si="19"/>
        <v>280797</v>
      </c>
      <c r="M19" s="43">
        <f t="shared" si="19"/>
        <v>1525</v>
      </c>
      <c r="N19" s="41">
        <f>N20+N22+N24</f>
        <v>540904.55000000005</v>
      </c>
      <c r="O19" s="38">
        <f t="shared" si="19"/>
        <v>322063204.69999999</v>
      </c>
      <c r="P19" s="43">
        <f t="shared" si="19"/>
        <v>363647</v>
      </c>
      <c r="Q19" s="43">
        <f t="shared" si="19"/>
        <v>2252</v>
      </c>
      <c r="R19" s="40">
        <f t="shared" si="19"/>
        <v>554007.42000000004</v>
      </c>
      <c r="S19" s="42">
        <f t="shared" si="19"/>
        <v>329119757.89999998</v>
      </c>
      <c r="T19" s="43">
        <f t="shared" si="19"/>
        <v>231396</v>
      </c>
      <c r="U19" s="43">
        <f t="shared" si="19"/>
        <v>1761</v>
      </c>
      <c r="V19" s="41">
        <f t="shared" si="19"/>
        <v>981478.5</v>
      </c>
      <c r="W19" s="38">
        <f t="shared" si="19"/>
        <v>380792987</v>
      </c>
      <c r="X19" s="43">
        <f t="shared" si="19"/>
        <v>258988</v>
      </c>
      <c r="Y19" s="43">
        <f t="shared" si="19"/>
        <v>2395</v>
      </c>
      <c r="Z19" s="41">
        <f t="shared" si="19"/>
        <v>1484992.7899999998</v>
      </c>
      <c r="AA19" s="38">
        <f t="shared" si="19"/>
        <v>336760078.61999995</v>
      </c>
      <c r="AB19" s="44">
        <f t="shared" si="19"/>
        <v>479166422.81</v>
      </c>
      <c r="AC19" s="43">
        <f t="shared" si="19"/>
        <v>226408</v>
      </c>
      <c r="AD19" s="43">
        <f t="shared" si="19"/>
        <v>2201</v>
      </c>
      <c r="AE19" s="41">
        <f t="shared" si="19"/>
        <v>1855080</v>
      </c>
      <c r="AF19" s="40">
        <f t="shared" si="19"/>
        <v>2639541.04</v>
      </c>
      <c r="AG19" s="42">
        <f t="shared" si="19"/>
        <v>2102226557</v>
      </c>
      <c r="AH19" s="42">
        <f t="shared" si="19"/>
        <v>2991198906.6999998</v>
      </c>
      <c r="AI19" s="44">
        <f t="shared" si="19"/>
        <v>1876184449.5500002</v>
      </c>
      <c r="AJ19" s="44">
        <f t="shared" si="19"/>
        <v>2669569964.8100004</v>
      </c>
      <c r="AK19" s="44">
        <f t="shared" si="19"/>
        <v>18649011</v>
      </c>
      <c r="AL19" s="44">
        <f>AL20+AL22+AL24</f>
        <v>26535152.049999997</v>
      </c>
      <c r="AM19" s="45">
        <f t="shared" si="19"/>
        <v>1832106</v>
      </c>
      <c r="AN19" s="45">
        <f>AN20+AN22+AN24</f>
        <v>10930</v>
      </c>
      <c r="AO19" s="46">
        <f t="shared" si="5"/>
        <v>5.9658120217934985E-3</v>
      </c>
      <c r="AP19" s="47">
        <f>AP20+AP22+AP24</f>
        <v>5690835.9900000002</v>
      </c>
      <c r="AQ19" s="48">
        <f>AQ20+AQ22+AQ24</f>
        <v>8097330.1099999994</v>
      </c>
      <c r="AR19" s="49">
        <f t="shared" si="1"/>
        <v>3.0331964383165729E-3</v>
      </c>
      <c r="AS19" s="50">
        <f>AS20+AS22+AS24</f>
        <v>5690835.9900000002</v>
      </c>
      <c r="AT19" s="51">
        <f>AT20+AT22+AT24</f>
        <v>7784676.8100000005</v>
      </c>
      <c r="AU19" s="47">
        <f>AU20+AU22+AU24</f>
        <v>3259510</v>
      </c>
      <c r="AV19" s="47">
        <f>AV20+AV22+AV24</f>
        <v>4637864.8900000006</v>
      </c>
      <c r="AW19" s="46">
        <f t="shared" si="2"/>
        <v>0.57276470552439873</v>
      </c>
      <c r="AX19" s="52">
        <f>AX20+AX22+AX24</f>
        <v>9150</v>
      </c>
      <c r="AY19" s="50">
        <f>AY20+AY22+AY24</f>
        <v>2360505</v>
      </c>
      <c r="AZ19" s="53">
        <v>2360505</v>
      </c>
      <c r="BA19" s="54">
        <f>BA20+BA22+BA24</f>
        <v>15</v>
      </c>
    </row>
    <row r="20" spans="1:53" ht="31.5" x14ac:dyDescent="0.25">
      <c r="A20" s="105" t="s">
        <v>51</v>
      </c>
      <c r="B20" s="133" t="s">
        <v>52</v>
      </c>
      <c r="C20" s="134">
        <v>67977068</v>
      </c>
      <c r="D20" s="135">
        <v>159296</v>
      </c>
      <c r="E20" s="106">
        <v>55</v>
      </c>
      <c r="F20" s="107">
        <v>30986.720000000001</v>
      </c>
      <c r="G20" s="108">
        <v>122282348</v>
      </c>
      <c r="H20" s="111">
        <v>253003</v>
      </c>
      <c r="I20" s="106">
        <v>755</v>
      </c>
      <c r="J20" s="107">
        <v>44395</v>
      </c>
      <c r="K20" s="108">
        <v>140234477.33000001</v>
      </c>
      <c r="L20" s="111">
        <v>215734</v>
      </c>
      <c r="M20" s="111">
        <v>1059</v>
      </c>
      <c r="N20" s="109">
        <v>198607.76</v>
      </c>
      <c r="O20" s="108">
        <v>148578361.69999999</v>
      </c>
      <c r="P20" s="111">
        <v>285042</v>
      </c>
      <c r="Q20" s="111">
        <v>817</v>
      </c>
      <c r="R20" s="107">
        <v>152169.78</v>
      </c>
      <c r="S20" s="110">
        <v>150157442.90000001</v>
      </c>
      <c r="T20" s="111">
        <v>180817</v>
      </c>
      <c r="U20" s="111">
        <v>752</v>
      </c>
      <c r="V20" s="109">
        <v>253674.49</v>
      </c>
      <c r="W20" s="108">
        <v>158306777</v>
      </c>
      <c r="X20" s="111">
        <v>202146</v>
      </c>
      <c r="Y20" s="111">
        <v>1185</v>
      </c>
      <c r="Z20" s="109">
        <v>444446.01</v>
      </c>
      <c r="AA20" s="108">
        <v>160066728.19</v>
      </c>
      <c r="AB20" s="112">
        <v>227754435.36000001</v>
      </c>
      <c r="AC20" s="111">
        <v>171212</v>
      </c>
      <c r="AD20" s="111">
        <v>1202</v>
      </c>
      <c r="AE20" s="112">
        <v>271563</v>
      </c>
      <c r="AF20" s="107">
        <v>386399.34</v>
      </c>
      <c r="AG20" s="110">
        <v>1013030987</v>
      </c>
      <c r="AH20" s="110">
        <v>1441413234.7</v>
      </c>
      <c r="AI20" s="112">
        <v>947603203.12000012</v>
      </c>
      <c r="AJ20" s="112">
        <v>1348317885.3800001</v>
      </c>
      <c r="AK20" s="112">
        <v>5844034</v>
      </c>
      <c r="AL20" s="112">
        <v>8315311.2400000002</v>
      </c>
      <c r="AM20" s="83">
        <v>1467250</v>
      </c>
      <c r="AN20" s="83">
        <v>5688</v>
      </c>
      <c r="AO20" s="87">
        <f t="shared" si="5"/>
        <v>3.8766399727381156E-3</v>
      </c>
      <c r="AP20" s="88">
        <v>1373593</v>
      </c>
      <c r="AQ20" s="89">
        <v>1954446.76</v>
      </c>
      <c r="AR20" s="90">
        <f t="shared" si="1"/>
        <v>1.449544488112135E-3</v>
      </c>
      <c r="AS20" s="91">
        <v>1373593</v>
      </c>
      <c r="AT20" s="82">
        <v>1954446.76</v>
      </c>
      <c r="AU20" s="88">
        <v>1077321</v>
      </c>
      <c r="AV20" s="88">
        <v>1532889.68</v>
      </c>
      <c r="AW20" s="87">
        <f t="shared" si="2"/>
        <v>0.78430874356523361</v>
      </c>
      <c r="AX20" s="92">
        <v>4667</v>
      </c>
      <c r="AY20" s="91">
        <v>0</v>
      </c>
      <c r="AZ20" s="93">
        <v>0</v>
      </c>
      <c r="BA20" s="94">
        <v>0</v>
      </c>
    </row>
    <row r="21" spans="1:53" x14ac:dyDescent="0.25">
      <c r="A21" s="105" t="s">
        <v>53</v>
      </c>
      <c r="B21" s="133" t="s">
        <v>54</v>
      </c>
      <c r="C21" s="134" t="s">
        <v>55</v>
      </c>
      <c r="D21" s="135" t="s">
        <v>55</v>
      </c>
      <c r="E21" s="106" t="s">
        <v>55</v>
      </c>
      <c r="F21" s="107" t="s">
        <v>55</v>
      </c>
      <c r="G21" s="108" t="s">
        <v>55</v>
      </c>
      <c r="H21" s="111" t="s">
        <v>55</v>
      </c>
      <c r="I21" s="106" t="s">
        <v>55</v>
      </c>
      <c r="J21" s="107" t="s">
        <v>55</v>
      </c>
      <c r="K21" s="108">
        <v>1226140.67</v>
      </c>
      <c r="L21" s="111">
        <v>28</v>
      </c>
      <c r="M21" s="111" t="s">
        <v>55</v>
      </c>
      <c r="N21" s="109" t="s">
        <v>55</v>
      </c>
      <c r="O21" s="108">
        <v>500803.3</v>
      </c>
      <c r="P21" s="111">
        <v>24</v>
      </c>
      <c r="Q21" s="111" t="s">
        <v>55</v>
      </c>
      <c r="R21" s="107" t="s">
        <v>55</v>
      </c>
      <c r="S21" s="110">
        <v>447994.1</v>
      </c>
      <c r="T21" s="111">
        <v>4</v>
      </c>
      <c r="U21" s="111">
        <v>0</v>
      </c>
      <c r="V21" s="109">
        <v>0</v>
      </c>
      <c r="W21" s="108">
        <v>7531551</v>
      </c>
      <c r="X21" s="111">
        <v>10</v>
      </c>
      <c r="Y21" s="111">
        <v>0</v>
      </c>
      <c r="Z21" s="109">
        <v>0</v>
      </c>
      <c r="AA21" s="108">
        <v>2838743.71</v>
      </c>
      <c r="AB21" s="112">
        <v>4039168.4</v>
      </c>
      <c r="AC21" s="111">
        <v>12</v>
      </c>
      <c r="AD21" s="111">
        <v>0</v>
      </c>
      <c r="AE21" s="112">
        <v>0</v>
      </c>
      <c r="AF21" s="107">
        <v>0</v>
      </c>
      <c r="AG21" s="110" t="s">
        <v>56</v>
      </c>
      <c r="AH21" s="110" t="s">
        <v>56</v>
      </c>
      <c r="AI21" s="112">
        <v>12545232.780000001</v>
      </c>
      <c r="AJ21" s="112">
        <v>17850258.079999998</v>
      </c>
      <c r="AK21" s="112">
        <v>0</v>
      </c>
      <c r="AL21" s="112">
        <v>0</v>
      </c>
      <c r="AM21" s="83">
        <v>78</v>
      </c>
      <c r="AN21" s="83">
        <v>0</v>
      </c>
      <c r="AO21" s="87">
        <v>0</v>
      </c>
      <c r="AP21" s="88">
        <v>0</v>
      </c>
      <c r="AQ21" s="89">
        <v>0</v>
      </c>
      <c r="AR21" s="90">
        <v>0</v>
      </c>
      <c r="AS21" s="91">
        <v>0</v>
      </c>
      <c r="AT21" s="82">
        <v>0</v>
      </c>
      <c r="AU21" s="88">
        <v>0</v>
      </c>
      <c r="AV21" s="88">
        <v>0</v>
      </c>
      <c r="AW21" s="87"/>
      <c r="AX21" s="92">
        <v>0</v>
      </c>
      <c r="AY21" s="91">
        <v>0</v>
      </c>
      <c r="AZ21" s="93">
        <v>0</v>
      </c>
      <c r="BA21" s="94">
        <v>0</v>
      </c>
    </row>
    <row r="22" spans="1:53" ht="31.5" x14ac:dyDescent="0.25">
      <c r="A22" s="105" t="s">
        <v>57</v>
      </c>
      <c r="B22" s="133" t="s">
        <v>58</v>
      </c>
      <c r="C22" s="134">
        <v>0</v>
      </c>
      <c r="D22" s="135">
        <v>0</v>
      </c>
      <c r="E22" s="106">
        <v>0</v>
      </c>
      <c r="F22" s="107">
        <v>0</v>
      </c>
      <c r="G22" s="108">
        <v>64449967</v>
      </c>
      <c r="H22" s="111">
        <v>58492</v>
      </c>
      <c r="I22" s="106">
        <v>123</v>
      </c>
      <c r="J22" s="107">
        <v>1511.48</v>
      </c>
      <c r="K22" s="108">
        <v>98528265</v>
      </c>
      <c r="L22" s="111">
        <v>64713</v>
      </c>
      <c r="M22" s="111">
        <v>464</v>
      </c>
      <c r="N22" s="109">
        <v>333569.37</v>
      </c>
      <c r="O22" s="108">
        <v>155267028</v>
      </c>
      <c r="P22" s="111">
        <v>78323</v>
      </c>
      <c r="Q22" s="111">
        <v>1432</v>
      </c>
      <c r="R22" s="107">
        <v>389717.98</v>
      </c>
      <c r="S22" s="110">
        <v>159043149</v>
      </c>
      <c r="T22" s="111">
        <v>50145</v>
      </c>
      <c r="U22" s="111">
        <v>1004</v>
      </c>
      <c r="V22" s="109">
        <v>688013.65</v>
      </c>
      <c r="W22" s="108">
        <v>199463371</v>
      </c>
      <c r="X22" s="111">
        <v>56508</v>
      </c>
      <c r="Y22" s="111">
        <v>1205</v>
      </c>
      <c r="Z22" s="109">
        <v>1017391.2699999999</v>
      </c>
      <c r="AA22" s="108">
        <v>160913240.84999999</v>
      </c>
      <c r="AB22" s="112">
        <v>228958914.36000001</v>
      </c>
      <c r="AC22" s="111">
        <v>54922</v>
      </c>
      <c r="AD22" s="111">
        <v>992</v>
      </c>
      <c r="AE22" s="112">
        <v>1274549</v>
      </c>
      <c r="AF22" s="107">
        <v>1813519.84</v>
      </c>
      <c r="AG22" s="110">
        <v>972046985</v>
      </c>
      <c r="AH22" s="110">
        <v>1383098253</v>
      </c>
      <c r="AI22" s="112">
        <v>837665020.85000002</v>
      </c>
      <c r="AJ22" s="112">
        <v>1191889944.9200001</v>
      </c>
      <c r="AK22" s="112">
        <v>11992412</v>
      </c>
      <c r="AL22" s="112">
        <v>17063664.98</v>
      </c>
      <c r="AM22" s="83">
        <v>363103</v>
      </c>
      <c r="AN22" s="83">
        <v>5220</v>
      </c>
      <c r="AO22" s="87">
        <f t="shared" ref="AO22:AO35" si="20">AN22/AM22</f>
        <v>1.437608612432285E-2</v>
      </c>
      <c r="AP22" s="88">
        <v>3751767.32</v>
      </c>
      <c r="AQ22" s="89">
        <v>5338283.96</v>
      </c>
      <c r="AR22" s="90">
        <f>AP22/AI22</f>
        <v>4.4788396633692381E-3</v>
      </c>
      <c r="AS22" s="91">
        <f>3704753+47014.32</f>
        <v>3751767.32</v>
      </c>
      <c r="AT22" s="82">
        <v>5271388.6100000003</v>
      </c>
      <c r="AU22" s="88">
        <v>2018093</v>
      </c>
      <c r="AV22" s="88">
        <v>2871487.64</v>
      </c>
      <c r="AW22" s="87">
        <f>AU22/AP22</f>
        <v>0.53790462677200357</v>
      </c>
      <c r="AX22" s="92">
        <v>4465</v>
      </c>
      <c r="AY22" s="91">
        <v>2349214</v>
      </c>
      <c r="AZ22" s="93">
        <v>3342630.38</v>
      </c>
      <c r="BA22" s="94">
        <v>14</v>
      </c>
    </row>
    <row r="23" spans="1:53" x14ac:dyDescent="0.25">
      <c r="A23" s="105" t="s">
        <v>59</v>
      </c>
      <c r="B23" s="136" t="s">
        <v>60</v>
      </c>
      <c r="C23" s="134">
        <v>0</v>
      </c>
      <c r="D23" s="135">
        <v>0</v>
      </c>
      <c r="E23" s="106">
        <v>0</v>
      </c>
      <c r="F23" s="107">
        <v>0</v>
      </c>
      <c r="G23" s="108">
        <v>0</v>
      </c>
      <c r="H23" s="111">
        <v>0</v>
      </c>
      <c r="I23" s="106">
        <v>0</v>
      </c>
      <c r="J23" s="107">
        <v>0</v>
      </c>
      <c r="K23" s="108">
        <v>9146330.8900000006</v>
      </c>
      <c r="L23" s="111">
        <v>646</v>
      </c>
      <c r="M23" s="111">
        <v>7</v>
      </c>
      <c r="N23" s="109">
        <v>160832.67000000001</v>
      </c>
      <c r="O23" s="108">
        <v>8575325.3900000006</v>
      </c>
      <c r="P23" s="111">
        <v>918</v>
      </c>
      <c r="Q23" s="111">
        <v>47</v>
      </c>
      <c r="R23" s="107">
        <v>456512.92</v>
      </c>
      <c r="S23" s="110">
        <v>11381733.960000001</v>
      </c>
      <c r="T23" s="111">
        <v>1101</v>
      </c>
      <c r="U23" s="111">
        <v>81</v>
      </c>
      <c r="V23" s="109">
        <v>667938.99</v>
      </c>
      <c r="W23" s="108">
        <v>15152085</v>
      </c>
      <c r="X23" s="111">
        <v>1103</v>
      </c>
      <c r="Y23" s="111">
        <v>32</v>
      </c>
      <c r="Z23" s="109">
        <v>88081.1</v>
      </c>
      <c r="AA23" s="108">
        <v>4033792.29</v>
      </c>
      <c r="AB23" s="112">
        <v>5739569.3399999999</v>
      </c>
      <c r="AC23" s="111">
        <v>729</v>
      </c>
      <c r="AD23" s="111">
        <v>44</v>
      </c>
      <c r="AE23" s="112">
        <v>80036</v>
      </c>
      <c r="AF23" s="107">
        <v>113880.97</v>
      </c>
      <c r="AG23" s="110" t="s">
        <v>56</v>
      </c>
      <c r="AH23" s="110" t="s">
        <v>56</v>
      </c>
      <c r="AI23" s="112">
        <v>48289267.530000001</v>
      </c>
      <c r="AJ23" s="112">
        <v>68709437.519999996</v>
      </c>
      <c r="AK23" s="112">
        <v>2171687</v>
      </c>
      <c r="AL23" s="112">
        <v>3090032.21</v>
      </c>
      <c r="AM23" s="83">
        <v>4497</v>
      </c>
      <c r="AN23" s="83">
        <v>210</v>
      </c>
      <c r="AO23" s="87">
        <f t="shared" si="20"/>
        <v>4.6697798532354902E-2</v>
      </c>
      <c r="AP23" s="88">
        <v>1441447</v>
      </c>
      <c r="AQ23" s="137">
        <v>2050994.3</v>
      </c>
      <c r="AR23" s="138">
        <v>4.0853710519465597E-2</v>
      </c>
      <c r="AS23" s="91">
        <v>1441447</v>
      </c>
      <c r="AT23" s="82">
        <v>2050994.3</v>
      </c>
      <c r="AU23" s="88">
        <v>1318347</v>
      </c>
      <c r="AV23" s="88">
        <v>1875838.78</v>
      </c>
      <c r="AW23" s="87">
        <f>AU23/AP23</f>
        <v>0.91459970432489024</v>
      </c>
      <c r="AX23" s="92">
        <v>180</v>
      </c>
      <c r="AY23" s="91">
        <v>0</v>
      </c>
      <c r="AZ23" s="93">
        <v>0</v>
      </c>
      <c r="BA23" s="94">
        <v>0</v>
      </c>
    </row>
    <row r="24" spans="1:53" x14ac:dyDescent="0.25">
      <c r="A24" s="105" t="s">
        <v>61</v>
      </c>
      <c r="B24" s="133" t="s">
        <v>62</v>
      </c>
      <c r="C24" s="134">
        <v>0</v>
      </c>
      <c r="D24" s="135">
        <v>0</v>
      </c>
      <c r="E24" s="106">
        <v>0</v>
      </c>
      <c r="F24" s="107">
        <v>0</v>
      </c>
      <c r="G24" s="108">
        <v>216178</v>
      </c>
      <c r="H24" s="111">
        <v>79</v>
      </c>
      <c r="I24" s="106">
        <v>0</v>
      </c>
      <c r="J24" s="107">
        <v>0</v>
      </c>
      <c r="K24" s="108">
        <v>13760118</v>
      </c>
      <c r="L24" s="111">
        <v>350</v>
      </c>
      <c r="M24" s="111">
        <v>2</v>
      </c>
      <c r="N24" s="109">
        <v>8727.42</v>
      </c>
      <c r="O24" s="108">
        <v>18217815</v>
      </c>
      <c r="P24" s="111">
        <v>282</v>
      </c>
      <c r="Q24" s="111">
        <v>3</v>
      </c>
      <c r="R24" s="107">
        <v>12119.66</v>
      </c>
      <c r="S24" s="110">
        <v>19919166</v>
      </c>
      <c r="T24" s="111">
        <v>434</v>
      </c>
      <c r="U24" s="111">
        <v>5</v>
      </c>
      <c r="V24" s="109">
        <v>39790.36</v>
      </c>
      <c r="W24" s="108">
        <v>23022839</v>
      </c>
      <c r="X24" s="111">
        <v>334</v>
      </c>
      <c r="Y24" s="111">
        <v>5</v>
      </c>
      <c r="Z24" s="109">
        <v>23155.51</v>
      </c>
      <c r="AA24" s="108">
        <v>15780109.580000002</v>
      </c>
      <c r="AB24" s="112">
        <v>22453073.09</v>
      </c>
      <c r="AC24" s="111">
        <v>274</v>
      </c>
      <c r="AD24" s="111">
        <v>7</v>
      </c>
      <c r="AE24" s="112">
        <v>308968</v>
      </c>
      <c r="AF24" s="107">
        <v>439621.86</v>
      </c>
      <c r="AG24" s="110">
        <v>117148585</v>
      </c>
      <c r="AH24" s="110">
        <v>166687419</v>
      </c>
      <c r="AI24" s="112">
        <v>90916225.579999998</v>
      </c>
      <c r="AJ24" s="112">
        <v>129362134.51000001</v>
      </c>
      <c r="AK24" s="112">
        <v>812565</v>
      </c>
      <c r="AL24" s="112">
        <v>1156175.83</v>
      </c>
      <c r="AM24" s="83">
        <v>1753</v>
      </c>
      <c r="AN24" s="83">
        <v>22</v>
      </c>
      <c r="AO24" s="87">
        <f t="shared" si="20"/>
        <v>1.2549914432401598E-2</v>
      </c>
      <c r="AP24" s="88">
        <v>565475.67000000004</v>
      </c>
      <c r="AQ24" s="89">
        <v>804599.39</v>
      </c>
      <c r="AR24" s="90">
        <f>AP24/AI24</f>
        <v>6.2197442358891209E-3</v>
      </c>
      <c r="AS24" s="91">
        <f>392756+172719.67</f>
        <v>565475.67000000004</v>
      </c>
      <c r="AT24" s="82">
        <v>558841.43999999994</v>
      </c>
      <c r="AU24" s="88">
        <v>164096</v>
      </c>
      <c r="AV24" s="88">
        <v>233487.57</v>
      </c>
      <c r="AW24" s="87">
        <f>AU24/AP24</f>
        <v>0.29019108815061839</v>
      </c>
      <c r="AX24" s="92">
        <v>18</v>
      </c>
      <c r="AY24" s="91">
        <v>11291</v>
      </c>
      <c r="AZ24" s="93">
        <v>16065.65</v>
      </c>
      <c r="BA24" s="94">
        <v>1</v>
      </c>
    </row>
    <row r="25" spans="1:53" x14ac:dyDescent="0.25">
      <c r="A25" s="105" t="s">
        <v>63</v>
      </c>
      <c r="B25" s="133" t="s">
        <v>64</v>
      </c>
      <c r="C25" s="134">
        <v>0</v>
      </c>
      <c r="D25" s="135">
        <v>0</v>
      </c>
      <c r="E25" s="106">
        <v>0</v>
      </c>
      <c r="F25" s="107">
        <v>0</v>
      </c>
      <c r="G25" s="108">
        <v>0</v>
      </c>
      <c r="H25" s="111">
        <v>0</v>
      </c>
      <c r="I25" s="106">
        <v>0</v>
      </c>
      <c r="J25" s="107">
        <v>0</v>
      </c>
      <c r="K25" s="108">
        <v>0</v>
      </c>
      <c r="L25" s="111">
        <v>0</v>
      </c>
      <c r="M25" s="111">
        <v>0</v>
      </c>
      <c r="N25" s="109">
        <v>0</v>
      </c>
      <c r="O25" s="108">
        <v>241503.79</v>
      </c>
      <c r="P25" s="111">
        <v>40</v>
      </c>
      <c r="Q25" s="111">
        <v>0</v>
      </c>
      <c r="R25" s="107">
        <v>0</v>
      </c>
      <c r="S25" s="110">
        <v>1119497.32</v>
      </c>
      <c r="T25" s="111">
        <v>131</v>
      </c>
      <c r="U25" s="111">
        <v>3</v>
      </c>
      <c r="V25" s="109">
        <v>98.33</v>
      </c>
      <c r="W25" s="108">
        <v>1294052</v>
      </c>
      <c r="X25" s="111">
        <v>152</v>
      </c>
      <c r="Y25" s="111">
        <v>3</v>
      </c>
      <c r="Z25" s="109">
        <v>20694.61</v>
      </c>
      <c r="AA25" s="108">
        <v>1544457.11</v>
      </c>
      <c r="AB25" s="112">
        <v>2197564.48</v>
      </c>
      <c r="AC25" s="111">
        <v>140</v>
      </c>
      <c r="AD25" s="111">
        <v>11</v>
      </c>
      <c r="AE25" s="112">
        <v>7166</v>
      </c>
      <c r="AF25" s="107">
        <v>10196.299999999999</v>
      </c>
      <c r="AG25" s="110" t="s">
        <v>56</v>
      </c>
      <c r="AH25" s="110" t="s">
        <v>56</v>
      </c>
      <c r="AI25" s="112">
        <v>4199510.2200000007</v>
      </c>
      <c r="AJ25" s="112">
        <v>5975364.71</v>
      </c>
      <c r="AK25" s="112">
        <v>159826</v>
      </c>
      <c r="AL25" s="112">
        <v>227411.91</v>
      </c>
      <c r="AM25" s="83">
        <v>463</v>
      </c>
      <c r="AN25" s="83">
        <v>17</v>
      </c>
      <c r="AO25" s="87">
        <f t="shared" si="20"/>
        <v>3.6717062634989202E-2</v>
      </c>
      <c r="AP25" s="88">
        <v>27859</v>
      </c>
      <c r="AQ25" s="89">
        <v>39639.79</v>
      </c>
      <c r="AR25" s="90">
        <f>AP25/AI25</f>
        <v>6.633868841971766E-3</v>
      </c>
      <c r="AS25" s="91">
        <v>27859</v>
      </c>
      <c r="AT25" s="82">
        <v>39639.79</v>
      </c>
      <c r="AU25" s="88">
        <v>867</v>
      </c>
      <c r="AV25" s="88">
        <v>1233.6300000000001</v>
      </c>
      <c r="AW25" s="87">
        <f>AU25/AP25</f>
        <v>3.1121002189597617E-2</v>
      </c>
      <c r="AX25" s="92">
        <v>11</v>
      </c>
      <c r="AY25" s="91">
        <v>0</v>
      </c>
      <c r="AZ25" s="93">
        <v>0</v>
      </c>
      <c r="BA25" s="94">
        <v>0</v>
      </c>
    </row>
    <row r="26" spans="1:53" ht="47.25" x14ac:dyDescent="0.25">
      <c r="A26" s="36" t="s">
        <v>65</v>
      </c>
      <c r="B26" s="139" t="s">
        <v>66</v>
      </c>
      <c r="C26" s="38">
        <f>SUM(C27:C33)</f>
        <v>0</v>
      </c>
      <c r="D26" s="43">
        <f>SUM(D27:D33)</f>
        <v>0</v>
      </c>
      <c r="E26" s="39">
        <f>SUM(E27:E33)</f>
        <v>0</v>
      </c>
      <c r="F26" s="40">
        <f>SUM(E27:E33)</f>
        <v>0</v>
      </c>
      <c r="G26" s="38">
        <f t="shared" ref="G26:AN26" si="21">SUM(G27:G33)</f>
        <v>0</v>
      </c>
      <c r="H26" s="39">
        <f t="shared" si="21"/>
        <v>50</v>
      </c>
      <c r="I26" s="39">
        <f t="shared" si="21"/>
        <v>0</v>
      </c>
      <c r="J26" s="40">
        <f t="shared" si="21"/>
        <v>0</v>
      </c>
      <c r="K26" s="38">
        <f t="shared" si="21"/>
        <v>1146755.25</v>
      </c>
      <c r="L26" s="39">
        <f t="shared" si="21"/>
        <v>81</v>
      </c>
      <c r="M26" s="39">
        <f t="shared" si="21"/>
        <v>0</v>
      </c>
      <c r="N26" s="41">
        <f t="shared" si="21"/>
        <v>0</v>
      </c>
      <c r="O26" s="38">
        <f t="shared" si="21"/>
        <v>9088423.9200000018</v>
      </c>
      <c r="P26" s="39">
        <f t="shared" si="21"/>
        <v>74</v>
      </c>
      <c r="Q26" s="39">
        <f t="shared" si="21"/>
        <v>0</v>
      </c>
      <c r="R26" s="40">
        <f t="shared" si="21"/>
        <v>0</v>
      </c>
      <c r="S26" s="42">
        <f t="shared" si="21"/>
        <v>11846232.059999999</v>
      </c>
      <c r="T26" s="43">
        <f t="shared" si="21"/>
        <v>117</v>
      </c>
      <c r="U26" s="43">
        <f t="shared" si="21"/>
        <v>1</v>
      </c>
      <c r="V26" s="41">
        <f t="shared" si="21"/>
        <v>1034</v>
      </c>
      <c r="W26" s="38">
        <f t="shared" si="21"/>
        <v>16655874.369999999</v>
      </c>
      <c r="X26" s="43">
        <f t="shared" si="21"/>
        <v>53</v>
      </c>
      <c r="Y26" s="43">
        <f t="shared" si="21"/>
        <v>3</v>
      </c>
      <c r="Z26" s="41">
        <f t="shared" si="21"/>
        <v>2110.1200000000003</v>
      </c>
      <c r="AA26" s="38">
        <f t="shared" si="21"/>
        <v>14137148.830000002</v>
      </c>
      <c r="AB26" s="44">
        <f t="shared" si="21"/>
        <v>20115350.560000002</v>
      </c>
      <c r="AC26" s="43">
        <f t="shared" si="21"/>
        <v>17</v>
      </c>
      <c r="AD26" s="43">
        <f t="shared" si="21"/>
        <v>8</v>
      </c>
      <c r="AE26" s="44">
        <f t="shared" si="21"/>
        <v>26979.7</v>
      </c>
      <c r="AF26" s="40">
        <f t="shared" si="21"/>
        <v>38388.659999999996</v>
      </c>
      <c r="AG26" s="42">
        <f t="shared" si="21"/>
        <v>66566289.013669915</v>
      </c>
      <c r="AH26" s="42">
        <f>SUM(AH27:AH33)</f>
        <v>94715296.175989211</v>
      </c>
      <c r="AI26" s="44">
        <f t="shared" si="21"/>
        <v>52783768.239999995</v>
      </c>
      <c r="AJ26" s="44">
        <f t="shared" si="21"/>
        <v>75104535.887672797</v>
      </c>
      <c r="AK26" s="44">
        <f t="shared" si="21"/>
        <v>959028.24822503992</v>
      </c>
      <c r="AL26" s="44">
        <f>SUM(AL27:AL33)</f>
        <v>1364574.26</v>
      </c>
      <c r="AM26" s="45">
        <f t="shared" si="21"/>
        <v>346</v>
      </c>
      <c r="AN26" s="45">
        <f t="shared" si="21"/>
        <v>8</v>
      </c>
      <c r="AO26" s="46">
        <f t="shared" si="20"/>
        <v>2.3121387283236993E-2</v>
      </c>
      <c r="AP26" s="47">
        <f>SUM(AP27:AP33)</f>
        <v>26979.703802640001</v>
      </c>
      <c r="AQ26" s="48">
        <f>SUM(AQ27:AQ33)</f>
        <v>38388.659999999996</v>
      </c>
      <c r="AR26" s="49">
        <f>AP26/AI26</f>
        <v>5.111363720749772E-4</v>
      </c>
      <c r="AS26" s="50">
        <f>SUM(AS27:AS33)</f>
        <v>26979.702777760001</v>
      </c>
      <c r="AT26" s="51">
        <f>SUM(AT27:AT33)</f>
        <v>686.43999999999994</v>
      </c>
      <c r="AU26" s="47">
        <f>SUM(AU27:AU33)</f>
        <v>26857.704056279999</v>
      </c>
      <c r="AV26" s="47">
        <f>SUM(AV27:AV33)</f>
        <v>38215.07</v>
      </c>
      <c r="AW26" s="46">
        <f>AU26/AP26</f>
        <v>0.99547809170729062</v>
      </c>
      <c r="AX26" s="52">
        <f>SUM(AX27:AX33)</f>
        <v>6</v>
      </c>
      <c r="AY26" s="50"/>
      <c r="AZ26" s="53"/>
      <c r="BA26" s="54"/>
    </row>
    <row r="27" spans="1:53" ht="31.5" x14ac:dyDescent="0.25">
      <c r="A27" s="105" t="s">
        <v>67</v>
      </c>
      <c r="B27" s="140" t="s">
        <v>68</v>
      </c>
      <c r="C27" s="141"/>
      <c r="D27" s="142"/>
      <c r="E27" s="106"/>
      <c r="F27" s="107"/>
      <c r="G27" s="108"/>
      <c r="H27" s="106">
        <v>18</v>
      </c>
      <c r="I27" s="106"/>
      <c r="J27" s="107"/>
      <c r="K27" s="108">
        <v>217281.74</v>
      </c>
      <c r="L27" s="106">
        <v>25</v>
      </c>
      <c r="M27" s="106"/>
      <c r="N27" s="109"/>
      <c r="O27" s="108">
        <v>5031631.5</v>
      </c>
      <c r="P27" s="143">
        <v>30</v>
      </c>
      <c r="Q27" s="106"/>
      <c r="R27" s="107"/>
      <c r="S27" s="110">
        <v>6069319.7000000002</v>
      </c>
      <c r="T27" s="106">
        <v>42</v>
      </c>
      <c r="U27" s="111"/>
      <c r="V27" s="109"/>
      <c r="W27" s="108">
        <v>5568676.8899999997</v>
      </c>
      <c r="X27" s="111">
        <v>44</v>
      </c>
      <c r="Y27" s="111">
        <v>2</v>
      </c>
      <c r="Z27" s="109">
        <v>2107.59</v>
      </c>
      <c r="AA27" s="108">
        <v>5395533.1299999999</v>
      </c>
      <c r="AB27" s="112">
        <v>7677152</v>
      </c>
      <c r="AC27" s="111">
        <v>7</v>
      </c>
      <c r="AD27" s="111">
        <v>0</v>
      </c>
      <c r="AE27" s="112"/>
      <c r="AF27" s="107"/>
      <c r="AG27" s="110">
        <v>28341450.84</v>
      </c>
      <c r="AH27" s="110">
        <v>40326251.472672328</v>
      </c>
      <c r="AI27" s="112">
        <v>22262442.43</v>
      </c>
      <c r="AJ27" s="112">
        <v>31676601.769483384</v>
      </c>
      <c r="AK27" s="112"/>
      <c r="AL27" s="112"/>
      <c r="AM27" s="83">
        <v>126</v>
      </c>
      <c r="AN27" s="83">
        <v>0</v>
      </c>
      <c r="AO27" s="87">
        <f t="shared" si="20"/>
        <v>0</v>
      </c>
      <c r="AP27" s="88"/>
      <c r="AQ27" s="89"/>
      <c r="AR27" s="90">
        <f>AP27/AI27</f>
        <v>0</v>
      </c>
      <c r="AS27" s="91"/>
      <c r="AT27" s="82"/>
      <c r="AU27" s="88"/>
      <c r="AV27" s="88"/>
      <c r="AW27" s="87"/>
      <c r="AX27" s="92"/>
      <c r="AY27" s="91"/>
      <c r="AZ27" s="93"/>
      <c r="BA27" s="94"/>
    </row>
    <row r="28" spans="1:53" ht="31.5" x14ac:dyDescent="0.25">
      <c r="A28" s="105" t="s">
        <v>69</v>
      </c>
      <c r="B28" s="140" t="s">
        <v>70</v>
      </c>
      <c r="C28" s="141"/>
      <c r="D28" s="142"/>
      <c r="E28" s="106"/>
      <c r="F28" s="107"/>
      <c r="G28" s="108"/>
      <c r="H28" s="106">
        <v>8</v>
      </c>
      <c r="I28" s="106"/>
      <c r="J28" s="107"/>
      <c r="K28" s="108">
        <v>498726.23</v>
      </c>
      <c r="L28" s="106">
        <v>20</v>
      </c>
      <c r="M28" s="106"/>
      <c r="N28" s="109"/>
      <c r="O28" s="108">
        <v>2230814.1</v>
      </c>
      <c r="P28" s="143">
        <v>9</v>
      </c>
      <c r="Q28" s="106"/>
      <c r="R28" s="107"/>
      <c r="S28" s="110">
        <v>2393935.6</v>
      </c>
      <c r="T28" s="106">
        <v>20</v>
      </c>
      <c r="U28" s="111"/>
      <c r="V28" s="109"/>
      <c r="W28" s="108">
        <v>5014474.62</v>
      </c>
      <c r="X28" s="111">
        <v>6</v>
      </c>
      <c r="Y28" s="111"/>
      <c r="Z28" s="109"/>
      <c r="AA28" s="108">
        <v>2366218.7799999998</v>
      </c>
      <c r="AB28" s="112">
        <v>3366826</v>
      </c>
      <c r="AC28" s="111">
        <v>3</v>
      </c>
      <c r="AD28" s="111">
        <v>4</v>
      </c>
      <c r="AE28" s="112">
        <v>26497.27</v>
      </c>
      <c r="AF28" s="107">
        <v>37702.22</v>
      </c>
      <c r="AG28" s="110">
        <v>13633054.878901919</v>
      </c>
      <c r="AH28" s="110">
        <v>19398089.48</v>
      </c>
      <c r="AI28" s="112">
        <v>12504169.33</v>
      </c>
      <c r="AJ28" s="112">
        <v>17791830.055036683</v>
      </c>
      <c r="AK28" s="112">
        <v>434641.01641379995</v>
      </c>
      <c r="AL28" s="112">
        <v>618438.44999999995</v>
      </c>
      <c r="AM28" s="83">
        <v>66</v>
      </c>
      <c r="AN28" s="83">
        <v>4</v>
      </c>
      <c r="AO28" s="87">
        <f t="shared" si="20"/>
        <v>6.0606060606060608E-2</v>
      </c>
      <c r="AP28" s="88">
        <f t="shared" ref="AP28" si="22">AQ28*0.702804</f>
        <v>26497.271024879999</v>
      </c>
      <c r="AQ28" s="89">
        <v>37702.22</v>
      </c>
      <c r="AR28" s="90">
        <f t="shared" ref="AR28:AR34" si="23">AP28/AI28</f>
        <v>2.1190748721954485E-3</v>
      </c>
      <c r="AS28" s="91">
        <v>26497.27</v>
      </c>
      <c r="AT28" s="82" t="s">
        <v>71</v>
      </c>
      <c r="AU28" s="88">
        <f t="shared" ref="AU28" si="24">AV28*0.702804</f>
        <v>26497.271024879999</v>
      </c>
      <c r="AV28" s="88">
        <v>37702.22</v>
      </c>
      <c r="AW28" s="87">
        <f>AU28/AP28</f>
        <v>1</v>
      </c>
      <c r="AX28" s="92">
        <v>4</v>
      </c>
      <c r="AY28" s="91"/>
      <c r="AZ28" s="93"/>
      <c r="BA28" s="94"/>
    </row>
    <row r="29" spans="1:53" ht="27.6" customHeight="1" x14ac:dyDescent="0.25">
      <c r="A29" s="105" t="s">
        <v>72</v>
      </c>
      <c r="B29" s="140" t="s">
        <v>73</v>
      </c>
      <c r="C29" s="141"/>
      <c r="D29" s="142"/>
      <c r="E29" s="106"/>
      <c r="F29" s="107"/>
      <c r="G29" s="108"/>
      <c r="H29" s="106">
        <v>0</v>
      </c>
      <c r="I29" s="106"/>
      <c r="J29" s="107"/>
      <c r="K29" s="108">
        <v>94101.05</v>
      </c>
      <c r="L29" s="106">
        <v>13</v>
      </c>
      <c r="M29" s="106"/>
      <c r="N29" s="109"/>
      <c r="O29" s="108">
        <v>657155.4</v>
      </c>
      <c r="P29" s="143">
        <v>14</v>
      </c>
      <c r="Q29" s="106"/>
      <c r="R29" s="107"/>
      <c r="S29" s="110">
        <v>1050824.7</v>
      </c>
      <c r="T29" s="106">
        <v>19</v>
      </c>
      <c r="U29" s="111"/>
      <c r="V29" s="109"/>
      <c r="W29" s="108">
        <v>2218271.4900000002</v>
      </c>
      <c r="X29" s="111">
        <v>0</v>
      </c>
      <c r="Y29" s="111"/>
      <c r="Z29" s="109"/>
      <c r="AA29" s="108">
        <v>3606712.12</v>
      </c>
      <c r="AB29" s="112">
        <v>5131889</v>
      </c>
      <c r="AC29" s="111">
        <v>0</v>
      </c>
      <c r="AD29" s="111">
        <v>1</v>
      </c>
      <c r="AE29" s="112">
        <v>313.07</v>
      </c>
      <c r="AF29" s="107">
        <v>445.46</v>
      </c>
      <c r="AG29" s="110">
        <v>9914662.6500000004</v>
      </c>
      <c r="AH29" s="110">
        <f>AG29/0.702804</f>
        <v>14107293.996619258</v>
      </c>
      <c r="AI29" s="112">
        <v>7627064.7599999998</v>
      </c>
      <c r="AJ29" s="112">
        <f>AI29/0.702804</f>
        <v>10852335.444875101</v>
      </c>
      <c r="AK29" s="112">
        <f>AL29*0.702804</f>
        <v>162571.91847599999</v>
      </c>
      <c r="AL29" s="112">
        <v>231319</v>
      </c>
      <c r="AM29" s="83">
        <v>46</v>
      </c>
      <c r="AN29" s="83">
        <v>1</v>
      </c>
      <c r="AO29" s="87">
        <f t="shared" si="20"/>
        <v>2.1739130434782608E-2</v>
      </c>
      <c r="AP29" s="88">
        <v>313.07106984000001</v>
      </c>
      <c r="AQ29" s="89">
        <v>445.46</v>
      </c>
      <c r="AR29" s="90">
        <f t="shared" si="23"/>
        <v>4.1047385815037973E-5</v>
      </c>
      <c r="AS29" s="91">
        <v>313.07106984000001</v>
      </c>
      <c r="AT29" s="82">
        <v>445.46</v>
      </c>
      <c r="AU29" s="88">
        <v>313.07106984000001</v>
      </c>
      <c r="AV29" s="88">
        <v>445.46</v>
      </c>
      <c r="AW29" s="87">
        <f>AU29/AP29</f>
        <v>1</v>
      </c>
      <c r="AX29" s="92">
        <v>1</v>
      </c>
      <c r="AY29" s="91"/>
      <c r="AZ29" s="93"/>
      <c r="BA29" s="94"/>
    </row>
    <row r="30" spans="1:53" ht="31.5" x14ac:dyDescent="0.25">
      <c r="A30" s="105" t="s">
        <v>74</v>
      </c>
      <c r="B30" s="140" t="s">
        <v>75</v>
      </c>
      <c r="C30" s="141"/>
      <c r="D30" s="142"/>
      <c r="E30" s="106"/>
      <c r="F30" s="107"/>
      <c r="G30" s="108"/>
      <c r="H30" s="106">
        <v>19</v>
      </c>
      <c r="I30" s="106"/>
      <c r="J30" s="107"/>
      <c r="K30" s="108">
        <v>260202.57</v>
      </c>
      <c r="L30" s="106">
        <v>17</v>
      </c>
      <c r="M30" s="106"/>
      <c r="N30" s="109"/>
      <c r="O30" s="108">
        <v>971324.88</v>
      </c>
      <c r="P30" s="143">
        <v>15</v>
      </c>
      <c r="Q30" s="106"/>
      <c r="R30" s="107"/>
      <c r="S30" s="110">
        <v>2013484.7</v>
      </c>
      <c r="T30" s="106">
        <v>12</v>
      </c>
      <c r="U30" s="111"/>
      <c r="V30" s="109"/>
      <c r="W30" s="108">
        <v>3252004.83</v>
      </c>
      <c r="X30" s="111">
        <v>3</v>
      </c>
      <c r="Y30" s="111">
        <v>1</v>
      </c>
      <c r="Z30" s="109">
        <v>2.5299999999999998</v>
      </c>
      <c r="AA30" s="108">
        <v>1915380.56</v>
      </c>
      <c r="AB30" s="112">
        <v>2725341</v>
      </c>
      <c r="AC30" s="111">
        <v>0</v>
      </c>
      <c r="AD30" s="111">
        <v>2</v>
      </c>
      <c r="AE30" s="112">
        <v>122</v>
      </c>
      <c r="AF30" s="107">
        <v>173.59</v>
      </c>
      <c r="AG30" s="110">
        <v>10989490</v>
      </c>
      <c r="AH30" s="110">
        <f>AG30/0.702804</f>
        <v>15636635.53423145</v>
      </c>
      <c r="AI30" s="112">
        <v>8412397.5399999991</v>
      </c>
      <c r="AJ30" s="112">
        <f t="shared" ref="AJ30:AJ32" si="25">AI30/0.702804</f>
        <v>11969763.319503019</v>
      </c>
      <c r="AK30" s="112">
        <f t="shared" ref="AK30:AK32" si="26">AL30*0.702804</f>
        <v>354978.43602323998</v>
      </c>
      <c r="AL30" s="112">
        <v>505088.81</v>
      </c>
      <c r="AM30" s="83">
        <v>66</v>
      </c>
      <c r="AN30" s="83">
        <v>2</v>
      </c>
      <c r="AO30" s="87">
        <f t="shared" si="20"/>
        <v>3.0303030303030304E-2</v>
      </c>
      <c r="AP30" s="88">
        <v>121.99974636</v>
      </c>
      <c r="AQ30" s="89">
        <v>173.59</v>
      </c>
      <c r="AR30" s="90">
        <f t="shared" si="23"/>
        <v>1.4502375307384726E-5</v>
      </c>
      <c r="AS30" s="91">
        <v>121.99974636</v>
      </c>
      <c r="AT30" s="82">
        <v>173.59</v>
      </c>
      <c r="AU30" s="88">
        <v>0</v>
      </c>
      <c r="AV30" s="88">
        <v>0</v>
      </c>
      <c r="AW30" s="87">
        <f>AU30/AP30</f>
        <v>0</v>
      </c>
      <c r="AX30" s="92">
        <v>0</v>
      </c>
      <c r="AY30" s="91"/>
      <c r="AZ30" s="93"/>
      <c r="BA30" s="94"/>
    </row>
    <row r="31" spans="1:53" ht="31.5" x14ac:dyDescent="0.25">
      <c r="A31" s="105" t="s">
        <v>76</v>
      </c>
      <c r="B31" s="140" t="s">
        <v>77</v>
      </c>
      <c r="C31" s="141"/>
      <c r="D31" s="142"/>
      <c r="E31" s="106"/>
      <c r="F31" s="107"/>
      <c r="G31" s="108"/>
      <c r="H31" s="106">
        <v>4</v>
      </c>
      <c r="I31" s="106"/>
      <c r="J31" s="107"/>
      <c r="K31" s="108">
        <v>71521.41</v>
      </c>
      <c r="L31" s="106">
        <v>6</v>
      </c>
      <c r="M31" s="106"/>
      <c r="N31" s="109"/>
      <c r="O31" s="108">
        <v>182035.56</v>
      </c>
      <c r="P31" s="143">
        <v>1</v>
      </c>
      <c r="Q31" s="106"/>
      <c r="R31" s="107"/>
      <c r="S31" s="110">
        <v>275885.59000000003</v>
      </c>
      <c r="T31" s="106">
        <v>24</v>
      </c>
      <c r="U31" s="111">
        <v>1</v>
      </c>
      <c r="V31" s="109">
        <v>1034</v>
      </c>
      <c r="W31" s="108">
        <v>520298.82</v>
      </c>
      <c r="X31" s="111">
        <v>0</v>
      </c>
      <c r="Y31" s="111"/>
      <c r="Z31" s="109"/>
      <c r="AA31" s="108">
        <v>783511.9</v>
      </c>
      <c r="AB31" s="112">
        <v>1114837</v>
      </c>
      <c r="AC31" s="111">
        <v>0</v>
      </c>
      <c r="AD31" s="111">
        <v>0</v>
      </c>
      <c r="AE31" s="112"/>
      <c r="AF31" s="107"/>
      <c r="AG31" s="110">
        <v>3470255.99</v>
      </c>
      <c r="AH31" s="110">
        <f t="shared" ref="AH31" si="27">AG31/0.702804</f>
        <v>4937729.4238507468</v>
      </c>
      <c r="AI31" s="112">
        <v>1833253.28</v>
      </c>
      <c r="AJ31" s="112">
        <f t="shared" si="25"/>
        <v>2608484.4138621865</v>
      </c>
      <c r="AK31" s="112"/>
      <c r="AL31" s="112"/>
      <c r="AM31" s="83">
        <v>35</v>
      </c>
      <c r="AN31" s="83">
        <v>0</v>
      </c>
      <c r="AO31" s="87">
        <f t="shared" si="20"/>
        <v>0</v>
      </c>
      <c r="AP31" s="88"/>
      <c r="AQ31" s="89"/>
      <c r="AR31" s="90">
        <f>AP31/AI31</f>
        <v>0</v>
      </c>
      <c r="AS31" s="91"/>
      <c r="AT31" s="82"/>
      <c r="AU31" s="88"/>
      <c r="AV31" s="88"/>
      <c r="AW31" s="87"/>
      <c r="AX31" s="92"/>
      <c r="AY31" s="91"/>
      <c r="AZ31" s="93"/>
      <c r="BA31" s="94"/>
    </row>
    <row r="32" spans="1:53" ht="31.5" x14ac:dyDescent="0.25">
      <c r="A32" s="105" t="s">
        <v>78</v>
      </c>
      <c r="B32" s="140" t="s">
        <v>79</v>
      </c>
      <c r="C32" s="141"/>
      <c r="D32" s="142"/>
      <c r="E32" s="106"/>
      <c r="F32" s="107"/>
      <c r="G32" s="108"/>
      <c r="H32" s="106">
        <v>1</v>
      </c>
      <c r="I32" s="106"/>
      <c r="J32" s="107"/>
      <c r="K32" s="108">
        <v>4922.25</v>
      </c>
      <c r="L32" s="106">
        <v>0</v>
      </c>
      <c r="M32" s="106"/>
      <c r="N32" s="109"/>
      <c r="O32" s="108">
        <v>13353.96</v>
      </c>
      <c r="P32" s="143">
        <v>2</v>
      </c>
      <c r="Q32" s="106"/>
      <c r="R32" s="107"/>
      <c r="S32" s="110">
        <v>22885.69</v>
      </c>
      <c r="T32" s="106">
        <v>0</v>
      </c>
      <c r="U32" s="111"/>
      <c r="V32" s="109"/>
      <c r="W32" s="108">
        <v>61353.61</v>
      </c>
      <c r="X32" s="111">
        <v>0</v>
      </c>
      <c r="Y32" s="111"/>
      <c r="Z32" s="109"/>
      <c r="AA32" s="108">
        <v>41925.39</v>
      </c>
      <c r="AB32" s="112">
        <v>59654.46</v>
      </c>
      <c r="AC32" s="111">
        <v>4</v>
      </c>
      <c r="AD32" s="111">
        <v>1</v>
      </c>
      <c r="AE32" s="112">
        <v>47.36</v>
      </c>
      <c r="AF32" s="107">
        <v>67.39</v>
      </c>
      <c r="AG32" s="110">
        <f>AH32*0.702804</f>
        <v>217371.65476800001</v>
      </c>
      <c r="AH32" s="110">
        <v>309292</v>
      </c>
      <c r="AI32" s="112">
        <v>144440.9</v>
      </c>
      <c r="AJ32" s="112">
        <f t="shared" si="25"/>
        <v>205520.88491243648</v>
      </c>
      <c r="AK32" s="112">
        <f t="shared" si="26"/>
        <v>6836.8773119999996</v>
      </c>
      <c r="AL32" s="112">
        <v>9728</v>
      </c>
      <c r="AM32" s="83">
        <v>7</v>
      </c>
      <c r="AN32" s="83">
        <v>1</v>
      </c>
      <c r="AO32" s="87">
        <f t="shared" si="20"/>
        <v>0.14285714285714285</v>
      </c>
      <c r="AP32" s="88">
        <v>47.361961559999997</v>
      </c>
      <c r="AQ32" s="89">
        <v>67.39</v>
      </c>
      <c r="AR32" s="90">
        <f t="shared" si="23"/>
        <v>3.278985492336312E-4</v>
      </c>
      <c r="AS32" s="91">
        <v>47.361961559999997</v>
      </c>
      <c r="AT32" s="82">
        <v>67.39</v>
      </c>
      <c r="AU32" s="88">
        <v>47.361961559999997</v>
      </c>
      <c r="AV32" s="88">
        <v>67.39</v>
      </c>
      <c r="AW32" s="87">
        <f>AU32/AP32</f>
        <v>1</v>
      </c>
      <c r="AX32" s="92">
        <v>1</v>
      </c>
      <c r="AY32" s="91"/>
      <c r="AZ32" s="93"/>
      <c r="BA32" s="94"/>
    </row>
    <row r="33" spans="1:53" x14ac:dyDescent="0.25">
      <c r="A33" s="105" t="s">
        <v>80</v>
      </c>
      <c r="B33" s="140" t="s">
        <v>81</v>
      </c>
      <c r="C33" s="141"/>
      <c r="D33" s="142"/>
      <c r="E33" s="106"/>
      <c r="F33" s="107"/>
      <c r="G33" s="108"/>
      <c r="H33" s="106">
        <v>0</v>
      </c>
      <c r="I33" s="106"/>
      <c r="J33" s="107"/>
      <c r="K33" s="108">
        <v>0</v>
      </c>
      <c r="L33" s="106">
        <v>0</v>
      </c>
      <c r="M33" s="106"/>
      <c r="N33" s="109"/>
      <c r="O33" s="108">
        <v>2108.52</v>
      </c>
      <c r="P33" s="143">
        <v>3</v>
      </c>
      <c r="Q33" s="106"/>
      <c r="R33" s="107"/>
      <c r="S33" s="110">
        <v>19896.080000000002</v>
      </c>
      <c r="T33" s="106">
        <v>0</v>
      </c>
      <c r="U33" s="111"/>
      <c r="V33" s="109"/>
      <c r="W33" s="108">
        <v>20794.11</v>
      </c>
      <c r="X33" s="111">
        <v>0</v>
      </c>
      <c r="Y33" s="111"/>
      <c r="Z33" s="109"/>
      <c r="AA33" s="108">
        <v>27866.95</v>
      </c>
      <c r="AB33" s="112">
        <v>39651.1</v>
      </c>
      <c r="AC33" s="111">
        <v>3</v>
      </c>
      <c r="AD33" s="111">
        <v>0</v>
      </c>
      <c r="AE33" s="112">
        <v>0</v>
      </c>
      <c r="AF33" s="107">
        <v>0</v>
      </c>
      <c r="AG33" s="110">
        <v>3</v>
      </c>
      <c r="AH33" s="110">
        <f>AG33/0.702804</f>
        <v>4.2686154318985094</v>
      </c>
      <c r="AI33" s="112">
        <v>0</v>
      </c>
      <c r="AJ33" s="112">
        <v>0</v>
      </c>
      <c r="AK33" s="112"/>
      <c r="AL33" s="112"/>
      <c r="AM33" s="83">
        <v>0</v>
      </c>
      <c r="AN33" s="83">
        <v>0</v>
      </c>
      <c r="AO33" s="87"/>
      <c r="AP33" s="88"/>
      <c r="AQ33" s="89"/>
      <c r="AR33" s="90"/>
      <c r="AS33" s="91"/>
      <c r="AT33" s="82"/>
      <c r="AU33" s="88"/>
      <c r="AV33" s="88"/>
      <c r="AW33" s="87"/>
      <c r="AX33" s="92"/>
      <c r="AY33" s="91"/>
      <c r="AZ33" s="93"/>
      <c r="BA33" s="94"/>
    </row>
    <row r="34" spans="1:53" x14ac:dyDescent="0.25">
      <c r="A34" s="144" t="s">
        <v>82</v>
      </c>
      <c r="B34" s="145" t="s">
        <v>83</v>
      </c>
      <c r="C34" s="146">
        <f t="shared" ref="C34:BA34" si="28">SUM(C35:C36)</f>
        <v>0</v>
      </c>
      <c r="D34" s="147">
        <f t="shared" si="28"/>
        <v>3</v>
      </c>
      <c r="E34" s="148">
        <f t="shared" si="28"/>
        <v>0</v>
      </c>
      <c r="F34" s="149">
        <f t="shared" si="28"/>
        <v>0</v>
      </c>
      <c r="G34" s="150">
        <f t="shared" si="28"/>
        <v>0</v>
      </c>
      <c r="H34" s="148">
        <f t="shared" si="28"/>
        <v>1</v>
      </c>
      <c r="I34" s="148">
        <f t="shared" si="28"/>
        <v>0</v>
      </c>
      <c r="J34" s="149">
        <f t="shared" si="28"/>
        <v>0</v>
      </c>
      <c r="K34" s="150">
        <f t="shared" si="28"/>
        <v>2584101.17</v>
      </c>
      <c r="L34" s="148">
        <f t="shared" si="28"/>
        <v>2</v>
      </c>
      <c r="M34" s="148">
        <f t="shared" si="28"/>
        <v>0</v>
      </c>
      <c r="N34" s="151">
        <f t="shared" si="28"/>
        <v>0</v>
      </c>
      <c r="O34" s="150">
        <f t="shared" si="28"/>
        <v>1202422.1599999999</v>
      </c>
      <c r="P34" s="152">
        <f t="shared" si="28"/>
        <v>0</v>
      </c>
      <c r="Q34" s="152">
        <f t="shared" si="28"/>
        <v>0</v>
      </c>
      <c r="R34" s="149">
        <f t="shared" si="28"/>
        <v>0</v>
      </c>
      <c r="S34" s="153">
        <f>SUM(S35:S36)</f>
        <v>9881202</v>
      </c>
      <c r="T34" s="152">
        <f t="shared" si="28"/>
        <v>0</v>
      </c>
      <c r="U34" s="152">
        <f t="shared" si="28"/>
        <v>0</v>
      </c>
      <c r="V34" s="154">
        <f t="shared" si="28"/>
        <v>0</v>
      </c>
      <c r="W34" s="155">
        <f t="shared" ref="W34:AC34" si="29">SUM(W35:W36)</f>
        <v>12541692</v>
      </c>
      <c r="X34" s="152">
        <f t="shared" si="29"/>
        <v>1</v>
      </c>
      <c r="Y34" s="152">
        <f t="shared" si="29"/>
        <v>0</v>
      </c>
      <c r="Z34" s="154">
        <f t="shared" si="29"/>
        <v>0</v>
      </c>
      <c r="AA34" s="155">
        <f t="shared" si="29"/>
        <v>5210138</v>
      </c>
      <c r="AB34" s="152">
        <f t="shared" si="29"/>
        <v>7413358.4897069456</v>
      </c>
      <c r="AC34" s="152">
        <f t="shared" si="29"/>
        <v>2</v>
      </c>
      <c r="AD34" s="152"/>
      <c r="AE34" s="152">
        <f t="shared" si="28"/>
        <v>0</v>
      </c>
      <c r="AF34" s="156">
        <f t="shared" si="28"/>
        <v>0</v>
      </c>
      <c r="AG34" s="157">
        <f>SUM(AG35:AG36)</f>
        <v>30331037</v>
      </c>
      <c r="AH34" s="157">
        <f>SUM(AH35:AH36)</f>
        <v>43157177.53456156</v>
      </c>
      <c r="AI34" s="158">
        <f t="shared" si="28"/>
        <v>31419555.329999998</v>
      </c>
      <c r="AJ34" s="158">
        <f t="shared" si="28"/>
        <v>44705999.584561557</v>
      </c>
      <c r="AK34" s="158">
        <f t="shared" si="28"/>
        <v>0</v>
      </c>
      <c r="AL34" s="158">
        <f t="shared" si="28"/>
        <v>0</v>
      </c>
      <c r="AM34" s="152">
        <f t="shared" si="28"/>
        <v>9</v>
      </c>
      <c r="AN34" s="152">
        <f t="shared" si="28"/>
        <v>0</v>
      </c>
      <c r="AO34" s="159">
        <f t="shared" si="20"/>
        <v>0</v>
      </c>
      <c r="AP34" s="158">
        <f t="shared" si="28"/>
        <v>0</v>
      </c>
      <c r="AQ34" s="151">
        <f t="shared" si="28"/>
        <v>0</v>
      </c>
      <c r="AR34" s="160">
        <f t="shared" si="23"/>
        <v>0</v>
      </c>
      <c r="AS34" s="150">
        <f t="shared" si="28"/>
        <v>0</v>
      </c>
      <c r="AT34" s="153"/>
      <c r="AU34" s="158">
        <f t="shared" si="28"/>
        <v>0</v>
      </c>
      <c r="AV34" s="158"/>
      <c r="AW34" s="158"/>
      <c r="AX34" s="154">
        <f t="shared" si="28"/>
        <v>0</v>
      </c>
      <c r="AY34" s="150">
        <f t="shared" si="28"/>
        <v>0</v>
      </c>
      <c r="AZ34" s="157"/>
      <c r="BA34" s="149">
        <f t="shared" si="28"/>
        <v>0</v>
      </c>
    </row>
    <row r="35" spans="1:53" x14ac:dyDescent="0.25">
      <c r="A35" s="55" t="s">
        <v>84</v>
      </c>
      <c r="B35" s="161" t="s">
        <v>85</v>
      </c>
      <c r="C35" s="162">
        <v>0</v>
      </c>
      <c r="D35" s="163">
        <v>3</v>
      </c>
      <c r="E35" s="78">
        <v>0</v>
      </c>
      <c r="F35" s="79">
        <v>0</v>
      </c>
      <c r="G35" s="77">
        <v>0</v>
      </c>
      <c r="H35" s="78">
        <v>1</v>
      </c>
      <c r="I35" s="78">
        <v>0</v>
      </c>
      <c r="J35" s="79">
        <v>0</v>
      </c>
      <c r="K35" s="77">
        <v>2018576</v>
      </c>
      <c r="L35" s="78">
        <v>1</v>
      </c>
      <c r="M35" s="78"/>
      <c r="N35" s="80"/>
      <c r="O35" s="77">
        <v>679429</v>
      </c>
      <c r="P35" s="84">
        <v>0</v>
      </c>
      <c r="Q35" s="84">
        <v>0</v>
      </c>
      <c r="R35" s="79"/>
      <c r="S35" s="86">
        <v>9881202</v>
      </c>
      <c r="T35" s="84">
        <v>0</v>
      </c>
      <c r="U35" s="84">
        <v>0</v>
      </c>
      <c r="V35" s="80">
        <v>0</v>
      </c>
      <c r="W35" s="77">
        <v>12541692</v>
      </c>
      <c r="X35" s="84">
        <v>1</v>
      </c>
      <c r="Y35" s="84">
        <v>0</v>
      </c>
      <c r="Z35" s="80">
        <v>0</v>
      </c>
      <c r="AA35" s="77">
        <v>5210138</v>
      </c>
      <c r="AB35" s="85">
        <v>7413358.4897069456</v>
      </c>
      <c r="AC35" s="84">
        <v>2</v>
      </c>
      <c r="AD35" s="85">
        <v>0</v>
      </c>
      <c r="AE35" s="85">
        <v>0</v>
      </c>
      <c r="AF35" s="79">
        <v>0</v>
      </c>
      <c r="AG35" s="86">
        <v>30331037</v>
      </c>
      <c r="AH35" s="86">
        <v>43157177.53456156</v>
      </c>
      <c r="AI35" s="85">
        <v>30331037</v>
      </c>
      <c r="AJ35" s="85">
        <v>43157177.53456156</v>
      </c>
      <c r="AK35" s="85"/>
      <c r="AL35" s="85"/>
      <c r="AM35" s="83">
        <v>8</v>
      </c>
      <c r="AN35" s="83"/>
      <c r="AO35" s="87">
        <f t="shared" si="20"/>
        <v>0</v>
      </c>
      <c r="AP35" s="88"/>
      <c r="AQ35" s="89"/>
      <c r="AR35" s="90">
        <f>AP35/AI35</f>
        <v>0</v>
      </c>
      <c r="AS35" s="91"/>
      <c r="AT35" s="82"/>
      <c r="AU35" s="88"/>
      <c r="AV35" s="88"/>
      <c r="AW35" s="87"/>
      <c r="AX35" s="92"/>
      <c r="AY35" s="91"/>
      <c r="AZ35" s="93"/>
      <c r="BA35" s="94"/>
    </row>
    <row r="36" spans="1:53" ht="16.5" thickBot="1" x14ac:dyDescent="0.3">
      <c r="A36" s="164" t="s">
        <v>86</v>
      </c>
      <c r="B36" s="165" t="s">
        <v>87</v>
      </c>
      <c r="C36" s="162">
        <v>0</v>
      </c>
      <c r="D36" s="163">
        <v>0</v>
      </c>
      <c r="E36" s="78">
        <v>0</v>
      </c>
      <c r="F36" s="79">
        <v>0</v>
      </c>
      <c r="G36" s="77">
        <v>0</v>
      </c>
      <c r="H36" s="78">
        <v>0</v>
      </c>
      <c r="I36" s="78">
        <v>0</v>
      </c>
      <c r="J36" s="79">
        <v>0</v>
      </c>
      <c r="K36" s="77">
        <v>565525.17000000004</v>
      </c>
      <c r="L36" s="78">
        <v>1</v>
      </c>
      <c r="M36" s="78"/>
      <c r="N36" s="80"/>
      <c r="O36" s="77">
        <v>522993.16</v>
      </c>
      <c r="P36" s="84">
        <v>0</v>
      </c>
      <c r="Q36" s="84">
        <v>0</v>
      </c>
      <c r="R36" s="79"/>
      <c r="S36" s="86">
        <v>0</v>
      </c>
      <c r="T36" s="84">
        <v>0</v>
      </c>
      <c r="U36" s="84">
        <v>0</v>
      </c>
      <c r="V36" s="80">
        <v>0</v>
      </c>
      <c r="W36" s="77"/>
      <c r="X36" s="84"/>
      <c r="Y36" s="84"/>
      <c r="Z36" s="80"/>
      <c r="AA36" s="77"/>
      <c r="AB36" s="85"/>
      <c r="AC36" s="85"/>
      <c r="AD36" s="85"/>
      <c r="AE36" s="85"/>
      <c r="AF36" s="79"/>
      <c r="AG36" s="86"/>
      <c r="AH36" s="86"/>
      <c r="AI36" s="85">
        <v>1088518.33</v>
      </c>
      <c r="AJ36" s="85">
        <f>ROUND(AI36/0.702804,2)</f>
        <v>1548822.05</v>
      </c>
      <c r="AK36" s="85"/>
      <c r="AL36" s="85"/>
      <c r="AM36" s="83">
        <v>1</v>
      </c>
      <c r="AN36" s="83"/>
      <c r="AO36" s="87">
        <f>AN36/AM36</f>
        <v>0</v>
      </c>
      <c r="AP36" s="88"/>
      <c r="AQ36" s="89"/>
      <c r="AR36" s="90">
        <f>AP36/AI36</f>
        <v>0</v>
      </c>
      <c r="AS36" s="91"/>
      <c r="AT36" s="82"/>
      <c r="AU36" s="88"/>
      <c r="AV36" s="88"/>
      <c r="AW36" s="87"/>
      <c r="AX36" s="92"/>
      <c r="AY36" s="91"/>
      <c r="AZ36" s="93"/>
      <c r="BA36" s="94"/>
    </row>
    <row r="37" spans="1:53" ht="16.5" thickBot="1" x14ac:dyDescent="0.3">
      <c r="A37" s="197" t="s">
        <v>88</v>
      </c>
      <c r="B37" s="198"/>
      <c r="C37" s="187">
        <f t="shared" ref="C37:AL37" si="30">SUM(C7+C15+C18+C19+C26+C34)</f>
        <v>67977068</v>
      </c>
      <c r="D37" s="188">
        <f t="shared" si="30"/>
        <v>159299</v>
      </c>
      <c r="E37" s="189">
        <f t="shared" si="30"/>
        <v>55</v>
      </c>
      <c r="F37" s="190">
        <f t="shared" si="30"/>
        <v>30986.720000000001</v>
      </c>
      <c r="G37" s="187">
        <f t="shared" si="30"/>
        <v>286345960.56</v>
      </c>
      <c r="H37" s="188">
        <f t="shared" si="30"/>
        <v>312000</v>
      </c>
      <c r="I37" s="191">
        <f t="shared" si="30"/>
        <v>879</v>
      </c>
      <c r="J37" s="190">
        <f t="shared" si="30"/>
        <v>45925.36</v>
      </c>
      <c r="K37" s="187">
        <f t="shared" si="30"/>
        <v>698302824.14999998</v>
      </c>
      <c r="L37" s="188">
        <f t="shared" si="30"/>
        <v>281799</v>
      </c>
      <c r="M37" s="188">
        <f t="shared" si="30"/>
        <v>1817</v>
      </c>
      <c r="N37" s="192">
        <f t="shared" si="30"/>
        <v>1088869.03</v>
      </c>
      <c r="O37" s="187">
        <f t="shared" si="30"/>
        <v>831845092.06999993</v>
      </c>
      <c r="P37" s="188">
        <f t="shared" si="30"/>
        <v>364766</v>
      </c>
      <c r="Q37" s="188">
        <f t="shared" si="30"/>
        <v>2542</v>
      </c>
      <c r="R37" s="190">
        <f t="shared" si="30"/>
        <v>3661219.9599999995</v>
      </c>
      <c r="S37" s="193">
        <f t="shared" si="30"/>
        <v>966372525.94999993</v>
      </c>
      <c r="T37" s="188">
        <f t="shared" si="30"/>
        <v>233059</v>
      </c>
      <c r="U37" s="188">
        <f t="shared" si="30"/>
        <v>2842</v>
      </c>
      <c r="V37" s="192">
        <f t="shared" si="30"/>
        <v>9124790.3100000005</v>
      </c>
      <c r="W37" s="187">
        <f t="shared" si="30"/>
        <v>2091966104.97</v>
      </c>
      <c r="X37" s="188">
        <f t="shared" si="30"/>
        <v>261153</v>
      </c>
      <c r="Y37" s="188">
        <f t="shared" si="30"/>
        <v>4040</v>
      </c>
      <c r="Z37" s="192">
        <f t="shared" si="30"/>
        <v>17067803.850000009</v>
      </c>
      <c r="AA37" s="187">
        <f t="shared" si="30"/>
        <v>1151055675.7800002</v>
      </c>
      <c r="AB37" s="194">
        <f t="shared" si="30"/>
        <v>1637804673.5397069</v>
      </c>
      <c r="AC37" s="188">
        <f t="shared" si="30"/>
        <v>229926</v>
      </c>
      <c r="AD37" s="188">
        <f t="shared" si="30"/>
        <v>3788</v>
      </c>
      <c r="AE37" s="194">
        <f t="shared" si="30"/>
        <v>34116449.645537108</v>
      </c>
      <c r="AF37" s="190">
        <f>SUM(AF7+AF15+AF18+AF19+AF26+AF34)</f>
        <v>48543334.490000002</v>
      </c>
      <c r="AG37" s="193">
        <f>SUM(AG7+AG15+AG18+AG19+AG26+AG34)</f>
        <v>5655154016.7974262</v>
      </c>
      <c r="AH37" s="193">
        <f>SUM(AH7+AH15+AH18+AH19+AH26+AH34)</f>
        <v>8046559234.49055</v>
      </c>
      <c r="AI37" s="194">
        <f>SUM(AI7+AI15+AI18+AI19+AI26+AI34)</f>
        <v>4798010817.6700001</v>
      </c>
      <c r="AJ37" s="194">
        <f t="shared" si="30"/>
        <v>6826954339.5822344</v>
      </c>
      <c r="AK37" s="194">
        <f t="shared" si="30"/>
        <v>2144442293.919162</v>
      </c>
      <c r="AL37" s="194">
        <f t="shared" si="30"/>
        <v>3051266489.5500002</v>
      </c>
      <c r="AM37" s="166">
        <f>SUM(AM7+AM15+AM18+AM19+AM26+AM34)</f>
        <v>1838837</v>
      </c>
      <c r="AN37" s="166">
        <f>SUM(AN7+AN15+AN18+AN19+AN26+AN34)</f>
        <v>16043</v>
      </c>
      <c r="AO37" s="167">
        <f>AN37/AM37</f>
        <v>8.7245362150098135E-3</v>
      </c>
      <c r="AP37" s="168">
        <f>SUM(AP7+AP15+AP18+AP19+AP26+AP34)</f>
        <v>65781792.193802655</v>
      </c>
      <c r="AQ37" s="169">
        <f>SUM(AQ7+AQ15+AQ18+AQ19+AQ26+AQ34)</f>
        <v>93599057.769999996</v>
      </c>
      <c r="AR37" s="170">
        <f>AP37/AI37</f>
        <v>1.3710221734295187E-2</v>
      </c>
      <c r="AS37" s="171">
        <f>SUM(AS7+AS15+AS18+AS19+AS26+AS34)</f>
        <v>65781792.192777775</v>
      </c>
      <c r="AT37" s="172">
        <f>SUM(AT7+AT15+AT18+AT19+AT26+AT34)</f>
        <v>93248702.25</v>
      </c>
      <c r="AU37" s="168">
        <f>SUM(AU7+AU15+AU18+AU19+AU26+AU34)</f>
        <v>47044204.344056271</v>
      </c>
      <c r="AV37" s="168">
        <f>SUM(AV7+AV15+AV18+AV19+AV26+AV34)</f>
        <v>66937872.210000008</v>
      </c>
      <c r="AW37" s="167">
        <f>AU37/AS37</f>
        <v>0.7151554066236171</v>
      </c>
      <c r="AX37" s="173">
        <f>SUM(AX7+AX15+AX18+AX19+AX26+AX34)</f>
        <v>14047</v>
      </c>
      <c r="AY37" s="171">
        <f>SUM(AY7+AY15+AY18+AY19+AY26+AY34)</f>
        <v>6268314.7799999993</v>
      </c>
      <c r="AZ37" s="174">
        <f>SUM(AZ7+AZ15+AZ18+AZ19+AZ26+AZ34)</f>
        <v>7920817.3699999992</v>
      </c>
      <c r="BA37" s="175">
        <f>SUM(BA7+BA15+BA18+BA19+BA26+BA34)</f>
        <v>55</v>
      </c>
    </row>
    <row r="38" spans="1:5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76"/>
      <c r="AJ38" s="176"/>
      <c r="AK38" s="1"/>
      <c r="AL38" s="1"/>
      <c r="AM38" s="1"/>
      <c r="AN38" s="177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78"/>
      <c r="W39" s="178"/>
      <c r="X39" s="178"/>
      <c r="Y39" s="178"/>
      <c r="Z39" s="178"/>
      <c r="AA39" s="179"/>
      <c r="AB39" s="178"/>
      <c r="AC39" s="178"/>
      <c r="AD39" s="180"/>
      <c r="AE39" s="181"/>
      <c r="AF39" s="179"/>
      <c r="AG39" s="182"/>
      <c r="AH39" s="1"/>
      <c r="AI39" s="178"/>
      <c r="AJ39" s="178"/>
      <c r="AK39" s="1"/>
      <c r="AL39" s="1"/>
      <c r="AM39" s="1"/>
      <c r="AN39" s="1"/>
      <c r="AO39" s="1"/>
      <c r="AP39" s="178"/>
      <c r="AQ39" s="181"/>
      <c r="AR39" s="1"/>
      <c r="AS39" s="183"/>
      <c r="AT39" s="183"/>
      <c r="AU39" s="1"/>
      <c r="AV39" s="1"/>
      <c r="AW39" s="1"/>
      <c r="AX39" s="1"/>
      <c r="AY39" s="1"/>
      <c r="AZ39" s="1"/>
      <c r="BA39" s="1"/>
    </row>
    <row r="40" spans="1:53" ht="38.450000000000003" customHeight="1" x14ac:dyDescent="0.3">
      <c r="A40" s="199" t="s">
        <v>89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84"/>
      <c r="AP40" s="185"/>
      <c r="AQ40" s="186"/>
      <c r="AR40" s="1"/>
      <c r="AS40" s="1"/>
      <c r="AT40" s="1"/>
      <c r="AU40" s="1"/>
      <c r="AV40" s="1"/>
      <c r="AW40" s="1"/>
      <c r="AX40" s="184"/>
      <c r="AY40" s="1"/>
      <c r="AZ40" s="1"/>
      <c r="BA40" s="1"/>
    </row>
    <row r="41" spans="1:53" ht="52.9" customHeight="1" x14ac:dyDescent="0.3">
      <c r="A41" s="199" t="s">
        <v>90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3" spans="1:53" ht="18.75" x14ac:dyDescent="0.3">
      <c r="A43" s="196" t="s">
        <v>91</v>
      </c>
    </row>
    <row r="44" spans="1:53" ht="18.75" x14ac:dyDescent="0.3">
      <c r="A44" s="196" t="s">
        <v>92</v>
      </c>
    </row>
    <row r="48" spans="1:53" s="196" customFormat="1" ht="23.25" x14ac:dyDescent="0.35">
      <c r="A48" s="239" t="s">
        <v>95</v>
      </c>
      <c r="B48" s="239"/>
      <c r="C48" s="239"/>
      <c r="D48" s="239"/>
      <c r="E48" s="239"/>
      <c r="F48" s="239" t="s">
        <v>96</v>
      </c>
      <c r="G48" s="239"/>
    </row>
    <row r="49" spans="1:7" ht="23.25" x14ac:dyDescent="0.35">
      <c r="A49" s="239"/>
      <c r="B49" s="239"/>
      <c r="C49" s="239"/>
      <c r="D49" s="239"/>
      <c r="E49" s="239"/>
      <c r="F49" s="239"/>
      <c r="G49" s="239"/>
    </row>
    <row r="50" spans="1:7" ht="23.25" x14ac:dyDescent="0.35">
      <c r="A50" s="239"/>
      <c r="B50" s="239"/>
      <c r="C50" s="239"/>
      <c r="D50" s="239"/>
      <c r="E50" s="239"/>
      <c r="F50" s="239"/>
      <c r="G50" s="239"/>
    </row>
    <row r="51" spans="1:7" ht="23.25" x14ac:dyDescent="0.35">
      <c r="A51" s="239"/>
      <c r="B51" s="239"/>
      <c r="C51" s="239"/>
      <c r="D51" s="239"/>
      <c r="E51" s="239"/>
      <c r="F51" s="239"/>
      <c r="G51" s="239"/>
    </row>
    <row r="52" spans="1:7" ht="23.25" x14ac:dyDescent="0.35">
      <c r="A52" s="239"/>
      <c r="B52" s="239"/>
      <c r="C52" s="239"/>
      <c r="D52" s="239"/>
      <c r="E52" s="239"/>
      <c r="F52" s="239"/>
      <c r="G52" s="239"/>
    </row>
    <row r="53" spans="1:7" ht="23.25" x14ac:dyDescent="0.35">
      <c r="A53" s="239" t="s">
        <v>99</v>
      </c>
      <c r="B53" s="239"/>
      <c r="C53" s="239"/>
      <c r="D53" s="239"/>
      <c r="E53" s="239"/>
      <c r="F53" s="239"/>
      <c r="G53" s="239"/>
    </row>
    <row r="54" spans="1:7" ht="23.25" x14ac:dyDescent="0.35">
      <c r="A54" s="239" t="s">
        <v>97</v>
      </c>
      <c r="B54" s="239"/>
      <c r="C54" s="239"/>
      <c r="D54" s="239"/>
      <c r="E54" s="239"/>
      <c r="F54" s="239"/>
      <c r="G54" s="239"/>
    </row>
    <row r="55" spans="1:7" ht="23.25" x14ac:dyDescent="0.35">
      <c r="A55" s="239" t="s">
        <v>98</v>
      </c>
      <c r="B55" s="239"/>
      <c r="C55" s="239"/>
      <c r="D55" s="239"/>
      <c r="E55" s="239"/>
      <c r="F55" s="239"/>
      <c r="G55" s="239"/>
    </row>
  </sheetData>
  <mergeCells count="42">
    <mergeCell ref="A1:AW1"/>
    <mergeCell ref="A3:A5"/>
    <mergeCell ref="B3:B5"/>
    <mergeCell ref="C3:F3"/>
    <mergeCell ref="G3:J3"/>
    <mergeCell ref="K3:N3"/>
    <mergeCell ref="O3:R3"/>
    <mergeCell ref="S3:V3"/>
    <mergeCell ref="W3:Z3"/>
    <mergeCell ref="AA3:AF3"/>
    <mergeCell ref="AA4:AB4"/>
    <mergeCell ref="AG3:AR3"/>
    <mergeCell ref="AS3:AX3"/>
    <mergeCell ref="AS4:AT4"/>
    <mergeCell ref="AU4:AW4"/>
    <mergeCell ref="AY3:BA4"/>
    <mergeCell ref="D4:D5"/>
    <mergeCell ref="E4:E5"/>
    <mergeCell ref="H4:H5"/>
    <mergeCell ref="I4:I5"/>
    <mergeCell ref="L4:L5"/>
    <mergeCell ref="M4:M5"/>
    <mergeCell ref="P4:P5"/>
    <mergeCell ref="Q4:Q5"/>
    <mergeCell ref="T4:T5"/>
    <mergeCell ref="U4:U5"/>
    <mergeCell ref="X4:X5"/>
    <mergeCell ref="Y4:Y5"/>
    <mergeCell ref="AX4:AX5"/>
    <mergeCell ref="AO4:AO5"/>
    <mergeCell ref="AP4:AQ4"/>
    <mergeCell ref="A37:B37"/>
    <mergeCell ref="A40:S40"/>
    <mergeCell ref="A41:S41"/>
    <mergeCell ref="AM4:AM5"/>
    <mergeCell ref="AN4:AN5"/>
    <mergeCell ref="AC4:AC5"/>
    <mergeCell ref="AD4:AD5"/>
    <mergeCell ref="AE4:AF4"/>
    <mergeCell ref="AG4:AH4"/>
    <mergeCell ref="AI4:AJ4"/>
    <mergeCell ref="AK4:AL4"/>
  </mergeCells>
  <pageMargins left="0.7" right="0.7" top="0.75" bottom="0.75" header="0.3" footer="0.3"/>
  <pageSetup paperSize="8" scale="2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informatīvo ziņojumu par konstatētajiem neatbilstoši veiktajiem izdevumiem Eiropas Savienības politikas instrumentu, Eiropas Savienības iniciatīvu, Pirmsiestāšanās fondu un Pārejas perioda palīdzības ietvaros līdz 2013.gada 31.decembrim</dc:title>
  <dc:subject>2.pielikums</dc:subject>
  <dc:creator>Aiva Avota</dc:creator>
  <cp:lastModifiedBy>Aiva Avota</cp:lastModifiedBy>
  <cp:lastPrinted>2014-08-29T07:48:54Z</cp:lastPrinted>
  <dcterms:created xsi:type="dcterms:W3CDTF">2014-04-24T11:45:53Z</dcterms:created>
  <dcterms:modified xsi:type="dcterms:W3CDTF">2014-08-29T07:53:28Z</dcterms:modified>
</cp:coreProperties>
</file>