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LAF\Padome_2014\Informativais_zinojums\Uz_MK_300814\"/>
    </mc:Choice>
  </mc:AlternateContent>
  <bookViews>
    <workbookView xWindow="0" yWindow="0" windowWidth="24000" windowHeight="9720"/>
  </bookViews>
  <sheets>
    <sheet name="3.pielikum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O6" i="1"/>
  <c r="T22" i="1"/>
  <c r="R22" i="1"/>
  <c r="Q22" i="1"/>
  <c r="O22" i="1"/>
  <c r="P22" i="1" s="1"/>
  <c r="H22" i="1"/>
  <c r="F22" i="1"/>
  <c r="G22" i="1" s="1"/>
  <c r="J22" i="1" s="1"/>
  <c r="E22" i="1"/>
  <c r="C22" i="1"/>
  <c r="Z21" i="1"/>
  <c r="Y21" i="1"/>
  <c r="V21" i="1"/>
  <c r="U21" i="1"/>
  <c r="N21" i="1"/>
  <c r="M21" i="1"/>
  <c r="J21" i="1"/>
  <c r="I21" i="1"/>
  <c r="D21" i="1"/>
  <c r="Z20" i="1"/>
  <c r="Y20" i="1"/>
  <c r="V20" i="1"/>
  <c r="U20" i="1"/>
  <c r="N20" i="1"/>
  <c r="M20" i="1"/>
  <c r="J20" i="1"/>
  <c r="I20" i="1"/>
  <c r="D20" i="1"/>
  <c r="Z19" i="1"/>
  <c r="Y19" i="1"/>
  <c r="V19" i="1"/>
  <c r="U19" i="1"/>
  <c r="N19" i="1"/>
  <c r="M19" i="1"/>
  <c r="J19" i="1"/>
  <c r="I19" i="1"/>
  <c r="D19" i="1"/>
  <c r="Z18" i="1"/>
  <c r="Y18" i="1"/>
  <c r="V18" i="1"/>
  <c r="U18" i="1"/>
  <c r="S18" i="1"/>
  <c r="P18" i="1"/>
  <c r="N18" i="1"/>
  <c r="M18" i="1"/>
  <c r="I18" i="1"/>
  <c r="G18" i="1"/>
  <c r="J18" i="1" s="1"/>
  <c r="D18" i="1"/>
  <c r="Z17" i="1"/>
  <c r="Y17" i="1"/>
  <c r="U17" i="1"/>
  <c r="S17" i="1"/>
  <c r="P17" i="1"/>
  <c r="N17" i="1"/>
  <c r="M17" i="1"/>
  <c r="I17" i="1"/>
  <c r="G17" i="1"/>
  <c r="J17" i="1" s="1"/>
  <c r="D17" i="1"/>
  <c r="Z16" i="1"/>
  <c r="Y16" i="1"/>
  <c r="U16" i="1"/>
  <c r="S16" i="1"/>
  <c r="V16" i="1" s="1"/>
  <c r="P16" i="1"/>
  <c r="N16" i="1"/>
  <c r="M16" i="1"/>
  <c r="I16" i="1"/>
  <c r="G16" i="1"/>
  <c r="J16" i="1" s="1"/>
  <c r="D16" i="1"/>
  <c r="Z15" i="1"/>
  <c r="Y15" i="1"/>
  <c r="U15" i="1"/>
  <c r="S15" i="1"/>
  <c r="P15" i="1"/>
  <c r="M15" i="1"/>
  <c r="H15" i="1"/>
  <c r="G15" i="1"/>
  <c r="D15" i="1"/>
  <c r="U14" i="1"/>
  <c r="S14" i="1"/>
  <c r="V14" i="1" s="1"/>
  <c r="Q14" i="1"/>
  <c r="Z14" i="1" s="1"/>
  <c r="O14" i="1"/>
  <c r="Y14" i="1" s="1"/>
  <c r="N14" i="1"/>
  <c r="M14" i="1"/>
  <c r="J14" i="1"/>
  <c r="I14" i="1"/>
  <c r="G14" i="1"/>
  <c r="D14" i="1"/>
  <c r="Z13" i="1"/>
  <c r="Y13" i="1"/>
  <c r="U13" i="1"/>
  <c r="S13" i="1"/>
  <c r="V13" i="1" s="1"/>
  <c r="P13" i="1"/>
  <c r="N13" i="1"/>
  <c r="M13" i="1"/>
  <c r="I13" i="1"/>
  <c r="G13" i="1"/>
  <c r="J13" i="1" s="1"/>
  <c r="D13" i="1"/>
  <c r="Z12" i="1"/>
  <c r="Y12" i="1"/>
  <c r="U12" i="1"/>
  <c r="S12" i="1"/>
  <c r="V12" i="1" s="1"/>
  <c r="P12" i="1"/>
  <c r="N12" i="1"/>
  <c r="M12" i="1"/>
  <c r="I12" i="1"/>
  <c r="G12" i="1"/>
  <c r="J12" i="1" s="1"/>
  <c r="D12" i="1"/>
  <c r="T11" i="1"/>
  <c r="R11" i="1"/>
  <c r="S11" i="1" s="1"/>
  <c r="V11" i="1" s="1"/>
  <c r="Q11" i="1"/>
  <c r="O11" i="1"/>
  <c r="P11" i="1" s="1"/>
  <c r="H11" i="1"/>
  <c r="F11" i="1"/>
  <c r="E11" i="1"/>
  <c r="C11" i="1"/>
  <c r="Z10" i="1"/>
  <c r="Y10" i="1"/>
  <c r="U10" i="1"/>
  <c r="S10" i="1"/>
  <c r="V10" i="1" s="1"/>
  <c r="P10" i="1"/>
  <c r="N10" i="1"/>
  <c r="M10" i="1"/>
  <c r="J10" i="1"/>
  <c r="I10" i="1"/>
  <c r="G10" i="1"/>
  <c r="D10" i="1"/>
  <c r="Z9" i="1"/>
  <c r="Y9" i="1"/>
  <c r="U9" i="1"/>
  <c r="S9" i="1"/>
  <c r="V9" i="1" s="1"/>
  <c r="P9" i="1"/>
  <c r="N9" i="1"/>
  <c r="M9" i="1"/>
  <c r="I9" i="1"/>
  <c r="G9" i="1"/>
  <c r="J9" i="1" s="1"/>
  <c r="D9" i="1"/>
  <c r="Z8" i="1"/>
  <c r="Y8" i="1"/>
  <c r="V8" i="1"/>
  <c r="U8" i="1"/>
  <c r="S8" i="1"/>
  <c r="P8" i="1"/>
  <c r="N8" i="1"/>
  <c r="M8" i="1"/>
  <c r="I8" i="1"/>
  <c r="G8" i="1"/>
  <c r="J8" i="1" s="1"/>
  <c r="D8" i="1"/>
  <c r="Z7" i="1"/>
  <c r="Y7" i="1"/>
  <c r="U7" i="1"/>
  <c r="S7" i="1"/>
  <c r="V7" i="1" s="1"/>
  <c r="P7" i="1"/>
  <c r="N7" i="1"/>
  <c r="M7" i="1"/>
  <c r="I7" i="1"/>
  <c r="G7" i="1"/>
  <c r="J7" i="1" s="1"/>
  <c r="D7" i="1"/>
  <c r="U6" i="1"/>
  <c r="S6" i="1"/>
  <c r="V6" i="1" s="1"/>
  <c r="Q6" i="1"/>
  <c r="Z6" i="1" s="1"/>
  <c r="I6" i="1"/>
  <c r="G6" i="1"/>
  <c r="E6" i="1"/>
  <c r="C6" i="1"/>
  <c r="D6" i="1" s="1"/>
  <c r="F23" i="1" l="1"/>
  <c r="K21" i="1" s="1"/>
  <c r="K13" i="1"/>
  <c r="G11" i="1"/>
  <c r="J11" i="1" s="1"/>
  <c r="K6" i="1"/>
  <c r="K9" i="1"/>
  <c r="M11" i="1"/>
  <c r="Y22" i="1"/>
  <c r="O23" i="1"/>
  <c r="K7" i="1"/>
  <c r="N22" i="1"/>
  <c r="J6" i="1"/>
  <c r="D11" i="1"/>
  <c r="H23" i="1"/>
  <c r="N11" i="1"/>
  <c r="I11" i="1"/>
  <c r="T23" i="1"/>
  <c r="X11" i="1" s="1"/>
  <c r="U11" i="1"/>
  <c r="Z11" i="1"/>
  <c r="N15" i="1"/>
  <c r="J15" i="1"/>
  <c r="M22" i="1"/>
  <c r="D22" i="1"/>
  <c r="N6" i="1"/>
  <c r="E23" i="1"/>
  <c r="Y6" i="1"/>
  <c r="K17" i="1"/>
  <c r="K14" i="1"/>
  <c r="K12" i="1"/>
  <c r="K23" i="1"/>
  <c r="Y11" i="1"/>
  <c r="I15" i="1"/>
  <c r="V15" i="1"/>
  <c r="V17" i="1"/>
  <c r="K20" i="1"/>
  <c r="S22" i="1"/>
  <c r="S23" i="1" s="1"/>
  <c r="Q23" i="1"/>
  <c r="Z22" i="1"/>
  <c r="R23" i="1"/>
  <c r="W22" i="1" s="1"/>
  <c r="U22" i="1"/>
  <c r="C23" i="1"/>
  <c r="M6" i="1"/>
  <c r="I22" i="1"/>
  <c r="P14" i="1"/>
  <c r="X22" i="1" l="1"/>
  <c r="K8" i="1"/>
  <c r="K19" i="1"/>
  <c r="K18" i="1"/>
  <c r="M23" i="1"/>
  <c r="K22" i="1"/>
  <c r="K10" i="1"/>
  <c r="K15" i="1"/>
  <c r="D23" i="1"/>
  <c r="K11" i="1"/>
  <c r="K16" i="1"/>
  <c r="G23" i="1"/>
  <c r="J23" i="1" s="1"/>
  <c r="V23" i="1"/>
  <c r="L23" i="1"/>
  <c r="L19" i="1"/>
  <c r="L14" i="1"/>
  <c r="L12" i="1"/>
  <c r="L10" i="1"/>
  <c r="L8" i="1"/>
  <c r="L20" i="1"/>
  <c r="L18" i="1"/>
  <c r="L16" i="1"/>
  <c r="N23" i="1"/>
  <c r="L17" i="1"/>
  <c r="L13" i="1"/>
  <c r="L6" i="1"/>
  <c r="L21" i="1"/>
  <c r="L15" i="1"/>
  <c r="L9" i="1"/>
  <c r="L7" i="1"/>
  <c r="P23" i="1"/>
  <c r="Z23" i="1"/>
  <c r="X18" i="1"/>
  <c r="X16" i="1"/>
  <c r="X19" i="1"/>
  <c r="X14" i="1"/>
  <c r="X13" i="1"/>
  <c r="X9" i="1"/>
  <c r="X7" i="1"/>
  <c r="X21" i="1"/>
  <c r="X17" i="1"/>
  <c r="X15" i="1"/>
  <c r="X6" i="1"/>
  <c r="X20" i="1"/>
  <c r="X10" i="1"/>
  <c r="X8" i="1"/>
  <c r="X12" i="1"/>
  <c r="L11" i="1"/>
  <c r="L22" i="1"/>
  <c r="W20" i="1"/>
  <c r="W17" i="1"/>
  <c r="W15" i="1"/>
  <c r="W21" i="1"/>
  <c r="W12" i="1"/>
  <c r="W10" i="1"/>
  <c r="W8" i="1"/>
  <c r="W6" i="1"/>
  <c r="Y23" i="1"/>
  <c r="U23" i="1"/>
  <c r="W19" i="1"/>
  <c r="W11" i="1"/>
  <c r="W9" i="1"/>
  <c r="W7" i="1"/>
  <c r="W13" i="1"/>
  <c r="W18" i="1"/>
  <c r="W16" i="1"/>
  <c r="W14" i="1"/>
  <c r="V22" i="1"/>
  <c r="I23" i="1"/>
</calcChain>
</file>

<file path=xl/comments1.xml><?xml version="1.0" encoding="utf-8"?>
<comments xmlns="http://schemas.openxmlformats.org/spreadsheetml/2006/main">
  <authors>
    <author>FM</author>
    <author>Aiva Avota</author>
  </authors>
  <commentList>
    <comment ref="O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Katru gadu adbildīgo iestāžu aktualizētais, ņemot vērā norakstītās un anulētās summas 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SM+VI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SM+VI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SM+VI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VI+VARAM</t>
        </r>
      </text>
    </comment>
    <comment ref="O11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VI+VARAM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VI+(TEN-E)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186"/>
          </rPr>
          <t>Aiva Avota:</t>
        </r>
        <r>
          <rPr>
            <sz val="9"/>
            <color indexed="81"/>
            <rFont val="Tahoma"/>
            <family val="2"/>
            <charset val="186"/>
          </rPr>
          <t xml:space="preserve">
VARAM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  <charset val="186"/>
          </rPr>
          <t>FM:</t>
        </r>
        <r>
          <rPr>
            <sz val="9"/>
            <color indexed="81"/>
            <rFont val="Tahoma"/>
            <family val="2"/>
            <charset val="186"/>
          </rPr>
          <t xml:space="preserve">
IeM+KM</t>
        </r>
      </text>
    </comment>
  </commentList>
</comments>
</file>

<file path=xl/sharedStrings.xml><?xml version="1.0" encoding="utf-8"?>
<sst xmlns="http://schemas.openxmlformats.org/spreadsheetml/2006/main" count="75" uniqueCount="61">
  <si>
    <t>3.pielikums</t>
  </si>
  <si>
    <t>Nr.p.k.</t>
  </si>
  <si>
    <t>Nozare vai joma</t>
  </si>
  <si>
    <t>2013.gadā</t>
  </si>
  <si>
    <t>2007.- 2013.gada plānošanas periodā līdz 31.12.2013.</t>
  </si>
  <si>
    <t>Kopējais pieprasītais publiskais finansējums [2]</t>
  </si>
  <si>
    <t>Apstirpināto projektu skaits</t>
  </si>
  <si>
    <t>Neatbilstību apjoms</t>
  </si>
  <si>
    <t>Neatbilstību gadījumu skaits</t>
  </si>
  <si>
    <t>Neatbilstību apjoms vidēji uz vienu neatbilstību</t>
  </si>
  <si>
    <t>Attiecīgās nozares/jomas neatbilstību īpatsvars kopējā konstatētajā neatbilstību apjomā, %</t>
  </si>
  <si>
    <t>Attiecīgās nozares/jomas neatbilstību gadījumu skaita īpatsvars kopējā konstatēto neatbilstību skaitā, %</t>
  </si>
  <si>
    <t>Kopējais pārskata periodā konstatēto neatbilstību apjoms pret kopējo apgūto finansējumu nozarē/jomā, %</t>
  </si>
  <si>
    <t>Kopējais neatbilstību gadījumu skaits pret apstiprināto projektu skaitu nozarē/jomā, %</t>
  </si>
  <si>
    <t>Kopējais pieprasītais publiskais finansējums līdz 31.12.2013.</t>
  </si>
  <si>
    <t>Apstirpināto projektu skaits līdz 31.12.2013.</t>
  </si>
  <si>
    <t xml:space="preserve">Neatbilstību apjoms līdz 31.12.2013. </t>
  </si>
  <si>
    <t>Neatbilstību gadījumu skaits līdz 31.12.2013.</t>
  </si>
  <si>
    <t>Attiecīgās nozares/jomas neatbilstību gadījumu skaita īpatsvars kopējā  konstatēto neatbilstību skaitā, %</t>
  </si>
  <si>
    <t>Neatbilstību īpatsvars, jeb kopējo konstatēto neatbilstību apjoms pret kopējo pieprasīto publisko finansējumu, %</t>
  </si>
  <si>
    <t>Neatbilstību skaita īpatsvars, jeb kopējais neatbilstību gadījumu skaits pret apstiprināto projektu skaitu, %</t>
  </si>
  <si>
    <t>LVL</t>
  </si>
  <si>
    <t>EUR</t>
  </si>
  <si>
    <t>9=6/8</t>
  </si>
  <si>
    <t>10=7/8</t>
  </si>
  <si>
    <t>11=6/$F$24*100%</t>
  </si>
  <si>
    <t>12=8/$H$24*100%</t>
  </si>
  <si>
    <t>13=6/3*100%</t>
  </si>
  <si>
    <t>14=8/5*100%</t>
  </si>
  <si>
    <t>21=18/20</t>
  </si>
  <si>
    <t>22=19/20</t>
  </si>
  <si>
    <t>23=18/$R$24*100%</t>
  </si>
  <si>
    <t>25=20/$T$24*100%</t>
  </si>
  <si>
    <t>26=18/15*100%</t>
  </si>
  <si>
    <t>28=20/17*100%</t>
  </si>
  <si>
    <t>Transports/IKT</t>
  </si>
  <si>
    <t>Vide</t>
  </si>
  <si>
    <t>Uzņēmējdarbība un inovācijas</t>
  </si>
  <si>
    <t>Izglītība</t>
  </si>
  <si>
    <t>Nodarbinātība, sociālā iekļaušanās</t>
  </si>
  <si>
    <t>Pilsētvide</t>
  </si>
  <si>
    <t>Zinātne</t>
  </si>
  <si>
    <t>Veselība</t>
  </si>
  <si>
    <t>Enerģētika</t>
  </si>
  <si>
    <t>Atbalsts ES fondu vadībai</t>
  </si>
  <si>
    <t>Kultūra</t>
  </si>
  <si>
    <t>Administratīvā kapacitāte</t>
  </si>
  <si>
    <t>Tūrisms</t>
  </si>
  <si>
    <t>Lauksaimniecības attīstība[7]</t>
  </si>
  <si>
    <t>Zivsaimniecības attīstība</t>
  </si>
  <si>
    <t>Reģionālā attīstība</t>
  </si>
  <si>
    <t>Migrācija un integrācija[8]</t>
  </si>
  <si>
    <t>Kopā</t>
  </si>
  <si>
    <t>[7] Neskaitot priekšfinansējumu</t>
  </si>
  <si>
    <t>[8] Vispārīgās programmas „Solidaritāte un migrācijas plūsmu pārvaldība” fondi</t>
  </si>
  <si>
    <r>
      <t xml:space="preserve">2013.gadā un kopā 2007.- 2013.gada plānošanas periodā līdz 2013.gada 31.decembrim konstatētais neatbilstību apjoms (latos un 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 un neatbilstību gadījumu skaits sadalījumā pa nozarēm, izņemot maksātnespējas un bankrota gadījumus</t>
    </r>
  </si>
  <si>
    <t>finanšu ministrs</t>
  </si>
  <si>
    <t>A.Vilks</t>
  </si>
  <si>
    <t>A.Avota</t>
  </si>
  <si>
    <t>67083954, aiva.avota@fm.gov.lv</t>
  </si>
  <si>
    <t>29.08.2014.  10:53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</si>
</sst>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u/>
      <sz val="12"/>
      <color theme="10"/>
      <name val="Times New Roman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color rgb="FF000000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0"/>
      <color theme="1"/>
      <name val="Times New Roman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2"/>
      <color theme="1"/>
      <name val="Times New Roman"/>
      <family val="1"/>
      <charset val="186"/>
    </font>
    <font>
      <sz val="18"/>
      <color theme="1"/>
      <name val="Times New Roman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5" borderId="15" xfId="0" applyNumberFormat="1" applyFont="1" applyFill="1" applyBorder="1" applyAlignment="1">
      <alignment horizontal="center" vertical="center" wrapText="1"/>
    </xf>
    <xf numFmtId="10" fontId="11" fillId="5" borderId="15" xfId="1" applyNumberFormat="1" applyFont="1" applyFill="1" applyBorder="1" applyAlignment="1">
      <alignment horizontal="center" vertical="center" wrapText="1"/>
    </xf>
    <xf numFmtId="10" fontId="11" fillId="5" borderId="14" xfId="1" applyNumberFormat="1" applyFont="1" applyFill="1" applyBorder="1" applyAlignment="1">
      <alignment horizontal="center" vertical="center" wrapText="1"/>
    </xf>
    <xf numFmtId="10" fontId="11" fillId="5" borderId="20" xfId="1" applyNumberFormat="1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4" fontId="0" fillId="5" borderId="15" xfId="0" applyNumberFormat="1" applyFill="1" applyBorder="1" applyAlignment="1">
      <alignment horizontal="center" vertical="center"/>
    </xf>
    <xf numFmtId="10" fontId="0" fillId="5" borderId="15" xfId="1" applyNumberFormat="1" applyFont="1" applyFill="1" applyBorder="1" applyAlignment="1">
      <alignment horizontal="center" vertical="center"/>
    </xf>
    <xf numFmtId="10" fontId="0" fillId="5" borderId="20" xfId="0" applyNumberFormat="1" applyFill="1" applyBorder="1" applyAlignment="1">
      <alignment horizontal="center" vertical="center"/>
    </xf>
    <xf numFmtId="4" fontId="11" fillId="6" borderId="17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6" borderId="17" xfId="0" applyNumberFormat="1" applyFont="1" applyFill="1" applyBorder="1" applyAlignment="1">
      <alignment horizontal="center" vertical="center" wrapText="1"/>
    </xf>
    <xf numFmtId="4" fontId="13" fillId="6" borderId="12" xfId="0" applyNumberFormat="1" applyFont="1" applyFill="1" applyBorder="1" applyAlignment="1">
      <alignment horizontal="center" vertical="center" wrapText="1"/>
    </xf>
    <xf numFmtId="3" fontId="13" fillId="6" borderId="12" xfId="0" applyNumberFormat="1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center" vertical="center" wrapText="1"/>
    </xf>
    <xf numFmtId="3" fontId="13" fillId="6" borderId="1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1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4" fontId="14" fillId="7" borderId="21" xfId="0" applyNumberFormat="1" applyFont="1" applyFill="1" applyBorder="1" applyAlignment="1">
      <alignment horizontal="center" vertical="center" wrapText="1"/>
    </xf>
    <xf numFmtId="4" fontId="14" fillId="7" borderId="23" xfId="0" applyNumberFormat="1" applyFont="1" applyFill="1" applyBorder="1" applyAlignment="1">
      <alignment horizontal="center" vertical="center" wrapText="1"/>
    </xf>
    <xf numFmtId="3" fontId="14" fillId="7" borderId="24" xfId="0" applyNumberFormat="1" applyFont="1" applyFill="1" applyBorder="1" applyAlignment="1">
      <alignment horizontal="center" vertical="center" wrapText="1"/>
    </xf>
    <xf numFmtId="4" fontId="14" fillId="7" borderId="24" xfId="0" applyNumberFormat="1" applyFont="1" applyFill="1" applyBorder="1" applyAlignment="1">
      <alignment horizontal="center" vertical="center" wrapText="1"/>
    </xf>
    <xf numFmtId="9" fontId="14" fillId="7" borderId="24" xfId="1" applyFont="1" applyFill="1" applyBorder="1" applyAlignment="1">
      <alignment horizontal="center" vertical="center" wrapText="1"/>
    </xf>
    <xf numFmtId="10" fontId="14" fillId="7" borderId="22" xfId="1" applyNumberFormat="1" applyFont="1" applyFill="1" applyBorder="1" applyAlignment="1">
      <alignment horizontal="center" vertical="center" wrapText="1"/>
    </xf>
    <xf numFmtId="10" fontId="14" fillId="7" borderId="25" xfId="1" applyNumberFormat="1" applyFont="1" applyFill="1" applyBorder="1" applyAlignment="1">
      <alignment horizontal="center" vertical="center" wrapText="1"/>
    </xf>
    <xf numFmtId="3" fontId="14" fillId="7" borderId="23" xfId="0" applyNumberFormat="1" applyFont="1" applyFill="1" applyBorder="1" applyAlignment="1">
      <alignment horizontal="center" vertical="center" wrapText="1"/>
    </xf>
    <xf numFmtId="4" fontId="2" fillId="7" borderId="24" xfId="0" applyNumberFormat="1" applyFont="1" applyFill="1" applyBorder="1" applyAlignment="1">
      <alignment horizontal="center" vertical="center"/>
    </xf>
    <xf numFmtId="10" fontId="2" fillId="7" borderId="24" xfId="0" applyNumberFormat="1" applyFont="1" applyFill="1" applyBorder="1" applyAlignment="1">
      <alignment horizontal="center" vertical="center"/>
    </xf>
    <xf numFmtId="10" fontId="2" fillId="7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0" borderId="0" xfId="0"/>
    <xf numFmtId="0" fontId="7" fillId="3" borderId="1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right" vertical="center" wrapText="1"/>
    </xf>
    <xf numFmtId="0" fontId="10" fillId="7" borderId="22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9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AF/Padome_2014/Informativais_zinojums/Copy%20of%20FMzinop1_1604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vads"/>
      <sheetName val="1.pielikums"/>
      <sheetName val="2.pielikums"/>
      <sheetName val="3.pielikums"/>
      <sheetName val="4.pielikums"/>
      <sheetName val="1.1.attēls"/>
      <sheetName val="1.2., 1.3.attēls"/>
      <sheetName val="1.4. attēls"/>
      <sheetName val="1.5.attēls pa nozarēm"/>
      <sheetName val="1.6.attēls"/>
      <sheetName val="Kumulatīvi Atklāšanas veids"/>
      <sheetName val="Kumulatīvi Pārkāpumu veids"/>
      <sheetName val="Kumulatīvi Pa finans.saņēmējiem"/>
      <sheetName val="2.1.attēls"/>
      <sheetName val="2.2.attēls"/>
      <sheetName val="Sheet4"/>
      <sheetName val="5.Par saņemtajiem iesniegumiem"/>
    </sheetNames>
    <sheetDataSet>
      <sheetData sheetId="0"/>
      <sheetData sheetId="1"/>
      <sheetData sheetId="2">
        <row r="18">
          <cell r="AM18">
            <v>290</v>
          </cell>
          <cell r="AN18">
            <v>196</v>
          </cell>
          <cell r="AP18">
            <v>58364.62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topLeftCell="A13" zoomScale="80" zoomScaleNormal="80" workbookViewId="0">
      <selection activeCell="A39" sqref="A39"/>
    </sheetView>
  </sheetViews>
  <sheetFormatPr defaultRowHeight="15.75" x14ac:dyDescent="0.25"/>
  <cols>
    <col min="2" max="2" width="37.75" customWidth="1"/>
    <col min="3" max="4" width="15" bestFit="1" customWidth="1"/>
    <col min="5" max="5" width="11" customWidth="1"/>
    <col min="6" max="7" width="12.375" bestFit="1" customWidth="1"/>
    <col min="8" max="8" width="11.375" customWidth="1"/>
    <col min="9" max="9" width="10.75" bestFit="1" customWidth="1"/>
    <col min="10" max="10" width="10.75" customWidth="1"/>
    <col min="11" max="11" width="13.375" customWidth="1"/>
    <col min="12" max="12" width="14.25" customWidth="1"/>
    <col min="13" max="13" width="11.375" bestFit="1" customWidth="1"/>
    <col min="14" max="14" width="11.75" customWidth="1"/>
    <col min="15" max="16" width="15" bestFit="1" customWidth="1"/>
    <col min="17" max="19" width="12.375" bestFit="1" customWidth="1"/>
    <col min="20" max="20" width="10.875" customWidth="1"/>
    <col min="21" max="22" width="11.25" customWidth="1"/>
    <col min="23" max="23" width="14.875" bestFit="1" customWidth="1"/>
    <col min="24" max="24" width="14" customWidth="1"/>
    <col min="25" max="25" width="12.625" customWidth="1"/>
    <col min="26" max="26" width="14.375" customWidth="1"/>
  </cols>
  <sheetData>
    <row r="1" spans="1:26" ht="16.149999999999999" customHeight="1" thickBot="1" x14ac:dyDescent="0.3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" t="s">
        <v>0</v>
      </c>
    </row>
    <row r="2" spans="1:26" ht="15.6" customHeight="1" x14ac:dyDescent="0.25">
      <c r="A2" s="60" t="s">
        <v>1</v>
      </c>
      <c r="B2" s="60" t="s">
        <v>2</v>
      </c>
      <c r="C2" s="62" t="s">
        <v>3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5" t="s">
        <v>4</v>
      </c>
      <c r="P2" s="66"/>
      <c r="Q2" s="66"/>
      <c r="R2" s="67"/>
      <c r="S2" s="67"/>
      <c r="T2" s="67"/>
      <c r="U2" s="67"/>
      <c r="V2" s="67"/>
      <c r="W2" s="67"/>
      <c r="X2" s="67"/>
      <c r="Y2" s="67"/>
      <c r="Z2" s="68"/>
    </row>
    <row r="3" spans="1:26" ht="140.25" customHeight="1" x14ac:dyDescent="0.25">
      <c r="A3" s="61"/>
      <c r="B3" s="61"/>
      <c r="C3" s="69" t="s">
        <v>5</v>
      </c>
      <c r="D3" s="70"/>
      <c r="E3" s="71" t="s">
        <v>6</v>
      </c>
      <c r="F3" s="73" t="s">
        <v>7</v>
      </c>
      <c r="G3" s="74"/>
      <c r="H3" s="75" t="s">
        <v>8</v>
      </c>
      <c r="I3" s="73" t="s">
        <v>9</v>
      </c>
      <c r="J3" s="74"/>
      <c r="K3" s="2" t="s">
        <v>10</v>
      </c>
      <c r="L3" s="75" t="s">
        <v>11</v>
      </c>
      <c r="M3" s="2" t="s">
        <v>12</v>
      </c>
      <c r="N3" s="85" t="s">
        <v>13</v>
      </c>
      <c r="O3" s="87" t="s">
        <v>14</v>
      </c>
      <c r="P3" s="74"/>
      <c r="Q3" s="75" t="s">
        <v>15</v>
      </c>
      <c r="R3" s="73" t="s">
        <v>16</v>
      </c>
      <c r="S3" s="74"/>
      <c r="T3" s="75" t="s">
        <v>17</v>
      </c>
      <c r="U3" s="82" t="s">
        <v>9</v>
      </c>
      <c r="V3" s="70"/>
      <c r="W3" s="80" t="s">
        <v>10</v>
      </c>
      <c r="X3" s="80" t="s">
        <v>18</v>
      </c>
      <c r="Y3" s="80" t="s">
        <v>19</v>
      </c>
      <c r="Z3" s="77" t="s">
        <v>20</v>
      </c>
    </row>
    <row r="4" spans="1:26" x14ac:dyDescent="0.25">
      <c r="A4" s="3"/>
      <c r="B4" s="3"/>
      <c r="C4" s="4" t="s">
        <v>21</v>
      </c>
      <c r="D4" s="5" t="s">
        <v>22</v>
      </c>
      <c r="E4" s="72"/>
      <c r="F4" s="2" t="s">
        <v>21</v>
      </c>
      <c r="G4" s="2" t="s">
        <v>22</v>
      </c>
      <c r="H4" s="76"/>
      <c r="I4" s="2" t="s">
        <v>21</v>
      </c>
      <c r="J4" s="2" t="s">
        <v>22</v>
      </c>
      <c r="K4" s="6" t="s">
        <v>21</v>
      </c>
      <c r="L4" s="76"/>
      <c r="M4" s="6" t="s">
        <v>21</v>
      </c>
      <c r="N4" s="86"/>
      <c r="O4" s="7" t="s">
        <v>21</v>
      </c>
      <c r="P4" s="8" t="s">
        <v>22</v>
      </c>
      <c r="Q4" s="76"/>
      <c r="R4" s="2" t="s">
        <v>21</v>
      </c>
      <c r="S4" s="2" t="s">
        <v>22</v>
      </c>
      <c r="T4" s="76"/>
      <c r="U4" s="9" t="s">
        <v>21</v>
      </c>
      <c r="V4" s="9" t="s">
        <v>22</v>
      </c>
      <c r="W4" s="81"/>
      <c r="X4" s="81"/>
      <c r="Y4" s="81"/>
      <c r="Z4" s="78"/>
    </row>
    <row r="5" spans="1:26" s="19" customFormat="1" ht="20.45" customHeight="1" x14ac:dyDescent="0.25">
      <c r="A5" s="10">
        <v>1</v>
      </c>
      <c r="B5" s="10">
        <v>2</v>
      </c>
      <c r="C5" s="11">
        <v>3</v>
      </c>
      <c r="D5" s="12">
        <v>4</v>
      </c>
      <c r="E5" s="13">
        <v>5</v>
      </c>
      <c r="F5" s="13">
        <v>6</v>
      </c>
      <c r="G5" s="13">
        <v>7</v>
      </c>
      <c r="H5" s="13">
        <v>8</v>
      </c>
      <c r="I5" s="13" t="s">
        <v>23</v>
      </c>
      <c r="J5" s="13" t="s">
        <v>24</v>
      </c>
      <c r="K5" s="13" t="s">
        <v>25</v>
      </c>
      <c r="L5" s="13" t="s">
        <v>26</v>
      </c>
      <c r="M5" s="14" t="s">
        <v>27</v>
      </c>
      <c r="N5" s="15" t="s">
        <v>28</v>
      </c>
      <c r="O5" s="11">
        <v>15</v>
      </c>
      <c r="P5" s="12">
        <v>16</v>
      </c>
      <c r="Q5" s="12">
        <v>17</v>
      </c>
      <c r="R5" s="13">
        <v>18</v>
      </c>
      <c r="S5" s="13">
        <v>19</v>
      </c>
      <c r="T5" s="13">
        <v>20</v>
      </c>
      <c r="U5" s="16" t="s">
        <v>29</v>
      </c>
      <c r="V5" s="16" t="s">
        <v>30</v>
      </c>
      <c r="W5" s="16" t="s">
        <v>31</v>
      </c>
      <c r="X5" s="17" t="s">
        <v>32</v>
      </c>
      <c r="Y5" s="17" t="s">
        <v>33</v>
      </c>
      <c r="Z5" s="18" t="s">
        <v>34</v>
      </c>
    </row>
    <row r="6" spans="1:26" x14ac:dyDescent="0.25">
      <c r="A6" s="20">
        <v>1</v>
      </c>
      <c r="B6" s="20" t="s">
        <v>35</v>
      </c>
      <c r="C6" s="21">
        <f>5210138+236794438.89</f>
        <v>242004576.88999999</v>
      </c>
      <c r="D6" s="22">
        <f>ROUND(C6/0.702804,2)</f>
        <v>344341490.5</v>
      </c>
      <c r="E6" s="23">
        <f>2+186</f>
        <v>188</v>
      </c>
      <c r="F6" s="24">
        <v>3850047.7499999995</v>
      </c>
      <c r="G6" s="24">
        <f>ROUND(F6/0.702804,2)</f>
        <v>5478124.4100000001</v>
      </c>
      <c r="H6" s="23">
        <v>66</v>
      </c>
      <c r="I6" s="25">
        <f>F6/H6</f>
        <v>58334.056818181809</v>
      </c>
      <c r="J6" s="25">
        <f>G6/H6</f>
        <v>83001.885000000009</v>
      </c>
      <c r="K6" s="26">
        <f t="shared" ref="K6:K18" si="0">F6/$F$23*100%</f>
        <v>0.11285018779180717</v>
      </c>
      <c r="L6" s="26">
        <f t="shared" ref="L6:L23" si="1">H6/$H$23*100%</f>
        <v>1.7423442449841606E-2</v>
      </c>
      <c r="M6" s="27">
        <f t="shared" ref="M6:M21" si="2">F6/C6*100%</f>
        <v>1.590898734014435E-2</v>
      </c>
      <c r="N6" s="28">
        <f>H6/E6*100%</f>
        <v>0.35106382978723405</v>
      </c>
      <c r="O6" s="21">
        <f>30331037+686169335.77</f>
        <v>716500372.76999998</v>
      </c>
      <c r="P6" s="22">
        <f>43157177.5345616+ROUND(686169335.77/0.702804,2)</f>
        <v>1019488182.7245617</v>
      </c>
      <c r="Q6" s="29">
        <f>8+367</f>
        <v>375</v>
      </c>
      <c r="R6" s="24">
        <v>5877711.3199999994</v>
      </c>
      <c r="S6" s="24">
        <f>ROUND(R6/0.702804,2)</f>
        <v>8363229.75</v>
      </c>
      <c r="T6" s="23">
        <v>211</v>
      </c>
      <c r="U6" s="30">
        <f>R6/T6</f>
        <v>27856.451753554498</v>
      </c>
      <c r="V6" s="30">
        <f>S6/T6</f>
        <v>39636.159952606635</v>
      </c>
      <c r="W6" s="31">
        <f t="shared" ref="W6:W22" si="3">R6/$R$23*100%</f>
        <v>8.9351644644443312E-2</v>
      </c>
      <c r="X6" s="31">
        <f t="shared" ref="X6:X22" si="4">T6/$T$23*100%</f>
        <v>1.3152153587234308E-2</v>
      </c>
      <c r="Y6" s="31">
        <f>R6/O6*100%</f>
        <v>8.2033611472896919E-3</v>
      </c>
      <c r="Z6" s="32">
        <f t="shared" ref="Z6:Z23" si="5">T6/Q6*100%</f>
        <v>0.56266666666666665</v>
      </c>
    </row>
    <row r="7" spans="1:26" x14ac:dyDescent="0.25">
      <c r="A7" s="20">
        <v>2</v>
      </c>
      <c r="B7" s="20" t="s">
        <v>36</v>
      </c>
      <c r="C7" s="21">
        <v>151949405.68000019</v>
      </c>
      <c r="D7" s="22">
        <f t="shared" ref="D7:D22" si="6">ROUND(C7/0.702804,2)</f>
        <v>216204525.97999999</v>
      </c>
      <c r="E7" s="23">
        <v>376</v>
      </c>
      <c r="F7" s="24">
        <v>1731601.4199999997</v>
      </c>
      <c r="G7" s="24">
        <f t="shared" ref="G7:G18" si="7">ROUND(F7/0.702804,2)</f>
        <v>2463846.85</v>
      </c>
      <c r="H7" s="23">
        <v>108</v>
      </c>
      <c r="I7" s="25">
        <f t="shared" ref="I7:I22" si="8">F7/H7</f>
        <v>16033.346481481478</v>
      </c>
      <c r="J7" s="25">
        <f t="shared" ref="J7:J23" si="9">G7/H7</f>
        <v>22813.39675925926</v>
      </c>
      <c r="K7" s="26">
        <f t="shared" si="0"/>
        <v>5.0755616064128019E-2</v>
      </c>
      <c r="L7" s="26">
        <f t="shared" si="1"/>
        <v>2.8511087645195353E-2</v>
      </c>
      <c r="M7" s="27">
        <f t="shared" si="2"/>
        <v>1.1395907817149928E-2</v>
      </c>
      <c r="N7" s="28">
        <f t="shared" ref="N7:N23" si="10">H7/E7*100%</f>
        <v>0.28723404255319152</v>
      </c>
      <c r="O7" s="21">
        <v>510252795.33000004</v>
      </c>
      <c r="P7" s="22">
        <f>ROUND(O7/0.702804,2)</f>
        <v>726024318.76999998</v>
      </c>
      <c r="Q7" s="29">
        <v>608</v>
      </c>
      <c r="R7" s="24">
        <v>6280845.75</v>
      </c>
      <c r="S7" s="24">
        <f t="shared" ref="S7:S18" si="11">ROUND(R7/0.702804,2)</f>
        <v>8936838.3599999994</v>
      </c>
      <c r="T7" s="23">
        <v>438</v>
      </c>
      <c r="U7" s="30">
        <f t="shared" ref="U7:U22" si="12">R7/T7</f>
        <v>14339.830479452055</v>
      </c>
      <c r="V7" s="30">
        <f t="shared" ref="V7:V23" si="13">S7/T7</f>
        <v>20403.740547945203</v>
      </c>
      <c r="W7" s="31">
        <f t="shared" si="3"/>
        <v>9.5480003519560763E-2</v>
      </c>
      <c r="X7" s="31">
        <f t="shared" si="4"/>
        <v>2.7301626877766005E-2</v>
      </c>
      <c r="Y7" s="31">
        <f t="shared" ref="Y7:Y21" si="14">R7/O7*100%</f>
        <v>1.2309282393912093E-2</v>
      </c>
      <c r="Z7" s="32">
        <f t="shared" si="5"/>
        <v>0.72039473684210531</v>
      </c>
    </row>
    <row r="8" spans="1:26" x14ac:dyDescent="0.25">
      <c r="A8" s="20">
        <v>3</v>
      </c>
      <c r="B8" s="20" t="s">
        <v>37</v>
      </c>
      <c r="C8" s="21">
        <v>28004648.100000024</v>
      </c>
      <c r="D8" s="22">
        <f t="shared" si="6"/>
        <v>39847024.350000001</v>
      </c>
      <c r="E8" s="23">
        <v>1147</v>
      </c>
      <c r="F8" s="24">
        <v>15738703.25</v>
      </c>
      <c r="G8" s="24">
        <f t="shared" si="7"/>
        <v>22394157.190000001</v>
      </c>
      <c r="H8" s="23">
        <v>178</v>
      </c>
      <c r="I8" s="25">
        <f t="shared" si="8"/>
        <v>88419.681179775274</v>
      </c>
      <c r="J8" s="25">
        <f t="shared" si="9"/>
        <v>125809.87185393259</v>
      </c>
      <c r="K8" s="26">
        <f t="shared" si="0"/>
        <v>0.46132301017877664</v>
      </c>
      <c r="L8" s="26">
        <f t="shared" si="1"/>
        <v>4.6990496304118265E-2</v>
      </c>
      <c r="M8" s="27">
        <f t="shared" si="2"/>
        <v>0.56200325009618624</v>
      </c>
      <c r="N8" s="28">
        <f t="shared" si="10"/>
        <v>0.15518744551002617</v>
      </c>
      <c r="O8" s="21">
        <v>321971676.45000005</v>
      </c>
      <c r="P8" s="22">
        <f t="shared" ref="P8:P18" si="15">ROUND(O8/0.702804,2)</f>
        <v>458124422.24000001</v>
      </c>
      <c r="Q8" s="29">
        <v>2430</v>
      </c>
      <c r="R8" s="24">
        <v>24252980.039999995</v>
      </c>
      <c r="S8" s="24">
        <f t="shared" si="11"/>
        <v>34508881.619999997</v>
      </c>
      <c r="T8" s="23">
        <v>660</v>
      </c>
      <c r="U8" s="30">
        <f t="shared" si="12"/>
        <v>36746.939454545449</v>
      </c>
      <c r="V8" s="30">
        <f t="shared" si="13"/>
        <v>52286.184272727267</v>
      </c>
      <c r="W8" s="31">
        <f t="shared" si="3"/>
        <v>0.36868834417387758</v>
      </c>
      <c r="X8" s="31">
        <f t="shared" si="4"/>
        <v>4.1139437761017264E-2</v>
      </c>
      <c r="Y8" s="31">
        <f t="shared" si="14"/>
        <v>7.5326439603038545E-2</v>
      </c>
      <c r="Z8" s="32">
        <f t="shared" si="5"/>
        <v>0.27160493827160492</v>
      </c>
    </row>
    <row r="9" spans="1:26" x14ac:dyDescent="0.25">
      <c r="A9" s="20">
        <v>4</v>
      </c>
      <c r="B9" s="20" t="s">
        <v>38</v>
      </c>
      <c r="C9" s="21">
        <v>68382474.930000037</v>
      </c>
      <c r="D9" s="22">
        <f t="shared" si="6"/>
        <v>97299495.920000002</v>
      </c>
      <c r="E9" s="23">
        <v>21</v>
      </c>
      <c r="F9" s="24">
        <v>927455.63</v>
      </c>
      <c r="G9" s="24">
        <f t="shared" si="7"/>
        <v>1319650.47</v>
      </c>
      <c r="H9" s="23">
        <v>169</v>
      </c>
      <c r="I9" s="25">
        <f t="shared" si="8"/>
        <v>5487.9031360946747</v>
      </c>
      <c r="J9" s="25">
        <f t="shared" si="9"/>
        <v>7808.582662721893</v>
      </c>
      <c r="K9" s="26">
        <f t="shared" si="0"/>
        <v>2.7184998423478993E-2</v>
      </c>
      <c r="L9" s="26">
        <f t="shared" si="1"/>
        <v>4.4614572333685321E-2</v>
      </c>
      <c r="M9" s="27">
        <f t="shared" si="2"/>
        <v>1.3562767813674385E-2</v>
      </c>
      <c r="N9" s="28">
        <f t="shared" si="10"/>
        <v>8.0476190476190474</v>
      </c>
      <c r="O9" s="21">
        <v>303334958.10000002</v>
      </c>
      <c r="P9" s="22">
        <f t="shared" si="15"/>
        <v>431606761.06</v>
      </c>
      <c r="Q9" s="29">
        <v>115</v>
      </c>
      <c r="R9" s="24">
        <v>7412251.3700000001</v>
      </c>
      <c r="S9" s="24">
        <f t="shared" si="11"/>
        <v>10546683.529999999</v>
      </c>
      <c r="T9" s="23">
        <v>903</v>
      </c>
      <c r="U9" s="30">
        <f t="shared" si="12"/>
        <v>8208.4732779623482</v>
      </c>
      <c r="V9" s="30">
        <f t="shared" si="13"/>
        <v>11679.605238095237</v>
      </c>
      <c r="W9" s="31">
        <f t="shared" si="3"/>
        <v>0.11267937711978822</v>
      </c>
      <c r="X9" s="31">
        <f t="shared" si="4"/>
        <v>5.6286230754846352E-2</v>
      </c>
      <c r="Y9" s="31">
        <f t="shared" si="14"/>
        <v>2.4435862639862343E-2</v>
      </c>
      <c r="Z9" s="32">
        <f t="shared" si="5"/>
        <v>7.8521739130434787</v>
      </c>
    </row>
    <row r="10" spans="1:26" x14ac:dyDescent="0.25">
      <c r="A10" s="20">
        <v>5</v>
      </c>
      <c r="B10" s="20" t="s">
        <v>39</v>
      </c>
      <c r="C10" s="21">
        <v>47840888.050000012</v>
      </c>
      <c r="D10" s="22">
        <f t="shared" si="6"/>
        <v>68071451</v>
      </c>
      <c r="E10" s="23">
        <v>230</v>
      </c>
      <c r="F10" s="24">
        <v>4390738.28</v>
      </c>
      <c r="G10" s="24">
        <f t="shared" si="7"/>
        <v>6247457.7300000004</v>
      </c>
      <c r="H10" s="23">
        <v>129</v>
      </c>
      <c r="I10" s="25">
        <f t="shared" si="8"/>
        <v>34036.730852713183</v>
      </c>
      <c r="J10" s="25">
        <f t="shared" si="9"/>
        <v>48429.904883720934</v>
      </c>
      <c r="K10" s="26">
        <f t="shared" si="0"/>
        <v>0.1286985698924582</v>
      </c>
      <c r="L10" s="26">
        <f t="shared" si="1"/>
        <v>3.405491024287223E-2</v>
      </c>
      <c r="M10" s="27">
        <f t="shared" si="2"/>
        <v>9.1777942654640982E-2</v>
      </c>
      <c r="N10" s="28">
        <f t="shared" si="10"/>
        <v>0.56086956521739129</v>
      </c>
      <c r="O10" s="21">
        <v>265731279.51000002</v>
      </c>
      <c r="P10" s="22">
        <f t="shared" si="15"/>
        <v>378101546.81999999</v>
      </c>
      <c r="Q10" s="29">
        <v>358</v>
      </c>
      <c r="R10" s="24">
        <v>5604550.830000001</v>
      </c>
      <c r="S10" s="24">
        <f t="shared" si="11"/>
        <v>7974557.3899999997</v>
      </c>
      <c r="T10" s="23">
        <v>386</v>
      </c>
      <c r="U10" s="30">
        <f t="shared" si="12"/>
        <v>14519.561735751298</v>
      </c>
      <c r="V10" s="30">
        <f t="shared" si="13"/>
        <v>20659.475103626941</v>
      </c>
      <c r="W10" s="31">
        <f t="shared" si="3"/>
        <v>8.5199120353171745E-2</v>
      </c>
      <c r="X10" s="31">
        <f t="shared" si="4"/>
        <v>2.4060337842049494E-2</v>
      </c>
      <c r="Y10" s="31">
        <f t="shared" si="14"/>
        <v>2.1091046715819881E-2</v>
      </c>
      <c r="Z10" s="32">
        <f t="shared" si="5"/>
        <v>1.0782122905027933</v>
      </c>
    </row>
    <row r="11" spans="1:26" x14ac:dyDescent="0.25">
      <c r="A11" s="20">
        <v>6</v>
      </c>
      <c r="B11" s="20" t="s">
        <v>40</v>
      </c>
      <c r="C11" s="21">
        <f>107281778.98+41925.39</f>
        <v>107323704.37</v>
      </c>
      <c r="D11" s="22">
        <f t="shared" si="6"/>
        <v>152707873.56</v>
      </c>
      <c r="E11" s="23">
        <f>94+4</f>
        <v>98</v>
      </c>
      <c r="F11" s="24">
        <f>1560589.19+47.36</f>
        <v>1560636.55</v>
      </c>
      <c r="G11" s="24">
        <f>ROUND(F11/0.702804,2)</f>
        <v>2220585.75</v>
      </c>
      <c r="H11" s="23">
        <f>62+1</f>
        <v>63</v>
      </c>
      <c r="I11" s="25">
        <f t="shared" si="8"/>
        <v>24772.00873015873</v>
      </c>
      <c r="J11" s="25">
        <f t="shared" si="9"/>
        <v>35247.392857142855</v>
      </c>
      <c r="K11" s="26">
        <f t="shared" si="0"/>
        <v>4.5744400895354628E-2</v>
      </c>
      <c r="L11" s="26">
        <f t="shared" si="1"/>
        <v>1.6631467793030624E-2</v>
      </c>
      <c r="M11" s="27">
        <f t="shared" si="2"/>
        <v>1.4541396601627571E-2</v>
      </c>
      <c r="N11" s="28">
        <f t="shared" si="10"/>
        <v>0.6428571428571429</v>
      </c>
      <c r="O11" s="21">
        <f>266539002.28+144440.9</f>
        <v>266683443.18000001</v>
      </c>
      <c r="P11" s="22">
        <f>ROUND(O11/0.702804,2)</f>
        <v>379456353.66000003</v>
      </c>
      <c r="Q11" s="29">
        <f>112+7</f>
        <v>119</v>
      </c>
      <c r="R11" s="24">
        <f>4057612.98+47.36</f>
        <v>4057660.34</v>
      </c>
      <c r="S11" s="24">
        <f t="shared" si="11"/>
        <v>5773530.5099999998</v>
      </c>
      <c r="T11" s="23">
        <f>89+1</f>
        <v>90</v>
      </c>
      <c r="U11" s="30">
        <f t="shared" si="12"/>
        <v>45085.114888888886</v>
      </c>
      <c r="V11" s="30">
        <f t="shared" si="13"/>
        <v>64150.339</v>
      </c>
      <c r="W11" s="31">
        <f t="shared" si="3"/>
        <v>6.1683639268546295E-2</v>
      </c>
      <c r="X11" s="31">
        <f t="shared" si="4"/>
        <v>5.6099233310478091E-3</v>
      </c>
      <c r="Y11" s="31">
        <f t="shared" si="14"/>
        <v>1.5215269053134474E-2</v>
      </c>
      <c r="Z11" s="32">
        <f t="shared" si="5"/>
        <v>0.75630252100840334</v>
      </c>
    </row>
    <row r="12" spans="1:26" x14ac:dyDescent="0.25">
      <c r="A12" s="20">
        <v>7</v>
      </c>
      <c r="B12" s="20" t="s">
        <v>41</v>
      </c>
      <c r="C12" s="21">
        <v>42204666.700000048</v>
      </c>
      <c r="D12" s="22">
        <f t="shared" si="6"/>
        <v>60051830.520000003</v>
      </c>
      <c r="E12" s="23">
        <v>46</v>
      </c>
      <c r="F12" s="24">
        <v>1506597.7499999998</v>
      </c>
      <c r="G12" s="24">
        <f t="shared" si="7"/>
        <v>2143695.4700000002</v>
      </c>
      <c r="H12" s="23">
        <v>311</v>
      </c>
      <c r="I12" s="25">
        <f t="shared" si="8"/>
        <v>4844.3657556270091</v>
      </c>
      <c r="J12" s="25">
        <f t="shared" si="9"/>
        <v>6892.9114790996791</v>
      </c>
      <c r="K12" s="26">
        <f t="shared" si="0"/>
        <v>4.4160449442273576E-2</v>
      </c>
      <c r="L12" s="26">
        <f t="shared" si="1"/>
        <v>8.2101372756071808E-2</v>
      </c>
      <c r="M12" s="27">
        <f t="shared" si="2"/>
        <v>3.5697420873128188E-2</v>
      </c>
      <c r="N12" s="28">
        <f t="shared" si="10"/>
        <v>6.7608695652173916</v>
      </c>
      <c r="O12" s="21">
        <v>140255826.97000003</v>
      </c>
      <c r="P12" s="22">
        <f t="shared" si="15"/>
        <v>199566062.47</v>
      </c>
      <c r="Q12" s="29">
        <v>51</v>
      </c>
      <c r="R12" s="24">
        <v>1852403.74</v>
      </c>
      <c r="S12" s="24">
        <f t="shared" si="11"/>
        <v>2635733.06</v>
      </c>
      <c r="T12" s="23">
        <v>667</v>
      </c>
      <c r="U12" s="30">
        <f t="shared" si="12"/>
        <v>2777.2170014992503</v>
      </c>
      <c r="V12" s="30">
        <f t="shared" si="13"/>
        <v>3951.6237781109444</v>
      </c>
      <c r="W12" s="31">
        <f t="shared" si="3"/>
        <v>2.8159824752080165E-2</v>
      </c>
      <c r="X12" s="31">
        <f t="shared" si="4"/>
        <v>4.157576513120987E-2</v>
      </c>
      <c r="Y12" s="31">
        <f t="shared" si="14"/>
        <v>1.3207321079046644E-2</v>
      </c>
      <c r="Z12" s="32">
        <f t="shared" si="5"/>
        <v>13.078431372549019</v>
      </c>
    </row>
    <row r="13" spans="1:26" x14ac:dyDescent="0.25">
      <c r="A13" s="20">
        <v>8</v>
      </c>
      <c r="B13" s="20" t="s">
        <v>42</v>
      </c>
      <c r="C13" s="21">
        <v>51416306.75999999</v>
      </c>
      <c r="D13" s="22">
        <f t="shared" si="6"/>
        <v>73158813.5</v>
      </c>
      <c r="E13" s="23">
        <v>179</v>
      </c>
      <c r="F13" s="24">
        <v>1295125.5799999998</v>
      </c>
      <c r="G13" s="24">
        <f t="shared" si="7"/>
        <v>1842797.68</v>
      </c>
      <c r="H13" s="23">
        <v>70</v>
      </c>
      <c r="I13" s="25">
        <f t="shared" si="8"/>
        <v>18501.793999999998</v>
      </c>
      <c r="J13" s="25">
        <f t="shared" si="9"/>
        <v>26325.681142857142</v>
      </c>
      <c r="K13" s="26">
        <f t="shared" si="0"/>
        <v>3.7961909671632821E-2</v>
      </c>
      <c r="L13" s="26">
        <f t="shared" si="1"/>
        <v>1.8479408658922915E-2</v>
      </c>
      <c r="M13" s="27">
        <f t="shared" si="2"/>
        <v>2.518900445427481E-2</v>
      </c>
      <c r="N13" s="28">
        <f t="shared" si="10"/>
        <v>0.39106145251396646</v>
      </c>
      <c r="O13" s="21">
        <v>163946748.18000001</v>
      </c>
      <c r="P13" s="22">
        <f t="shared" si="15"/>
        <v>233275206.43000001</v>
      </c>
      <c r="Q13" s="29">
        <v>287</v>
      </c>
      <c r="R13" s="24">
        <v>1892425.55</v>
      </c>
      <c r="S13" s="24">
        <f t="shared" si="11"/>
        <v>2692678.97</v>
      </c>
      <c r="T13" s="23">
        <v>170</v>
      </c>
      <c r="U13" s="30">
        <f t="shared" si="12"/>
        <v>11131.915000000001</v>
      </c>
      <c r="V13" s="30">
        <f t="shared" si="13"/>
        <v>15839.288058823531</v>
      </c>
      <c r="W13" s="31">
        <f t="shared" si="3"/>
        <v>2.8768227300361056E-2</v>
      </c>
      <c r="X13" s="31">
        <f t="shared" si="4"/>
        <v>1.059652184753475E-2</v>
      </c>
      <c r="Y13" s="31">
        <f t="shared" si="14"/>
        <v>1.1542928243518883E-2</v>
      </c>
      <c r="Z13" s="32">
        <f t="shared" si="5"/>
        <v>0.59233449477351918</v>
      </c>
    </row>
    <row r="14" spans="1:26" x14ac:dyDescent="0.25">
      <c r="A14" s="20">
        <v>9</v>
      </c>
      <c r="B14" s="20" t="s">
        <v>43</v>
      </c>
      <c r="C14" s="21">
        <v>29587891.079999998</v>
      </c>
      <c r="D14" s="22">
        <f t="shared" si="6"/>
        <v>42099776.149999999</v>
      </c>
      <c r="E14" s="23">
        <v>831</v>
      </c>
      <c r="F14" s="24">
        <v>676068.35</v>
      </c>
      <c r="G14" s="24">
        <f t="shared" si="7"/>
        <v>961958.6</v>
      </c>
      <c r="H14" s="23">
        <v>218</v>
      </c>
      <c r="I14" s="25">
        <f t="shared" si="8"/>
        <v>3101.2309633027521</v>
      </c>
      <c r="J14" s="25">
        <f t="shared" si="9"/>
        <v>4412.6541284403665</v>
      </c>
      <c r="K14" s="26">
        <f t="shared" si="0"/>
        <v>1.9816491953274402E-2</v>
      </c>
      <c r="L14" s="26">
        <f t="shared" si="1"/>
        <v>5.7550158394931362E-2</v>
      </c>
      <c r="M14" s="27">
        <f t="shared" si="2"/>
        <v>2.2849494347942558E-2</v>
      </c>
      <c r="N14" s="28">
        <f t="shared" si="10"/>
        <v>0.26233453670276774</v>
      </c>
      <c r="O14" s="33">
        <f>65157198.78+1088518.33</f>
        <v>66245717.109999999</v>
      </c>
      <c r="P14" s="22">
        <f t="shared" si="15"/>
        <v>94259163.450000003</v>
      </c>
      <c r="Q14" s="29">
        <f>1091+1</f>
        <v>1092</v>
      </c>
      <c r="R14" s="24">
        <v>1343873.9</v>
      </c>
      <c r="S14" s="24">
        <f t="shared" si="11"/>
        <v>1912160.29</v>
      </c>
      <c r="T14" s="23">
        <v>387</v>
      </c>
      <c r="U14" s="30">
        <f t="shared" si="12"/>
        <v>3472.5423772609815</v>
      </c>
      <c r="V14" s="30">
        <f t="shared" si="13"/>
        <v>4940.9826614987078</v>
      </c>
      <c r="W14" s="31">
        <f t="shared" si="3"/>
        <v>2.0429268574514162E-2</v>
      </c>
      <c r="X14" s="31">
        <f t="shared" si="4"/>
        <v>2.4122670323505579E-2</v>
      </c>
      <c r="Y14" s="31">
        <f t="shared" si="14"/>
        <v>2.0286200506645855E-2</v>
      </c>
      <c r="Z14" s="32">
        <f t="shared" si="5"/>
        <v>0.35439560439560441</v>
      </c>
    </row>
    <row r="15" spans="1:26" x14ac:dyDescent="0.25">
      <c r="A15" s="20">
        <v>10</v>
      </c>
      <c r="B15" s="20" t="s">
        <v>44</v>
      </c>
      <c r="C15" s="21">
        <v>9429939.4099999964</v>
      </c>
      <c r="D15" s="22">
        <f t="shared" si="6"/>
        <v>13417594.960000001</v>
      </c>
      <c r="E15" s="23">
        <v>39</v>
      </c>
      <c r="F15" s="24">
        <v>7272.37</v>
      </c>
      <c r="G15" s="24">
        <f t="shared" si="7"/>
        <v>10347.65</v>
      </c>
      <c r="H15" s="23">
        <f>24-6</f>
        <v>18</v>
      </c>
      <c r="I15" s="25">
        <f t="shared" si="8"/>
        <v>404.02055555555557</v>
      </c>
      <c r="J15" s="25">
        <f t="shared" si="9"/>
        <v>574.86944444444441</v>
      </c>
      <c r="K15" s="26">
        <f t="shared" si="0"/>
        <v>2.131631536755628E-4</v>
      </c>
      <c r="L15" s="26">
        <f t="shared" si="1"/>
        <v>4.7518479408658922E-3</v>
      </c>
      <c r="M15" s="27">
        <f t="shared" si="2"/>
        <v>7.7120007709572367E-4</v>
      </c>
      <c r="N15" s="28">
        <f t="shared" si="10"/>
        <v>0.46153846153846156</v>
      </c>
      <c r="O15" s="21">
        <v>47307144.68</v>
      </c>
      <c r="P15" s="22">
        <f t="shared" si="15"/>
        <v>67312002.609999999</v>
      </c>
      <c r="Q15" s="29">
        <v>143</v>
      </c>
      <c r="R15" s="24">
        <v>222499.4</v>
      </c>
      <c r="S15" s="24">
        <f t="shared" si="11"/>
        <v>316588.12</v>
      </c>
      <c r="T15" s="23">
        <v>583</v>
      </c>
      <c r="U15" s="30">
        <f t="shared" si="12"/>
        <v>381.64562607204118</v>
      </c>
      <c r="V15" s="30">
        <f t="shared" si="13"/>
        <v>543.03279588336193</v>
      </c>
      <c r="W15" s="31">
        <f t="shared" si="3"/>
        <v>3.3823858029151817E-3</v>
      </c>
      <c r="X15" s="31">
        <f t="shared" si="4"/>
        <v>3.6339836688898584E-2</v>
      </c>
      <c r="Y15" s="31">
        <f t="shared" si="14"/>
        <v>4.7032937943106484E-3</v>
      </c>
      <c r="Z15" s="32">
        <f t="shared" si="5"/>
        <v>4.0769230769230766</v>
      </c>
    </row>
    <row r="16" spans="1:26" x14ac:dyDescent="0.25">
      <c r="A16" s="20">
        <v>11</v>
      </c>
      <c r="B16" s="20" t="s">
        <v>45</v>
      </c>
      <c r="C16" s="21">
        <v>8594090.2699999996</v>
      </c>
      <c r="D16" s="22">
        <f t="shared" si="6"/>
        <v>12228288.779999999</v>
      </c>
      <c r="E16" s="23">
        <v>10</v>
      </c>
      <c r="F16" s="24">
        <v>166288.06</v>
      </c>
      <c r="G16" s="24">
        <f t="shared" si="7"/>
        <v>236606.59</v>
      </c>
      <c r="H16" s="23">
        <v>14</v>
      </c>
      <c r="I16" s="25">
        <f t="shared" si="8"/>
        <v>11877.718571428572</v>
      </c>
      <c r="J16" s="25">
        <f t="shared" si="9"/>
        <v>16900.470714285715</v>
      </c>
      <c r="K16" s="26">
        <f t="shared" si="0"/>
        <v>4.8741314438334694E-3</v>
      </c>
      <c r="L16" s="26">
        <f t="shared" si="1"/>
        <v>3.6958817317845828E-3</v>
      </c>
      <c r="M16" s="27">
        <f t="shared" si="2"/>
        <v>1.9349117216102968E-2</v>
      </c>
      <c r="N16" s="28">
        <f t="shared" si="10"/>
        <v>1.4</v>
      </c>
      <c r="O16" s="21">
        <v>20761484.859999999</v>
      </c>
      <c r="P16" s="22">
        <f t="shared" si="15"/>
        <v>29540931.550000001</v>
      </c>
      <c r="Q16" s="29">
        <v>14</v>
      </c>
      <c r="R16" s="24">
        <v>182012.27</v>
      </c>
      <c r="S16" s="24">
        <f t="shared" si="11"/>
        <v>258980.13</v>
      </c>
      <c r="T16" s="23">
        <v>22</v>
      </c>
      <c r="U16" s="30">
        <f t="shared" si="12"/>
        <v>8273.2849999999999</v>
      </c>
      <c r="V16" s="30">
        <f t="shared" si="13"/>
        <v>11771.824090909091</v>
      </c>
      <c r="W16" s="31">
        <f t="shared" si="3"/>
        <v>2.7669095647195668E-3</v>
      </c>
      <c r="X16" s="31">
        <f t="shared" si="4"/>
        <v>1.3713145920339089E-3</v>
      </c>
      <c r="Y16" s="31">
        <f t="shared" si="14"/>
        <v>8.7668233378949169E-3</v>
      </c>
      <c r="Z16" s="32">
        <f t="shared" si="5"/>
        <v>1.5714285714285714</v>
      </c>
    </row>
    <row r="17" spans="1:26" x14ac:dyDescent="0.25">
      <c r="A17" s="20">
        <v>12</v>
      </c>
      <c r="B17" s="20" t="s">
        <v>46</v>
      </c>
      <c r="C17" s="21">
        <v>5050697.5</v>
      </c>
      <c r="D17" s="22">
        <f t="shared" si="6"/>
        <v>7186495.0999999996</v>
      </c>
      <c r="E17" s="23">
        <v>275</v>
      </c>
      <c r="F17" s="24">
        <v>122790.3</v>
      </c>
      <c r="G17" s="24">
        <f t="shared" si="7"/>
        <v>174714.86</v>
      </c>
      <c r="H17" s="23">
        <v>128</v>
      </c>
      <c r="I17" s="25">
        <f t="shared" si="8"/>
        <v>959.29921875000002</v>
      </c>
      <c r="J17" s="25">
        <f t="shared" si="9"/>
        <v>1364.9598437499999</v>
      </c>
      <c r="K17" s="26">
        <f t="shared" si="0"/>
        <v>3.5991523518149461E-3</v>
      </c>
      <c r="L17" s="26">
        <f t="shared" si="1"/>
        <v>3.3790918690601898E-2</v>
      </c>
      <c r="M17" s="27">
        <f t="shared" si="2"/>
        <v>2.4311553008272622E-2</v>
      </c>
      <c r="N17" s="28">
        <f t="shared" si="10"/>
        <v>0.46545454545454545</v>
      </c>
      <c r="O17" s="21">
        <v>16769220.43</v>
      </c>
      <c r="P17" s="22">
        <f t="shared" si="15"/>
        <v>23860451.039999999</v>
      </c>
      <c r="Q17" s="29">
        <v>481</v>
      </c>
      <c r="R17" s="24">
        <v>288551.83999999997</v>
      </c>
      <c r="S17" s="24">
        <f t="shared" si="11"/>
        <v>410572.28</v>
      </c>
      <c r="T17" s="23">
        <v>277</v>
      </c>
      <c r="U17" s="30">
        <f t="shared" si="12"/>
        <v>1041.7033935018048</v>
      </c>
      <c r="V17" s="30">
        <f t="shared" si="13"/>
        <v>1482.2103971119134</v>
      </c>
      <c r="W17" s="31">
        <f t="shared" si="3"/>
        <v>4.3865001299826113E-3</v>
      </c>
      <c r="X17" s="31">
        <f t="shared" si="4"/>
        <v>1.7266097363336036E-2</v>
      </c>
      <c r="Y17" s="31">
        <f t="shared" si="14"/>
        <v>1.7207230425797436E-2</v>
      </c>
      <c r="Z17" s="32">
        <f t="shared" si="5"/>
        <v>0.57588357588357586</v>
      </c>
    </row>
    <row r="18" spans="1:26" x14ac:dyDescent="0.25">
      <c r="A18" s="20">
        <v>13</v>
      </c>
      <c r="B18" s="20" t="s">
        <v>47</v>
      </c>
      <c r="C18" s="21">
        <v>4048251.91</v>
      </c>
      <c r="D18" s="22">
        <f t="shared" si="6"/>
        <v>5760143.5300000003</v>
      </c>
      <c r="E18" s="23">
        <v>16</v>
      </c>
      <c r="F18" s="24">
        <v>252163.09000000003</v>
      </c>
      <c r="G18" s="24">
        <f t="shared" si="7"/>
        <v>358795.75</v>
      </c>
      <c r="H18" s="23">
        <v>53</v>
      </c>
      <c r="I18" s="25">
        <f t="shared" si="8"/>
        <v>4757.7941509433967</v>
      </c>
      <c r="J18" s="25">
        <f t="shared" si="9"/>
        <v>6769.7311320754716</v>
      </c>
      <c r="K18" s="26">
        <f t="shared" si="0"/>
        <v>7.3912465269196674E-3</v>
      </c>
      <c r="L18" s="26">
        <f t="shared" si="1"/>
        <v>1.399155227032735E-2</v>
      </c>
      <c r="M18" s="27">
        <f t="shared" si="2"/>
        <v>6.2289377145010726E-2</v>
      </c>
      <c r="N18" s="28">
        <f t="shared" si="10"/>
        <v>3.3125</v>
      </c>
      <c r="O18" s="21">
        <v>12279917.760000002</v>
      </c>
      <c r="P18" s="22">
        <f t="shared" si="15"/>
        <v>17472748.82</v>
      </c>
      <c r="Q18" s="29">
        <v>29</v>
      </c>
      <c r="R18" s="24">
        <v>737892.89000000013</v>
      </c>
      <c r="S18" s="24">
        <f t="shared" si="11"/>
        <v>1049926.99</v>
      </c>
      <c r="T18" s="23">
        <v>116</v>
      </c>
      <c r="U18" s="30">
        <f t="shared" si="12"/>
        <v>6361.1456034482771</v>
      </c>
      <c r="V18" s="30">
        <f t="shared" si="13"/>
        <v>9051.094741379311</v>
      </c>
      <c r="W18" s="31">
        <f t="shared" si="3"/>
        <v>1.1217281643042877E-2</v>
      </c>
      <c r="X18" s="31">
        <f t="shared" si="4"/>
        <v>7.2305678489060646E-3</v>
      </c>
      <c r="Y18" s="31">
        <f t="shared" si="14"/>
        <v>6.0089399979825271E-2</v>
      </c>
      <c r="Z18" s="32">
        <f t="shared" si="5"/>
        <v>4</v>
      </c>
    </row>
    <row r="19" spans="1:26" x14ac:dyDescent="0.25">
      <c r="A19" s="20">
        <v>14</v>
      </c>
      <c r="B19" s="58" t="s">
        <v>48</v>
      </c>
      <c r="C19" s="21">
        <v>320979969.03999996</v>
      </c>
      <c r="D19" s="22">
        <f t="shared" si="6"/>
        <v>456713349.72000003</v>
      </c>
      <c r="E19" s="23">
        <v>226134</v>
      </c>
      <c r="F19" s="24">
        <v>1546112</v>
      </c>
      <c r="G19" s="24">
        <v>2199919.1800000002</v>
      </c>
      <c r="H19" s="23">
        <v>2194</v>
      </c>
      <c r="I19" s="25">
        <f t="shared" si="8"/>
        <v>704.70009115770279</v>
      </c>
      <c r="J19" s="25">
        <f t="shared" si="9"/>
        <v>1002.6978942570648</v>
      </c>
      <c r="K19" s="26">
        <f>F19/$F$23</f>
        <v>4.5318666384635511E-2</v>
      </c>
      <c r="L19" s="26">
        <f t="shared" si="1"/>
        <v>0.5791974656810982</v>
      </c>
      <c r="M19" s="27">
        <f t="shared" si="2"/>
        <v>4.816848866376849E-3</v>
      </c>
      <c r="N19" s="28">
        <f t="shared" si="10"/>
        <v>9.702211962818506E-3</v>
      </c>
      <c r="O19" s="21">
        <v>1785268223.9700003</v>
      </c>
      <c r="P19" s="22">
        <v>2540207830.3000002</v>
      </c>
      <c r="Q19" s="29">
        <v>1830353</v>
      </c>
      <c r="R19" s="24">
        <v>5125360.32</v>
      </c>
      <c r="S19" s="24">
        <v>7292730.7199999997</v>
      </c>
      <c r="T19" s="23">
        <v>10908</v>
      </c>
      <c r="U19" s="30">
        <f t="shared" si="12"/>
        <v>469.87168316831685</v>
      </c>
      <c r="V19" s="30">
        <f t="shared" si="13"/>
        <v>668.56717271727166</v>
      </c>
      <c r="W19" s="31">
        <f t="shared" si="3"/>
        <v>7.7914574067133729E-2</v>
      </c>
      <c r="X19" s="31">
        <f t="shared" si="4"/>
        <v>0.67992270772299446</v>
      </c>
      <c r="Y19" s="31">
        <f t="shared" si="14"/>
        <v>2.8709189191764425E-3</v>
      </c>
      <c r="Z19" s="32">
        <f t="shared" si="5"/>
        <v>5.9595061717603107E-3</v>
      </c>
    </row>
    <row r="20" spans="1:26" x14ac:dyDescent="0.25">
      <c r="A20" s="20">
        <v>15</v>
      </c>
      <c r="B20" s="20" t="s">
        <v>49</v>
      </c>
      <c r="C20" s="21">
        <v>15780109.580000002</v>
      </c>
      <c r="D20" s="22">
        <f t="shared" si="6"/>
        <v>22453073.09</v>
      </c>
      <c r="E20" s="23">
        <v>274</v>
      </c>
      <c r="F20" s="24">
        <v>308968</v>
      </c>
      <c r="G20" s="24">
        <v>439621.86</v>
      </c>
      <c r="H20" s="23">
        <v>7</v>
      </c>
      <c r="I20" s="25">
        <f t="shared" si="8"/>
        <v>44138.285714285717</v>
      </c>
      <c r="J20" s="25">
        <f t="shared" si="9"/>
        <v>62803.122857142858</v>
      </c>
      <c r="K20" s="26">
        <f>F20/$F$23*100%</f>
        <v>9.056276463495572E-3</v>
      </c>
      <c r="L20" s="26">
        <f t="shared" si="1"/>
        <v>1.8479408658922914E-3</v>
      </c>
      <c r="M20" s="27">
        <f t="shared" si="2"/>
        <v>1.9579585200827226E-2</v>
      </c>
      <c r="N20" s="28">
        <f t="shared" si="10"/>
        <v>2.5547445255474453E-2</v>
      </c>
      <c r="O20" s="21">
        <v>90916225.579999998</v>
      </c>
      <c r="P20" s="22">
        <v>129362134.51000001</v>
      </c>
      <c r="Q20" s="29">
        <v>1753</v>
      </c>
      <c r="R20" s="24">
        <v>565475.67000000004</v>
      </c>
      <c r="S20" s="24">
        <v>804599.39</v>
      </c>
      <c r="T20" s="23">
        <v>22</v>
      </c>
      <c r="U20" s="30">
        <f t="shared" si="12"/>
        <v>25703.439545454548</v>
      </c>
      <c r="V20" s="30">
        <f t="shared" si="13"/>
        <v>36572.699545454547</v>
      </c>
      <c r="W20" s="31">
        <f t="shared" si="3"/>
        <v>8.5962338689540303E-3</v>
      </c>
      <c r="X20" s="31">
        <f t="shared" si="4"/>
        <v>1.3713145920339089E-3</v>
      </c>
      <c r="Y20" s="31">
        <f t="shared" si="14"/>
        <v>6.2197442358891209E-3</v>
      </c>
      <c r="Z20" s="32">
        <f t="shared" si="5"/>
        <v>1.2549914432401598E-2</v>
      </c>
    </row>
    <row r="21" spans="1:26" x14ac:dyDescent="0.25">
      <c r="A21" s="20">
        <v>16</v>
      </c>
      <c r="B21" s="20" t="s">
        <v>50</v>
      </c>
      <c r="C21" s="21">
        <v>14095223.440075999</v>
      </c>
      <c r="D21" s="22">
        <f t="shared" si="6"/>
        <v>20055696.100000001</v>
      </c>
      <c r="E21" s="23">
        <v>13</v>
      </c>
      <c r="F21" s="24">
        <v>26932.34184108</v>
      </c>
      <c r="G21" s="24">
        <v>38321.269999999997</v>
      </c>
      <c r="H21" s="23">
        <v>7</v>
      </c>
      <c r="I21" s="25">
        <f t="shared" si="8"/>
        <v>3847.4774058685716</v>
      </c>
      <c r="J21" s="25">
        <f t="shared" si="9"/>
        <v>5474.4671428571428</v>
      </c>
      <c r="K21" s="26">
        <f>F21/$F$23*100%</f>
        <v>7.8942393232370276E-4</v>
      </c>
      <c r="L21" s="26">
        <f t="shared" si="1"/>
        <v>1.8479408658922914E-3</v>
      </c>
      <c r="M21" s="27">
        <f t="shared" si="2"/>
        <v>1.9107424551004341E-3</v>
      </c>
      <c r="N21" s="28">
        <f t="shared" si="10"/>
        <v>0.53846153846153844</v>
      </c>
      <c r="O21" s="21">
        <v>52639327.339999996</v>
      </c>
      <c r="P21" s="22">
        <v>74899015.002760381</v>
      </c>
      <c r="Q21" s="29">
        <v>339</v>
      </c>
      <c r="R21" s="24">
        <v>26932.34184108</v>
      </c>
      <c r="S21" s="24">
        <v>38321.269999999997</v>
      </c>
      <c r="T21" s="23">
        <v>7</v>
      </c>
      <c r="U21" s="30">
        <f t="shared" si="12"/>
        <v>3847.4774058685716</v>
      </c>
      <c r="V21" s="30">
        <f t="shared" si="13"/>
        <v>5474.4671428571428</v>
      </c>
      <c r="W21" s="31">
        <f t="shared" si="3"/>
        <v>4.0941939925468346E-4</v>
      </c>
      <c r="X21" s="31">
        <f t="shared" si="4"/>
        <v>4.3632737019260739E-4</v>
      </c>
      <c r="Y21" s="31">
        <f t="shared" si="14"/>
        <v>5.1163917173794194E-4</v>
      </c>
      <c r="Z21" s="32">
        <f t="shared" si="5"/>
        <v>2.0648967551622419E-2</v>
      </c>
    </row>
    <row r="22" spans="1:26" ht="16.5" thickBot="1" x14ac:dyDescent="0.3">
      <c r="A22" s="34">
        <v>17</v>
      </c>
      <c r="B22" s="58" t="s">
        <v>51</v>
      </c>
      <c r="C22" s="35">
        <f>3387049+975783.07</f>
        <v>4362832.07</v>
      </c>
      <c r="D22" s="22">
        <f t="shared" si="6"/>
        <v>6207750.7699999996</v>
      </c>
      <c r="E22" s="36">
        <f>35+14</f>
        <v>49</v>
      </c>
      <c r="F22" s="37">
        <f>4785.88+4163.05</f>
        <v>8948.93</v>
      </c>
      <c r="G22" s="37">
        <f t="shared" ref="G22" si="16">ROUND(F22/0.702804,2)</f>
        <v>12733.18</v>
      </c>
      <c r="H22" s="36">
        <f>27+28</f>
        <v>55</v>
      </c>
      <c r="I22" s="25">
        <f t="shared" si="8"/>
        <v>162.7078181818182</v>
      </c>
      <c r="J22" s="25">
        <f t="shared" si="9"/>
        <v>231.51236363636363</v>
      </c>
      <c r="K22" s="26">
        <f>F22/$F$23*100%</f>
        <v>2.6230543011725947E-4</v>
      </c>
      <c r="L22" s="26">
        <f t="shared" si="1"/>
        <v>1.4519535374868005E-2</v>
      </c>
      <c r="M22" s="27">
        <f>F22/C22*100%</f>
        <v>2.0511745252665661E-3</v>
      </c>
      <c r="N22" s="28">
        <f t="shared" si="10"/>
        <v>1.1224489795918366</v>
      </c>
      <c r="O22" s="38">
        <f>12550793.89+4595661.56</f>
        <v>17146455.449999999</v>
      </c>
      <c r="P22" s="39">
        <f>ROUND(O22/0.702804,2)</f>
        <v>24397208.109999999</v>
      </c>
      <c r="Q22" s="40">
        <f>'[1]2.pielikums'!AM18</f>
        <v>290</v>
      </c>
      <c r="R22" s="41">
        <f>'[1]2.pielikums'!AP18</f>
        <v>58364.62</v>
      </c>
      <c r="S22" s="41">
        <f>ROUND(R22/0.702804,2)</f>
        <v>83045.37</v>
      </c>
      <c r="T22" s="42">
        <f>'[1]2.pielikums'!AN18</f>
        <v>196</v>
      </c>
      <c r="U22" s="30">
        <f t="shared" si="12"/>
        <v>297.77867346938774</v>
      </c>
      <c r="V22" s="30">
        <f t="shared" si="13"/>
        <v>423.70086734693876</v>
      </c>
      <c r="W22" s="31">
        <f t="shared" si="3"/>
        <v>8.8724581765406776E-4</v>
      </c>
      <c r="X22" s="31">
        <f t="shared" si="4"/>
        <v>1.2217166365393006E-2</v>
      </c>
      <c r="Y22" s="31">
        <f>R22/O22*100%</f>
        <v>3.4038883529131968E-3</v>
      </c>
      <c r="Z22" s="32">
        <f t="shared" si="5"/>
        <v>0.67586206896551726</v>
      </c>
    </row>
    <row r="23" spans="1:26" ht="16.5" thickBot="1" x14ac:dyDescent="0.3">
      <c r="A23" s="83" t="s">
        <v>52</v>
      </c>
      <c r="B23" s="84"/>
      <c r="C23" s="47">
        <f t="shared" ref="C23:H23" si="17">SUM(C6:C22)</f>
        <v>1151055675.7800763</v>
      </c>
      <c r="D23" s="48">
        <f t="shared" si="17"/>
        <v>1637804673.5299997</v>
      </c>
      <c r="E23" s="49">
        <f t="shared" si="17"/>
        <v>229926</v>
      </c>
      <c r="F23" s="50">
        <f t="shared" si="17"/>
        <v>34116449.651841074</v>
      </c>
      <c r="G23" s="50">
        <f t="shared" si="17"/>
        <v>48543334.49000001</v>
      </c>
      <c r="H23" s="49">
        <f t="shared" si="17"/>
        <v>3788</v>
      </c>
      <c r="I23" s="50">
        <f>F23/H23</f>
        <v>9006.4545015419935</v>
      </c>
      <c r="J23" s="50">
        <f t="shared" si="9"/>
        <v>12815.030224392822</v>
      </c>
      <c r="K23" s="51">
        <f>F23/$F$23*100%</f>
        <v>1</v>
      </c>
      <c r="L23" s="51">
        <f t="shared" si="1"/>
        <v>1</v>
      </c>
      <c r="M23" s="52">
        <f>F23/C23*100%</f>
        <v>2.9639269732734851E-2</v>
      </c>
      <c r="N23" s="53">
        <f t="shared" si="10"/>
        <v>1.6474865826396318E-2</v>
      </c>
      <c r="O23" s="47">
        <f t="shared" ref="O23:T23" si="18">SUM(O6:O22)</f>
        <v>4798010817.670001</v>
      </c>
      <c r="P23" s="48">
        <f t="shared" si="18"/>
        <v>6826954339.5673218</v>
      </c>
      <c r="Q23" s="54">
        <f t="shared" si="18"/>
        <v>1838837</v>
      </c>
      <c r="R23" s="50">
        <f t="shared" si="18"/>
        <v>65781792.191841073</v>
      </c>
      <c r="S23" s="50">
        <f t="shared" si="18"/>
        <v>93599057.75</v>
      </c>
      <c r="T23" s="49">
        <f t="shared" si="18"/>
        <v>16043</v>
      </c>
      <c r="U23" s="55">
        <f>R23/T23</f>
        <v>4100.3423419460869</v>
      </c>
      <c r="V23" s="55">
        <f t="shared" si="13"/>
        <v>5834.2615315090698</v>
      </c>
      <c r="W23" s="56"/>
      <c r="X23" s="56"/>
      <c r="Y23" s="56">
        <f>R23/O23*100%</f>
        <v>1.3710221733886351E-2</v>
      </c>
      <c r="Z23" s="57">
        <f t="shared" si="5"/>
        <v>8.7245362150098135E-3</v>
      </c>
    </row>
    <row r="25" spans="1:26" x14ac:dyDescent="0.25">
      <c r="F25" s="43"/>
      <c r="O25" s="43"/>
      <c r="P25" s="43"/>
      <c r="U25" s="44"/>
      <c r="V25" s="44"/>
    </row>
    <row r="26" spans="1:26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45"/>
      <c r="V26" s="45"/>
      <c r="W26" s="45"/>
      <c r="X26" s="45"/>
      <c r="Y26" s="45"/>
      <c r="Z26" s="45"/>
    </row>
    <row r="27" spans="1:26" x14ac:dyDescent="0.25">
      <c r="A27" s="79" t="s">
        <v>53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46"/>
      <c r="V27" s="46"/>
      <c r="W27" s="46"/>
      <c r="X27" s="46"/>
      <c r="Y27" s="46"/>
      <c r="Z27" s="46"/>
    </row>
    <row r="28" spans="1:26" x14ac:dyDescent="0.25">
      <c r="A28" s="79" t="s">
        <v>54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46"/>
      <c r="V28" s="46"/>
      <c r="W28" s="46"/>
      <c r="X28" s="46"/>
      <c r="Y28" s="46"/>
      <c r="Z28" s="46"/>
    </row>
    <row r="33" spans="1:5" ht="23.25" x14ac:dyDescent="0.35">
      <c r="A33" s="88" t="s">
        <v>56</v>
      </c>
      <c r="B33" s="88"/>
      <c r="C33" s="88"/>
      <c r="D33" s="88"/>
      <c r="E33" s="88" t="s">
        <v>57</v>
      </c>
    </row>
    <row r="34" spans="1:5" ht="23.25" x14ac:dyDescent="0.35">
      <c r="A34" s="88"/>
      <c r="B34" s="88"/>
      <c r="C34" s="88"/>
      <c r="D34" s="88"/>
      <c r="E34" s="88"/>
    </row>
    <row r="35" spans="1:5" ht="23.25" x14ac:dyDescent="0.35">
      <c r="A35" s="88"/>
      <c r="B35" s="88"/>
      <c r="C35" s="88"/>
      <c r="D35" s="88"/>
      <c r="E35" s="88"/>
    </row>
    <row r="36" spans="1:5" ht="23.25" x14ac:dyDescent="0.35">
      <c r="A36" s="88"/>
      <c r="B36" s="88"/>
      <c r="C36" s="88"/>
      <c r="D36" s="88"/>
      <c r="E36" s="88"/>
    </row>
    <row r="37" spans="1:5" ht="23.25" x14ac:dyDescent="0.35">
      <c r="A37" s="88"/>
      <c r="B37" s="88"/>
      <c r="C37" s="88"/>
      <c r="D37" s="88"/>
      <c r="E37" s="88"/>
    </row>
    <row r="38" spans="1:5" ht="23.25" x14ac:dyDescent="0.35">
      <c r="A38" s="88" t="s">
        <v>60</v>
      </c>
      <c r="B38" s="88"/>
      <c r="C38" s="88"/>
      <c r="D38" s="88"/>
      <c r="E38" s="88"/>
    </row>
    <row r="39" spans="1:5" ht="23.25" x14ac:dyDescent="0.35">
      <c r="A39" s="88" t="s">
        <v>58</v>
      </c>
      <c r="B39" s="88"/>
      <c r="C39" s="88"/>
      <c r="D39" s="88"/>
      <c r="E39" s="88"/>
    </row>
    <row r="40" spans="1:5" ht="23.25" x14ac:dyDescent="0.35">
      <c r="A40" s="88" t="s">
        <v>59</v>
      </c>
      <c r="B40" s="88"/>
      <c r="C40" s="88"/>
      <c r="D40" s="88"/>
      <c r="E40" s="88"/>
    </row>
  </sheetData>
  <mergeCells count="25">
    <mergeCell ref="A26:T26"/>
    <mergeCell ref="A27:T27"/>
    <mergeCell ref="A28:T28"/>
    <mergeCell ref="W3:W4"/>
    <mergeCell ref="Y3:Y4"/>
    <mergeCell ref="U3:V3"/>
    <mergeCell ref="X3:X4"/>
    <mergeCell ref="A23:B23"/>
    <mergeCell ref="L3:L4"/>
    <mergeCell ref="N3:N4"/>
    <mergeCell ref="O3:P3"/>
    <mergeCell ref="Q3:Q4"/>
    <mergeCell ref="A1:Y1"/>
    <mergeCell ref="A2:A3"/>
    <mergeCell ref="B2:B3"/>
    <mergeCell ref="C2:N2"/>
    <mergeCell ref="O2:Z2"/>
    <mergeCell ref="C3:D3"/>
    <mergeCell ref="E3:E4"/>
    <mergeCell ref="F3:G3"/>
    <mergeCell ref="H3:H4"/>
    <mergeCell ref="I3:J3"/>
    <mergeCell ref="Z3:Z4"/>
    <mergeCell ref="R3:S3"/>
    <mergeCell ref="T3:T4"/>
  </mergeCells>
  <pageMargins left="0.7" right="0.7" top="0.75" bottom="0.75" header="0.3" footer="0.3"/>
  <pageSetup paperSize="8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 informatīvo ziņojumu par konstatētajiem neatbilstoši veiktajiem izdevumiem Eiropas Savienības politikas instrumentu, Eiropas Savienības iniciatīvu, Pirmsiestāšanās fondu un Pārejas perioda palīdzības ietvaros līdz 2013.gada 31.decembrim</dc:title>
  <dc:subject>3.pielikums</dc:subject>
  <dc:creator>Aiva Avota</dc:creator>
  <cp:lastModifiedBy>Aiva Avota</cp:lastModifiedBy>
  <cp:lastPrinted>2014-04-24T12:03:19Z</cp:lastPrinted>
  <dcterms:created xsi:type="dcterms:W3CDTF">2014-04-24T11:53:56Z</dcterms:created>
  <dcterms:modified xsi:type="dcterms:W3CDTF">2014-08-29T07:54:02Z</dcterms:modified>
</cp:coreProperties>
</file>