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LAF\Padome_2014\Informativais_zinojums\Uz_MK_300814\"/>
    </mc:Choice>
  </mc:AlternateContent>
  <bookViews>
    <workbookView xWindow="0" yWindow="0" windowWidth="24000" windowHeight="9720"/>
  </bookViews>
  <sheets>
    <sheet name="4.pieliku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6" i="1" l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L46" i="1"/>
  <c r="AK46" i="1"/>
  <c r="AJ46" i="1"/>
  <c r="AI46" i="1"/>
  <c r="AG46" i="1"/>
  <c r="AF46" i="1"/>
  <c r="AD46" i="1"/>
  <c r="AC46" i="1"/>
  <c r="AA46" i="1"/>
  <c r="Z46" i="1"/>
  <c r="Y46" i="1"/>
  <c r="X46" i="1"/>
  <c r="W46" i="1"/>
  <c r="U46" i="1"/>
  <c r="T46" i="1"/>
  <c r="R46" i="1"/>
  <c r="Q46" i="1"/>
  <c r="P46" i="1"/>
  <c r="O46" i="1"/>
  <c r="N46" i="1"/>
  <c r="M46" i="1"/>
  <c r="L46" i="1"/>
  <c r="K46" i="1"/>
  <c r="J46" i="1"/>
  <c r="H46" i="1"/>
  <c r="G46" i="1"/>
  <c r="E46" i="1"/>
  <c r="D46" i="1"/>
  <c r="B46" i="1"/>
  <c r="BT45" i="1"/>
  <c r="BS45" i="1"/>
  <c r="BR45" i="1"/>
  <c r="BP45" i="1"/>
  <c r="BN45" i="1"/>
  <c r="AB45" i="1"/>
  <c r="V45" i="1"/>
  <c r="S45" i="1"/>
  <c r="BO45" i="1" s="1"/>
  <c r="BT44" i="1"/>
  <c r="BS44" i="1"/>
  <c r="BR44" i="1"/>
  <c r="BP44" i="1"/>
  <c r="BN44" i="1"/>
  <c r="AB44" i="1"/>
  <c r="BO44" i="1" s="1"/>
  <c r="BT43" i="1"/>
  <c r="BS43" i="1"/>
  <c r="BR43" i="1"/>
  <c r="BP43" i="1"/>
  <c r="AO43" i="1"/>
  <c r="AN43" i="1"/>
  <c r="AM43" i="1"/>
  <c r="BN43" i="1" s="1"/>
  <c r="AB43" i="1"/>
  <c r="BO43" i="1" s="1"/>
  <c r="V43" i="1"/>
  <c r="S43" i="1"/>
  <c r="BP42" i="1"/>
  <c r="BN42" i="1"/>
  <c r="AB42" i="1"/>
  <c r="BO42" i="1" s="1"/>
  <c r="BT41" i="1"/>
  <c r="BS41" i="1"/>
  <c r="BS46" i="1" s="1"/>
  <c r="BR41" i="1"/>
  <c r="BP41" i="1"/>
  <c r="BN41" i="1"/>
  <c r="AH41" i="1"/>
  <c r="AB41" i="1"/>
  <c r="V41" i="1"/>
  <c r="S41" i="1"/>
  <c r="BO41" i="1" s="1"/>
  <c r="P41" i="1"/>
  <c r="F41" i="1"/>
  <c r="F46" i="1" s="1"/>
  <c r="BT40" i="1"/>
  <c r="BS40" i="1"/>
  <c r="BR40" i="1"/>
  <c r="BP40" i="1"/>
  <c r="BN40" i="1"/>
  <c r="AH40" i="1"/>
  <c r="AB40" i="1"/>
  <c r="V40" i="1"/>
  <c r="S40" i="1"/>
  <c r="BT39" i="1"/>
  <c r="BS39" i="1"/>
  <c r="BR39" i="1"/>
  <c r="BN39" i="1"/>
  <c r="AO39" i="1"/>
  <c r="AO46" i="1" s="1"/>
  <c r="AN39" i="1"/>
  <c r="AN46" i="1" s="1"/>
  <c r="AM39" i="1"/>
  <c r="AK39" i="1"/>
  <c r="AH39" i="1"/>
  <c r="AE39" i="1"/>
  <c r="AE46" i="1" s="1"/>
  <c r="AB39" i="1"/>
  <c r="Y39" i="1"/>
  <c r="V39" i="1"/>
  <c r="V46" i="1" s="1"/>
  <c r="S39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J37" i="1"/>
  <c r="AI37" i="1"/>
  <c r="AG37" i="1"/>
  <c r="AF37" i="1"/>
  <c r="AD37" i="1"/>
  <c r="AC37" i="1"/>
  <c r="AA37" i="1"/>
  <c r="Z37" i="1"/>
  <c r="X37" i="1"/>
  <c r="W37" i="1"/>
  <c r="U37" i="1"/>
  <c r="T37" i="1"/>
  <c r="R37" i="1"/>
  <c r="Q37" i="1"/>
  <c r="P37" i="1"/>
  <c r="O37" i="1"/>
  <c r="N37" i="1"/>
  <c r="M37" i="1"/>
  <c r="L37" i="1"/>
  <c r="K37" i="1"/>
  <c r="J37" i="1"/>
  <c r="H37" i="1"/>
  <c r="G37" i="1"/>
  <c r="E37" i="1"/>
  <c r="D37" i="1"/>
  <c r="B37" i="1"/>
  <c r="BT36" i="1"/>
  <c r="BS36" i="1"/>
  <c r="BR36" i="1"/>
  <c r="BP36" i="1"/>
  <c r="BN36" i="1"/>
  <c r="AH36" i="1"/>
  <c r="AB36" i="1"/>
  <c r="V36" i="1"/>
  <c r="BO36" i="1" s="1"/>
  <c r="S36" i="1"/>
  <c r="F36" i="1"/>
  <c r="F37" i="1" s="1"/>
  <c r="BT35" i="1"/>
  <c r="BS35" i="1"/>
  <c r="BR35" i="1"/>
  <c r="BP35" i="1"/>
  <c r="BO35" i="1"/>
  <c r="BN35" i="1"/>
  <c r="BS34" i="1"/>
  <c r="BP34" i="1"/>
  <c r="BN34" i="1"/>
  <c r="AH34" i="1"/>
  <c r="AB34" i="1"/>
  <c r="V34" i="1"/>
  <c r="S34" i="1"/>
  <c r="BO34" i="1" s="1"/>
  <c r="BS33" i="1"/>
  <c r="BP33" i="1"/>
  <c r="BN33" i="1"/>
  <c r="AH33" i="1"/>
  <c r="AB33" i="1"/>
  <c r="V33" i="1"/>
  <c r="BO33" i="1" s="1"/>
  <c r="S33" i="1"/>
  <c r="BS32" i="1"/>
  <c r="BP32" i="1"/>
  <c r="BN32" i="1"/>
  <c r="AB32" i="1"/>
  <c r="V32" i="1"/>
  <c r="S32" i="1"/>
  <c r="BO32" i="1" s="1"/>
  <c r="BT31" i="1"/>
  <c r="BS31" i="1"/>
  <c r="BR31" i="1"/>
  <c r="BP31" i="1"/>
  <c r="BP37" i="1" s="1"/>
  <c r="BN31" i="1"/>
  <c r="AK31" i="1"/>
  <c r="AK37" i="1" s="1"/>
  <c r="AH31" i="1"/>
  <c r="AH37" i="1" s="1"/>
  <c r="AE31" i="1"/>
  <c r="AE37" i="1" s="1"/>
  <c r="AB31" i="1"/>
  <c r="Y31" i="1"/>
  <c r="Y37" i="1" s="1"/>
  <c r="V31" i="1"/>
  <c r="S31" i="1"/>
  <c r="P31" i="1"/>
  <c r="BT30" i="1"/>
  <c r="BS30" i="1"/>
  <c r="BR30" i="1"/>
  <c r="BP30" i="1"/>
  <c r="BN30" i="1"/>
  <c r="AB30" i="1"/>
  <c r="AB37" i="1" s="1"/>
  <c r="V30" i="1"/>
  <c r="S30" i="1"/>
  <c r="BT29" i="1"/>
  <c r="BS29" i="1"/>
  <c r="BR29" i="1"/>
  <c r="BP29" i="1"/>
  <c r="BN29" i="1"/>
  <c r="AB29" i="1"/>
  <c r="V29" i="1"/>
  <c r="S29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J27" i="1"/>
  <c r="AI27" i="1"/>
  <c r="AG27" i="1"/>
  <c r="AF27" i="1"/>
  <c r="AD27" i="1"/>
  <c r="AC27" i="1"/>
  <c r="X27" i="1"/>
  <c r="W27" i="1"/>
  <c r="U27" i="1"/>
  <c r="T27" i="1"/>
  <c r="Q27" i="1"/>
  <c r="P27" i="1"/>
  <c r="O27" i="1"/>
  <c r="N27" i="1"/>
  <c r="M27" i="1"/>
  <c r="L27" i="1"/>
  <c r="K27" i="1"/>
  <c r="J27" i="1"/>
  <c r="H27" i="1"/>
  <c r="G27" i="1"/>
  <c r="E27" i="1"/>
  <c r="D27" i="1"/>
  <c r="B27" i="1"/>
  <c r="BP26" i="1"/>
  <c r="BO26" i="1"/>
  <c r="BN26" i="1"/>
  <c r="BS25" i="1"/>
  <c r="BP25" i="1"/>
  <c r="BO25" i="1"/>
  <c r="BN25" i="1"/>
  <c r="BS24" i="1"/>
  <c r="BP24" i="1"/>
  <c r="BN24" i="1"/>
  <c r="AB24" i="1"/>
  <c r="V24" i="1"/>
  <c r="S24" i="1"/>
  <c r="BO24" i="1" s="1"/>
  <c r="BS23" i="1"/>
  <c r="BT22" i="1"/>
  <c r="BR22" i="1"/>
  <c r="BS22" i="1" s="1"/>
  <c r="AH22" i="1"/>
  <c r="AC22" i="1"/>
  <c r="BP22" i="1" s="1"/>
  <c r="AA22" i="1"/>
  <c r="V22" i="1"/>
  <c r="R22" i="1"/>
  <c r="S22" i="1" s="1"/>
  <c r="F22" i="1"/>
  <c r="BT21" i="1"/>
  <c r="BR21" i="1"/>
  <c r="BS21" i="1" s="1"/>
  <c r="BP21" i="1"/>
  <c r="BO21" i="1"/>
  <c r="BN21" i="1"/>
  <c r="BS20" i="1"/>
  <c r="BP20" i="1"/>
  <c r="BN20" i="1"/>
  <c r="AH20" i="1"/>
  <c r="AB20" i="1"/>
  <c r="V20" i="1"/>
  <c r="BO20" i="1" s="1"/>
  <c r="S20" i="1"/>
  <c r="BS19" i="1"/>
  <c r="BP19" i="1"/>
  <c r="BN19" i="1"/>
  <c r="Y19" i="1"/>
  <c r="BO19" i="1" s="1"/>
  <c r="S19" i="1"/>
  <c r="BP18" i="1"/>
  <c r="BO18" i="1"/>
  <c r="BN18" i="1"/>
  <c r="BS17" i="1"/>
  <c r="BP17" i="1"/>
  <c r="BO17" i="1"/>
  <c r="BN17" i="1"/>
  <c r="AB17" i="1"/>
  <c r="BS16" i="1"/>
  <c r="BP16" i="1"/>
  <c r="BO16" i="1"/>
  <c r="BN16" i="1"/>
  <c r="BT15" i="1"/>
  <c r="BS15" i="1"/>
  <c r="BR15" i="1"/>
  <c r="BN15" i="1"/>
  <c r="AK15" i="1"/>
  <c r="AK27" i="1" s="1"/>
  <c r="AH15" i="1"/>
  <c r="AE15" i="1"/>
  <c r="AE27" i="1" s="1"/>
  <c r="AB15" i="1"/>
  <c r="Z15" i="1"/>
  <c r="X15" i="1"/>
  <c r="Y15" i="1" s="1"/>
  <c r="Y27" i="1" s="1"/>
  <c r="V15" i="1"/>
  <c r="S15" i="1"/>
  <c r="BP14" i="1"/>
  <c r="BO14" i="1"/>
  <c r="BN14" i="1"/>
  <c r="BS13" i="1"/>
  <c r="BP13" i="1"/>
  <c r="BN13" i="1"/>
  <c r="AH13" i="1"/>
  <c r="AB13" i="1"/>
  <c r="S13" i="1"/>
  <c r="P13" i="1"/>
  <c r="BS12" i="1"/>
  <c r="BP12" i="1"/>
  <c r="BN12" i="1"/>
  <c r="AB12" i="1"/>
  <c r="V12" i="1"/>
  <c r="BO12" i="1" s="1"/>
  <c r="BT11" i="1"/>
  <c r="BS11" i="1"/>
  <c r="BR11" i="1"/>
  <c r="BP11" i="1"/>
  <c r="BN11" i="1"/>
  <c r="AH11" i="1"/>
  <c r="AB11" i="1"/>
  <c r="V11" i="1"/>
  <c r="S11" i="1"/>
  <c r="BT10" i="1"/>
  <c r="BT27" i="1" s="1"/>
  <c r="BS10" i="1"/>
  <c r="BR10" i="1"/>
  <c r="BR27" i="1" s="1"/>
  <c r="BP10" i="1"/>
  <c r="BN10" i="1"/>
  <c r="AH10" i="1"/>
  <c r="AB10" i="1"/>
  <c r="V10" i="1"/>
  <c r="S10" i="1"/>
  <c r="F10" i="1"/>
  <c r="BP27" i="1" l="1"/>
  <c r="BU26" i="1"/>
  <c r="BU23" i="1"/>
  <c r="BU14" i="1"/>
  <c r="BU25" i="1"/>
  <c r="BU19" i="1"/>
  <c r="BU18" i="1"/>
  <c r="BU16" i="1"/>
  <c r="BU13" i="1"/>
  <c r="BU17" i="1"/>
  <c r="BU12" i="1"/>
  <c r="BU24" i="1"/>
  <c r="BU20" i="1"/>
  <c r="BU21" i="1"/>
  <c r="BU10" i="1"/>
  <c r="BU15" i="1"/>
  <c r="BU11" i="1"/>
  <c r="AA27" i="1"/>
  <c r="AB22" i="1"/>
  <c r="AB27" i="1" s="1"/>
  <c r="S46" i="1"/>
  <c r="BO39" i="1"/>
  <c r="BO46" i="1" s="1"/>
  <c r="F27" i="1"/>
  <c r="BO10" i="1"/>
  <c r="AH27" i="1"/>
  <c r="BO11" i="1"/>
  <c r="BP15" i="1"/>
  <c r="Z27" i="1"/>
  <c r="BO22" i="1"/>
  <c r="BS37" i="1"/>
  <c r="BO31" i="1"/>
  <c r="AH46" i="1"/>
  <c r="BO40" i="1"/>
  <c r="BU41" i="1"/>
  <c r="BR46" i="1"/>
  <c r="BU43" i="1"/>
  <c r="BU45" i="1"/>
  <c r="AB46" i="1"/>
  <c r="S27" i="1"/>
  <c r="BS27" i="1"/>
  <c r="BO15" i="1"/>
  <c r="S37" i="1"/>
  <c r="BO29" i="1"/>
  <c r="BO37" i="1" s="1"/>
  <c r="BT37" i="1"/>
  <c r="BN37" i="1"/>
  <c r="BN46" i="1"/>
  <c r="BQ41" i="1"/>
  <c r="V27" i="1"/>
  <c r="BO13" i="1"/>
  <c r="BN22" i="1"/>
  <c r="BU22" i="1"/>
  <c r="V37" i="1"/>
  <c r="BO30" i="1"/>
  <c r="BQ36" i="1"/>
  <c r="BR37" i="1"/>
  <c r="AM46" i="1"/>
  <c r="BP39" i="1"/>
  <c r="BP46" i="1" s="1"/>
  <c r="BT46" i="1"/>
  <c r="BQ45" i="1"/>
  <c r="R27" i="1"/>
  <c r="BU35" i="1" l="1"/>
  <c r="BU34" i="1"/>
  <c r="BU32" i="1"/>
  <c r="BU29" i="1"/>
  <c r="BU33" i="1"/>
  <c r="BU31" i="1"/>
  <c r="BU30" i="1"/>
  <c r="BQ22" i="1"/>
  <c r="BQ44" i="1"/>
  <c r="BQ40" i="1"/>
  <c r="BQ39" i="1"/>
  <c r="BU36" i="1"/>
  <c r="BN27" i="1"/>
  <c r="BO27" i="1"/>
  <c r="BQ43" i="1"/>
  <c r="BQ42" i="1"/>
  <c r="BQ35" i="1"/>
  <c r="BQ33" i="1"/>
  <c r="BQ29" i="1"/>
  <c r="BQ31" i="1"/>
  <c r="BQ32" i="1"/>
  <c r="BQ30" i="1"/>
  <c r="BU44" i="1"/>
  <c r="BU40" i="1"/>
  <c r="BU42" i="1"/>
  <c r="BU39" i="1"/>
  <c r="BQ34" i="1"/>
  <c r="BQ26" i="1" l="1"/>
  <c r="BQ24" i="1"/>
  <c r="BQ20" i="1"/>
  <c r="BQ14" i="1"/>
  <c r="BQ12" i="1"/>
  <c r="BQ18" i="1"/>
  <c r="BQ25" i="1"/>
  <c r="BQ21" i="1"/>
  <c r="BQ13" i="1"/>
  <c r="BQ23" i="1"/>
  <c r="BQ10" i="1"/>
  <c r="BQ11" i="1"/>
  <c r="BQ17" i="1"/>
  <c r="BQ15" i="1"/>
  <c r="BQ16" i="1"/>
  <c r="BQ19" i="1"/>
</calcChain>
</file>

<file path=xl/comments1.xml><?xml version="1.0" encoding="utf-8"?>
<comments xmlns="http://schemas.openxmlformats.org/spreadsheetml/2006/main">
  <authors>
    <author>Aiva Avota</author>
  </authors>
  <commentList>
    <comment ref="BR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</t>
        </r>
      </text>
    </comment>
    <comment ref="BT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ZM+IeM(2011,2012,2013)+VI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ZM+IeM(2011,2012,2013)+VI
</t>
        </r>
      </text>
    </comment>
    <comment ref="BT1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ZM+IeM(2011,2012,2013)+VI</t>
        </r>
      </text>
    </comment>
    <comment ref="BR1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IeM+VI</t>
        </r>
      </text>
    </comment>
    <comment ref="BR1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1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1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ZM+VI</t>
        </r>
      </text>
    </comment>
    <comment ref="BR17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BR1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2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2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BR2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VI+VI (datu migrācija) + VARAM</t>
        </r>
      </text>
    </comment>
    <comment ref="BR2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2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25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</t>
        </r>
      </text>
    </comment>
    <comment ref="BR26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</t>
        </r>
      </text>
    </comment>
    <comment ref="BR2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ZM+IeM+vi</t>
        </r>
      </text>
    </comment>
    <comment ref="BR3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ZM+VI</t>
        </r>
      </text>
    </comment>
    <comment ref="BR3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ZM+VI+VARAM</t>
        </r>
      </text>
    </comment>
    <comment ref="BR3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3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3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BR35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</t>
        </r>
      </text>
    </comment>
    <comment ref="BR36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KM+VI+VARAM</t>
        </r>
      </text>
    </comment>
    <comment ref="AM3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BR3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ZM+IeM+VI+KM+VARAM</t>
        </r>
      </text>
    </comment>
    <comment ref="BR4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ZM+VI+VARAM</t>
        </r>
      </text>
    </comment>
    <comment ref="BR4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ZM+IeM+VI+VARAM</t>
        </r>
      </text>
    </comment>
    <comment ref="BR4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</t>
        </r>
      </text>
    </comment>
    <comment ref="AM4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BR4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ZM+IeM+VI+KM</t>
        </r>
      </text>
    </comment>
    <comment ref="BR4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BR45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ZM+VI+VARAM</t>
        </r>
      </text>
    </comment>
  </commentList>
</comments>
</file>

<file path=xl/sharedStrings.xml><?xml version="1.0" encoding="utf-8"?>
<sst xmlns="http://schemas.openxmlformats.org/spreadsheetml/2006/main" count="163" uniqueCount="88">
  <si>
    <r>
      <t xml:space="preserve">2013.gadā un kopā 2007.-2013.gada plānošanas periodā līdz 2013.gada 31.decembrim konstatēto neatbilstību gadījumu skaits un ar tiem saistītās summas (latos un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 pēc to atklāšanas veida, pēc neatbilstības veida un pa finansējuma saņēmējiem*</t>
    </r>
  </si>
  <si>
    <t>4.pielikums</t>
  </si>
  <si>
    <t>2013.gads</t>
  </si>
  <si>
    <t>2013.gadā kopā</t>
  </si>
  <si>
    <t xml:space="preserve">2007.- 2013.gada plānošanas periodā līdz 31.12.2013. </t>
  </si>
  <si>
    <t>Fondi (programmas)</t>
  </si>
  <si>
    <t>ES struktūrfondi 2004.-2006.gada plānošanas periods</t>
  </si>
  <si>
    <t>ES Kohēzijas fonds 2004.-2006.gada plānošanas periods</t>
  </si>
  <si>
    <t>ES struktūrfondi 2007.-2013.gada plānošanas periods</t>
  </si>
  <si>
    <t>ES Kohēzijas fonds 2007.-2013.gada plānošanas periods</t>
  </si>
  <si>
    <t>Vispārīgā programma „Solidaritāte un migrācijas plūsmu pārvaldība”</t>
  </si>
  <si>
    <t>Eiropas Lauksaimniecības un lauku attīstības fondi 2007.-2013.gada plānošanas periods</t>
  </si>
  <si>
    <t>Eiropas Kopienas iniciatīvas</t>
  </si>
  <si>
    <t>Pirmsiestāšanās fondi</t>
  </si>
  <si>
    <t>Eiropas Savienības struktūrfondu 3.mērķa „Eiropas teritoriālā sadarbība” programmas</t>
  </si>
  <si>
    <t>Citi ES finanšu palīdzības instrumenti</t>
  </si>
  <si>
    <t>Neatbilstību apjoms</t>
  </si>
  <si>
    <t xml:space="preserve">Neatbilstību skaits </t>
  </si>
  <si>
    <t>Attiecīgās pozīcijas neatbilstību apjoma īpatsvars kopējā  2013.gadā konstatētā neatbilstību apjomā, %</t>
  </si>
  <si>
    <t>Neatbilstību apjoms kopā
(kumulatīvi)</t>
  </si>
  <si>
    <t>Neatbilstību skaits kopā (kumulatīvi)</t>
  </si>
  <si>
    <t>Attiecīgās pozīcijas neatbilstību apjoma īpatsvars kopējā konstatētā neatbilstību apjomā, %</t>
  </si>
  <si>
    <t>ELVGF Virzības daļa</t>
  </si>
  <si>
    <t>ELVGF Garantiju daļa</t>
  </si>
  <si>
    <t>ERAF</t>
  </si>
  <si>
    <t>ESF</t>
  </si>
  <si>
    <t>ZVFI</t>
  </si>
  <si>
    <t>ELGF</t>
  </si>
  <si>
    <t>ELFLA</t>
  </si>
  <si>
    <t>EZF</t>
  </si>
  <si>
    <t>Interreg programma</t>
  </si>
  <si>
    <t>Pārejas programma (Transition Facility)</t>
  </si>
  <si>
    <t>PHARE programma</t>
  </si>
  <si>
    <t>SAPARD programma</t>
  </si>
  <si>
    <t>TEN-T programma</t>
  </si>
  <si>
    <t>TEN-E programma</t>
  </si>
  <si>
    <t>LVL</t>
  </si>
  <si>
    <t>EUR</t>
  </si>
  <si>
    <t>skaits</t>
  </si>
  <si>
    <t>2DP</t>
  </si>
  <si>
    <t>3DP</t>
  </si>
  <si>
    <t>TP ERAF</t>
  </si>
  <si>
    <t>1DP</t>
  </si>
  <si>
    <t>TP ESF</t>
  </si>
  <si>
    <t>TP KF</t>
  </si>
  <si>
    <t>Pēc neatbilstību atklāšanas veida</t>
  </si>
  <si>
    <t>Pārbaude projekta īstenošanas vietā</t>
  </si>
  <si>
    <t>Revīzijas iestādes sertificēto izdevumu izlases pārbaude</t>
  </si>
  <si>
    <t>ES fondu vadības un kontroles sistēmas audits</t>
  </si>
  <si>
    <t>Eiropas Komisijas audits</t>
  </si>
  <si>
    <t>Administratīvā pārbaude un sākotnējo pārbaužu ietvaros</t>
  </si>
  <si>
    <t>Maksājumu pieprasījumu pārbaude</t>
  </si>
  <si>
    <t>Vadošās iestādes deleģēto funkciju pārbaude</t>
  </si>
  <si>
    <t>Vadošās iestādes konstatējums uzraudzības un kontroles pasākumu ietvaros</t>
  </si>
  <si>
    <t>Projekta noslēguma izdevumu deklarācijas pārbaude</t>
  </si>
  <si>
    <t>Sertifikācijas iestādes pārbaude</t>
  </si>
  <si>
    <t>Iepirkumu pirmspārbaudes</t>
  </si>
  <si>
    <t>Finanšu kontrole (attaisnojuma dokumentu 100% pārbaude)</t>
  </si>
  <si>
    <t>Cits veids</t>
  </si>
  <si>
    <t>Atbilstoši IUB atzinumam</t>
  </si>
  <si>
    <t xml:space="preserve">Informācija saņemta no finansējuma saņēmēja </t>
  </si>
  <si>
    <t>Pirmsmaksājumu pārbaude</t>
  </si>
  <si>
    <t>Platību maksājumiem - neiesniegts pieteikums, samazināta saistību platība, gala aprēķina korekcija pēc pārdeklarācijas piemērošanas; Projektveidīgajiem pasākumiem - pretendents atsakās turpināt projektu, trūkstoši dokumenti.</t>
  </si>
  <si>
    <t>Kopā</t>
  </si>
  <si>
    <t>X</t>
  </si>
  <si>
    <t>Pēs neatbilstības veida</t>
  </si>
  <si>
    <t>Kļūda (ar finansiālu ietekmi)</t>
  </si>
  <si>
    <t>Aizdomas par krāpšanu un organizēto noziedzību</t>
  </si>
  <si>
    <t>Iepirkumu vai konkureces normu pārkāpums</t>
  </si>
  <si>
    <t>Iespējams interešu konflikts</t>
  </si>
  <si>
    <t>Nespēja pildīt līguma/vienošanās nosacījumus</t>
  </si>
  <si>
    <t>Noteikto ieviešanas nosacījumu pārkāpšana</t>
  </si>
  <si>
    <t xml:space="preserve"> Klienta tīša vai netīša vaina</t>
  </si>
  <si>
    <t>Cita neatbilstība</t>
  </si>
  <si>
    <t>Sadalījumā pa finansējuma saņēmējiem</t>
  </si>
  <si>
    <t>Valsts iestāde (V)</t>
  </si>
  <si>
    <t>Pašvaldības iestāde     (PA)</t>
  </si>
  <si>
    <t>Privāto tiesību juridiska persona (PR)</t>
  </si>
  <si>
    <t>Fiziskas personas (FP)</t>
  </si>
  <si>
    <t>NVO</t>
  </si>
  <si>
    <t>Starptautiskā organizācija</t>
  </si>
  <si>
    <t>Izglītības iestādes</t>
  </si>
  <si>
    <t>* Eiropas Savienības struktūrfondu 2004.-2006.gada plānošanas periodā Eiropas Sociālais fonds un Zivsaimniecības vadības finanšu instruments; Eiropas Savienības Kohēzijas fonds 2004.-2006.gada plānošanas periods; Eiropas Kopienas iniciatīvas - Interreg programma un EQUAL programma; Pirmsiestāšanās fondi- Pārejas programma (Transition Facility), PHARE programma, SAPARD programma; un citi ES finanšu palīdzības instrumenti kā TEN-T un TEN-E programma nav atspoguļota šajā pielikumā, jo minēto fondu/programmu ietvaros neatbilstības nav konstatētas 2011.gadā un/vai fonds/programma ir slēgta</t>
  </si>
  <si>
    <t xml:space="preserve">finanšu ministrs </t>
  </si>
  <si>
    <t>A.Vilks</t>
  </si>
  <si>
    <t>A.Avota</t>
  </si>
  <si>
    <t>67083954, aiva.avota@fm.gov.lv</t>
  </si>
  <si>
    <t>29.08.2014.  10:54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</si>
</sst>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i/>
      <sz val="8"/>
      <color rgb="FF00000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8"/>
      <color theme="1"/>
      <name val="Times New Roman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4" fontId="9" fillId="6" borderId="44" xfId="0" applyNumberFormat="1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4" fontId="9" fillId="6" borderId="59" xfId="0" applyNumberFormat="1" applyFont="1" applyFill="1" applyBorder="1" applyAlignment="1">
      <alignment horizontal="center" vertical="center" wrapText="1"/>
    </xf>
    <xf numFmtId="4" fontId="9" fillId="6" borderId="60" xfId="0" applyNumberFormat="1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4" fontId="9" fillId="6" borderId="61" xfId="0" applyNumberFormat="1" applyFont="1" applyFill="1" applyBorder="1" applyAlignment="1">
      <alignment horizontal="center" vertical="center" wrapText="1"/>
    </xf>
    <xf numFmtId="2" fontId="9" fillId="6" borderId="44" xfId="0" applyNumberFormat="1" applyFont="1" applyFill="1" applyBorder="1" applyAlignment="1">
      <alignment horizontal="center" vertical="center" wrapText="1"/>
    </xf>
    <xf numFmtId="2" fontId="9" fillId="6" borderId="27" xfId="0" applyNumberFormat="1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2" fontId="9" fillId="6" borderId="59" xfId="0" applyNumberFormat="1" applyFont="1" applyFill="1" applyBorder="1" applyAlignment="1">
      <alignment horizontal="center" vertical="center" wrapText="1"/>
    </xf>
    <xf numFmtId="4" fontId="9" fillId="6" borderId="27" xfId="0" applyNumberFormat="1" applyFont="1" applyFill="1" applyBorder="1" applyAlignment="1">
      <alignment horizontal="center" vertical="center" wrapText="1"/>
    </xf>
    <xf numFmtId="10" fontId="16" fillId="4" borderId="60" xfId="1" applyNumberFormat="1" applyFont="1" applyFill="1" applyBorder="1" applyAlignment="1">
      <alignment horizontal="center" vertical="center"/>
    </xf>
    <xf numFmtId="4" fontId="16" fillId="3" borderId="14" xfId="0" applyNumberFormat="1" applyFont="1" applyFill="1" applyBorder="1" applyAlignment="1">
      <alignment horizontal="center" vertical="center"/>
    </xf>
    <xf numFmtId="4" fontId="16" fillId="3" borderId="15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0" fontId="16" fillId="3" borderId="18" xfId="1" applyNumberFormat="1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4" fontId="9" fillId="6" borderId="23" xfId="0" applyNumberFormat="1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4" fontId="9" fillId="6" borderId="24" xfId="0" applyNumberFormat="1" applyFont="1" applyFill="1" applyBorder="1" applyAlignment="1">
      <alignment horizontal="center" vertical="center" wrapText="1"/>
    </xf>
    <xf numFmtId="4" fontId="9" fillId="6" borderId="31" xfId="0" applyNumberFormat="1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4" fontId="9" fillId="6" borderId="22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2" fontId="9" fillId="6" borderId="24" xfId="0" applyNumberFormat="1" applyFont="1" applyFill="1" applyBorder="1" applyAlignment="1">
      <alignment horizontal="center" vertical="center" wrapText="1"/>
    </xf>
    <xf numFmtId="4" fontId="9" fillId="6" borderId="30" xfId="0" applyNumberFormat="1" applyFont="1" applyFill="1" applyBorder="1" applyAlignment="1">
      <alignment horizontal="center" vertical="center" wrapText="1"/>
    </xf>
    <xf numFmtId="10" fontId="16" fillId="4" borderId="31" xfId="1" applyNumberFormat="1" applyFont="1" applyFill="1" applyBorder="1" applyAlignment="1">
      <alignment horizontal="center" vertical="center"/>
    </xf>
    <xf numFmtId="4" fontId="16" fillId="3" borderId="22" xfId="0" applyNumberFormat="1" applyFont="1" applyFill="1" applyBorder="1" applyAlignment="1">
      <alignment horizontal="center" vertical="center"/>
    </xf>
    <xf numFmtId="4" fontId="16" fillId="3" borderId="23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10" fontId="16" fillId="3" borderId="25" xfId="1" applyNumberFormat="1" applyFont="1" applyFill="1" applyBorder="1" applyAlignment="1">
      <alignment horizontal="center" vertical="center"/>
    </xf>
    <xf numFmtId="2" fontId="9" fillId="6" borderId="30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6" borderId="22" xfId="0" applyNumberFormat="1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4" fontId="9" fillId="6" borderId="40" xfId="0" applyNumberFormat="1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4" fontId="9" fillId="6" borderId="38" xfId="0" applyNumberFormat="1" applyFont="1" applyFill="1" applyBorder="1" applyAlignment="1">
      <alignment horizontal="center" vertical="center" wrapText="1"/>
    </xf>
    <xf numFmtId="4" fontId="9" fillId="6" borderId="41" xfId="0" applyNumberFormat="1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4" fontId="9" fillId="6" borderId="37" xfId="0" applyNumberFormat="1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2" fontId="9" fillId="6" borderId="65" xfId="0" applyNumberFormat="1" applyFont="1" applyFill="1" applyBorder="1" applyAlignment="1">
      <alignment horizontal="center" vertical="center" wrapText="1"/>
    </xf>
    <xf numFmtId="4" fontId="9" fillId="6" borderId="65" xfId="0" applyNumberFormat="1" applyFont="1" applyFill="1" applyBorder="1" applyAlignment="1">
      <alignment horizontal="center" vertical="center" wrapText="1"/>
    </xf>
    <xf numFmtId="10" fontId="16" fillId="4" borderId="41" xfId="1" applyNumberFormat="1" applyFont="1" applyFill="1" applyBorder="1" applyAlignment="1">
      <alignment horizontal="center" vertical="center"/>
    </xf>
    <xf numFmtId="4" fontId="16" fillId="3" borderId="37" xfId="0" applyNumberFormat="1" applyFont="1" applyFill="1" applyBorder="1" applyAlignment="1">
      <alignment horizontal="center" vertical="center"/>
    </xf>
    <xf numFmtId="4" fontId="16" fillId="3" borderId="40" xfId="0" applyNumberFormat="1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2" fontId="9" fillId="6" borderId="3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9" fillId="6" borderId="23" xfId="0" applyNumberFormat="1" applyFont="1" applyFill="1" applyBorder="1" applyAlignment="1">
      <alignment horizontal="center" vertical="center" wrapText="1"/>
    </xf>
    <xf numFmtId="4" fontId="16" fillId="3" borderId="50" xfId="0" applyNumberFormat="1" applyFont="1" applyFill="1" applyBorder="1" applyAlignment="1">
      <alignment horizontal="center" vertical="center"/>
    </xf>
    <xf numFmtId="4" fontId="16" fillId="3" borderId="51" xfId="0" applyNumberFormat="1" applyFont="1" applyFill="1" applyBorder="1" applyAlignment="1">
      <alignment horizontal="center" vertical="center"/>
    </xf>
    <xf numFmtId="3" fontId="16" fillId="3" borderId="52" xfId="0" applyNumberFormat="1" applyFont="1" applyFill="1" applyBorder="1" applyAlignment="1">
      <alignment horizontal="center" vertical="center"/>
    </xf>
    <xf numFmtId="10" fontId="16" fillId="3" borderId="54" xfId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 wrapText="1"/>
    </xf>
    <xf numFmtId="4" fontId="17" fillId="3" borderId="20" xfId="0" applyNumberFormat="1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4" fontId="17" fillId="3" borderId="66" xfId="0" applyNumberFormat="1" applyFont="1" applyFill="1" applyBorder="1" applyAlignment="1">
      <alignment horizontal="center" vertical="center" wrapText="1"/>
    </xf>
    <xf numFmtId="2" fontId="17" fillId="3" borderId="6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4" fontId="17" fillId="3" borderId="68" xfId="0" applyNumberFormat="1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4" fontId="17" fillId="3" borderId="67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3" fontId="17" fillId="3" borderId="66" xfId="0" applyNumberFormat="1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4" fontId="2" fillId="3" borderId="69" xfId="0" applyNumberFormat="1" applyFont="1" applyFill="1" applyBorder="1" applyAlignment="1">
      <alignment horizontal="center" vertical="center"/>
    </xf>
    <xf numFmtId="4" fontId="2" fillId="3" borderId="70" xfId="0" applyNumberFormat="1" applyFont="1" applyFill="1" applyBorder="1" applyAlignment="1">
      <alignment horizontal="center" vertical="center"/>
    </xf>
    <xf numFmtId="3" fontId="2" fillId="3" borderId="71" xfId="0" applyNumberFormat="1" applyFont="1" applyFill="1" applyBorder="1" applyAlignment="1">
      <alignment horizontal="center" vertical="center"/>
    </xf>
    <xf numFmtId="10" fontId="2" fillId="3" borderId="71" xfId="1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4" fontId="9" fillId="0" borderId="61" xfId="0" applyNumberFormat="1" applyFont="1" applyBorder="1" applyAlignment="1">
      <alignment horizontal="center" vertical="center" wrapText="1"/>
    </xf>
    <xf numFmtId="4" fontId="9" fillId="0" borderId="60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0" fontId="16" fillId="4" borderId="26" xfId="1" applyNumberFormat="1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10" fontId="16" fillId="4" borderId="29" xfId="1" applyNumberFormat="1" applyFont="1" applyFill="1" applyBorder="1" applyAlignment="1">
      <alignment horizontal="center" vertical="center"/>
    </xf>
    <xf numFmtId="4" fontId="16" fillId="3" borderId="24" xfId="0" applyNumberFormat="1" applyFont="1" applyFill="1" applyBorder="1" applyAlignment="1">
      <alignment horizontal="center" vertical="center"/>
    </xf>
    <xf numFmtId="3" fontId="16" fillId="3" borderId="24" xfId="0" applyNumberFormat="1" applyFont="1" applyFill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9" fillId="0" borderId="6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4" fontId="16" fillId="3" borderId="52" xfId="0" applyNumberFormat="1" applyFont="1" applyFill="1" applyBorder="1" applyAlignment="1">
      <alignment horizontal="center" vertical="center"/>
    </xf>
    <xf numFmtId="0" fontId="19" fillId="3" borderId="72" xfId="2" applyFont="1" applyFill="1" applyBorder="1" applyAlignment="1">
      <alignment horizontal="right" vertical="center" wrapText="1"/>
    </xf>
    <xf numFmtId="1" fontId="17" fillId="3" borderId="66" xfId="0" applyNumberFormat="1" applyFont="1" applyFill="1" applyBorder="1" applyAlignment="1">
      <alignment horizontal="center" vertical="center" wrapText="1"/>
    </xf>
    <xf numFmtId="2" fontId="17" fillId="3" borderId="66" xfId="0" applyNumberFormat="1" applyFont="1" applyFill="1" applyBorder="1" applyAlignment="1">
      <alignment horizontal="center" vertical="center" wrapText="1"/>
    </xf>
    <xf numFmtId="1" fontId="17" fillId="3" borderId="68" xfId="0" applyNumberFormat="1" applyFont="1" applyFill="1" applyBorder="1" applyAlignment="1">
      <alignment horizontal="center" vertical="center" wrapText="1"/>
    </xf>
    <xf numFmtId="1" fontId="17" fillId="3" borderId="21" xfId="0" applyNumberFormat="1" applyFont="1" applyFill="1" applyBorder="1" applyAlignment="1">
      <alignment horizontal="center" vertical="center" wrapText="1"/>
    </xf>
    <xf numFmtId="4" fontId="17" fillId="3" borderId="35" xfId="0" applyNumberFormat="1" applyFont="1" applyFill="1" applyBorder="1" applyAlignment="1">
      <alignment horizontal="center" vertical="center" wrapText="1"/>
    </xf>
    <xf numFmtId="1" fontId="17" fillId="3" borderId="57" xfId="0" applyNumberFormat="1" applyFont="1" applyFill="1" applyBorder="1" applyAlignment="1">
      <alignment horizontal="center" vertical="center" wrapText="1"/>
    </xf>
    <xf numFmtId="4" fontId="17" fillId="3" borderId="57" xfId="0" applyNumberFormat="1" applyFont="1" applyFill="1" applyBorder="1" applyAlignment="1">
      <alignment horizontal="center" vertical="center" wrapText="1"/>
    </xf>
    <xf numFmtId="3" fontId="17" fillId="3" borderId="57" xfId="0" applyNumberFormat="1" applyFont="1" applyFill="1" applyBorder="1" applyAlignment="1">
      <alignment horizontal="center" vertical="center" wrapText="1"/>
    </xf>
    <xf numFmtId="2" fontId="17" fillId="3" borderId="57" xfId="0" applyNumberFormat="1" applyFont="1" applyFill="1" applyBorder="1" applyAlignment="1">
      <alignment horizontal="center" vertical="center" wrapText="1"/>
    </xf>
    <xf numFmtId="1" fontId="17" fillId="3" borderId="43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/>
    </xf>
    <xf numFmtId="4" fontId="2" fillId="3" borderId="71" xfId="0" applyNumberFormat="1" applyFont="1" applyFill="1" applyBorder="1" applyAlignment="1">
      <alignment horizontal="center" vertical="center"/>
    </xf>
    <xf numFmtId="2" fontId="2" fillId="3" borderId="73" xfId="0" applyNumberFormat="1" applyFont="1" applyFill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" fontId="9" fillId="0" borderId="59" xfId="0" applyNumberFormat="1" applyFont="1" applyBorder="1" applyAlignment="1">
      <alignment horizontal="center" vertical="center" wrapText="1"/>
    </xf>
    <xf numFmtId="4" fontId="15" fillId="4" borderId="58" xfId="0" applyNumberFormat="1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10" fontId="15" fillId="4" borderId="26" xfId="0" applyNumberFormat="1" applyFont="1" applyFill="1" applyBorder="1" applyAlignment="1">
      <alignment horizontal="center" vertical="center" wrapText="1"/>
    </xf>
    <xf numFmtId="10" fontId="16" fillId="3" borderId="18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15" fillId="4" borderId="63" xfId="0" applyFont="1" applyFill="1" applyBorder="1" applyAlignment="1">
      <alignment horizontal="center" vertical="center" wrapText="1"/>
    </xf>
    <xf numFmtId="10" fontId="15" fillId="4" borderId="29" xfId="0" applyNumberFormat="1" applyFont="1" applyFill="1" applyBorder="1" applyAlignment="1">
      <alignment horizontal="center" vertical="center" wrapText="1"/>
    </xf>
    <xf numFmtId="10" fontId="16" fillId="3" borderId="25" xfId="0" applyNumberFormat="1" applyFont="1" applyFill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65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10" fontId="15" fillId="4" borderId="74" xfId="0" applyNumberFormat="1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/>
    </xf>
    <xf numFmtId="10" fontId="16" fillId="3" borderId="5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 wrapText="1"/>
    </xf>
    <xf numFmtId="4" fontId="17" fillId="3" borderId="69" xfId="0" applyNumberFormat="1" applyFont="1" applyFill="1" applyBorder="1" applyAlignment="1">
      <alignment horizontal="center" vertical="center" wrapText="1"/>
    </xf>
    <xf numFmtId="4" fontId="17" fillId="3" borderId="70" xfId="0" applyNumberFormat="1" applyFont="1" applyFill="1" applyBorder="1" applyAlignment="1">
      <alignment horizontal="center" vertical="center" wrapText="1"/>
    </xf>
    <xf numFmtId="3" fontId="17" fillId="3" borderId="71" xfId="0" applyNumberFormat="1" applyFont="1" applyFill="1" applyBorder="1" applyAlignment="1">
      <alignment horizontal="center" vertical="center" wrapText="1"/>
    </xf>
    <xf numFmtId="4" fontId="17" fillId="3" borderId="71" xfId="0" applyNumberFormat="1" applyFont="1" applyFill="1" applyBorder="1" applyAlignment="1">
      <alignment horizontal="center" vertical="center" wrapText="1"/>
    </xf>
    <xf numFmtId="3" fontId="17" fillId="3" borderId="73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3" borderId="75" xfId="0" applyNumberFormat="1" applyFont="1" applyFill="1" applyBorder="1" applyAlignment="1">
      <alignment horizontal="center" vertical="center" wrapText="1"/>
    </xf>
    <xf numFmtId="3" fontId="17" fillId="3" borderId="75" xfId="0" applyNumberFormat="1" applyFont="1" applyFill="1" applyBorder="1" applyAlignment="1">
      <alignment horizontal="center" vertical="center" wrapText="1"/>
    </xf>
    <xf numFmtId="4" fontId="2" fillId="4" borderId="72" xfId="0" applyNumberFormat="1" applyFont="1" applyFill="1" applyBorder="1" applyAlignment="1">
      <alignment horizontal="center" vertical="center"/>
    </xf>
    <xf numFmtId="4" fontId="2" fillId="3" borderId="45" xfId="0" applyNumberFormat="1" applyFont="1" applyFill="1" applyBorder="1" applyAlignment="1">
      <alignment horizontal="center" vertical="center"/>
    </xf>
    <xf numFmtId="4" fontId="2" fillId="3" borderId="46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4" fontId="2" fillId="3" borderId="46" xfId="0" applyNumberFormat="1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0" fontId="21" fillId="0" borderId="0" xfId="2" applyFont="1" applyBorder="1" applyAlignment="1">
      <alignment horizontal="left" vertical="center" wrapText="1"/>
    </xf>
    <xf numFmtId="0" fontId="21" fillId="0" borderId="0" xfId="2" applyFont="1" applyBorder="1" applyAlignment="1">
      <alignment vertical="center" wrapText="1"/>
    </xf>
    <xf numFmtId="0" fontId="4" fillId="4" borderId="56" xfId="0" applyFont="1" applyFill="1" applyBorder="1" applyAlignment="1">
      <alignment horizontal="center" vertical="center" wrapText="1"/>
    </xf>
    <xf numFmtId="4" fontId="15" fillId="4" borderId="61" xfId="0" applyNumberFormat="1" applyFont="1" applyFill="1" applyBorder="1" applyAlignment="1">
      <alignment horizontal="center" vertical="center" wrapText="1"/>
    </xf>
    <xf numFmtId="3" fontId="15" fillId="4" borderId="59" xfId="0" applyNumberFormat="1" applyFont="1" applyFill="1" applyBorder="1" applyAlignment="1">
      <alignment horizontal="center" vertical="center" wrapText="1"/>
    </xf>
    <xf numFmtId="4" fontId="15" fillId="4" borderId="22" xfId="0" applyNumberFormat="1" applyFont="1" applyFill="1" applyBorder="1" applyAlignment="1">
      <alignment horizontal="center" vertical="center" wrapText="1"/>
    </xf>
    <xf numFmtId="3" fontId="15" fillId="4" borderId="24" xfId="0" applyNumberFormat="1" applyFont="1" applyFill="1" applyBorder="1" applyAlignment="1">
      <alignment horizontal="center" vertical="center" wrapText="1"/>
    </xf>
    <xf numFmtId="4" fontId="17" fillId="4" borderId="67" xfId="0" applyNumberFormat="1" applyFont="1" applyFill="1" applyBorder="1" applyAlignment="1">
      <alignment horizontal="center" vertical="center" wrapText="1"/>
    </xf>
    <xf numFmtId="4" fontId="17" fillId="4" borderId="20" xfId="0" applyNumberFormat="1" applyFont="1" applyFill="1" applyBorder="1" applyAlignment="1">
      <alignment horizontal="center" vertical="center" wrapText="1"/>
    </xf>
    <xf numFmtId="3" fontId="17" fillId="4" borderId="66" xfId="0" applyNumberFormat="1" applyFont="1" applyFill="1" applyBorder="1" applyAlignment="1">
      <alignment horizontal="center" vertical="center" wrapText="1"/>
    </xf>
    <xf numFmtId="4" fontId="15" fillId="4" borderId="26" xfId="0" applyNumberFormat="1" applyFont="1" applyFill="1" applyBorder="1" applyAlignment="1">
      <alignment horizontal="center" vertical="center" wrapText="1"/>
    </xf>
    <xf numFmtId="3" fontId="15" fillId="4" borderId="58" xfId="0" applyNumberFormat="1" applyFont="1" applyFill="1" applyBorder="1" applyAlignment="1">
      <alignment horizontal="center" vertical="center" wrapText="1"/>
    </xf>
    <xf numFmtId="3" fontId="15" fillId="4" borderId="63" xfId="0" applyNumberFormat="1" applyFont="1" applyFill="1" applyBorder="1" applyAlignment="1">
      <alignment horizontal="center" vertical="center" wrapText="1"/>
    </xf>
    <xf numFmtId="3" fontId="15" fillId="4" borderId="64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7" fillId="4" borderId="19" xfId="0" applyNumberFormat="1" applyFont="1" applyFill="1" applyBorder="1" applyAlignment="1">
      <alignment horizontal="center" vertical="center" wrapText="1"/>
    </xf>
    <xf numFmtId="4" fontId="17" fillId="4" borderId="72" xfId="0" applyNumberFormat="1" applyFont="1" applyFill="1" applyBorder="1" applyAlignment="1">
      <alignment horizontal="center" vertical="center" wrapText="1"/>
    </xf>
    <xf numFmtId="3" fontId="17" fillId="4" borderId="7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24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tabSelected="1" zoomScale="70" zoomScaleNormal="7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A60" sqref="A60"/>
    </sheetView>
  </sheetViews>
  <sheetFormatPr defaultRowHeight="15.75" x14ac:dyDescent="0.25"/>
  <cols>
    <col min="1" max="1" width="33" customWidth="1"/>
    <col min="2" max="2" width="0.25" hidden="1" customWidth="1"/>
    <col min="3" max="3" width="4.5" hidden="1" customWidth="1"/>
    <col min="4" max="4" width="0.125" hidden="1" customWidth="1"/>
    <col min="5" max="5" width="10.75" bestFit="1" customWidth="1"/>
    <col min="6" max="6" width="12.5" bestFit="1" customWidth="1"/>
    <col min="7" max="7" width="4.875" customWidth="1"/>
    <col min="8" max="8" width="4.875" hidden="1" customWidth="1"/>
    <col min="9" max="9" width="4.5" hidden="1" customWidth="1"/>
    <col min="10" max="10" width="5.125" hidden="1" customWidth="1"/>
    <col min="11" max="11" width="4.875" hidden="1" customWidth="1"/>
    <col min="12" max="12" width="5.125" hidden="1" customWidth="1"/>
    <col min="13" max="13" width="4.875" hidden="1" customWidth="1"/>
    <col min="14" max="14" width="5.125" hidden="1" customWidth="1"/>
    <col min="15" max="15" width="11.375" bestFit="1" customWidth="1"/>
    <col min="16" max="16" width="10.75" bestFit="1" customWidth="1"/>
    <col min="17" max="17" width="5.125" bestFit="1" customWidth="1"/>
    <col min="18" max="18" width="13.5" bestFit="1" customWidth="1"/>
    <col min="19" max="19" width="13.625" bestFit="1" customWidth="1"/>
    <col min="20" max="20" width="4.625" bestFit="1" customWidth="1"/>
    <col min="21" max="21" width="12.5" bestFit="1" customWidth="1"/>
    <col min="22" max="22" width="13.625" bestFit="1" customWidth="1"/>
    <col min="23" max="23" width="4.625" bestFit="1" customWidth="1"/>
    <col min="24" max="25" width="8.625" bestFit="1" customWidth="1"/>
    <col min="26" max="26" width="4.625" bestFit="1" customWidth="1"/>
    <col min="27" max="28" width="12.5" bestFit="1" customWidth="1"/>
    <col min="29" max="29" width="4.625" bestFit="1" customWidth="1"/>
    <col min="30" max="31" width="7" bestFit="1" customWidth="1"/>
    <col min="32" max="32" width="4.625" bestFit="1" customWidth="1"/>
    <col min="33" max="34" width="12.5" bestFit="1" customWidth="1"/>
    <col min="35" max="35" width="4.625" bestFit="1" customWidth="1"/>
    <col min="36" max="37" width="7" bestFit="1" customWidth="1"/>
    <col min="38" max="38" width="4.625" bestFit="1" customWidth="1"/>
    <col min="39" max="39" width="8.625" bestFit="1" customWidth="1"/>
    <col min="40" max="40" width="9.625" bestFit="1" customWidth="1"/>
    <col min="41" max="41" width="4.625" customWidth="1"/>
    <col min="42" max="43" width="10.75" bestFit="1" customWidth="1"/>
    <col min="44" max="44" width="5.875" bestFit="1" customWidth="1"/>
    <col min="45" max="46" width="12.5" bestFit="1" customWidth="1"/>
    <col min="47" max="47" width="4.625" bestFit="1" customWidth="1"/>
    <col min="48" max="49" width="10.75" bestFit="1" customWidth="1"/>
    <col min="50" max="50" width="4.5" customWidth="1"/>
    <col min="51" max="51" width="4.875" hidden="1" customWidth="1"/>
    <col min="52" max="52" width="5.125" hidden="1" customWidth="1"/>
    <col min="53" max="53" width="4.875" hidden="1" customWidth="1"/>
    <col min="54" max="54" width="5.125" hidden="1" customWidth="1"/>
    <col min="55" max="55" width="4.875" hidden="1" customWidth="1"/>
    <col min="56" max="56" width="5.125" hidden="1" customWidth="1"/>
    <col min="57" max="57" width="4.875" hidden="1" customWidth="1"/>
    <col min="58" max="58" width="5.125" hidden="1" customWidth="1"/>
    <col min="59" max="59" width="9.625" bestFit="1" customWidth="1"/>
    <col min="60" max="60" width="9.375" customWidth="1"/>
    <col min="61" max="61" width="4.375" customWidth="1"/>
    <col min="62" max="62" width="4.875" hidden="1" customWidth="1"/>
    <col min="63" max="63" width="4.625" hidden="1" customWidth="1"/>
    <col min="64" max="64" width="4.875" hidden="1" customWidth="1"/>
    <col min="65" max="65" width="4.625" hidden="1" customWidth="1"/>
    <col min="66" max="67" width="13.625" bestFit="1" customWidth="1"/>
    <col min="68" max="68" width="11.375" customWidth="1"/>
    <col min="69" max="69" width="12.25" customWidth="1"/>
    <col min="70" max="71" width="13.625" bestFit="1" customWidth="1"/>
    <col min="72" max="72" width="12.375" customWidth="1"/>
    <col min="73" max="73" width="11.25" customWidth="1"/>
  </cols>
  <sheetData>
    <row r="1" spans="1:73" ht="16.149999999999999" customHeight="1" thickBot="1" x14ac:dyDescent="0.3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5"/>
      <c r="BS1" s="1"/>
      <c r="BT1" s="2" t="s">
        <v>1</v>
      </c>
    </row>
    <row r="2" spans="1:73" ht="16.899999999999999" customHeight="1" thickBot="1" x14ac:dyDescent="0.3">
      <c r="A2" s="226"/>
      <c r="B2" s="229" t="s">
        <v>2</v>
      </c>
      <c r="C2" s="230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2"/>
      <c r="BJ2" s="3"/>
      <c r="BK2" s="3"/>
      <c r="BL2" s="3"/>
      <c r="BM2" s="3"/>
      <c r="BN2" s="233" t="s">
        <v>3</v>
      </c>
      <c r="BO2" s="234"/>
      <c r="BP2" s="234"/>
      <c r="BQ2" s="234"/>
      <c r="BR2" s="237" t="s">
        <v>4</v>
      </c>
      <c r="BS2" s="238"/>
      <c r="BT2" s="238"/>
      <c r="BU2" s="239"/>
    </row>
    <row r="3" spans="1:73" ht="16.149999999999999" customHeight="1" thickBot="1" x14ac:dyDescent="0.3">
      <c r="A3" s="227"/>
      <c r="B3" s="243" t="s">
        <v>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4"/>
      <c r="BN3" s="235"/>
      <c r="BO3" s="236"/>
      <c r="BP3" s="236"/>
      <c r="BQ3" s="236"/>
      <c r="BR3" s="240"/>
      <c r="BS3" s="241"/>
      <c r="BT3" s="241"/>
      <c r="BU3" s="242"/>
    </row>
    <row r="4" spans="1:73" ht="64.900000000000006" customHeight="1" x14ac:dyDescent="0.25">
      <c r="A4" s="227"/>
      <c r="B4" s="245" t="s">
        <v>6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8" t="s">
        <v>7</v>
      </c>
      <c r="P4" s="249"/>
      <c r="Q4" s="250"/>
      <c r="R4" s="245" t="s">
        <v>8</v>
      </c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7"/>
      <c r="AG4" s="254" t="s">
        <v>9</v>
      </c>
      <c r="AH4" s="255"/>
      <c r="AI4" s="256"/>
      <c r="AJ4" s="256"/>
      <c r="AK4" s="257"/>
      <c r="AL4" s="258"/>
      <c r="AM4" s="267" t="s">
        <v>10</v>
      </c>
      <c r="AN4" s="267"/>
      <c r="AO4" s="268"/>
      <c r="AP4" s="271" t="s">
        <v>11</v>
      </c>
      <c r="AQ4" s="272"/>
      <c r="AR4" s="273"/>
      <c r="AS4" s="273"/>
      <c r="AT4" s="273"/>
      <c r="AU4" s="273"/>
      <c r="AV4" s="273"/>
      <c r="AW4" s="274"/>
      <c r="AX4" s="275"/>
      <c r="AY4" s="245" t="s">
        <v>12</v>
      </c>
      <c r="AZ4" s="246"/>
      <c r="BA4" s="245" t="s">
        <v>13</v>
      </c>
      <c r="BB4" s="246"/>
      <c r="BC4" s="246"/>
      <c r="BD4" s="246"/>
      <c r="BE4" s="246"/>
      <c r="BF4" s="247"/>
      <c r="BG4" s="272" t="s">
        <v>14</v>
      </c>
      <c r="BH4" s="276"/>
      <c r="BI4" s="274"/>
      <c r="BJ4" s="254" t="s">
        <v>15</v>
      </c>
      <c r="BK4" s="256"/>
      <c r="BL4" s="256"/>
      <c r="BM4" s="258"/>
      <c r="BN4" s="233" t="s">
        <v>16</v>
      </c>
      <c r="BO4" s="287"/>
      <c r="BP4" s="292" t="s">
        <v>17</v>
      </c>
      <c r="BQ4" s="295" t="s">
        <v>18</v>
      </c>
      <c r="BR4" s="237" t="s">
        <v>19</v>
      </c>
      <c r="BS4" s="298"/>
      <c r="BT4" s="303" t="s">
        <v>20</v>
      </c>
      <c r="BU4" s="264" t="s">
        <v>21</v>
      </c>
    </row>
    <row r="5" spans="1:73" ht="33.6" customHeight="1" x14ac:dyDescent="0.25">
      <c r="A5" s="227"/>
      <c r="B5" s="283" t="s">
        <v>22</v>
      </c>
      <c r="C5" s="281"/>
      <c r="D5" s="284"/>
      <c r="E5" s="284" t="s">
        <v>23</v>
      </c>
      <c r="F5" s="284"/>
      <c r="G5" s="284"/>
      <c r="H5" s="284" t="s">
        <v>24</v>
      </c>
      <c r="I5" s="284"/>
      <c r="J5" s="284"/>
      <c r="K5" s="284" t="s">
        <v>25</v>
      </c>
      <c r="L5" s="284"/>
      <c r="M5" s="284" t="s">
        <v>26</v>
      </c>
      <c r="N5" s="285"/>
      <c r="O5" s="251"/>
      <c r="P5" s="252"/>
      <c r="Q5" s="253"/>
      <c r="R5" s="306" t="s">
        <v>24</v>
      </c>
      <c r="S5" s="307"/>
      <c r="T5" s="307"/>
      <c r="U5" s="307"/>
      <c r="V5" s="307"/>
      <c r="W5" s="307"/>
      <c r="X5" s="307"/>
      <c r="Y5" s="307"/>
      <c r="Z5" s="281"/>
      <c r="AA5" s="280" t="s">
        <v>25</v>
      </c>
      <c r="AB5" s="307"/>
      <c r="AC5" s="307"/>
      <c r="AD5" s="307"/>
      <c r="AE5" s="307"/>
      <c r="AF5" s="282"/>
      <c r="AG5" s="259"/>
      <c r="AH5" s="260"/>
      <c r="AI5" s="261"/>
      <c r="AJ5" s="261"/>
      <c r="AK5" s="262"/>
      <c r="AL5" s="263"/>
      <c r="AM5" s="269"/>
      <c r="AN5" s="269"/>
      <c r="AO5" s="270"/>
      <c r="AP5" s="283" t="s">
        <v>27</v>
      </c>
      <c r="AQ5" s="281"/>
      <c r="AR5" s="284"/>
      <c r="AS5" s="284" t="s">
        <v>28</v>
      </c>
      <c r="AT5" s="284"/>
      <c r="AU5" s="284"/>
      <c r="AV5" s="284" t="s">
        <v>29</v>
      </c>
      <c r="AW5" s="280"/>
      <c r="AX5" s="285"/>
      <c r="AY5" s="306" t="s">
        <v>30</v>
      </c>
      <c r="AZ5" s="307"/>
      <c r="BA5" s="306" t="s">
        <v>31</v>
      </c>
      <c r="BB5" s="281"/>
      <c r="BC5" s="280" t="s">
        <v>32</v>
      </c>
      <c r="BD5" s="281"/>
      <c r="BE5" s="280" t="s">
        <v>33</v>
      </c>
      <c r="BF5" s="282"/>
      <c r="BG5" s="277"/>
      <c r="BH5" s="278"/>
      <c r="BI5" s="279"/>
      <c r="BJ5" s="283" t="s">
        <v>34</v>
      </c>
      <c r="BK5" s="284"/>
      <c r="BL5" s="284" t="s">
        <v>35</v>
      </c>
      <c r="BM5" s="285"/>
      <c r="BN5" s="288"/>
      <c r="BO5" s="289"/>
      <c r="BP5" s="293"/>
      <c r="BQ5" s="296"/>
      <c r="BR5" s="299"/>
      <c r="BS5" s="300"/>
      <c r="BT5" s="304"/>
      <c r="BU5" s="265"/>
    </row>
    <row r="6" spans="1:73" ht="25.15" customHeight="1" x14ac:dyDescent="0.25">
      <c r="A6" s="227"/>
      <c r="B6" s="310" t="s">
        <v>36</v>
      </c>
      <c r="C6" s="308" t="s">
        <v>37</v>
      </c>
      <c r="D6" s="308" t="s">
        <v>38</v>
      </c>
      <c r="E6" s="308" t="s">
        <v>36</v>
      </c>
      <c r="F6" s="308" t="s">
        <v>37</v>
      </c>
      <c r="G6" s="308" t="s">
        <v>38</v>
      </c>
      <c r="H6" s="308" t="s">
        <v>36</v>
      </c>
      <c r="I6" s="308" t="s">
        <v>37</v>
      </c>
      <c r="J6" s="308" t="s">
        <v>38</v>
      </c>
      <c r="K6" s="308" t="s">
        <v>36</v>
      </c>
      <c r="L6" s="308" t="s">
        <v>38</v>
      </c>
      <c r="M6" s="308" t="s">
        <v>36</v>
      </c>
      <c r="N6" s="316" t="s">
        <v>38</v>
      </c>
      <c r="O6" s="310" t="s">
        <v>36</v>
      </c>
      <c r="P6" s="308" t="s">
        <v>37</v>
      </c>
      <c r="Q6" s="316" t="s">
        <v>38</v>
      </c>
      <c r="R6" s="283" t="s">
        <v>39</v>
      </c>
      <c r="S6" s="281"/>
      <c r="T6" s="284"/>
      <c r="U6" s="284" t="s">
        <v>40</v>
      </c>
      <c r="V6" s="284"/>
      <c r="W6" s="284"/>
      <c r="X6" s="284" t="s">
        <v>41</v>
      </c>
      <c r="Y6" s="284"/>
      <c r="Z6" s="284"/>
      <c r="AA6" s="284" t="s">
        <v>42</v>
      </c>
      <c r="AB6" s="284"/>
      <c r="AC6" s="284"/>
      <c r="AD6" s="284" t="s">
        <v>43</v>
      </c>
      <c r="AE6" s="280"/>
      <c r="AF6" s="285"/>
      <c r="AG6" s="283" t="s">
        <v>40</v>
      </c>
      <c r="AH6" s="281"/>
      <c r="AI6" s="284"/>
      <c r="AJ6" s="284" t="s">
        <v>44</v>
      </c>
      <c r="AK6" s="280"/>
      <c r="AL6" s="285"/>
      <c r="AM6" s="314" t="s">
        <v>36</v>
      </c>
      <c r="AN6" s="318" t="s">
        <v>37</v>
      </c>
      <c r="AO6" s="320" t="s">
        <v>38</v>
      </c>
      <c r="AP6" s="322" t="s">
        <v>36</v>
      </c>
      <c r="AQ6" s="324" t="s">
        <v>37</v>
      </c>
      <c r="AR6" s="312" t="s">
        <v>38</v>
      </c>
      <c r="AS6" s="312" t="s">
        <v>36</v>
      </c>
      <c r="AT6" s="324" t="s">
        <v>37</v>
      </c>
      <c r="AU6" s="312" t="s">
        <v>38</v>
      </c>
      <c r="AV6" s="312" t="s">
        <v>36</v>
      </c>
      <c r="AW6" s="324" t="s">
        <v>37</v>
      </c>
      <c r="AX6" s="337" t="s">
        <v>38</v>
      </c>
      <c r="AY6" s="339" t="s">
        <v>36</v>
      </c>
      <c r="AZ6" s="333" t="s">
        <v>38</v>
      </c>
      <c r="BA6" s="283" t="s">
        <v>36</v>
      </c>
      <c r="BB6" s="284" t="s">
        <v>38</v>
      </c>
      <c r="BC6" s="284" t="s">
        <v>36</v>
      </c>
      <c r="BD6" s="284" t="s">
        <v>38</v>
      </c>
      <c r="BE6" s="284" t="s">
        <v>36</v>
      </c>
      <c r="BF6" s="285" t="s">
        <v>38</v>
      </c>
      <c r="BG6" s="277"/>
      <c r="BH6" s="278"/>
      <c r="BI6" s="279"/>
      <c r="BJ6" s="283"/>
      <c r="BK6" s="284"/>
      <c r="BL6" s="284"/>
      <c r="BM6" s="285"/>
      <c r="BN6" s="290"/>
      <c r="BO6" s="291"/>
      <c r="BP6" s="293"/>
      <c r="BQ6" s="296"/>
      <c r="BR6" s="301"/>
      <c r="BS6" s="302"/>
      <c r="BT6" s="304"/>
      <c r="BU6" s="265"/>
    </row>
    <row r="7" spans="1:73" ht="24.6" customHeight="1" thickBot="1" x14ac:dyDescent="0.3">
      <c r="A7" s="228"/>
      <c r="B7" s="311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7"/>
      <c r="O7" s="311"/>
      <c r="P7" s="309"/>
      <c r="Q7" s="317"/>
      <c r="R7" s="5" t="s">
        <v>36</v>
      </c>
      <c r="S7" s="6" t="s">
        <v>37</v>
      </c>
      <c r="T7" s="7" t="s">
        <v>38</v>
      </c>
      <c r="U7" s="7" t="s">
        <v>36</v>
      </c>
      <c r="V7" s="7" t="s">
        <v>37</v>
      </c>
      <c r="W7" s="7" t="s">
        <v>38</v>
      </c>
      <c r="X7" s="7" t="s">
        <v>36</v>
      </c>
      <c r="Y7" s="7" t="s">
        <v>37</v>
      </c>
      <c r="Z7" s="7" t="s">
        <v>38</v>
      </c>
      <c r="AA7" s="7" t="s">
        <v>36</v>
      </c>
      <c r="AB7" s="7" t="s">
        <v>37</v>
      </c>
      <c r="AC7" s="7" t="s">
        <v>38</v>
      </c>
      <c r="AD7" s="7" t="s">
        <v>36</v>
      </c>
      <c r="AE7" s="8" t="s">
        <v>37</v>
      </c>
      <c r="AF7" s="9" t="s">
        <v>38</v>
      </c>
      <c r="AG7" s="10" t="s">
        <v>36</v>
      </c>
      <c r="AH7" s="11" t="s">
        <v>37</v>
      </c>
      <c r="AI7" s="12" t="s">
        <v>38</v>
      </c>
      <c r="AJ7" s="12" t="s">
        <v>36</v>
      </c>
      <c r="AK7" s="13" t="s">
        <v>37</v>
      </c>
      <c r="AL7" s="14" t="s">
        <v>38</v>
      </c>
      <c r="AM7" s="315"/>
      <c r="AN7" s="319"/>
      <c r="AO7" s="321"/>
      <c r="AP7" s="323"/>
      <c r="AQ7" s="325"/>
      <c r="AR7" s="313"/>
      <c r="AS7" s="313"/>
      <c r="AT7" s="325"/>
      <c r="AU7" s="313"/>
      <c r="AV7" s="313"/>
      <c r="AW7" s="325"/>
      <c r="AX7" s="338"/>
      <c r="AY7" s="311"/>
      <c r="AZ7" s="334"/>
      <c r="BA7" s="335"/>
      <c r="BB7" s="336"/>
      <c r="BC7" s="336"/>
      <c r="BD7" s="336"/>
      <c r="BE7" s="336"/>
      <c r="BF7" s="286"/>
      <c r="BG7" s="11" t="s">
        <v>36</v>
      </c>
      <c r="BH7" s="15" t="s">
        <v>37</v>
      </c>
      <c r="BI7" s="13" t="s">
        <v>38</v>
      </c>
      <c r="BJ7" s="10" t="s">
        <v>36</v>
      </c>
      <c r="BK7" s="12" t="s">
        <v>38</v>
      </c>
      <c r="BL7" s="12" t="s">
        <v>36</v>
      </c>
      <c r="BM7" s="14" t="s">
        <v>38</v>
      </c>
      <c r="BN7" s="208" t="s">
        <v>36</v>
      </c>
      <c r="BO7" s="208" t="s">
        <v>37</v>
      </c>
      <c r="BP7" s="294"/>
      <c r="BQ7" s="297"/>
      <c r="BR7" s="16" t="s">
        <v>36</v>
      </c>
      <c r="BS7" s="17" t="s">
        <v>37</v>
      </c>
      <c r="BT7" s="305"/>
      <c r="BU7" s="266"/>
    </row>
    <row r="8" spans="1:73" ht="16.5" thickBot="1" x14ac:dyDescent="0.3">
      <c r="A8" s="18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/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  <c r="AB8" s="19">
        <v>26</v>
      </c>
      <c r="AC8" s="19">
        <v>27</v>
      </c>
      <c r="AD8" s="19">
        <v>28</v>
      </c>
      <c r="AE8" s="19">
        <v>29</v>
      </c>
      <c r="AF8" s="19">
        <v>30</v>
      </c>
      <c r="AG8" s="19">
        <v>31</v>
      </c>
      <c r="AH8" s="19">
        <v>32</v>
      </c>
      <c r="AI8" s="19">
        <v>33</v>
      </c>
      <c r="AJ8" s="19">
        <v>34</v>
      </c>
      <c r="AK8" s="19">
        <v>35</v>
      </c>
      <c r="AL8" s="19">
        <v>36</v>
      </c>
      <c r="AM8" s="19">
        <v>37</v>
      </c>
      <c r="AN8" s="19">
        <v>38</v>
      </c>
      <c r="AO8" s="19">
        <v>39</v>
      </c>
      <c r="AP8" s="19">
        <v>40</v>
      </c>
      <c r="AQ8" s="19">
        <v>41</v>
      </c>
      <c r="AR8" s="19">
        <v>42</v>
      </c>
      <c r="AS8" s="19">
        <v>43</v>
      </c>
      <c r="AT8" s="19">
        <v>44</v>
      </c>
      <c r="AU8" s="19">
        <v>45</v>
      </c>
      <c r="AV8" s="19">
        <v>46</v>
      </c>
      <c r="AW8" s="19">
        <v>47</v>
      </c>
      <c r="AX8" s="19">
        <v>48</v>
      </c>
      <c r="AY8" s="19">
        <v>49</v>
      </c>
      <c r="AZ8" s="19">
        <v>50</v>
      </c>
      <c r="BA8" s="19">
        <v>51</v>
      </c>
      <c r="BB8" s="19">
        <v>52</v>
      </c>
      <c r="BC8" s="19">
        <v>53</v>
      </c>
      <c r="BD8" s="19">
        <v>54</v>
      </c>
      <c r="BE8" s="19">
        <v>55</v>
      </c>
      <c r="BF8" s="19">
        <v>56</v>
      </c>
      <c r="BG8" s="19">
        <v>57</v>
      </c>
      <c r="BH8" s="19">
        <v>58</v>
      </c>
      <c r="BI8" s="19">
        <v>59</v>
      </c>
      <c r="BJ8" s="19">
        <v>60</v>
      </c>
      <c r="BK8" s="19">
        <v>61</v>
      </c>
      <c r="BL8" s="19">
        <v>62</v>
      </c>
      <c r="BM8" s="19">
        <v>63</v>
      </c>
      <c r="BN8" s="20">
        <v>64</v>
      </c>
      <c r="BO8" s="20">
        <v>65</v>
      </c>
      <c r="BP8" s="20">
        <v>66</v>
      </c>
      <c r="BQ8" s="21">
        <v>67</v>
      </c>
      <c r="BR8" s="21">
        <v>69</v>
      </c>
      <c r="BS8" s="21">
        <v>70</v>
      </c>
      <c r="BT8" s="21">
        <v>71</v>
      </c>
      <c r="BU8" s="22">
        <v>71</v>
      </c>
    </row>
    <row r="9" spans="1:73" ht="16.5" thickBot="1" x14ac:dyDescent="0.3">
      <c r="A9" s="326" t="s">
        <v>45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8"/>
    </row>
    <row r="10" spans="1:73" x14ac:dyDescent="0.25">
      <c r="A10" s="23" t="s">
        <v>46</v>
      </c>
      <c r="B10" s="24"/>
      <c r="C10" s="24"/>
      <c r="D10" s="25"/>
      <c r="E10" s="26">
        <v>338892.07</v>
      </c>
      <c r="F10" s="26">
        <f>ROUND(E10/0.702804,2)</f>
        <v>482199.97</v>
      </c>
      <c r="G10" s="25">
        <v>3</v>
      </c>
      <c r="H10" s="26"/>
      <c r="I10" s="26"/>
      <c r="J10" s="25"/>
      <c r="K10" s="25"/>
      <c r="L10" s="25"/>
      <c r="M10" s="25"/>
      <c r="N10" s="27"/>
      <c r="O10" s="28"/>
      <c r="P10" s="29"/>
      <c r="Q10" s="30"/>
      <c r="R10" s="31">
        <v>163254.67000000001</v>
      </c>
      <c r="S10" s="31">
        <f>ROUND(R10/0.702804,2)</f>
        <v>232290.47</v>
      </c>
      <c r="T10" s="32">
        <v>18</v>
      </c>
      <c r="U10" s="33">
        <v>2385760.04</v>
      </c>
      <c r="V10" s="33">
        <f>ROUND(U10/0.702804,2)</f>
        <v>3394630.71</v>
      </c>
      <c r="W10" s="32">
        <v>161</v>
      </c>
      <c r="X10" s="33"/>
      <c r="Y10" s="33"/>
      <c r="Z10" s="32"/>
      <c r="AA10" s="33">
        <v>195746.25</v>
      </c>
      <c r="AB10" s="33">
        <f>ROUND(AA10/0.702804,2)</f>
        <v>278521.82</v>
      </c>
      <c r="AC10" s="32">
        <v>38</v>
      </c>
      <c r="AD10" s="33"/>
      <c r="AE10" s="34"/>
      <c r="AF10" s="35"/>
      <c r="AG10" s="36">
        <v>10365.59</v>
      </c>
      <c r="AH10" s="31">
        <f>ROUND(AG10/0.702804,2)</f>
        <v>14748.91</v>
      </c>
      <c r="AI10" s="32">
        <v>3</v>
      </c>
      <c r="AJ10" s="33"/>
      <c r="AK10" s="34"/>
      <c r="AL10" s="30"/>
      <c r="AM10" s="37">
        <v>2032.8</v>
      </c>
      <c r="AN10" s="38">
        <v>2892.41</v>
      </c>
      <c r="AO10" s="35">
        <v>1</v>
      </c>
      <c r="AP10" s="28"/>
      <c r="AQ10" s="39"/>
      <c r="AR10" s="32"/>
      <c r="AS10" s="40">
        <v>593482</v>
      </c>
      <c r="AT10" s="40">
        <v>844448.81</v>
      </c>
      <c r="AU10" s="32">
        <v>73</v>
      </c>
      <c r="AV10" s="40">
        <v>230183</v>
      </c>
      <c r="AW10" s="40">
        <v>327520.90000000002</v>
      </c>
      <c r="AX10" s="32">
        <v>6</v>
      </c>
      <c r="AY10" s="32"/>
      <c r="AZ10" s="30"/>
      <c r="BA10" s="28"/>
      <c r="BB10" s="32"/>
      <c r="BC10" s="32"/>
      <c r="BD10" s="32"/>
      <c r="BE10" s="32"/>
      <c r="BF10" s="30"/>
      <c r="BG10" s="36"/>
      <c r="BH10" s="41"/>
      <c r="BI10" s="30"/>
      <c r="BJ10" s="28"/>
      <c r="BK10" s="32"/>
      <c r="BL10" s="32"/>
      <c r="BM10" s="35"/>
      <c r="BN10" s="209">
        <f t="shared" ref="BN10:BN26" si="0">B10+E10+H10+K10+M10+O10+R10+U10+X10+AA10+AD10+AG10+AJ10+AM10+AP10+AS10+AV10+AY10+BA10+BC10+BE10+BG10+BJ10+BL10</f>
        <v>3919716.42</v>
      </c>
      <c r="BO10" s="209">
        <f>C10+F10+P10+I10+S10+V10+Y10+AB10+AE10+AH10+AK10+AN10+AQ10+AT10+AW10+BH10</f>
        <v>5577254</v>
      </c>
      <c r="BP10" s="210">
        <f>D10+G10+J10+L10+N10+Q10+T10+W10+Z10+AC10+AF10+AI10+AL10+AO10+AR10+AU10+AX10+AZ10+BB10+BD10+BF10+BI10+BK10+BM10</f>
        <v>303</v>
      </c>
      <c r="BQ10" s="42">
        <f t="shared" ref="BQ10:BQ26" si="1">BN10/$BN$27*100%</f>
        <v>0.1108121763098173</v>
      </c>
      <c r="BR10" s="43">
        <f>824345+(3546.47+445.79+2032.8)+4933465.76</f>
        <v>5763835.8200000003</v>
      </c>
      <c r="BS10" s="44">
        <f>1172937.26+8572.89+ROUND(4933465.76/0.702804,2)</f>
        <v>8201199.5099999998</v>
      </c>
      <c r="BT10" s="45">
        <f>80+(8+2+1)+372</f>
        <v>463</v>
      </c>
      <c r="BU10" s="46">
        <f t="shared" ref="BU10:BU26" si="2">BR10/$BR$27*100%</f>
        <v>8.7620534911482709E-2</v>
      </c>
    </row>
    <row r="11" spans="1:73" ht="30" x14ac:dyDescent="0.25">
      <c r="A11" s="47" t="s">
        <v>47</v>
      </c>
      <c r="B11" s="48"/>
      <c r="C11" s="48"/>
      <c r="D11" s="49"/>
      <c r="E11" s="49"/>
      <c r="F11" s="49"/>
      <c r="G11" s="49"/>
      <c r="H11" s="50"/>
      <c r="I11" s="50"/>
      <c r="J11" s="49"/>
      <c r="K11" s="49"/>
      <c r="L11" s="49"/>
      <c r="M11" s="49"/>
      <c r="N11" s="51"/>
      <c r="O11" s="52"/>
      <c r="P11" s="53"/>
      <c r="Q11" s="54"/>
      <c r="R11" s="55">
        <v>1369076.31</v>
      </c>
      <c r="S11" s="31">
        <f t="shared" ref="S11:S24" si="3">ROUND(R11/0.702804,2)</f>
        <v>1948020.09</v>
      </c>
      <c r="T11" s="56">
        <v>1</v>
      </c>
      <c r="U11" s="57">
        <v>284454.18999999994</v>
      </c>
      <c r="V11" s="33">
        <f t="shared" ref="V11:V24" si="4">ROUND(U11/0.702804,2)</f>
        <v>404741.85</v>
      </c>
      <c r="W11" s="56">
        <v>13</v>
      </c>
      <c r="X11" s="57"/>
      <c r="Y11" s="57"/>
      <c r="Z11" s="56"/>
      <c r="AA11" s="57">
        <v>15128.749999999998</v>
      </c>
      <c r="AB11" s="57">
        <f>ROUND(AA11/0.702804,2)</f>
        <v>21526.27</v>
      </c>
      <c r="AC11" s="56">
        <v>6</v>
      </c>
      <c r="AD11" s="57"/>
      <c r="AE11" s="58"/>
      <c r="AF11" s="59"/>
      <c r="AG11" s="60">
        <v>2275945.0699999998</v>
      </c>
      <c r="AH11" s="31">
        <f t="shared" ref="AH11:AH22" si="5">ROUND(AG11/0.702804,2)</f>
        <v>3238378.08</v>
      </c>
      <c r="AI11" s="56">
        <v>2</v>
      </c>
      <c r="AJ11" s="57"/>
      <c r="AK11" s="58"/>
      <c r="AL11" s="54"/>
      <c r="AM11" s="61"/>
      <c r="AN11" s="53"/>
      <c r="AO11" s="59"/>
      <c r="AP11" s="52"/>
      <c r="AQ11" s="61"/>
      <c r="AR11" s="56"/>
      <c r="AS11" s="56"/>
      <c r="AT11" s="56"/>
      <c r="AU11" s="56"/>
      <c r="AV11" s="62"/>
      <c r="AW11" s="62"/>
      <c r="AX11" s="56"/>
      <c r="AY11" s="56"/>
      <c r="AZ11" s="54"/>
      <c r="BA11" s="52"/>
      <c r="BB11" s="56"/>
      <c r="BC11" s="56"/>
      <c r="BD11" s="56"/>
      <c r="BE11" s="56"/>
      <c r="BF11" s="54"/>
      <c r="BG11" s="60"/>
      <c r="BH11" s="63"/>
      <c r="BI11" s="54"/>
      <c r="BJ11" s="52"/>
      <c r="BK11" s="56"/>
      <c r="BL11" s="56"/>
      <c r="BM11" s="59"/>
      <c r="BN11" s="211">
        <f t="shared" si="0"/>
        <v>3944604.32</v>
      </c>
      <c r="BO11" s="209">
        <f t="shared" ref="BO11:BO26" si="6">C11+F11+P11+I11+S11+V11+Y11+AB11+AE11+AH11+AK11+AN11+AQ11+AT11+AW11+BH11</f>
        <v>5612666.29</v>
      </c>
      <c r="BP11" s="212">
        <f t="shared" ref="BP11:BP26" si="7">D11+G11+J11+L11+N11+Q11+T11+W11+Z11+AC11+AF11+AI11+AL11+AO11+AR11+AU11+AX11+AZ11+BB11+BD11+BF11+BI11+BK11+BM11</f>
        <v>22</v>
      </c>
      <c r="BQ11" s="64">
        <f t="shared" si="1"/>
        <v>0.11151576862805472</v>
      </c>
      <c r="BR11" s="65">
        <f>0.21+4569602.39</f>
        <v>4569602.5999999996</v>
      </c>
      <c r="BS11" s="66">
        <f>0.3+ROUND(4569602.39/0.702804,2)</f>
        <v>6501958.7299999995</v>
      </c>
      <c r="BT11" s="67">
        <f>1+155</f>
        <v>156</v>
      </c>
      <c r="BU11" s="68">
        <f t="shared" si="2"/>
        <v>6.9466070278334555E-2</v>
      </c>
    </row>
    <row r="12" spans="1:73" ht="30" x14ac:dyDescent="0.25">
      <c r="A12" s="47" t="s">
        <v>48</v>
      </c>
      <c r="B12" s="48"/>
      <c r="C12" s="48"/>
      <c r="D12" s="49"/>
      <c r="E12" s="49"/>
      <c r="F12" s="49"/>
      <c r="G12" s="49"/>
      <c r="H12" s="50"/>
      <c r="I12" s="50"/>
      <c r="J12" s="49"/>
      <c r="K12" s="49"/>
      <c r="L12" s="49"/>
      <c r="M12" s="49"/>
      <c r="N12" s="51"/>
      <c r="O12" s="52"/>
      <c r="P12" s="53"/>
      <c r="Q12" s="54"/>
      <c r="R12" s="55"/>
      <c r="S12" s="31"/>
      <c r="T12" s="56"/>
      <c r="U12" s="57">
        <v>123807.60999999999</v>
      </c>
      <c r="V12" s="33">
        <f t="shared" si="4"/>
        <v>176162.36</v>
      </c>
      <c r="W12" s="56">
        <v>6</v>
      </c>
      <c r="X12" s="57"/>
      <c r="Y12" s="57"/>
      <c r="Z12" s="56"/>
      <c r="AA12" s="57">
        <v>347.37</v>
      </c>
      <c r="AB12" s="57">
        <f>ROUND(AA12/0.702804,2)</f>
        <v>494.26</v>
      </c>
      <c r="AC12" s="56">
        <v>2</v>
      </c>
      <c r="AD12" s="57"/>
      <c r="AE12" s="58"/>
      <c r="AF12" s="59"/>
      <c r="AG12" s="60"/>
      <c r="AH12" s="31"/>
      <c r="AI12" s="56"/>
      <c r="AJ12" s="57"/>
      <c r="AK12" s="58"/>
      <c r="AL12" s="54"/>
      <c r="AM12" s="61"/>
      <c r="AN12" s="53"/>
      <c r="AO12" s="59"/>
      <c r="AP12" s="52"/>
      <c r="AQ12" s="61"/>
      <c r="AR12" s="56"/>
      <c r="AS12" s="56"/>
      <c r="AT12" s="56"/>
      <c r="AU12" s="56"/>
      <c r="AV12" s="62"/>
      <c r="AW12" s="62"/>
      <c r="AX12" s="56"/>
      <c r="AY12" s="56"/>
      <c r="AZ12" s="54"/>
      <c r="BA12" s="52"/>
      <c r="BB12" s="56"/>
      <c r="BC12" s="56"/>
      <c r="BD12" s="56"/>
      <c r="BE12" s="56"/>
      <c r="BF12" s="54"/>
      <c r="BG12" s="60"/>
      <c r="BH12" s="63"/>
      <c r="BI12" s="54"/>
      <c r="BJ12" s="52"/>
      <c r="BK12" s="56"/>
      <c r="BL12" s="56"/>
      <c r="BM12" s="59"/>
      <c r="BN12" s="211">
        <f t="shared" si="0"/>
        <v>124154.97999999998</v>
      </c>
      <c r="BO12" s="209">
        <f t="shared" si="6"/>
        <v>176656.62</v>
      </c>
      <c r="BP12" s="212">
        <f t="shared" si="7"/>
        <v>8</v>
      </c>
      <c r="BQ12" s="64">
        <f t="shared" si="1"/>
        <v>3.5099180806303937E-3</v>
      </c>
      <c r="BR12" s="65">
        <v>125424.79</v>
      </c>
      <c r="BS12" s="66">
        <f>ROUND(BR12/0.702804,2)</f>
        <v>178463.4</v>
      </c>
      <c r="BT12" s="67">
        <v>11</v>
      </c>
      <c r="BU12" s="68">
        <f t="shared" si="2"/>
        <v>1.9066794291445286E-3</v>
      </c>
    </row>
    <row r="13" spans="1:73" x14ac:dyDescent="0.25">
      <c r="A13" s="47" t="s">
        <v>49</v>
      </c>
      <c r="B13" s="48"/>
      <c r="C13" s="48"/>
      <c r="D13" s="49"/>
      <c r="E13" s="49"/>
      <c r="F13" s="49"/>
      <c r="G13" s="49"/>
      <c r="H13" s="50"/>
      <c r="I13" s="50"/>
      <c r="J13" s="49"/>
      <c r="K13" s="49"/>
      <c r="L13" s="49"/>
      <c r="M13" s="49"/>
      <c r="N13" s="51"/>
      <c r="O13" s="52">
        <v>316191.52</v>
      </c>
      <c r="P13" s="69">
        <f>ROUND(O13/0.702804,2)</f>
        <v>449900</v>
      </c>
      <c r="Q13" s="54">
        <v>1</v>
      </c>
      <c r="R13" s="55">
        <v>13279969.42</v>
      </c>
      <c r="S13" s="31">
        <f t="shared" si="3"/>
        <v>18895694.129999999</v>
      </c>
      <c r="T13" s="56">
        <v>2</v>
      </c>
      <c r="U13" s="57"/>
      <c r="V13" s="33"/>
      <c r="W13" s="56"/>
      <c r="X13" s="57"/>
      <c r="Y13" s="57"/>
      <c r="Z13" s="56"/>
      <c r="AA13" s="57">
        <v>3717326</v>
      </c>
      <c r="AB13" s="57">
        <f>ROUND(AA13/0.702804,2)</f>
        <v>5289278.38</v>
      </c>
      <c r="AC13" s="56">
        <v>5</v>
      </c>
      <c r="AD13" s="57"/>
      <c r="AE13" s="58"/>
      <c r="AF13" s="59"/>
      <c r="AG13" s="60">
        <v>59821</v>
      </c>
      <c r="AH13" s="31">
        <f t="shared" si="5"/>
        <v>85117.61</v>
      </c>
      <c r="AI13" s="56">
        <v>1</v>
      </c>
      <c r="AJ13" s="57"/>
      <c r="AK13" s="58"/>
      <c r="AL13" s="54"/>
      <c r="AM13" s="61"/>
      <c r="AN13" s="53"/>
      <c r="AO13" s="59"/>
      <c r="AP13" s="52"/>
      <c r="AQ13" s="61"/>
      <c r="AR13" s="56"/>
      <c r="AS13" s="56"/>
      <c r="AT13" s="56"/>
      <c r="AU13" s="56"/>
      <c r="AV13" s="62"/>
      <c r="AW13" s="62"/>
      <c r="AX13" s="56"/>
      <c r="AY13" s="56"/>
      <c r="AZ13" s="54"/>
      <c r="BA13" s="52"/>
      <c r="BB13" s="56"/>
      <c r="BC13" s="56"/>
      <c r="BD13" s="56"/>
      <c r="BE13" s="56"/>
      <c r="BF13" s="54"/>
      <c r="BG13" s="60"/>
      <c r="BH13" s="63"/>
      <c r="BI13" s="54"/>
      <c r="BJ13" s="52"/>
      <c r="BK13" s="56"/>
      <c r="BL13" s="56"/>
      <c r="BM13" s="59"/>
      <c r="BN13" s="211">
        <f t="shared" si="0"/>
        <v>17373307.939999998</v>
      </c>
      <c r="BO13" s="209">
        <f t="shared" si="6"/>
        <v>24719990.119999997</v>
      </c>
      <c r="BP13" s="212">
        <f t="shared" si="7"/>
        <v>9</v>
      </c>
      <c r="BQ13" s="64">
        <f t="shared" si="1"/>
        <v>0.49115136307029794</v>
      </c>
      <c r="BR13" s="65">
        <v>17059918.920000002</v>
      </c>
      <c r="BS13" s="66">
        <f>ROUND(BR13/0.702804,2)</f>
        <v>24274077.719999999</v>
      </c>
      <c r="BT13" s="67">
        <v>12</v>
      </c>
      <c r="BU13" s="68">
        <f t="shared" si="2"/>
        <v>0.25934104787129841</v>
      </c>
    </row>
    <row r="14" spans="1:73" ht="30" x14ac:dyDescent="0.25">
      <c r="A14" s="47" t="s">
        <v>50</v>
      </c>
      <c r="B14" s="48"/>
      <c r="C14" s="48"/>
      <c r="D14" s="49"/>
      <c r="E14" s="70"/>
      <c r="F14" s="70"/>
      <c r="G14" s="49"/>
      <c r="H14" s="50"/>
      <c r="I14" s="50"/>
      <c r="J14" s="49"/>
      <c r="K14" s="49"/>
      <c r="L14" s="49"/>
      <c r="M14" s="49"/>
      <c r="N14" s="51"/>
      <c r="O14" s="52"/>
      <c r="P14" s="53"/>
      <c r="Q14" s="54"/>
      <c r="R14" s="55"/>
      <c r="S14" s="31"/>
      <c r="T14" s="56"/>
      <c r="U14" s="57"/>
      <c r="V14" s="33"/>
      <c r="W14" s="56"/>
      <c r="X14" s="57"/>
      <c r="Y14" s="57"/>
      <c r="Z14" s="56"/>
      <c r="AA14" s="57"/>
      <c r="AB14" s="57"/>
      <c r="AC14" s="56"/>
      <c r="AD14" s="57"/>
      <c r="AE14" s="58"/>
      <c r="AF14" s="59"/>
      <c r="AG14" s="60"/>
      <c r="AH14" s="31"/>
      <c r="AI14" s="56"/>
      <c r="AJ14" s="57"/>
      <c r="AK14" s="58"/>
      <c r="AL14" s="54"/>
      <c r="AM14" s="61"/>
      <c r="AN14" s="53"/>
      <c r="AO14" s="59"/>
      <c r="AP14" s="71">
        <v>29099</v>
      </c>
      <c r="AQ14" s="61">
        <v>41404.15</v>
      </c>
      <c r="AR14" s="56">
        <v>5</v>
      </c>
      <c r="AS14" s="62">
        <v>20237</v>
      </c>
      <c r="AT14" s="62">
        <v>28794.66</v>
      </c>
      <c r="AU14" s="56">
        <v>49</v>
      </c>
      <c r="AV14" s="62"/>
      <c r="AW14" s="62"/>
      <c r="AX14" s="56"/>
      <c r="AY14" s="56"/>
      <c r="AZ14" s="54"/>
      <c r="BA14" s="52"/>
      <c r="BB14" s="56"/>
      <c r="BC14" s="56"/>
      <c r="BD14" s="56"/>
      <c r="BE14" s="56"/>
      <c r="BF14" s="54"/>
      <c r="BG14" s="60"/>
      <c r="BH14" s="63"/>
      <c r="BI14" s="54"/>
      <c r="BJ14" s="52"/>
      <c r="BK14" s="56"/>
      <c r="BL14" s="56"/>
      <c r="BM14" s="59"/>
      <c r="BN14" s="211">
        <f t="shared" si="0"/>
        <v>49336</v>
      </c>
      <c r="BO14" s="209">
        <f t="shared" si="6"/>
        <v>70198.81</v>
      </c>
      <c r="BP14" s="212">
        <f t="shared" si="7"/>
        <v>54</v>
      </c>
      <c r="BQ14" s="64">
        <f t="shared" si="1"/>
        <v>1.3947512892836125E-3</v>
      </c>
      <c r="BR14" s="65">
        <v>860231</v>
      </c>
      <c r="BS14" s="66">
        <v>1223998.44</v>
      </c>
      <c r="BT14" s="67">
        <v>1997</v>
      </c>
      <c r="BU14" s="68">
        <f t="shared" si="2"/>
        <v>1.3077038056132501E-2</v>
      </c>
    </row>
    <row r="15" spans="1:73" x14ac:dyDescent="0.25">
      <c r="A15" s="47" t="s">
        <v>51</v>
      </c>
      <c r="B15" s="48"/>
      <c r="C15" s="48"/>
      <c r="D15" s="49"/>
      <c r="E15" s="49"/>
      <c r="F15" s="49"/>
      <c r="G15" s="49"/>
      <c r="H15" s="50"/>
      <c r="I15" s="50"/>
      <c r="J15" s="49"/>
      <c r="K15" s="49"/>
      <c r="L15" s="49"/>
      <c r="M15" s="49"/>
      <c r="N15" s="51"/>
      <c r="O15" s="52"/>
      <c r="P15" s="53"/>
      <c r="Q15" s="54"/>
      <c r="R15" s="55">
        <v>2059648.38</v>
      </c>
      <c r="S15" s="31">
        <f t="shared" si="3"/>
        <v>2930615.62</v>
      </c>
      <c r="T15" s="56">
        <v>397</v>
      </c>
      <c r="U15" s="57">
        <v>1678714.7399999995</v>
      </c>
      <c r="V15" s="33">
        <f t="shared" si="4"/>
        <v>2388595.88</v>
      </c>
      <c r="W15" s="56">
        <v>300</v>
      </c>
      <c r="X15" s="57">
        <f>6820.59-407.44</f>
        <v>6413.1500000000005</v>
      </c>
      <c r="Y15" s="57">
        <f>ROUND(X15/0.702804,2)</f>
        <v>9125.09</v>
      </c>
      <c r="Z15" s="56">
        <f>8-1</f>
        <v>7</v>
      </c>
      <c r="AA15" s="57">
        <v>372180.69999999995</v>
      </c>
      <c r="AB15" s="57">
        <f>ROUND(AA15/0.702804,2)</f>
        <v>529565.43000000005</v>
      </c>
      <c r="AC15" s="56">
        <v>307</v>
      </c>
      <c r="AD15" s="57">
        <v>269.48</v>
      </c>
      <c r="AE15" s="58">
        <f>ROUND(AD15/0.702804,2)</f>
        <v>383.44</v>
      </c>
      <c r="AF15" s="59">
        <v>6</v>
      </c>
      <c r="AG15" s="60">
        <v>611462.76000000013</v>
      </c>
      <c r="AH15" s="31">
        <f t="shared" si="5"/>
        <v>870033.12</v>
      </c>
      <c r="AI15" s="56">
        <v>47</v>
      </c>
      <c r="AJ15" s="57">
        <v>182.3</v>
      </c>
      <c r="AK15" s="58">
        <f>ROUND(AJ15/0.702804,2)</f>
        <v>259.39</v>
      </c>
      <c r="AL15" s="54">
        <v>4</v>
      </c>
      <c r="AM15" s="61"/>
      <c r="AN15" s="53"/>
      <c r="AO15" s="59"/>
      <c r="AP15" s="52"/>
      <c r="AQ15" s="61"/>
      <c r="AR15" s="56"/>
      <c r="AS15" s="62">
        <v>2032</v>
      </c>
      <c r="AT15" s="62">
        <v>2891.28</v>
      </c>
      <c r="AU15" s="56">
        <v>1</v>
      </c>
      <c r="AV15" s="62">
        <v>78785</v>
      </c>
      <c r="AW15" s="62">
        <v>112100.96</v>
      </c>
      <c r="AX15" s="56">
        <v>1</v>
      </c>
      <c r="AY15" s="56"/>
      <c r="AZ15" s="54"/>
      <c r="BA15" s="52"/>
      <c r="BB15" s="56"/>
      <c r="BC15" s="56"/>
      <c r="BD15" s="56"/>
      <c r="BE15" s="56"/>
      <c r="BF15" s="54"/>
      <c r="BG15" s="60"/>
      <c r="BH15" s="63"/>
      <c r="BI15" s="54"/>
      <c r="BJ15" s="52"/>
      <c r="BK15" s="56"/>
      <c r="BL15" s="56"/>
      <c r="BM15" s="59"/>
      <c r="BN15" s="211">
        <f t="shared" si="0"/>
        <v>4809688.5099999988</v>
      </c>
      <c r="BO15" s="209">
        <f t="shared" si="6"/>
        <v>6843570.21</v>
      </c>
      <c r="BP15" s="212">
        <f t="shared" si="7"/>
        <v>1070</v>
      </c>
      <c r="BQ15" s="64">
        <f t="shared" si="1"/>
        <v>0.13597209442141794</v>
      </c>
      <c r="BR15" s="65">
        <f>286551+13991791.59</f>
        <v>14278342.59</v>
      </c>
      <c r="BS15" s="66">
        <f>407725.32+ROUND(13991791.59/0.702804,2)</f>
        <v>20316251.149999999</v>
      </c>
      <c r="BT15" s="67">
        <f>649+3455</f>
        <v>4104</v>
      </c>
      <c r="BU15" s="68">
        <f t="shared" si="2"/>
        <v>0.21705615053157523</v>
      </c>
    </row>
    <row r="16" spans="1:73" ht="30" x14ac:dyDescent="0.25">
      <c r="A16" s="47" t="s">
        <v>52</v>
      </c>
      <c r="B16" s="48"/>
      <c r="C16" s="48"/>
      <c r="D16" s="49"/>
      <c r="E16" s="49"/>
      <c r="F16" s="49"/>
      <c r="G16" s="49"/>
      <c r="H16" s="50"/>
      <c r="I16" s="50"/>
      <c r="J16" s="49"/>
      <c r="K16" s="49"/>
      <c r="L16" s="49"/>
      <c r="M16" s="49"/>
      <c r="N16" s="51"/>
      <c r="O16" s="52"/>
      <c r="P16" s="53"/>
      <c r="Q16" s="54"/>
      <c r="R16" s="55"/>
      <c r="S16" s="31"/>
      <c r="T16" s="56"/>
      <c r="U16" s="57"/>
      <c r="V16" s="33"/>
      <c r="W16" s="56"/>
      <c r="X16" s="57"/>
      <c r="Y16" s="57"/>
      <c r="Z16" s="56"/>
      <c r="AA16" s="57"/>
      <c r="AB16" s="57"/>
      <c r="AC16" s="56"/>
      <c r="AD16" s="57"/>
      <c r="AE16" s="58"/>
      <c r="AF16" s="59"/>
      <c r="AG16" s="60"/>
      <c r="AH16" s="31"/>
      <c r="AI16" s="56"/>
      <c r="AJ16" s="57"/>
      <c r="AK16" s="58"/>
      <c r="AL16" s="54"/>
      <c r="AM16" s="61"/>
      <c r="AN16" s="53"/>
      <c r="AO16" s="59"/>
      <c r="AP16" s="52"/>
      <c r="AQ16" s="61"/>
      <c r="AR16" s="56"/>
      <c r="AS16" s="62"/>
      <c r="AT16" s="62"/>
      <c r="AU16" s="56"/>
      <c r="AV16" s="62"/>
      <c r="AW16" s="62"/>
      <c r="AX16" s="56"/>
      <c r="AY16" s="56"/>
      <c r="AZ16" s="54"/>
      <c r="BA16" s="52"/>
      <c r="BB16" s="56"/>
      <c r="BC16" s="56"/>
      <c r="BD16" s="56"/>
      <c r="BE16" s="56"/>
      <c r="BF16" s="54"/>
      <c r="BG16" s="60"/>
      <c r="BH16" s="63"/>
      <c r="BI16" s="54"/>
      <c r="BJ16" s="52"/>
      <c r="BK16" s="56"/>
      <c r="BL16" s="56"/>
      <c r="BM16" s="59"/>
      <c r="BN16" s="211">
        <f t="shared" si="0"/>
        <v>0</v>
      </c>
      <c r="BO16" s="209">
        <f t="shared" si="6"/>
        <v>0</v>
      </c>
      <c r="BP16" s="212">
        <f t="shared" si="7"/>
        <v>0</v>
      </c>
      <c r="BQ16" s="64">
        <f t="shared" si="1"/>
        <v>0</v>
      </c>
      <c r="BR16" s="65">
        <v>728.78</v>
      </c>
      <c r="BS16" s="66">
        <f>ROUND(BR16/0.702804,2)</f>
        <v>1036.96</v>
      </c>
      <c r="BT16" s="67">
        <v>1</v>
      </c>
      <c r="BU16" s="68">
        <f t="shared" si="2"/>
        <v>1.1078749538842756E-5</v>
      </c>
    </row>
    <row r="17" spans="1:73" ht="45" x14ac:dyDescent="0.25">
      <c r="A17" s="47" t="s">
        <v>53</v>
      </c>
      <c r="B17" s="48"/>
      <c r="C17" s="48"/>
      <c r="D17" s="49"/>
      <c r="E17" s="49"/>
      <c r="F17" s="49"/>
      <c r="G17" s="49"/>
      <c r="H17" s="50"/>
      <c r="I17" s="50"/>
      <c r="J17" s="49"/>
      <c r="K17" s="49"/>
      <c r="L17" s="49"/>
      <c r="M17" s="49"/>
      <c r="N17" s="51"/>
      <c r="O17" s="52"/>
      <c r="P17" s="53"/>
      <c r="Q17" s="54"/>
      <c r="R17" s="55"/>
      <c r="S17" s="31"/>
      <c r="T17" s="56"/>
      <c r="U17" s="57"/>
      <c r="V17" s="33"/>
      <c r="W17" s="56"/>
      <c r="X17" s="57"/>
      <c r="Y17" s="57"/>
      <c r="Z17" s="56"/>
      <c r="AA17" s="57">
        <v>1630.76</v>
      </c>
      <c r="AB17" s="57">
        <f>ROUND(AA17/0.702804,2)</f>
        <v>2320.36</v>
      </c>
      <c r="AC17" s="56">
        <v>3</v>
      </c>
      <c r="AD17" s="57"/>
      <c r="AE17" s="58"/>
      <c r="AF17" s="59"/>
      <c r="AG17" s="60"/>
      <c r="AH17" s="31"/>
      <c r="AI17" s="56"/>
      <c r="AJ17" s="57"/>
      <c r="AK17" s="58"/>
      <c r="AL17" s="54"/>
      <c r="AM17" s="61"/>
      <c r="AN17" s="53"/>
      <c r="AO17" s="59"/>
      <c r="AP17" s="52"/>
      <c r="AQ17" s="61"/>
      <c r="AR17" s="56"/>
      <c r="AS17" s="62"/>
      <c r="AT17" s="62"/>
      <c r="AU17" s="56"/>
      <c r="AV17" s="62"/>
      <c r="AW17" s="62"/>
      <c r="AX17" s="56"/>
      <c r="AY17" s="56"/>
      <c r="AZ17" s="54"/>
      <c r="BA17" s="52"/>
      <c r="BB17" s="56"/>
      <c r="BC17" s="56"/>
      <c r="BD17" s="56"/>
      <c r="BE17" s="56"/>
      <c r="BF17" s="54"/>
      <c r="BG17" s="60"/>
      <c r="BH17" s="63"/>
      <c r="BI17" s="54"/>
      <c r="BJ17" s="52"/>
      <c r="BK17" s="56"/>
      <c r="BL17" s="56"/>
      <c r="BM17" s="59"/>
      <c r="BN17" s="211">
        <f t="shared" si="0"/>
        <v>1630.76</v>
      </c>
      <c r="BO17" s="209">
        <f t="shared" si="6"/>
        <v>2320.36</v>
      </c>
      <c r="BP17" s="212">
        <f t="shared" si="7"/>
        <v>3</v>
      </c>
      <c r="BQ17" s="64">
        <f t="shared" si="1"/>
        <v>4.6102331208694341E-5</v>
      </c>
      <c r="BR17" s="65">
        <v>1810.69</v>
      </c>
      <c r="BS17" s="66">
        <f>ROUND(BR17/0.702804,2)</f>
        <v>2576.38</v>
      </c>
      <c r="BT17" s="67">
        <v>4</v>
      </c>
      <c r="BU17" s="68">
        <f t="shared" si="2"/>
        <v>2.7525701861312319E-5</v>
      </c>
    </row>
    <row r="18" spans="1:73" ht="30" x14ac:dyDescent="0.25">
      <c r="A18" s="47" t="s">
        <v>54</v>
      </c>
      <c r="B18" s="48"/>
      <c r="C18" s="48"/>
      <c r="D18" s="49"/>
      <c r="E18" s="49"/>
      <c r="F18" s="49"/>
      <c r="G18" s="49"/>
      <c r="H18" s="50"/>
      <c r="I18" s="50"/>
      <c r="J18" s="49"/>
      <c r="K18" s="49"/>
      <c r="L18" s="49"/>
      <c r="M18" s="49"/>
      <c r="N18" s="51"/>
      <c r="O18" s="52"/>
      <c r="P18" s="53"/>
      <c r="Q18" s="54"/>
      <c r="R18" s="55"/>
      <c r="S18" s="31"/>
      <c r="T18" s="56"/>
      <c r="U18" s="57"/>
      <c r="V18" s="33"/>
      <c r="W18" s="56"/>
      <c r="X18" s="57"/>
      <c r="Y18" s="57"/>
      <c r="Z18" s="56"/>
      <c r="AA18" s="57"/>
      <c r="AB18" s="57"/>
      <c r="AC18" s="56"/>
      <c r="AD18" s="57"/>
      <c r="AE18" s="58"/>
      <c r="AF18" s="59"/>
      <c r="AG18" s="60"/>
      <c r="AH18" s="31"/>
      <c r="AI18" s="56"/>
      <c r="AJ18" s="57"/>
      <c r="AK18" s="58"/>
      <c r="AL18" s="54"/>
      <c r="AM18" s="61">
        <v>4163.05</v>
      </c>
      <c r="AN18" s="53">
        <v>5923.49</v>
      </c>
      <c r="AO18" s="59">
        <v>28</v>
      </c>
      <c r="AP18" s="52"/>
      <c r="AQ18" s="61"/>
      <c r="AR18" s="56"/>
      <c r="AS18" s="56"/>
      <c r="AT18" s="56"/>
      <c r="AU18" s="56"/>
      <c r="AV18" s="56"/>
      <c r="AW18" s="56"/>
      <c r="AX18" s="56"/>
      <c r="AY18" s="56"/>
      <c r="AZ18" s="54"/>
      <c r="BA18" s="52"/>
      <c r="BB18" s="56"/>
      <c r="BC18" s="56"/>
      <c r="BD18" s="56"/>
      <c r="BE18" s="56"/>
      <c r="BF18" s="54"/>
      <c r="BG18" s="60"/>
      <c r="BH18" s="63"/>
      <c r="BI18" s="54"/>
      <c r="BJ18" s="52"/>
      <c r="BK18" s="56"/>
      <c r="BL18" s="56"/>
      <c r="BM18" s="59"/>
      <c r="BN18" s="211">
        <f t="shared" si="0"/>
        <v>4163.05</v>
      </c>
      <c r="BO18" s="209">
        <f t="shared" si="6"/>
        <v>5923.49</v>
      </c>
      <c r="BP18" s="212">
        <f t="shared" si="7"/>
        <v>28</v>
      </c>
      <c r="BQ18" s="64">
        <f t="shared" si="1"/>
        <v>1.1769132793197955E-4</v>
      </c>
      <c r="BR18" s="65">
        <v>34242.19</v>
      </c>
      <c r="BS18" s="66">
        <v>48722.25</v>
      </c>
      <c r="BT18" s="67">
        <v>109</v>
      </c>
      <c r="BU18" s="68">
        <f t="shared" si="2"/>
        <v>5.2054206574201549E-4</v>
      </c>
    </row>
    <row r="19" spans="1:73" x14ac:dyDescent="0.25">
      <c r="A19" s="47" t="s">
        <v>55</v>
      </c>
      <c r="B19" s="48"/>
      <c r="C19" s="48"/>
      <c r="D19" s="49"/>
      <c r="E19" s="49"/>
      <c r="F19" s="49"/>
      <c r="G19" s="49"/>
      <c r="H19" s="50"/>
      <c r="I19" s="50"/>
      <c r="J19" s="49"/>
      <c r="K19" s="49"/>
      <c r="L19" s="49"/>
      <c r="M19" s="49"/>
      <c r="N19" s="51"/>
      <c r="O19" s="52"/>
      <c r="P19" s="53"/>
      <c r="Q19" s="54"/>
      <c r="R19" s="55">
        <v>212.97</v>
      </c>
      <c r="S19" s="31">
        <f t="shared" si="3"/>
        <v>303.02999999999997</v>
      </c>
      <c r="T19" s="56">
        <v>1</v>
      </c>
      <c r="U19" s="57"/>
      <c r="V19" s="33"/>
      <c r="W19" s="56"/>
      <c r="X19" s="57">
        <v>407.44</v>
      </c>
      <c r="Y19" s="57">
        <f>ROUND(X19/0.702804,2)</f>
        <v>579.73</v>
      </c>
      <c r="Z19" s="56">
        <v>1</v>
      </c>
      <c r="AA19" s="57"/>
      <c r="AB19" s="57"/>
      <c r="AC19" s="56"/>
      <c r="AD19" s="57"/>
      <c r="AE19" s="58"/>
      <c r="AF19" s="59"/>
      <c r="AG19" s="60"/>
      <c r="AH19" s="31"/>
      <c r="AI19" s="56"/>
      <c r="AJ19" s="57"/>
      <c r="AK19" s="58"/>
      <c r="AL19" s="54"/>
      <c r="AM19" s="61"/>
      <c r="AN19" s="53"/>
      <c r="AO19" s="59"/>
      <c r="AP19" s="52"/>
      <c r="AQ19" s="61"/>
      <c r="AR19" s="56"/>
      <c r="AS19" s="56"/>
      <c r="AT19" s="56"/>
      <c r="AU19" s="56"/>
      <c r="AV19" s="56"/>
      <c r="AW19" s="56"/>
      <c r="AX19" s="56"/>
      <c r="AY19" s="56"/>
      <c r="AZ19" s="54"/>
      <c r="BA19" s="52"/>
      <c r="BB19" s="56"/>
      <c r="BC19" s="56"/>
      <c r="BD19" s="56"/>
      <c r="BE19" s="56"/>
      <c r="BF19" s="54"/>
      <c r="BG19" s="60"/>
      <c r="BH19" s="63"/>
      <c r="BI19" s="54"/>
      <c r="BJ19" s="52"/>
      <c r="BK19" s="56"/>
      <c r="BL19" s="56"/>
      <c r="BM19" s="59"/>
      <c r="BN19" s="211">
        <f t="shared" si="0"/>
        <v>620.41</v>
      </c>
      <c r="BO19" s="209">
        <f t="shared" si="6"/>
        <v>882.76</v>
      </c>
      <c r="BP19" s="212">
        <f t="shared" si="7"/>
        <v>2</v>
      </c>
      <c r="BQ19" s="64">
        <f t="shared" si="1"/>
        <v>1.7539274513224543E-5</v>
      </c>
      <c r="BR19" s="65">
        <v>635.75</v>
      </c>
      <c r="BS19" s="66">
        <f t="shared" ref="BS19:BS24" si="8">ROUND(BR19/0.702804,2)</f>
        <v>904.59</v>
      </c>
      <c r="BT19" s="67">
        <v>4</v>
      </c>
      <c r="BU19" s="68">
        <f t="shared" si="2"/>
        <v>9.6645284164209806E-6</v>
      </c>
    </row>
    <row r="20" spans="1:73" x14ac:dyDescent="0.25">
      <c r="A20" s="47" t="s">
        <v>56</v>
      </c>
      <c r="B20" s="48"/>
      <c r="C20" s="48"/>
      <c r="D20" s="49"/>
      <c r="E20" s="49"/>
      <c r="F20" s="49"/>
      <c r="G20" s="49"/>
      <c r="H20" s="50"/>
      <c r="I20" s="50"/>
      <c r="J20" s="49"/>
      <c r="K20" s="49"/>
      <c r="L20" s="49"/>
      <c r="M20" s="49"/>
      <c r="N20" s="51"/>
      <c r="O20" s="52"/>
      <c r="P20" s="53"/>
      <c r="Q20" s="54"/>
      <c r="R20" s="55">
        <v>56.68</v>
      </c>
      <c r="S20" s="31">
        <f t="shared" si="3"/>
        <v>80.650000000000006</v>
      </c>
      <c r="T20" s="56">
        <v>1</v>
      </c>
      <c r="U20" s="57">
        <v>98000.75999999998</v>
      </c>
      <c r="V20" s="33">
        <f t="shared" si="4"/>
        <v>139442.51999999999</v>
      </c>
      <c r="W20" s="56">
        <v>13</v>
      </c>
      <c r="X20" s="57"/>
      <c r="Y20" s="57"/>
      <c r="Z20" s="56"/>
      <c r="AA20" s="57">
        <v>13165.33</v>
      </c>
      <c r="AB20" s="57">
        <f>ROUND(AA20/0.702804,2)</f>
        <v>18732.580000000002</v>
      </c>
      <c r="AC20" s="56">
        <v>8</v>
      </c>
      <c r="AD20" s="57"/>
      <c r="AE20" s="58"/>
      <c r="AF20" s="59"/>
      <c r="AG20" s="60">
        <v>22873.55</v>
      </c>
      <c r="AH20" s="31">
        <f t="shared" si="5"/>
        <v>32546.13</v>
      </c>
      <c r="AI20" s="56">
        <v>3</v>
      </c>
      <c r="AJ20" s="57"/>
      <c r="AK20" s="58"/>
      <c r="AL20" s="54"/>
      <c r="AM20" s="61"/>
      <c r="AN20" s="53"/>
      <c r="AO20" s="59"/>
      <c r="AP20" s="52"/>
      <c r="AQ20" s="61"/>
      <c r="AR20" s="56"/>
      <c r="AS20" s="56"/>
      <c r="AT20" s="56"/>
      <c r="AU20" s="56"/>
      <c r="AV20" s="56"/>
      <c r="AW20" s="56"/>
      <c r="AX20" s="56"/>
      <c r="AY20" s="56"/>
      <c r="AZ20" s="54"/>
      <c r="BA20" s="52"/>
      <c r="BB20" s="56"/>
      <c r="BC20" s="56"/>
      <c r="BD20" s="56"/>
      <c r="BE20" s="56"/>
      <c r="BF20" s="54"/>
      <c r="BG20" s="60"/>
      <c r="BH20" s="63"/>
      <c r="BI20" s="54"/>
      <c r="BJ20" s="52"/>
      <c r="BK20" s="56"/>
      <c r="BL20" s="56"/>
      <c r="BM20" s="59"/>
      <c r="BN20" s="211">
        <f t="shared" si="0"/>
        <v>134096.31999999998</v>
      </c>
      <c r="BO20" s="209">
        <f t="shared" si="6"/>
        <v>190801.88</v>
      </c>
      <c r="BP20" s="212">
        <f t="shared" si="7"/>
        <v>25</v>
      </c>
      <c r="BQ20" s="64">
        <f t="shared" si="1"/>
        <v>3.7909643102032563E-3</v>
      </c>
      <c r="BR20" s="65">
        <v>221516.72</v>
      </c>
      <c r="BS20" s="66">
        <f t="shared" si="8"/>
        <v>315189.90000000002</v>
      </c>
      <c r="BT20" s="67">
        <v>38</v>
      </c>
      <c r="BU20" s="68">
        <f t="shared" si="2"/>
        <v>3.3674473223002277E-3</v>
      </c>
    </row>
    <row r="21" spans="1:73" ht="30" x14ac:dyDescent="0.25">
      <c r="A21" s="72" t="s">
        <v>57</v>
      </c>
      <c r="B21" s="73"/>
      <c r="C21" s="73"/>
      <c r="D21" s="74"/>
      <c r="E21" s="74"/>
      <c r="F21" s="74"/>
      <c r="G21" s="74"/>
      <c r="H21" s="75"/>
      <c r="I21" s="75"/>
      <c r="J21" s="74"/>
      <c r="K21" s="74"/>
      <c r="L21" s="74"/>
      <c r="M21" s="74"/>
      <c r="N21" s="76"/>
      <c r="O21" s="77"/>
      <c r="P21" s="78"/>
      <c r="Q21" s="79"/>
      <c r="R21" s="80"/>
      <c r="S21" s="31"/>
      <c r="T21" s="81"/>
      <c r="U21" s="82"/>
      <c r="V21" s="33"/>
      <c r="W21" s="81"/>
      <c r="X21" s="82"/>
      <c r="Y21" s="82"/>
      <c r="Z21" s="81"/>
      <c r="AA21" s="82"/>
      <c r="AB21" s="82"/>
      <c r="AC21" s="81"/>
      <c r="AD21" s="82"/>
      <c r="AE21" s="83"/>
      <c r="AF21" s="84"/>
      <c r="AG21" s="85"/>
      <c r="AH21" s="31"/>
      <c r="AI21" s="81"/>
      <c r="AJ21" s="82"/>
      <c r="AK21" s="83"/>
      <c r="AL21" s="79"/>
      <c r="AM21" s="86">
        <v>2753.08</v>
      </c>
      <c r="AN21" s="87">
        <v>3917.28</v>
      </c>
      <c r="AO21" s="84">
        <v>26</v>
      </c>
      <c r="AP21" s="77"/>
      <c r="AQ21" s="86"/>
      <c r="AR21" s="81"/>
      <c r="AS21" s="81"/>
      <c r="AT21" s="81"/>
      <c r="AU21" s="81"/>
      <c r="AV21" s="81"/>
      <c r="AW21" s="81"/>
      <c r="AX21" s="81"/>
      <c r="AY21" s="81"/>
      <c r="AZ21" s="79"/>
      <c r="BA21" s="77"/>
      <c r="BB21" s="81"/>
      <c r="BC21" s="81"/>
      <c r="BD21" s="81"/>
      <c r="BE21" s="81"/>
      <c r="BF21" s="79"/>
      <c r="BG21" s="85"/>
      <c r="BH21" s="88"/>
      <c r="BI21" s="79"/>
      <c r="BJ21" s="77"/>
      <c r="BK21" s="81"/>
      <c r="BL21" s="81"/>
      <c r="BM21" s="84"/>
      <c r="BN21" s="211">
        <f t="shared" si="0"/>
        <v>2753.08</v>
      </c>
      <c r="BO21" s="209">
        <f t="shared" si="6"/>
        <v>3917.28</v>
      </c>
      <c r="BP21" s="212">
        <f t="shared" si="7"/>
        <v>26</v>
      </c>
      <c r="BQ21" s="89">
        <f t="shared" si="1"/>
        <v>7.7830831026044425E-5</v>
      </c>
      <c r="BR21" s="90">
        <f>(11507.5+3836.58+2753.08)</f>
        <v>18097.16</v>
      </c>
      <c r="BS21" s="91">
        <f t="shared" si="8"/>
        <v>25749.94</v>
      </c>
      <c r="BT21" s="92">
        <f>(39+10+26)</f>
        <v>75</v>
      </c>
      <c r="BU21" s="68">
        <f t="shared" si="2"/>
        <v>2.7510895332523335E-4</v>
      </c>
    </row>
    <row r="22" spans="1:73" x14ac:dyDescent="0.25">
      <c r="A22" s="72" t="s">
        <v>58</v>
      </c>
      <c r="B22" s="73"/>
      <c r="C22" s="73"/>
      <c r="D22" s="74"/>
      <c r="E22" s="75">
        <v>601081.49</v>
      </c>
      <c r="F22" s="75">
        <f>ROUND(E22/0.702804,2)</f>
        <v>855261.91</v>
      </c>
      <c r="G22" s="74">
        <v>2</v>
      </c>
      <c r="H22" s="75"/>
      <c r="I22" s="75"/>
      <c r="J22" s="74"/>
      <c r="K22" s="74"/>
      <c r="L22" s="74"/>
      <c r="M22" s="74"/>
      <c r="N22" s="76"/>
      <c r="O22" s="77"/>
      <c r="P22" s="78"/>
      <c r="Q22" s="79"/>
      <c r="R22" s="80">
        <f>284016.69-212.97</f>
        <v>283803.72000000003</v>
      </c>
      <c r="S22" s="31">
        <f t="shared" si="3"/>
        <v>403816.31</v>
      </c>
      <c r="T22" s="81">
        <v>12</v>
      </c>
      <c r="U22" s="82">
        <v>2664725.0699999998</v>
      </c>
      <c r="V22" s="33">
        <f t="shared" si="4"/>
        <v>3791562.19</v>
      </c>
      <c r="W22" s="81">
        <v>77</v>
      </c>
      <c r="X22" s="82"/>
      <c r="Y22" s="82"/>
      <c r="Z22" s="81"/>
      <c r="AA22" s="82">
        <f>55546.65-1630.76</f>
        <v>53915.89</v>
      </c>
      <c r="AB22" s="82">
        <f>ROUND(AA22/0.702804,2)</f>
        <v>76715.399999999994</v>
      </c>
      <c r="AC22" s="81">
        <f>31-3</f>
        <v>28</v>
      </c>
      <c r="AD22" s="82"/>
      <c r="AE22" s="83"/>
      <c r="AF22" s="84"/>
      <c r="AG22" s="85">
        <v>133656.37</v>
      </c>
      <c r="AH22" s="31">
        <f t="shared" si="5"/>
        <v>190175.88</v>
      </c>
      <c r="AI22" s="81">
        <v>7</v>
      </c>
      <c r="AJ22" s="82"/>
      <c r="AK22" s="83"/>
      <c r="AL22" s="79"/>
      <c r="AM22" s="86"/>
      <c r="AN22" s="78"/>
      <c r="AO22" s="84"/>
      <c r="AP22" s="77"/>
      <c r="AQ22" s="86"/>
      <c r="AR22" s="81"/>
      <c r="AS22" s="81"/>
      <c r="AT22" s="81"/>
      <c r="AU22" s="81"/>
      <c r="AV22" s="81"/>
      <c r="AW22" s="81"/>
      <c r="AX22" s="81"/>
      <c r="AY22" s="81"/>
      <c r="AZ22" s="79"/>
      <c r="BA22" s="77"/>
      <c r="BB22" s="81"/>
      <c r="BC22" s="81"/>
      <c r="BD22" s="81"/>
      <c r="BE22" s="81"/>
      <c r="BF22" s="79"/>
      <c r="BG22" s="85">
        <v>26979.7</v>
      </c>
      <c r="BH22" s="88">
        <v>38388.660000000003</v>
      </c>
      <c r="BI22" s="79">
        <v>8</v>
      </c>
      <c r="BJ22" s="77"/>
      <c r="BK22" s="81"/>
      <c r="BL22" s="81"/>
      <c r="BM22" s="84"/>
      <c r="BN22" s="211">
        <f t="shared" si="0"/>
        <v>3764162.24</v>
      </c>
      <c r="BO22" s="209">
        <f t="shared" si="6"/>
        <v>5355920.3500000006</v>
      </c>
      <c r="BP22" s="212">
        <f t="shared" si="7"/>
        <v>134</v>
      </c>
      <c r="BQ22" s="89">
        <f t="shared" si="1"/>
        <v>0.10641458848128529</v>
      </c>
      <c r="BR22" s="90">
        <f>13317465.9+3634356.85+26979.7</f>
        <v>16978802.449999999</v>
      </c>
      <c r="BS22" s="91">
        <f t="shared" si="8"/>
        <v>24158659.379999999</v>
      </c>
      <c r="BT22" s="92">
        <f>421+372+8</f>
        <v>801</v>
      </c>
      <c r="BU22" s="68">
        <f t="shared" si="2"/>
        <v>0.25810793355064593</v>
      </c>
    </row>
    <row r="23" spans="1:73" x14ac:dyDescent="0.25">
      <c r="A23" s="72" t="s">
        <v>59</v>
      </c>
      <c r="B23" s="73"/>
      <c r="C23" s="73"/>
      <c r="D23" s="74"/>
      <c r="E23" s="75"/>
      <c r="F23" s="75"/>
      <c r="G23" s="74"/>
      <c r="H23" s="75"/>
      <c r="I23" s="75"/>
      <c r="J23" s="74"/>
      <c r="K23" s="74"/>
      <c r="L23" s="74"/>
      <c r="M23" s="74"/>
      <c r="N23" s="76"/>
      <c r="O23" s="77"/>
      <c r="P23" s="78"/>
      <c r="Q23" s="79"/>
      <c r="R23" s="80"/>
      <c r="S23" s="31"/>
      <c r="T23" s="81"/>
      <c r="U23" s="82"/>
      <c r="V23" s="33"/>
      <c r="W23" s="81"/>
      <c r="X23" s="82"/>
      <c r="Y23" s="82"/>
      <c r="Z23" s="81"/>
      <c r="AA23" s="82"/>
      <c r="AB23" s="82"/>
      <c r="AC23" s="81"/>
      <c r="AD23" s="82"/>
      <c r="AE23" s="83"/>
      <c r="AF23" s="84"/>
      <c r="AG23" s="85"/>
      <c r="AH23" s="31"/>
      <c r="AI23" s="81"/>
      <c r="AJ23" s="82"/>
      <c r="AK23" s="83"/>
      <c r="AL23" s="79"/>
      <c r="AM23" s="86"/>
      <c r="AN23" s="78"/>
      <c r="AO23" s="84"/>
      <c r="AP23" s="77"/>
      <c r="AQ23" s="86"/>
      <c r="AR23" s="81"/>
      <c r="AS23" s="81"/>
      <c r="AT23" s="81"/>
      <c r="AU23" s="81"/>
      <c r="AV23" s="81"/>
      <c r="AW23" s="81"/>
      <c r="AX23" s="81"/>
      <c r="AY23" s="81"/>
      <c r="AZ23" s="79"/>
      <c r="BA23" s="77"/>
      <c r="BB23" s="81"/>
      <c r="BC23" s="81"/>
      <c r="BD23" s="81"/>
      <c r="BE23" s="81"/>
      <c r="BF23" s="79"/>
      <c r="BG23" s="85"/>
      <c r="BH23" s="88"/>
      <c r="BI23" s="79"/>
      <c r="BJ23" s="77"/>
      <c r="BK23" s="81"/>
      <c r="BL23" s="81"/>
      <c r="BM23" s="84"/>
      <c r="BN23" s="211">
        <v>0</v>
      </c>
      <c r="BO23" s="209">
        <v>0</v>
      </c>
      <c r="BP23" s="212">
        <v>0</v>
      </c>
      <c r="BQ23" s="89">
        <f t="shared" si="1"/>
        <v>0</v>
      </c>
      <c r="BR23" s="90">
        <v>32912.239999999998</v>
      </c>
      <c r="BS23" s="91">
        <f t="shared" si="8"/>
        <v>46829.9</v>
      </c>
      <c r="BT23" s="92">
        <v>1</v>
      </c>
      <c r="BU23" s="68">
        <f t="shared" si="2"/>
        <v>5.0032446516408533E-4</v>
      </c>
    </row>
    <row r="24" spans="1:73" ht="30" x14ac:dyDescent="0.25">
      <c r="A24" s="72" t="s">
        <v>60</v>
      </c>
      <c r="B24" s="73"/>
      <c r="C24" s="73"/>
      <c r="D24" s="74"/>
      <c r="E24" s="74"/>
      <c r="F24" s="74"/>
      <c r="G24" s="74"/>
      <c r="H24" s="75"/>
      <c r="I24" s="75"/>
      <c r="J24" s="74"/>
      <c r="K24" s="74"/>
      <c r="L24" s="74"/>
      <c r="M24" s="74"/>
      <c r="N24" s="76"/>
      <c r="O24" s="77"/>
      <c r="P24" s="78"/>
      <c r="Q24" s="79"/>
      <c r="R24" s="80">
        <v>393.45</v>
      </c>
      <c r="S24" s="31">
        <f t="shared" si="3"/>
        <v>559.83000000000004</v>
      </c>
      <c r="T24" s="81">
        <v>1</v>
      </c>
      <c r="U24" s="82">
        <v>313610.46000000002</v>
      </c>
      <c r="V24" s="33">
        <f t="shared" si="4"/>
        <v>446227.48</v>
      </c>
      <c r="W24" s="81">
        <v>17</v>
      </c>
      <c r="X24" s="82"/>
      <c r="Y24" s="82"/>
      <c r="Z24" s="81"/>
      <c r="AA24" s="82">
        <v>29114.79</v>
      </c>
      <c r="AB24" s="82">
        <f>ROUND(AA24/0.702804,2)</f>
        <v>41426.61</v>
      </c>
      <c r="AC24" s="81">
        <v>26</v>
      </c>
      <c r="AD24" s="82"/>
      <c r="AE24" s="83"/>
      <c r="AF24" s="84"/>
      <c r="AG24" s="85"/>
      <c r="AH24" s="31"/>
      <c r="AI24" s="81"/>
      <c r="AJ24" s="82"/>
      <c r="AK24" s="83"/>
      <c r="AL24" s="79"/>
      <c r="AM24" s="86"/>
      <c r="AN24" s="78"/>
      <c r="AO24" s="84"/>
      <c r="AP24" s="77"/>
      <c r="AQ24" s="86"/>
      <c r="AR24" s="81"/>
      <c r="AS24" s="81"/>
      <c r="AT24" s="81"/>
      <c r="AU24" s="81"/>
      <c r="AV24" s="81"/>
      <c r="AW24" s="81"/>
      <c r="AX24" s="81"/>
      <c r="AY24" s="81"/>
      <c r="AZ24" s="79"/>
      <c r="BA24" s="77"/>
      <c r="BB24" s="81"/>
      <c r="BC24" s="81"/>
      <c r="BD24" s="81"/>
      <c r="BE24" s="81"/>
      <c r="BF24" s="79"/>
      <c r="BG24" s="85"/>
      <c r="BH24" s="88"/>
      <c r="BI24" s="79"/>
      <c r="BJ24" s="77"/>
      <c r="BK24" s="81"/>
      <c r="BL24" s="81"/>
      <c r="BM24" s="84"/>
      <c r="BN24" s="211">
        <f t="shared" si="0"/>
        <v>343118.7</v>
      </c>
      <c r="BO24" s="209">
        <f t="shared" si="6"/>
        <v>488213.92</v>
      </c>
      <c r="BP24" s="212">
        <f t="shared" si="7"/>
        <v>44</v>
      </c>
      <c r="BQ24" s="89">
        <f t="shared" si="1"/>
        <v>9.7001226123381926E-3</v>
      </c>
      <c r="BR24" s="90">
        <v>2115981.5</v>
      </c>
      <c r="BS24" s="91">
        <f t="shared" si="8"/>
        <v>3010770.43</v>
      </c>
      <c r="BT24" s="92">
        <v>63</v>
      </c>
      <c r="BU24" s="68">
        <f t="shared" si="2"/>
        <v>3.2166674534598649E-2</v>
      </c>
    </row>
    <row r="25" spans="1:73" x14ac:dyDescent="0.25">
      <c r="A25" s="72" t="s">
        <v>61</v>
      </c>
      <c r="B25" s="73"/>
      <c r="C25" s="73"/>
      <c r="D25" s="74"/>
      <c r="E25" s="74"/>
      <c r="F25" s="74"/>
      <c r="G25" s="74"/>
      <c r="H25" s="75"/>
      <c r="I25" s="75"/>
      <c r="J25" s="74"/>
      <c r="K25" s="74"/>
      <c r="L25" s="74"/>
      <c r="M25" s="74"/>
      <c r="N25" s="76"/>
      <c r="O25" s="77"/>
      <c r="P25" s="78"/>
      <c r="Q25" s="79"/>
      <c r="R25" s="80"/>
      <c r="S25" s="31"/>
      <c r="T25" s="81"/>
      <c r="U25" s="82"/>
      <c r="V25" s="33"/>
      <c r="W25" s="81"/>
      <c r="X25" s="82"/>
      <c r="Y25" s="82"/>
      <c r="Z25" s="81"/>
      <c r="AA25" s="82"/>
      <c r="AB25" s="82"/>
      <c r="AC25" s="81"/>
      <c r="AD25" s="82"/>
      <c r="AE25" s="83"/>
      <c r="AF25" s="84"/>
      <c r="AG25" s="85"/>
      <c r="AH25" s="31"/>
      <c r="AI25" s="81"/>
      <c r="AJ25" s="82"/>
      <c r="AK25" s="83"/>
      <c r="AL25" s="79"/>
      <c r="AM25" s="86"/>
      <c r="AN25" s="78"/>
      <c r="AO25" s="84"/>
      <c r="AP25" s="77"/>
      <c r="AQ25" s="86"/>
      <c r="AR25" s="81"/>
      <c r="AS25" s="93">
        <v>122534</v>
      </c>
      <c r="AT25" s="93">
        <v>174350.17</v>
      </c>
      <c r="AU25" s="81">
        <v>1</v>
      </c>
      <c r="AV25" s="81"/>
      <c r="AW25" s="81"/>
      <c r="AX25" s="81"/>
      <c r="AY25" s="81"/>
      <c r="AZ25" s="79"/>
      <c r="BA25" s="77"/>
      <c r="BB25" s="81"/>
      <c r="BC25" s="81"/>
      <c r="BD25" s="81"/>
      <c r="BE25" s="81"/>
      <c r="BF25" s="79"/>
      <c r="BG25" s="85"/>
      <c r="BH25" s="88"/>
      <c r="BI25" s="79"/>
      <c r="BJ25" s="77"/>
      <c r="BK25" s="81"/>
      <c r="BL25" s="81"/>
      <c r="BM25" s="84"/>
      <c r="BN25" s="211">
        <f t="shared" si="0"/>
        <v>122534</v>
      </c>
      <c r="BO25" s="209">
        <f t="shared" si="6"/>
        <v>174350.17</v>
      </c>
      <c r="BP25" s="212">
        <f t="shared" si="7"/>
        <v>1</v>
      </c>
      <c r="BQ25" s="89">
        <f t="shared" si="1"/>
        <v>3.4640922344956662E-3</v>
      </c>
      <c r="BR25" s="90">
        <v>122534</v>
      </c>
      <c r="BS25" s="91">
        <f>ROUND(BR25/0.702804,2)</f>
        <v>174350.17</v>
      </c>
      <c r="BT25" s="92">
        <v>1</v>
      </c>
      <c r="BU25" s="68">
        <f t="shared" si="2"/>
        <v>1.8627342901733834E-3</v>
      </c>
    </row>
    <row r="26" spans="1:73" ht="105.75" thickBot="1" x14ac:dyDescent="0.3">
      <c r="A26" s="47" t="s">
        <v>62</v>
      </c>
      <c r="B26" s="94"/>
      <c r="C26" s="48"/>
      <c r="D26" s="49"/>
      <c r="E26" s="49"/>
      <c r="F26" s="49"/>
      <c r="G26" s="49"/>
      <c r="H26" s="50"/>
      <c r="I26" s="50"/>
      <c r="J26" s="49"/>
      <c r="K26" s="49"/>
      <c r="L26" s="49"/>
      <c r="M26" s="49"/>
      <c r="N26" s="95"/>
      <c r="O26" s="52"/>
      <c r="P26" s="53"/>
      <c r="Q26" s="54"/>
      <c r="R26" s="55"/>
      <c r="S26" s="31"/>
      <c r="T26" s="56"/>
      <c r="U26" s="57"/>
      <c r="V26" s="33"/>
      <c r="W26" s="56"/>
      <c r="X26" s="57"/>
      <c r="Y26" s="57"/>
      <c r="Z26" s="56"/>
      <c r="AA26" s="57"/>
      <c r="AB26" s="57"/>
      <c r="AC26" s="56"/>
      <c r="AD26" s="57"/>
      <c r="AE26" s="58"/>
      <c r="AF26" s="59"/>
      <c r="AG26" s="60"/>
      <c r="AH26" s="31"/>
      <c r="AI26" s="56"/>
      <c r="AJ26" s="57"/>
      <c r="AK26" s="58"/>
      <c r="AL26" s="54"/>
      <c r="AM26" s="61"/>
      <c r="AN26" s="53"/>
      <c r="AO26" s="59"/>
      <c r="AP26" s="71">
        <v>242464</v>
      </c>
      <c r="AQ26" s="96">
        <v>344995.19</v>
      </c>
      <c r="AR26" s="56">
        <v>1197</v>
      </c>
      <c r="AS26" s="62">
        <v>536264</v>
      </c>
      <c r="AT26" s="62">
        <v>763034.93</v>
      </c>
      <c r="AU26" s="56">
        <v>868</v>
      </c>
      <c r="AV26" s="56"/>
      <c r="AW26" s="56"/>
      <c r="AX26" s="56"/>
      <c r="AY26" s="56"/>
      <c r="AZ26" s="54"/>
      <c r="BA26" s="52"/>
      <c r="BB26" s="56"/>
      <c r="BC26" s="56"/>
      <c r="BD26" s="56"/>
      <c r="BE26" s="56"/>
      <c r="BF26" s="54"/>
      <c r="BG26" s="60"/>
      <c r="BH26" s="63"/>
      <c r="BI26" s="54"/>
      <c r="BJ26" s="52"/>
      <c r="BK26" s="56"/>
      <c r="BL26" s="56"/>
      <c r="BM26" s="59"/>
      <c r="BN26" s="211">
        <f t="shared" si="0"/>
        <v>778728</v>
      </c>
      <c r="BO26" s="209">
        <f t="shared" si="6"/>
        <v>1108030.1200000001</v>
      </c>
      <c r="BP26" s="212">
        <f t="shared" si="7"/>
        <v>2065</v>
      </c>
      <c r="BQ26" s="64">
        <f t="shared" si="1"/>
        <v>2.2014996797495724E-2</v>
      </c>
      <c r="BR26" s="97">
        <v>3597175</v>
      </c>
      <c r="BS26" s="98">
        <v>5118318.91</v>
      </c>
      <c r="BT26" s="99">
        <v>8203</v>
      </c>
      <c r="BU26" s="100">
        <f t="shared" si="2"/>
        <v>5.4683444760266049E-2</v>
      </c>
    </row>
    <row r="27" spans="1:73" ht="16.5" thickBot="1" x14ac:dyDescent="0.3">
      <c r="A27" s="101" t="s">
        <v>63</v>
      </c>
      <c r="B27" s="102">
        <f>SUM(B10:B26)</f>
        <v>0</v>
      </c>
      <c r="C27" s="102"/>
      <c r="D27" s="103">
        <f>SUM(D10:D26)</f>
        <v>0</v>
      </c>
      <c r="E27" s="104">
        <f>SUM(E10:E26)</f>
        <v>939973.56</v>
      </c>
      <c r="F27" s="104">
        <f>SUM(F10:F26)</f>
        <v>1337461.8799999999</v>
      </c>
      <c r="G27" s="103">
        <f>SUM(G10:G26)</f>
        <v>5</v>
      </c>
      <c r="H27" s="104">
        <f>SUM(H10:H26)</f>
        <v>0</v>
      </c>
      <c r="I27" s="104"/>
      <c r="J27" s="103">
        <f t="shared" ref="J27:AO27" si="9">SUM(J10:J26)</f>
        <v>0</v>
      </c>
      <c r="K27" s="103">
        <f t="shared" si="9"/>
        <v>0</v>
      </c>
      <c r="L27" s="103">
        <f t="shared" si="9"/>
        <v>0</v>
      </c>
      <c r="M27" s="103">
        <f t="shared" si="9"/>
        <v>0</v>
      </c>
      <c r="N27" s="103">
        <f t="shared" si="9"/>
        <v>0</v>
      </c>
      <c r="O27" s="105">
        <f t="shared" si="9"/>
        <v>316191.52</v>
      </c>
      <c r="P27" s="106">
        <f t="shared" si="9"/>
        <v>449900</v>
      </c>
      <c r="Q27" s="107">
        <f t="shared" si="9"/>
        <v>1</v>
      </c>
      <c r="R27" s="102">
        <f t="shared" si="9"/>
        <v>17156415.599999998</v>
      </c>
      <c r="S27" s="102">
        <f t="shared" si="9"/>
        <v>24411380.129999995</v>
      </c>
      <c r="T27" s="103">
        <f t="shared" si="9"/>
        <v>433</v>
      </c>
      <c r="U27" s="104">
        <f t="shared" si="9"/>
        <v>7549072.8699999982</v>
      </c>
      <c r="V27" s="104">
        <f t="shared" si="9"/>
        <v>10741362.99</v>
      </c>
      <c r="W27" s="103">
        <f t="shared" si="9"/>
        <v>587</v>
      </c>
      <c r="X27" s="104">
        <f t="shared" si="9"/>
        <v>6820.59</v>
      </c>
      <c r="Y27" s="104">
        <f t="shared" si="9"/>
        <v>9704.82</v>
      </c>
      <c r="Z27" s="103">
        <f t="shared" si="9"/>
        <v>8</v>
      </c>
      <c r="AA27" s="104">
        <f t="shared" si="9"/>
        <v>4398555.84</v>
      </c>
      <c r="AB27" s="104">
        <f t="shared" si="9"/>
        <v>6258581.1100000003</v>
      </c>
      <c r="AC27" s="103">
        <f t="shared" si="9"/>
        <v>423</v>
      </c>
      <c r="AD27" s="104">
        <f t="shared" si="9"/>
        <v>269.48</v>
      </c>
      <c r="AE27" s="108">
        <f t="shared" si="9"/>
        <v>383.44</v>
      </c>
      <c r="AF27" s="109">
        <f t="shared" si="9"/>
        <v>6</v>
      </c>
      <c r="AG27" s="110">
        <f t="shared" si="9"/>
        <v>3114124.34</v>
      </c>
      <c r="AH27" s="102">
        <f t="shared" si="9"/>
        <v>4430999.7299999995</v>
      </c>
      <c r="AI27" s="103">
        <f t="shared" si="9"/>
        <v>63</v>
      </c>
      <c r="AJ27" s="104">
        <f t="shared" si="9"/>
        <v>182.3</v>
      </c>
      <c r="AK27" s="108">
        <f t="shared" si="9"/>
        <v>259.39</v>
      </c>
      <c r="AL27" s="107">
        <f t="shared" si="9"/>
        <v>4</v>
      </c>
      <c r="AM27" s="102">
        <f t="shared" si="9"/>
        <v>8948.93</v>
      </c>
      <c r="AN27" s="111">
        <f t="shared" si="9"/>
        <v>12733.18</v>
      </c>
      <c r="AO27" s="109">
        <f t="shared" si="9"/>
        <v>55</v>
      </c>
      <c r="AP27" s="110">
        <f t="shared" ref="AP27:BP27" si="10">SUM(AP10:AP26)</f>
        <v>271563</v>
      </c>
      <c r="AQ27" s="102">
        <f t="shared" si="10"/>
        <v>386399.34</v>
      </c>
      <c r="AR27" s="103">
        <f t="shared" si="10"/>
        <v>1202</v>
      </c>
      <c r="AS27" s="104">
        <f t="shared" si="10"/>
        <v>1274549</v>
      </c>
      <c r="AT27" s="104">
        <f t="shared" si="10"/>
        <v>1813519.85</v>
      </c>
      <c r="AU27" s="112">
        <f t="shared" si="10"/>
        <v>992</v>
      </c>
      <c r="AV27" s="104">
        <f t="shared" si="10"/>
        <v>308968</v>
      </c>
      <c r="AW27" s="104">
        <f t="shared" si="10"/>
        <v>439621.86000000004</v>
      </c>
      <c r="AX27" s="103">
        <f t="shared" si="10"/>
        <v>7</v>
      </c>
      <c r="AY27" s="103">
        <f t="shared" si="10"/>
        <v>0</v>
      </c>
      <c r="AZ27" s="107">
        <f t="shared" si="10"/>
        <v>0</v>
      </c>
      <c r="BA27" s="113">
        <f t="shared" si="10"/>
        <v>0</v>
      </c>
      <c r="BB27" s="103">
        <f t="shared" si="10"/>
        <v>0</v>
      </c>
      <c r="BC27" s="103">
        <f t="shared" si="10"/>
        <v>0</v>
      </c>
      <c r="BD27" s="103">
        <f t="shared" si="10"/>
        <v>0</v>
      </c>
      <c r="BE27" s="103">
        <f t="shared" si="10"/>
        <v>0</v>
      </c>
      <c r="BF27" s="107">
        <f t="shared" si="10"/>
        <v>0</v>
      </c>
      <c r="BG27" s="110">
        <f t="shared" si="10"/>
        <v>26979.7</v>
      </c>
      <c r="BH27" s="111">
        <f t="shared" si="10"/>
        <v>38388.660000000003</v>
      </c>
      <c r="BI27" s="107">
        <f t="shared" si="10"/>
        <v>8</v>
      </c>
      <c r="BJ27" s="113">
        <f t="shared" si="10"/>
        <v>0</v>
      </c>
      <c r="BK27" s="103">
        <f t="shared" si="10"/>
        <v>0</v>
      </c>
      <c r="BL27" s="103">
        <f t="shared" si="10"/>
        <v>0</v>
      </c>
      <c r="BM27" s="109">
        <f t="shared" si="10"/>
        <v>0</v>
      </c>
      <c r="BN27" s="213">
        <f t="shared" si="10"/>
        <v>35372614.729999997</v>
      </c>
      <c r="BO27" s="214">
        <f t="shared" si="10"/>
        <v>50330696.380000003</v>
      </c>
      <c r="BP27" s="215">
        <f t="shared" si="10"/>
        <v>3794</v>
      </c>
      <c r="BQ27" s="114" t="s">
        <v>64</v>
      </c>
      <c r="BR27" s="115">
        <f>SUM(BR10:BR26)</f>
        <v>65781792.199999996</v>
      </c>
      <c r="BS27" s="116">
        <f>SUM(BS10:BS26)</f>
        <v>93599057.760000005</v>
      </c>
      <c r="BT27" s="117">
        <f>SUM(BT10:BT26)</f>
        <v>16043</v>
      </c>
      <c r="BU27" s="118" t="s">
        <v>64</v>
      </c>
    </row>
    <row r="28" spans="1:73" ht="16.5" thickBot="1" x14ac:dyDescent="0.3">
      <c r="A28" s="329" t="s">
        <v>65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1"/>
    </row>
    <row r="29" spans="1:73" x14ac:dyDescent="0.25">
      <c r="A29" s="23" t="s">
        <v>66</v>
      </c>
      <c r="B29" s="24"/>
      <c r="C29" s="24"/>
      <c r="D29" s="25"/>
      <c r="E29" s="25"/>
      <c r="F29" s="25"/>
      <c r="G29" s="25"/>
      <c r="H29" s="26"/>
      <c r="I29" s="26"/>
      <c r="J29" s="25"/>
      <c r="K29" s="25"/>
      <c r="L29" s="25"/>
      <c r="M29" s="25"/>
      <c r="N29" s="27"/>
      <c r="O29" s="119"/>
      <c r="P29" s="120"/>
      <c r="Q29" s="121"/>
      <c r="R29" s="122">
        <v>10847.59</v>
      </c>
      <c r="S29" s="24">
        <f t="shared" ref="S29:S34" si="11">ROUND(R29/0.702804,2)</f>
        <v>15434.73</v>
      </c>
      <c r="T29" s="25">
        <v>4</v>
      </c>
      <c r="U29" s="26">
        <v>13865.83</v>
      </c>
      <c r="V29" s="26">
        <f t="shared" ref="V29:V34" si="12">ROUND(U29/0.702804,2)</f>
        <v>19729.3</v>
      </c>
      <c r="W29" s="25">
        <v>3</v>
      </c>
      <c r="X29" s="26"/>
      <c r="Y29" s="26"/>
      <c r="Z29" s="25"/>
      <c r="AA29" s="26">
        <v>187.54</v>
      </c>
      <c r="AB29" s="26">
        <f t="shared" ref="AB29:AB34" si="13">ROUND(AA29/0.702804,2)</f>
        <v>266.85000000000002</v>
      </c>
      <c r="AC29" s="25">
        <v>6</v>
      </c>
      <c r="AD29" s="26"/>
      <c r="AE29" s="123"/>
      <c r="AF29" s="121"/>
      <c r="AG29" s="122"/>
      <c r="AH29" s="24"/>
      <c r="AI29" s="25"/>
      <c r="AJ29" s="26"/>
      <c r="AK29" s="123"/>
      <c r="AL29" s="121"/>
      <c r="AM29" s="122">
        <v>2032.8</v>
      </c>
      <c r="AN29" s="124">
        <v>2892.41</v>
      </c>
      <c r="AO29" s="27">
        <v>1</v>
      </c>
      <c r="AP29" s="122">
        <v>12825</v>
      </c>
      <c r="AQ29" s="24">
        <v>18248.330000000002</v>
      </c>
      <c r="AR29" s="25">
        <v>71</v>
      </c>
      <c r="AS29" s="26">
        <v>1689</v>
      </c>
      <c r="AT29" s="26">
        <v>2403.23</v>
      </c>
      <c r="AU29" s="25">
        <v>21</v>
      </c>
      <c r="AV29" s="25"/>
      <c r="AW29" s="25"/>
      <c r="AX29" s="25"/>
      <c r="AY29" s="25"/>
      <c r="AZ29" s="121"/>
      <c r="BA29" s="119"/>
      <c r="BB29" s="25"/>
      <c r="BC29" s="25"/>
      <c r="BD29" s="25"/>
      <c r="BE29" s="25"/>
      <c r="BF29" s="121"/>
      <c r="BG29" s="122"/>
      <c r="BH29" s="124"/>
      <c r="BI29" s="121"/>
      <c r="BJ29" s="119"/>
      <c r="BK29" s="25"/>
      <c r="BL29" s="25"/>
      <c r="BM29" s="121"/>
      <c r="BN29" s="216">
        <f>B29+E29+H29+K29+M29+O29+R29+U29+X29+AA29+AD29+AG29+AJ29+AM29+AP29+AS29+AV29+AY29+BA29+BC29+BE29+BG29+BJ29+BL29</f>
        <v>41447.759999999995</v>
      </c>
      <c r="BO29" s="216">
        <f t="shared" ref="BO29:BO36" si="14">C29+F29+P29+I29+S29+V29+Y29+AB29+AE29+AH29+AK29+AN29+AQ29+AT29+AW29+BH29</f>
        <v>58974.85</v>
      </c>
      <c r="BP29" s="217">
        <f>D29+G29+J29+L29+N29+Q29+T29+W29+Z29+AC29+AF29+AI29+AL29+AO29+AR29+AU29+AX29+AZ29+BB29+BD29+BF29+BI29+BK29+BM29</f>
        <v>106</v>
      </c>
      <c r="BQ29" s="125">
        <f t="shared" ref="BQ29:BQ36" si="15">BN29/$BN$37*100%</f>
        <v>1.1717471359234176E-3</v>
      </c>
      <c r="BR29" s="43">
        <f>984325+(15053.97+2032.8)+228232.73</f>
        <v>1229644.5</v>
      </c>
      <c r="BS29" s="126">
        <f>1400568.3+(21419.87+2892.41)+ROUND(228232.73/0.702804,2)</f>
        <v>1749626.5</v>
      </c>
      <c r="BT29" s="127">
        <f>3632+(47+1)+184</f>
        <v>3864</v>
      </c>
      <c r="BU29" s="46">
        <f t="shared" ref="BU29:BU36" si="16">BR29/$BR$37*100%</f>
        <v>1.8692778941951663E-2</v>
      </c>
    </row>
    <row r="30" spans="1:73" ht="30" x14ac:dyDescent="0.25">
      <c r="A30" s="47" t="s">
        <v>67</v>
      </c>
      <c r="B30" s="48"/>
      <c r="C30" s="48"/>
      <c r="D30" s="49"/>
      <c r="E30" s="49"/>
      <c r="F30" s="49"/>
      <c r="G30" s="49"/>
      <c r="H30" s="50"/>
      <c r="I30" s="50"/>
      <c r="J30" s="49"/>
      <c r="K30" s="49"/>
      <c r="L30" s="49"/>
      <c r="M30" s="49"/>
      <c r="N30" s="51"/>
      <c r="O30" s="128"/>
      <c r="P30" s="129"/>
      <c r="Q30" s="95"/>
      <c r="R30" s="94">
        <v>860586.97</v>
      </c>
      <c r="S30" s="48">
        <f t="shared" si="11"/>
        <v>1224504.94</v>
      </c>
      <c r="T30" s="49">
        <v>9</v>
      </c>
      <c r="U30" s="50">
        <v>1716681.96</v>
      </c>
      <c r="V30" s="50">
        <f t="shared" si="12"/>
        <v>2442618.37</v>
      </c>
      <c r="W30" s="49">
        <v>14</v>
      </c>
      <c r="X30" s="50"/>
      <c r="Y30" s="50"/>
      <c r="Z30" s="49"/>
      <c r="AA30" s="50">
        <v>7978.2899999999991</v>
      </c>
      <c r="AB30" s="50">
        <f t="shared" si="13"/>
        <v>11352.08</v>
      </c>
      <c r="AC30" s="49">
        <v>2</v>
      </c>
      <c r="AD30" s="50"/>
      <c r="AE30" s="130"/>
      <c r="AF30" s="95"/>
      <c r="AG30" s="94"/>
      <c r="AH30" s="48"/>
      <c r="AI30" s="49"/>
      <c r="AJ30" s="50"/>
      <c r="AK30" s="130"/>
      <c r="AL30" s="95"/>
      <c r="AM30" s="128"/>
      <c r="AN30" s="129"/>
      <c r="AO30" s="51"/>
      <c r="AP30" s="94"/>
      <c r="AQ30" s="48"/>
      <c r="AR30" s="49"/>
      <c r="AS30" s="50"/>
      <c r="AT30" s="50"/>
      <c r="AU30" s="49"/>
      <c r="AV30" s="49"/>
      <c r="AW30" s="49"/>
      <c r="AX30" s="49"/>
      <c r="AY30" s="49"/>
      <c r="AZ30" s="95"/>
      <c r="BA30" s="128"/>
      <c r="BB30" s="49"/>
      <c r="BC30" s="49"/>
      <c r="BD30" s="49"/>
      <c r="BE30" s="49"/>
      <c r="BF30" s="95"/>
      <c r="BG30" s="94"/>
      <c r="BH30" s="131"/>
      <c r="BI30" s="95"/>
      <c r="BJ30" s="128"/>
      <c r="BK30" s="49"/>
      <c r="BL30" s="49"/>
      <c r="BM30" s="95"/>
      <c r="BN30" s="216">
        <f>B30+E30+H30+K30+M30+O30+R30+U30+X30+AA30+AD30+AG30+AJ30+AM30+AP30+AS30+AV30+AY30+BA30+BC30+BE30+BG30+BJ30+BL30</f>
        <v>2585247.2199999997</v>
      </c>
      <c r="BO30" s="216">
        <f t="shared" si="14"/>
        <v>3678475.39</v>
      </c>
      <c r="BP30" s="218">
        <f t="shared" ref="BP30:BP36" si="17">D30+G30+J30+L30+N30+Q30+T30+W30+Z30+AC30+AF30+AI30+AL30+AO30+AR30+AU30+AX30+AZ30+BB30+BD30+BF30+BI30+BK30+BM30</f>
        <v>25</v>
      </c>
      <c r="BQ30" s="132">
        <f t="shared" si="15"/>
        <v>7.308612155853482E-2</v>
      </c>
      <c r="BR30" s="65">
        <f>219734+5199435.12</f>
        <v>5419169.1200000001</v>
      </c>
      <c r="BS30" s="133">
        <f>312653.31+ROUND(5199435.12/0.702804,2)</f>
        <v>7710782.9699999997</v>
      </c>
      <c r="BT30" s="134">
        <f>3+36</f>
        <v>39</v>
      </c>
      <c r="BU30" s="68">
        <f t="shared" si="16"/>
        <v>8.2380989309683184E-2</v>
      </c>
    </row>
    <row r="31" spans="1:73" ht="30" x14ac:dyDescent="0.25">
      <c r="A31" s="47" t="s">
        <v>68</v>
      </c>
      <c r="B31" s="48"/>
      <c r="C31" s="48"/>
      <c r="D31" s="49"/>
      <c r="E31" s="49"/>
      <c r="F31" s="49"/>
      <c r="G31" s="49"/>
      <c r="H31" s="50"/>
      <c r="I31" s="50"/>
      <c r="J31" s="49"/>
      <c r="K31" s="49"/>
      <c r="L31" s="49"/>
      <c r="M31" s="49"/>
      <c r="N31" s="51"/>
      <c r="O31" s="128">
        <v>316191.52</v>
      </c>
      <c r="P31" s="135">
        <f>ROUND(O31/0.702804,2)</f>
        <v>449900</v>
      </c>
      <c r="Q31" s="95">
        <v>1</v>
      </c>
      <c r="R31" s="94">
        <v>951042.71</v>
      </c>
      <c r="S31" s="48">
        <f t="shared" si="11"/>
        <v>1353211.86</v>
      </c>
      <c r="T31" s="49">
        <v>109</v>
      </c>
      <c r="U31" s="50">
        <v>3656481.8900000011</v>
      </c>
      <c r="V31" s="50">
        <f t="shared" si="12"/>
        <v>5202705.01</v>
      </c>
      <c r="W31" s="49">
        <v>327</v>
      </c>
      <c r="X31" s="50">
        <v>6820.59</v>
      </c>
      <c r="Y31" s="50">
        <f>ROUND(X31/0.702804,2)</f>
        <v>9704.83</v>
      </c>
      <c r="Z31" s="49">
        <v>8</v>
      </c>
      <c r="AA31" s="50">
        <v>263337.21000000002</v>
      </c>
      <c r="AB31" s="50">
        <f t="shared" si="13"/>
        <v>374695.09</v>
      </c>
      <c r="AC31" s="49">
        <v>120</v>
      </c>
      <c r="AD31" s="50">
        <v>269.48</v>
      </c>
      <c r="AE31" s="130">
        <f>ROUND(AD31/0.702804,2)</f>
        <v>383.44</v>
      </c>
      <c r="AF31" s="95">
        <v>6</v>
      </c>
      <c r="AG31" s="94">
        <v>2682725.5</v>
      </c>
      <c r="AH31" s="48">
        <f t="shared" ref="AH31" si="18">ROUND(AG31/0.702804,2)</f>
        <v>3817174.49</v>
      </c>
      <c r="AI31" s="49">
        <v>24</v>
      </c>
      <c r="AJ31" s="50">
        <v>182.3</v>
      </c>
      <c r="AK31" s="130">
        <f>ROUND(AJ31/0.702804,2)</f>
        <v>259.39</v>
      </c>
      <c r="AL31" s="95">
        <v>4</v>
      </c>
      <c r="AM31" s="128"/>
      <c r="AN31" s="129"/>
      <c r="AO31" s="51"/>
      <c r="AP31" s="94"/>
      <c r="AQ31" s="48"/>
      <c r="AR31" s="49"/>
      <c r="AS31" s="50"/>
      <c r="AT31" s="50"/>
      <c r="AU31" s="49"/>
      <c r="AV31" s="70">
        <v>78785</v>
      </c>
      <c r="AW31" s="49">
        <v>112100.96</v>
      </c>
      <c r="AX31" s="49">
        <v>1</v>
      </c>
      <c r="AY31" s="49"/>
      <c r="AZ31" s="95"/>
      <c r="BA31" s="128"/>
      <c r="BB31" s="49"/>
      <c r="BC31" s="49"/>
      <c r="BD31" s="49"/>
      <c r="BE31" s="49"/>
      <c r="BF31" s="95"/>
      <c r="BG31" s="94">
        <v>25852.63</v>
      </c>
      <c r="BH31" s="131">
        <v>36784.980000000003</v>
      </c>
      <c r="BI31" s="95">
        <v>1</v>
      </c>
      <c r="BJ31" s="128"/>
      <c r="BK31" s="49"/>
      <c r="BL31" s="49"/>
      <c r="BM31" s="95"/>
      <c r="BN31" s="216">
        <f>B31+E31+H31+K31+M31+O31+R31+U31+X31+AA31+AD31+AG31+AJ31+AM31+AP31+AS31+AV31+AY31+BA31+BC31+BE31+BG31+BJ31+BL31</f>
        <v>7981688.830000001</v>
      </c>
      <c r="BO31" s="216">
        <f t="shared" si="14"/>
        <v>11356920.050000003</v>
      </c>
      <c r="BP31" s="218">
        <f t="shared" si="17"/>
        <v>601</v>
      </c>
      <c r="BQ31" s="132">
        <f t="shared" si="15"/>
        <v>0.22564599453346659</v>
      </c>
      <c r="BR31" s="65">
        <f>78785+14831987.7+25852.63</f>
        <v>14936625.33</v>
      </c>
      <c r="BS31" s="133">
        <f>ROUND(78784.99/0.702804,2)+ROUND(14831987.7/0.702804,2)+36784.98</f>
        <v>21252903.110000003</v>
      </c>
      <c r="BT31" s="134">
        <f>1+1526+1</f>
        <v>1528</v>
      </c>
      <c r="BU31" s="68">
        <f t="shared" si="16"/>
        <v>0.22706321659019807</v>
      </c>
    </row>
    <row r="32" spans="1:73" x14ac:dyDescent="0.25">
      <c r="A32" s="47" t="s">
        <v>69</v>
      </c>
      <c r="B32" s="48"/>
      <c r="C32" s="48"/>
      <c r="D32" s="49"/>
      <c r="E32" s="49"/>
      <c r="F32" s="49"/>
      <c r="G32" s="49"/>
      <c r="H32" s="50"/>
      <c r="I32" s="50"/>
      <c r="J32" s="49"/>
      <c r="K32" s="49"/>
      <c r="L32" s="49"/>
      <c r="M32" s="49"/>
      <c r="N32" s="51"/>
      <c r="O32" s="128"/>
      <c r="P32" s="129"/>
      <c r="Q32" s="95"/>
      <c r="R32" s="94">
        <v>5921.27</v>
      </c>
      <c r="S32" s="48">
        <f t="shared" si="11"/>
        <v>8425.2099999999991</v>
      </c>
      <c r="T32" s="49">
        <v>1</v>
      </c>
      <c r="U32" s="50">
        <v>2543.65</v>
      </c>
      <c r="V32" s="50">
        <f t="shared" si="12"/>
        <v>3619.29</v>
      </c>
      <c r="W32" s="49">
        <v>2</v>
      </c>
      <c r="X32" s="50"/>
      <c r="Y32" s="50"/>
      <c r="Z32" s="49"/>
      <c r="AA32" s="50">
        <v>1407.5</v>
      </c>
      <c r="AB32" s="50">
        <f t="shared" si="13"/>
        <v>2002.69</v>
      </c>
      <c r="AC32" s="49">
        <v>9</v>
      </c>
      <c r="AD32" s="50"/>
      <c r="AE32" s="130"/>
      <c r="AF32" s="95"/>
      <c r="AG32" s="94"/>
      <c r="AH32" s="48"/>
      <c r="AI32" s="49"/>
      <c r="AJ32" s="50"/>
      <c r="AK32" s="130"/>
      <c r="AL32" s="95"/>
      <c r="AM32" s="128"/>
      <c r="AN32" s="129"/>
      <c r="AO32" s="51"/>
      <c r="AP32" s="94"/>
      <c r="AQ32" s="48"/>
      <c r="AR32" s="49"/>
      <c r="AS32" s="50"/>
      <c r="AT32" s="50"/>
      <c r="AU32" s="49"/>
      <c r="AV32" s="49"/>
      <c r="AW32" s="49"/>
      <c r="AX32" s="49"/>
      <c r="AY32" s="49"/>
      <c r="AZ32" s="95"/>
      <c r="BA32" s="128"/>
      <c r="BB32" s="49"/>
      <c r="BC32" s="49"/>
      <c r="BD32" s="49"/>
      <c r="BE32" s="49"/>
      <c r="BF32" s="95"/>
      <c r="BG32" s="94"/>
      <c r="BH32" s="131"/>
      <c r="BI32" s="95"/>
      <c r="BJ32" s="128"/>
      <c r="BK32" s="49"/>
      <c r="BL32" s="49"/>
      <c r="BM32" s="95"/>
      <c r="BN32" s="216">
        <f t="shared" ref="BN32:BN35" si="19">B32+E32+H32+K32+M32+O32+R32+U32+X32+AA32+AD32+AG32+AJ32+AM32+AP32+AS32+AV32+AY32+BA32+BC32+BE32+BG32+BJ32+BL32</f>
        <v>9872.42</v>
      </c>
      <c r="BO32" s="216">
        <f t="shared" si="14"/>
        <v>14047.19</v>
      </c>
      <c r="BP32" s="218">
        <f t="shared" si="17"/>
        <v>12</v>
      </c>
      <c r="BQ32" s="132">
        <f t="shared" si="15"/>
        <v>2.790978296446676E-4</v>
      </c>
      <c r="BR32" s="65">
        <v>40406.75</v>
      </c>
      <c r="BS32" s="133">
        <f>ROUND(BR32/0.702804,2)</f>
        <v>57493.63</v>
      </c>
      <c r="BT32" s="134">
        <v>36</v>
      </c>
      <c r="BU32" s="68">
        <f t="shared" si="16"/>
        <v>6.142543194498128E-4</v>
      </c>
    </row>
    <row r="33" spans="1:73" ht="30" x14ac:dyDescent="0.25">
      <c r="A33" s="47" t="s">
        <v>70</v>
      </c>
      <c r="B33" s="73"/>
      <c r="C33" s="73"/>
      <c r="D33" s="74"/>
      <c r="E33" s="74"/>
      <c r="F33" s="49"/>
      <c r="G33" s="49"/>
      <c r="H33" s="75"/>
      <c r="I33" s="75"/>
      <c r="J33" s="74"/>
      <c r="K33" s="74"/>
      <c r="L33" s="74"/>
      <c r="M33" s="74"/>
      <c r="N33" s="76"/>
      <c r="O33" s="136"/>
      <c r="P33" s="137"/>
      <c r="Q33" s="138"/>
      <c r="R33" s="139">
        <v>242571.91</v>
      </c>
      <c r="S33" s="73">
        <f t="shared" si="11"/>
        <v>345148.73</v>
      </c>
      <c r="T33" s="74">
        <v>6</v>
      </c>
      <c r="U33" s="75">
        <v>344165.95999999996</v>
      </c>
      <c r="V33" s="75">
        <f t="shared" si="12"/>
        <v>489704.04</v>
      </c>
      <c r="W33" s="74">
        <v>15</v>
      </c>
      <c r="X33" s="75"/>
      <c r="Y33" s="75"/>
      <c r="Z33" s="74"/>
      <c r="AA33" s="75">
        <v>89279.77</v>
      </c>
      <c r="AB33" s="75">
        <f t="shared" si="13"/>
        <v>127033.67</v>
      </c>
      <c r="AC33" s="74">
        <v>13</v>
      </c>
      <c r="AD33" s="75"/>
      <c r="AE33" s="140"/>
      <c r="AF33" s="138"/>
      <c r="AG33" s="139">
        <v>673.69</v>
      </c>
      <c r="AH33" s="73">
        <f t="shared" ref="AH33:AH34" si="20">ROUND(AG33/0.702804,2)</f>
        <v>958.57</v>
      </c>
      <c r="AI33" s="74">
        <v>1</v>
      </c>
      <c r="AJ33" s="75"/>
      <c r="AK33" s="140"/>
      <c r="AL33" s="138"/>
      <c r="AM33" s="136"/>
      <c r="AN33" s="137"/>
      <c r="AO33" s="76"/>
      <c r="AP33" s="139"/>
      <c r="AQ33" s="73"/>
      <c r="AR33" s="74"/>
      <c r="AS33" s="75"/>
      <c r="AT33" s="75"/>
      <c r="AU33" s="74"/>
      <c r="AV33" s="74"/>
      <c r="AW33" s="74"/>
      <c r="AX33" s="74"/>
      <c r="AY33" s="74"/>
      <c r="AZ33" s="138"/>
      <c r="BA33" s="136"/>
      <c r="BB33" s="74"/>
      <c r="BC33" s="74"/>
      <c r="BD33" s="74"/>
      <c r="BE33" s="74"/>
      <c r="BF33" s="138"/>
      <c r="BG33" s="139"/>
      <c r="BH33" s="141"/>
      <c r="BI33" s="138"/>
      <c r="BJ33" s="136"/>
      <c r="BK33" s="74"/>
      <c r="BL33" s="74"/>
      <c r="BM33" s="138"/>
      <c r="BN33" s="216">
        <f t="shared" si="19"/>
        <v>676691.33</v>
      </c>
      <c r="BO33" s="216">
        <f t="shared" si="14"/>
        <v>962845.01</v>
      </c>
      <c r="BP33" s="219">
        <f t="shared" si="17"/>
        <v>35</v>
      </c>
      <c r="BQ33" s="132">
        <f t="shared" si="15"/>
        <v>1.913037345882403E-2</v>
      </c>
      <c r="BR33" s="65">
        <v>2394702.4300000002</v>
      </c>
      <c r="BS33" s="133">
        <f>ROUND(BR33/0.702804,2)</f>
        <v>3407354.58</v>
      </c>
      <c r="BT33" s="134">
        <v>42</v>
      </c>
      <c r="BU33" s="68">
        <f t="shared" si="16"/>
        <v>3.6403727382787854E-2</v>
      </c>
    </row>
    <row r="34" spans="1:73" ht="30" x14ac:dyDescent="0.25">
      <c r="A34" s="47" t="s">
        <v>71</v>
      </c>
      <c r="B34" s="73"/>
      <c r="C34" s="73"/>
      <c r="D34" s="74"/>
      <c r="E34" s="74"/>
      <c r="F34" s="49"/>
      <c r="G34" s="49"/>
      <c r="H34" s="75"/>
      <c r="I34" s="75"/>
      <c r="J34" s="74"/>
      <c r="K34" s="74"/>
      <c r="L34" s="74"/>
      <c r="M34" s="74"/>
      <c r="N34" s="76"/>
      <c r="O34" s="136"/>
      <c r="P34" s="137"/>
      <c r="Q34" s="138"/>
      <c r="R34" s="139">
        <v>61867.63</v>
      </c>
      <c r="S34" s="73">
        <f t="shared" si="11"/>
        <v>88029.71</v>
      </c>
      <c r="T34" s="74">
        <v>10</v>
      </c>
      <c r="U34" s="75">
        <v>440032.58999999997</v>
      </c>
      <c r="V34" s="75">
        <f t="shared" si="12"/>
        <v>626109.97</v>
      </c>
      <c r="W34" s="74">
        <v>23</v>
      </c>
      <c r="X34" s="75"/>
      <c r="Y34" s="75"/>
      <c r="Z34" s="74"/>
      <c r="AA34" s="75">
        <v>16193.54</v>
      </c>
      <c r="AB34" s="75">
        <f t="shared" si="13"/>
        <v>23041.33</v>
      </c>
      <c r="AC34" s="74">
        <v>31</v>
      </c>
      <c r="AD34" s="75"/>
      <c r="AE34" s="140"/>
      <c r="AF34" s="138"/>
      <c r="AG34" s="139">
        <v>217576.19999999998</v>
      </c>
      <c r="AH34" s="73">
        <f t="shared" si="20"/>
        <v>309583.03999999998</v>
      </c>
      <c r="AI34" s="74">
        <v>13</v>
      </c>
      <c r="AJ34" s="75"/>
      <c r="AK34" s="140"/>
      <c r="AL34" s="138"/>
      <c r="AM34" s="136"/>
      <c r="AN34" s="137"/>
      <c r="AO34" s="76"/>
      <c r="AP34" s="139"/>
      <c r="AQ34" s="73"/>
      <c r="AR34" s="74"/>
      <c r="AS34" s="75"/>
      <c r="AT34" s="75"/>
      <c r="AU34" s="74"/>
      <c r="AV34" s="74"/>
      <c r="AW34" s="74"/>
      <c r="AX34" s="74"/>
      <c r="AY34" s="74"/>
      <c r="AZ34" s="138"/>
      <c r="BA34" s="136"/>
      <c r="BB34" s="74"/>
      <c r="BC34" s="74"/>
      <c r="BD34" s="74"/>
      <c r="BE34" s="74"/>
      <c r="BF34" s="138"/>
      <c r="BG34" s="139"/>
      <c r="BH34" s="141"/>
      <c r="BI34" s="138"/>
      <c r="BJ34" s="136"/>
      <c r="BK34" s="74"/>
      <c r="BL34" s="74"/>
      <c r="BM34" s="138"/>
      <c r="BN34" s="216">
        <f t="shared" si="19"/>
        <v>735669.96</v>
      </c>
      <c r="BO34" s="216">
        <f t="shared" si="14"/>
        <v>1046764.0499999998</v>
      </c>
      <c r="BP34" s="219">
        <f t="shared" si="17"/>
        <v>77</v>
      </c>
      <c r="BQ34" s="132">
        <f t="shared" si="15"/>
        <v>2.0797726309332402E-2</v>
      </c>
      <c r="BR34" s="65">
        <v>14412146.529999999</v>
      </c>
      <c r="BS34" s="133">
        <f>ROUND(BR34/0.702804,2)</f>
        <v>20506637.030000001</v>
      </c>
      <c r="BT34" s="134">
        <v>106</v>
      </c>
      <c r="BU34" s="68">
        <f t="shared" si="16"/>
        <v>0.21909020791318604</v>
      </c>
    </row>
    <row r="35" spans="1:73" x14ac:dyDescent="0.25">
      <c r="A35" s="47" t="s">
        <v>72</v>
      </c>
      <c r="B35" s="73"/>
      <c r="C35" s="73"/>
      <c r="D35" s="74"/>
      <c r="E35" s="74"/>
      <c r="F35" s="49"/>
      <c r="G35" s="49"/>
      <c r="H35" s="75"/>
      <c r="I35" s="75"/>
      <c r="J35" s="74"/>
      <c r="K35" s="74"/>
      <c r="L35" s="74"/>
      <c r="M35" s="74"/>
      <c r="N35" s="76"/>
      <c r="O35" s="136"/>
      <c r="P35" s="137"/>
      <c r="Q35" s="138"/>
      <c r="R35" s="139"/>
      <c r="S35" s="73"/>
      <c r="T35" s="74"/>
      <c r="U35" s="75"/>
      <c r="V35" s="75"/>
      <c r="W35" s="74"/>
      <c r="X35" s="75"/>
      <c r="Y35" s="75"/>
      <c r="Z35" s="74"/>
      <c r="AA35" s="75"/>
      <c r="AB35" s="75"/>
      <c r="AC35" s="74"/>
      <c r="AD35" s="75"/>
      <c r="AE35" s="140"/>
      <c r="AF35" s="138"/>
      <c r="AG35" s="139"/>
      <c r="AH35" s="73"/>
      <c r="AI35" s="74"/>
      <c r="AJ35" s="75"/>
      <c r="AK35" s="140"/>
      <c r="AL35" s="138"/>
      <c r="AM35" s="136">
        <v>2753.08</v>
      </c>
      <c r="AN35" s="137">
        <v>3917.28</v>
      </c>
      <c r="AO35" s="76">
        <v>26</v>
      </c>
      <c r="AP35" s="139">
        <v>258738</v>
      </c>
      <c r="AQ35" s="73">
        <v>368151.01</v>
      </c>
      <c r="AR35" s="74">
        <v>1131</v>
      </c>
      <c r="AS35" s="75">
        <v>1272860</v>
      </c>
      <c r="AT35" s="75">
        <v>1811116.61</v>
      </c>
      <c r="AU35" s="74">
        <v>971</v>
      </c>
      <c r="AV35" s="75">
        <v>230183</v>
      </c>
      <c r="AW35" s="75">
        <v>327520.90000000002</v>
      </c>
      <c r="AX35" s="74">
        <v>6</v>
      </c>
      <c r="AY35" s="74"/>
      <c r="AZ35" s="138"/>
      <c r="BA35" s="136"/>
      <c r="BB35" s="74"/>
      <c r="BC35" s="74"/>
      <c r="BD35" s="74"/>
      <c r="BE35" s="74"/>
      <c r="BF35" s="138"/>
      <c r="BG35" s="139"/>
      <c r="BH35" s="141"/>
      <c r="BI35" s="138"/>
      <c r="BJ35" s="136"/>
      <c r="BK35" s="74"/>
      <c r="BL35" s="74"/>
      <c r="BM35" s="138"/>
      <c r="BN35" s="216">
        <f t="shared" si="19"/>
        <v>1764534.08</v>
      </c>
      <c r="BO35" s="216">
        <f t="shared" si="14"/>
        <v>2510705.8000000003</v>
      </c>
      <c r="BP35" s="219">
        <f t="shared" si="17"/>
        <v>2134</v>
      </c>
      <c r="BQ35" s="132">
        <f t="shared" si="15"/>
        <v>4.9884185646685439E-2</v>
      </c>
      <c r="BR35" s="65">
        <f>4407992+(4282.58+2753.08)</f>
        <v>4415027.66</v>
      </c>
      <c r="BS35" s="133">
        <f>6272007.56+(6093.56+3917.28)</f>
        <v>6282018.3999999994</v>
      </c>
      <c r="BT35" s="134">
        <f>7294+(13+26)</f>
        <v>7333</v>
      </c>
      <c r="BU35" s="68">
        <f t="shared" si="16"/>
        <v>6.7116256829500009E-2</v>
      </c>
    </row>
    <row r="36" spans="1:73" ht="16.5" thickBot="1" x14ac:dyDescent="0.3">
      <c r="A36" s="142" t="s">
        <v>73</v>
      </c>
      <c r="B36" s="73"/>
      <c r="C36" s="73"/>
      <c r="D36" s="74"/>
      <c r="E36" s="75">
        <v>939973.56</v>
      </c>
      <c r="F36" s="143">
        <f>ROUND(E36/0.702804,2)</f>
        <v>1337461.8799999999</v>
      </c>
      <c r="G36" s="144">
        <v>5</v>
      </c>
      <c r="H36" s="75"/>
      <c r="I36" s="75"/>
      <c r="J36" s="74"/>
      <c r="K36" s="74"/>
      <c r="L36" s="74"/>
      <c r="M36" s="74"/>
      <c r="N36" s="76"/>
      <c r="O36" s="136"/>
      <c r="P36" s="137"/>
      <c r="Q36" s="138"/>
      <c r="R36" s="139">
        <v>15023577.52</v>
      </c>
      <c r="S36" s="73">
        <f>ROUND(R36/0.702804,2)</f>
        <v>21376624.949999999</v>
      </c>
      <c r="T36" s="74">
        <v>294</v>
      </c>
      <c r="U36" s="75">
        <v>1375300.9899999998</v>
      </c>
      <c r="V36" s="75">
        <f>ROUND(U36/0.702804,2)</f>
        <v>1956877.01</v>
      </c>
      <c r="W36" s="74">
        <v>203</v>
      </c>
      <c r="X36" s="75"/>
      <c r="Y36" s="75"/>
      <c r="Z36" s="74"/>
      <c r="AA36" s="75">
        <v>4020171.99</v>
      </c>
      <c r="AB36" s="75">
        <f>ROUND(AA36/0.702804,2)</f>
        <v>5720189.4000000004</v>
      </c>
      <c r="AC36" s="74">
        <v>242</v>
      </c>
      <c r="AD36" s="75"/>
      <c r="AE36" s="140"/>
      <c r="AF36" s="138"/>
      <c r="AG36" s="139">
        <v>213148.94999999998</v>
      </c>
      <c r="AH36" s="73">
        <f t="shared" ref="AH36" si="21">ROUND(AG36/0.702804,2)</f>
        <v>303283.63</v>
      </c>
      <c r="AI36" s="74">
        <v>25</v>
      </c>
      <c r="AJ36" s="75"/>
      <c r="AK36" s="140"/>
      <c r="AL36" s="138"/>
      <c r="AM36" s="145">
        <v>4163.05</v>
      </c>
      <c r="AN36" s="146">
        <v>5923.49</v>
      </c>
      <c r="AO36" s="147">
        <v>28</v>
      </c>
      <c r="AP36" s="148"/>
      <c r="AQ36" s="149"/>
      <c r="AR36" s="150"/>
      <c r="AS36" s="150"/>
      <c r="AT36" s="150"/>
      <c r="AU36" s="150"/>
      <c r="AV36" s="150"/>
      <c r="AW36" s="150"/>
      <c r="AX36" s="150"/>
      <c r="AY36" s="151"/>
      <c r="AZ36" s="152"/>
      <c r="BA36" s="136"/>
      <c r="BB36" s="74"/>
      <c r="BC36" s="74"/>
      <c r="BD36" s="74"/>
      <c r="BE36" s="74"/>
      <c r="BF36" s="138"/>
      <c r="BG36" s="139">
        <v>1127.07</v>
      </c>
      <c r="BH36" s="141">
        <v>1603.68</v>
      </c>
      <c r="BI36" s="138">
        <v>7</v>
      </c>
      <c r="BJ36" s="136"/>
      <c r="BK36" s="74"/>
      <c r="BL36" s="74"/>
      <c r="BM36" s="138"/>
      <c r="BN36" s="216">
        <f>B36+E36+H36+K36+M36+O36+R36+U36+X36+AA36+AD36+AG36+AJ36+AM36+AP36+AS36+AV36+AY36+BA36+BC36+BE36+BG36+BJ36+BL36</f>
        <v>21577463.130000003</v>
      </c>
      <c r="BO36" s="216">
        <f t="shared" si="14"/>
        <v>30701964.039999999</v>
      </c>
      <c r="BP36" s="219">
        <f t="shared" si="17"/>
        <v>804</v>
      </c>
      <c r="BQ36" s="132">
        <f t="shared" si="15"/>
        <v>0.61000475352758865</v>
      </c>
      <c r="BR36" s="97">
        <f>34242.19+22898700.62+1127.07</f>
        <v>22934069.880000003</v>
      </c>
      <c r="BS36" s="153">
        <f>48722.25+ROUND(22898700.62/0.702804,2)+1603.68</f>
        <v>32632241.539999999</v>
      </c>
      <c r="BT36" s="99">
        <f>109+2979+7</f>
        <v>3095</v>
      </c>
      <c r="BU36" s="100">
        <f t="shared" si="16"/>
        <v>0.3486385687132435</v>
      </c>
    </row>
    <row r="37" spans="1:73" ht="16.5" thickBot="1" x14ac:dyDescent="0.3">
      <c r="A37" s="154" t="s">
        <v>63</v>
      </c>
      <c r="B37" s="110">
        <f t="shared" ref="B37:AO37" si="22">SUM(B29:B36)</f>
        <v>0</v>
      </c>
      <c r="C37" s="102"/>
      <c r="D37" s="155">
        <f t="shared" si="22"/>
        <v>0</v>
      </c>
      <c r="E37" s="104">
        <f t="shared" si="22"/>
        <v>939973.56</v>
      </c>
      <c r="F37" s="104">
        <f>SUM(F29:F36)</f>
        <v>1337461.8799999999</v>
      </c>
      <c r="G37" s="155">
        <f>SUM(G29:G36)</f>
        <v>5</v>
      </c>
      <c r="H37" s="104">
        <f t="shared" si="22"/>
        <v>0</v>
      </c>
      <c r="I37" s="104"/>
      <c r="J37" s="155">
        <f t="shared" si="22"/>
        <v>0</v>
      </c>
      <c r="K37" s="156">
        <f t="shared" si="22"/>
        <v>0</v>
      </c>
      <c r="L37" s="155">
        <f t="shared" si="22"/>
        <v>0</v>
      </c>
      <c r="M37" s="156">
        <f t="shared" si="22"/>
        <v>0</v>
      </c>
      <c r="N37" s="157">
        <f t="shared" si="22"/>
        <v>0</v>
      </c>
      <c r="O37" s="110">
        <f t="shared" si="22"/>
        <v>316191.52</v>
      </c>
      <c r="P37" s="111">
        <f t="shared" si="22"/>
        <v>449900</v>
      </c>
      <c r="Q37" s="158">
        <f t="shared" si="22"/>
        <v>1</v>
      </c>
      <c r="R37" s="110">
        <f>SUM(R29:R36)</f>
        <v>17156415.600000001</v>
      </c>
      <c r="S37" s="102">
        <f t="shared" si="22"/>
        <v>24411380.129999999</v>
      </c>
      <c r="T37" s="155">
        <f>SUM(T29:T36)</f>
        <v>433</v>
      </c>
      <c r="U37" s="104">
        <f>SUM(U29:U36)</f>
        <v>7549072.870000001</v>
      </c>
      <c r="V37" s="104">
        <f t="shared" si="22"/>
        <v>10741362.99</v>
      </c>
      <c r="W37" s="155">
        <f t="shared" si="22"/>
        <v>587</v>
      </c>
      <c r="X37" s="104">
        <f t="shared" si="22"/>
        <v>6820.59</v>
      </c>
      <c r="Y37" s="104">
        <f t="shared" si="22"/>
        <v>9704.83</v>
      </c>
      <c r="Z37" s="155">
        <f t="shared" si="22"/>
        <v>8</v>
      </c>
      <c r="AA37" s="104">
        <f t="shared" si="22"/>
        <v>4398555.84</v>
      </c>
      <c r="AB37" s="104">
        <f t="shared" si="22"/>
        <v>6258581.1100000003</v>
      </c>
      <c r="AC37" s="155">
        <f t="shared" si="22"/>
        <v>423</v>
      </c>
      <c r="AD37" s="104">
        <f t="shared" si="22"/>
        <v>269.48</v>
      </c>
      <c r="AE37" s="108">
        <f t="shared" si="22"/>
        <v>383.44</v>
      </c>
      <c r="AF37" s="158">
        <f t="shared" si="22"/>
        <v>6</v>
      </c>
      <c r="AG37" s="110">
        <f t="shared" si="22"/>
        <v>3114124.3400000003</v>
      </c>
      <c r="AH37" s="102">
        <f t="shared" si="22"/>
        <v>4430999.7300000004</v>
      </c>
      <c r="AI37" s="155">
        <f t="shared" si="22"/>
        <v>63</v>
      </c>
      <c r="AJ37" s="104">
        <f t="shared" si="22"/>
        <v>182.3</v>
      </c>
      <c r="AK37" s="108">
        <f t="shared" si="22"/>
        <v>259.39</v>
      </c>
      <c r="AL37" s="158">
        <f t="shared" si="22"/>
        <v>4</v>
      </c>
      <c r="AM37" s="110">
        <f t="shared" si="22"/>
        <v>8948.93</v>
      </c>
      <c r="AN37" s="111">
        <f t="shared" si="22"/>
        <v>12733.18</v>
      </c>
      <c r="AO37" s="158">
        <f t="shared" si="22"/>
        <v>55</v>
      </c>
      <c r="AP37" s="159">
        <f t="shared" ref="AP37:AX37" si="23">SUM(AP29:AP35)</f>
        <v>271563</v>
      </c>
      <c r="AQ37" s="159">
        <f t="shared" si="23"/>
        <v>386399.34</v>
      </c>
      <c r="AR37" s="160">
        <f>SUM(AR29:AR36)</f>
        <v>1202</v>
      </c>
      <c r="AS37" s="161">
        <f t="shared" si="23"/>
        <v>1274549</v>
      </c>
      <c r="AT37" s="161">
        <f t="shared" si="23"/>
        <v>1813519.84</v>
      </c>
      <c r="AU37" s="162">
        <f t="shared" si="23"/>
        <v>992</v>
      </c>
      <c r="AV37" s="161">
        <f t="shared" si="23"/>
        <v>308968</v>
      </c>
      <c r="AW37" s="161">
        <f t="shared" si="23"/>
        <v>439621.86000000004</v>
      </c>
      <c r="AX37" s="160">
        <f t="shared" si="23"/>
        <v>7</v>
      </c>
      <c r="AY37" s="163">
        <f t="shared" ref="AY37:BM37" si="24">SUM(AY29:AY36)</f>
        <v>0</v>
      </c>
      <c r="AZ37" s="164">
        <f t="shared" si="24"/>
        <v>0</v>
      </c>
      <c r="BA37" s="105">
        <f t="shared" si="24"/>
        <v>0</v>
      </c>
      <c r="BB37" s="155">
        <f t="shared" si="24"/>
        <v>0</v>
      </c>
      <c r="BC37" s="156">
        <f t="shared" si="24"/>
        <v>0</v>
      </c>
      <c r="BD37" s="155">
        <f t="shared" si="24"/>
        <v>0</v>
      </c>
      <c r="BE37" s="156">
        <f t="shared" si="24"/>
        <v>0</v>
      </c>
      <c r="BF37" s="158">
        <f t="shared" si="24"/>
        <v>0</v>
      </c>
      <c r="BG37" s="110">
        <f t="shared" si="24"/>
        <v>26979.7</v>
      </c>
      <c r="BH37" s="111">
        <f t="shared" si="24"/>
        <v>38388.660000000003</v>
      </c>
      <c r="BI37" s="158">
        <f t="shared" si="24"/>
        <v>8</v>
      </c>
      <c r="BJ37" s="105">
        <f t="shared" si="24"/>
        <v>0</v>
      </c>
      <c r="BK37" s="155">
        <f t="shared" si="24"/>
        <v>0</v>
      </c>
      <c r="BL37" s="156">
        <f t="shared" si="24"/>
        <v>0</v>
      </c>
      <c r="BM37" s="158">
        <f t="shared" si="24"/>
        <v>0</v>
      </c>
      <c r="BN37" s="220">
        <f>SUM(BN29:BN36)</f>
        <v>35372614.730000004</v>
      </c>
      <c r="BO37" s="220">
        <f>SUM(BO29:BO36)</f>
        <v>50330696.380000003</v>
      </c>
      <c r="BP37" s="221">
        <f>SUM(BP29:BP36)</f>
        <v>3794</v>
      </c>
      <c r="BQ37" s="165" t="s">
        <v>64</v>
      </c>
      <c r="BR37" s="115">
        <f>SUM(BR29:BR36)</f>
        <v>65781792.199999996</v>
      </c>
      <c r="BS37" s="166">
        <f>SUM(BS29:BS36)</f>
        <v>93599057.75999999</v>
      </c>
      <c r="BT37" s="117">
        <f>SUM(BT29:BT36)</f>
        <v>16043</v>
      </c>
      <c r="BU37" s="167" t="s">
        <v>64</v>
      </c>
    </row>
    <row r="38" spans="1:73" ht="16.899999999999999" customHeight="1" thickBot="1" x14ac:dyDescent="0.3">
      <c r="A38" s="329" t="s">
        <v>74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1"/>
    </row>
    <row r="39" spans="1:73" x14ac:dyDescent="0.25">
      <c r="A39" s="23" t="s">
        <v>75</v>
      </c>
      <c r="B39" s="24"/>
      <c r="C39" s="24"/>
      <c r="D39" s="25"/>
      <c r="E39" s="26"/>
      <c r="F39" s="26"/>
      <c r="G39" s="25"/>
      <c r="H39" s="26"/>
      <c r="I39" s="26"/>
      <c r="J39" s="25"/>
      <c r="K39" s="25"/>
      <c r="L39" s="25"/>
      <c r="M39" s="25"/>
      <c r="N39" s="27"/>
      <c r="O39" s="119"/>
      <c r="P39" s="120"/>
      <c r="Q39" s="121"/>
      <c r="R39" s="24">
        <v>77385.149999999994</v>
      </c>
      <c r="S39" s="24">
        <f>ROUND(R39/0.702804,2)</f>
        <v>110109.15</v>
      </c>
      <c r="T39" s="25">
        <v>12</v>
      </c>
      <c r="U39" s="26">
        <v>1659750.6100000006</v>
      </c>
      <c r="V39" s="26">
        <f>ROUND(U39/0.702804,2)</f>
        <v>2361612.36</v>
      </c>
      <c r="W39" s="25">
        <v>62</v>
      </c>
      <c r="X39" s="26">
        <v>6820.59</v>
      </c>
      <c r="Y39" s="26">
        <f>ROUND(X39/0.702804,2)</f>
        <v>9704.83</v>
      </c>
      <c r="Z39" s="25">
        <v>8</v>
      </c>
      <c r="AA39" s="26">
        <v>207287.03000000006</v>
      </c>
      <c r="AB39" s="26">
        <f>ROUND(AA39/0.702804,2)</f>
        <v>294942.87</v>
      </c>
      <c r="AC39" s="25">
        <v>68</v>
      </c>
      <c r="AD39" s="26">
        <v>269.48</v>
      </c>
      <c r="AE39" s="123">
        <f>ROUND(AD39/0.702804,2)</f>
        <v>383.44</v>
      </c>
      <c r="AF39" s="27">
        <v>6</v>
      </c>
      <c r="AG39" s="122">
        <v>180962.78</v>
      </c>
      <c r="AH39" s="24">
        <f t="shared" ref="AH39:AH41" si="25">ROUND(AG39/0.702804,2)</f>
        <v>257486.84</v>
      </c>
      <c r="AI39" s="25">
        <v>7</v>
      </c>
      <c r="AJ39" s="26">
        <v>182.3</v>
      </c>
      <c r="AK39" s="123">
        <f>ROUND(AJ39/0.702804,2)</f>
        <v>259.39</v>
      </c>
      <c r="AL39" s="121">
        <v>4</v>
      </c>
      <c r="AM39" s="168">
        <f>2366.95+579.85</f>
        <v>2946.7999999999997</v>
      </c>
      <c r="AN39" s="169">
        <f>3367.87+825.05</f>
        <v>4192.92</v>
      </c>
      <c r="AO39" s="121">
        <f>21+10</f>
        <v>31</v>
      </c>
      <c r="AP39" s="119"/>
      <c r="AQ39" s="170"/>
      <c r="AR39" s="25"/>
      <c r="AS39" s="25"/>
      <c r="AT39" s="25"/>
      <c r="AU39" s="25"/>
      <c r="AV39" s="25">
        <v>78785</v>
      </c>
      <c r="AW39" s="25">
        <v>112100.96</v>
      </c>
      <c r="AX39" s="171">
        <v>1</v>
      </c>
      <c r="AY39" s="25"/>
      <c r="AZ39" s="121"/>
      <c r="BA39" s="119"/>
      <c r="BB39" s="25"/>
      <c r="BC39" s="25"/>
      <c r="BD39" s="25"/>
      <c r="BE39" s="25"/>
      <c r="BF39" s="121"/>
      <c r="BG39" s="122">
        <v>313.07106984000001</v>
      </c>
      <c r="BH39" s="24">
        <v>445.46</v>
      </c>
      <c r="BI39" s="25">
        <v>1</v>
      </c>
      <c r="BJ39" s="25"/>
      <c r="BK39" s="25"/>
      <c r="BL39" s="25"/>
      <c r="BM39" s="121"/>
      <c r="BN39" s="172">
        <f t="shared" ref="BN39:BN45" si="26">B39+E39+H39+K39+M39+O39+R39+U39+X39+AA39+AD39+AG39+AJ39+AM39+AP39+AS39+AV39+AY39+BA39+BC39+BE39+BG39+BJ39+BL39</f>
        <v>2214702.8110698401</v>
      </c>
      <c r="BO39" s="172">
        <f t="shared" ref="BO39:BO45" si="27">C39+F39+P39+I39+S39+V39+Y39+AB39+AE39+AH39+AK39+AN39+AQ39+AT39+AW39+BH39</f>
        <v>3151238.2199999997</v>
      </c>
      <c r="BP39" s="173">
        <f t="shared" ref="BP39:BP45" si="28">D39+G39+J39+L39+N39+Q39+T39+W39+Z39+AC39+AF39+AI39+AL39+AO39+AR39+AU39+AX39+AZ39+BB39+BD39+BF39+BI39+BK39+BM39</f>
        <v>200</v>
      </c>
      <c r="BQ39" s="174">
        <f>BN39/$BN$46*100%</f>
        <v>6.2610661601824824E-2</v>
      </c>
      <c r="BR39" s="43">
        <f>107315+(4677.65+967.82+2366.95)+4699636.22+4149.21+313.07</f>
        <v>4819425.92</v>
      </c>
      <c r="BS39" s="126">
        <f>152695.49+ROUND((4677.65+967.82+2366.95)/0.702804,2)+ROUND((4699636.22+4149.21)/0.702804,2)+445.46</f>
        <v>6857425.29</v>
      </c>
      <c r="BT39" s="45">
        <f>4+(31+10+21)+1105+15+1</f>
        <v>1187</v>
      </c>
      <c r="BU39" s="175">
        <f t="shared" ref="BU39:BU45" si="29">BR39/$BR$46*100%</f>
        <v>7.3263828151939006E-2</v>
      </c>
    </row>
    <row r="40" spans="1:73" x14ac:dyDescent="0.25">
      <c r="A40" s="47" t="s">
        <v>76</v>
      </c>
      <c r="B40" s="48"/>
      <c r="C40" s="48"/>
      <c r="D40" s="49"/>
      <c r="E40" s="50"/>
      <c r="F40" s="50"/>
      <c r="G40" s="49"/>
      <c r="H40" s="50"/>
      <c r="I40" s="50"/>
      <c r="J40" s="49"/>
      <c r="K40" s="49"/>
      <c r="L40" s="49"/>
      <c r="M40" s="49"/>
      <c r="N40" s="51"/>
      <c r="O40" s="128"/>
      <c r="P40" s="129"/>
      <c r="Q40" s="95"/>
      <c r="R40" s="48">
        <v>510.38</v>
      </c>
      <c r="S40" s="48">
        <f>ROUND(R40/0.702804,2)</f>
        <v>726.21</v>
      </c>
      <c r="T40" s="49">
        <v>3</v>
      </c>
      <c r="U40" s="50">
        <v>3908706.84</v>
      </c>
      <c r="V40" s="50">
        <f>ROUND(U40/0.702804,2)</f>
        <v>5561588.7800000003</v>
      </c>
      <c r="W40" s="49">
        <v>270</v>
      </c>
      <c r="X40" s="50"/>
      <c r="Y40" s="50"/>
      <c r="Z40" s="49"/>
      <c r="AA40" s="50">
        <v>127301.84999999996</v>
      </c>
      <c r="AB40" s="50">
        <f>ROUND(AA40/0.702804,2)</f>
        <v>181134.21</v>
      </c>
      <c r="AC40" s="49">
        <v>94</v>
      </c>
      <c r="AD40" s="50"/>
      <c r="AE40" s="130"/>
      <c r="AF40" s="51"/>
      <c r="AG40" s="94">
        <v>183152.9</v>
      </c>
      <c r="AH40" s="48">
        <f t="shared" si="25"/>
        <v>260603.1</v>
      </c>
      <c r="AI40" s="49">
        <v>2</v>
      </c>
      <c r="AJ40" s="50"/>
      <c r="AK40" s="130"/>
      <c r="AL40" s="95"/>
      <c r="AM40" s="176"/>
      <c r="AN40" s="135"/>
      <c r="AO40" s="95"/>
      <c r="AP40" s="94">
        <v>142</v>
      </c>
      <c r="AQ40" s="48">
        <v>202.05</v>
      </c>
      <c r="AR40" s="177">
        <v>1</v>
      </c>
      <c r="AS40" s="50">
        <v>123473</v>
      </c>
      <c r="AT40" s="50">
        <v>175686.25</v>
      </c>
      <c r="AU40" s="177">
        <v>3</v>
      </c>
      <c r="AV40" s="50"/>
      <c r="AW40" s="50"/>
      <c r="AX40" s="178"/>
      <c r="AY40" s="49"/>
      <c r="AZ40" s="95"/>
      <c r="BA40" s="128"/>
      <c r="BB40" s="49"/>
      <c r="BC40" s="49"/>
      <c r="BD40" s="49"/>
      <c r="BE40" s="49"/>
      <c r="BF40" s="95"/>
      <c r="BG40" s="94">
        <v>26541.737433959999</v>
      </c>
      <c r="BH40" s="48">
        <v>37765.49</v>
      </c>
      <c r="BI40" s="49">
        <v>4</v>
      </c>
      <c r="BJ40" s="49"/>
      <c r="BK40" s="49"/>
      <c r="BL40" s="49"/>
      <c r="BM40" s="95"/>
      <c r="BN40" s="172">
        <f t="shared" si="26"/>
        <v>4369828.7074339595</v>
      </c>
      <c r="BO40" s="172">
        <f t="shared" si="27"/>
        <v>6217706.0899999999</v>
      </c>
      <c r="BP40" s="179">
        <f t="shared" si="28"/>
        <v>377</v>
      </c>
      <c r="BQ40" s="180">
        <f t="shared" ref="BQ40:BQ45" si="30">BN40/$BN$46*100%</f>
        <v>0.12353705657099985</v>
      </c>
      <c r="BR40" s="65">
        <f>130420+12500775.98+26541.74</f>
        <v>12657737.720000001</v>
      </c>
      <c r="BS40" s="133">
        <f>185570.94+ROUND(12500775.98/0.702804,2)+37765.49</f>
        <v>18010338.18</v>
      </c>
      <c r="BT40" s="67">
        <f>15+1124+4</f>
        <v>1143</v>
      </c>
      <c r="BU40" s="181">
        <f t="shared" si="29"/>
        <v>0.19242008000620878</v>
      </c>
    </row>
    <row r="41" spans="1:73" x14ac:dyDescent="0.25">
      <c r="A41" s="47" t="s">
        <v>77</v>
      </c>
      <c r="B41" s="48"/>
      <c r="C41" s="48"/>
      <c r="D41" s="49"/>
      <c r="E41" s="50">
        <v>939973.56</v>
      </c>
      <c r="F41" s="50">
        <f>ROUND(E41/0.702804,2)</f>
        <v>1337461.8799999999</v>
      </c>
      <c r="G41" s="49">
        <v>5</v>
      </c>
      <c r="H41" s="50"/>
      <c r="I41" s="50"/>
      <c r="J41" s="49"/>
      <c r="K41" s="49"/>
      <c r="L41" s="49"/>
      <c r="M41" s="49"/>
      <c r="N41" s="51"/>
      <c r="O41" s="128">
        <v>316191.52</v>
      </c>
      <c r="P41" s="135">
        <f>ROUND(O41/0.702804,2)</f>
        <v>449900</v>
      </c>
      <c r="Q41" s="95">
        <v>1</v>
      </c>
      <c r="R41" s="48">
        <v>16743029.609999999</v>
      </c>
      <c r="S41" s="48">
        <f t="shared" ref="S41:S45" si="31">ROUND(R41/0.702804,2)</f>
        <v>23823184.859999999</v>
      </c>
      <c r="T41" s="49">
        <v>173</v>
      </c>
      <c r="U41" s="50">
        <v>1511886.6800000004</v>
      </c>
      <c r="V41" s="50">
        <f t="shared" ref="V41:V45" si="32">ROUND(U41/0.702804,2)</f>
        <v>2151220.94</v>
      </c>
      <c r="W41" s="49">
        <v>179</v>
      </c>
      <c r="X41" s="50"/>
      <c r="Y41" s="50"/>
      <c r="Z41" s="49"/>
      <c r="AA41" s="50">
        <v>3735542.05</v>
      </c>
      <c r="AB41" s="50">
        <f t="shared" ref="AB41:AB45" si="33">ROUND(AA41/0.702804,2)</f>
        <v>5315197.4800000004</v>
      </c>
      <c r="AC41" s="49">
        <v>20</v>
      </c>
      <c r="AD41" s="50"/>
      <c r="AE41" s="130"/>
      <c r="AF41" s="51"/>
      <c r="AG41" s="94">
        <v>2750008.66</v>
      </c>
      <c r="AH41" s="48">
        <f t="shared" si="25"/>
        <v>3912909.8</v>
      </c>
      <c r="AI41" s="49">
        <v>54</v>
      </c>
      <c r="AJ41" s="50"/>
      <c r="AK41" s="130"/>
      <c r="AL41" s="95"/>
      <c r="AM41" s="176"/>
      <c r="AN41" s="135"/>
      <c r="AO41" s="95"/>
      <c r="AP41" s="94">
        <v>93194</v>
      </c>
      <c r="AQ41" s="48">
        <v>132603.12</v>
      </c>
      <c r="AR41" s="177">
        <v>183</v>
      </c>
      <c r="AS41" s="50">
        <v>901104</v>
      </c>
      <c r="AT41" s="50">
        <v>1282155.48</v>
      </c>
      <c r="AU41" s="177">
        <v>286</v>
      </c>
      <c r="AV41" s="50">
        <v>230170</v>
      </c>
      <c r="AW41" s="50">
        <v>327502.40000000002</v>
      </c>
      <c r="AX41" s="178">
        <v>5</v>
      </c>
      <c r="AY41" s="49"/>
      <c r="AZ41" s="95"/>
      <c r="BA41" s="128"/>
      <c r="BB41" s="49"/>
      <c r="BC41" s="49"/>
      <c r="BD41" s="49"/>
      <c r="BE41" s="49"/>
      <c r="BF41" s="95"/>
      <c r="BG41" s="94">
        <v>2.8955524800000001</v>
      </c>
      <c r="BH41" s="48">
        <v>4.12</v>
      </c>
      <c r="BI41" s="49">
        <v>1</v>
      </c>
      <c r="BJ41" s="49"/>
      <c r="BK41" s="49"/>
      <c r="BL41" s="49"/>
      <c r="BM41" s="95"/>
      <c r="BN41" s="172">
        <f t="shared" si="26"/>
        <v>27221102.975552477</v>
      </c>
      <c r="BO41" s="172">
        <f t="shared" si="27"/>
        <v>38732140.079999991</v>
      </c>
      <c r="BP41" s="179">
        <f t="shared" si="28"/>
        <v>907</v>
      </c>
      <c r="BQ41" s="180">
        <f t="shared" si="30"/>
        <v>0.76955303362235061</v>
      </c>
      <c r="BR41" s="65">
        <f>3487988+(68.54+137.81)+36021230.24+2.9</f>
        <v>39509427.490000002</v>
      </c>
      <c r="BS41" s="133">
        <f>4962959.8+ROUND((68.54+137.81)/0.702804,2)+ROUND(36021230.24/0.702804,2)+4.12</f>
        <v>56216850.619999997</v>
      </c>
      <c r="BT41" s="67">
        <f>3126+(3+1)+1248+1</f>
        <v>4379</v>
      </c>
      <c r="BU41" s="181">
        <f t="shared" si="29"/>
        <v>0.60061342451526989</v>
      </c>
    </row>
    <row r="42" spans="1:73" x14ac:dyDescent="0.25">
      <c r="A42" s="47" t="s">
        <v>78</v>
      </c>
      <c r="B42" s="48"/>
      <c r="C42" s="48"/>
      <c r="D42" s="49"/>
      <c r="E42" s="50"/>
      <c r="F42" s="50"/>
      <c r="G42" s="49"/>
      <c r="H42" s="50"/>
      <c r="I42" s="50"/>
      <c r="J42" s="49"/>
      <c r="K42" s="49"/>
      <c r="L42" s="49"/>
      <c r="M42" s="49"/>
      <c r="N42" s="51"/>
      <c r="O42" s="128"/>
      <c r="P42" s="129"/>
      <c r="Q42" s="95"/>
      <c r="R42" s="48"/>
      <c r="S42" s="48"/>
      <c r="T42" s="49"/>
      <c r="U42" s="50"/>
      <c r="V42" s="50"/>
      <c r="W42" s="49"/>
      <c r="X42" s="50"/>
      <c r="Y42" s="50"/>
      <c r="Z42" s="49"/>
      <c r="AA42" s="50"/>
      <c r="AB42" s="50">
        <f t="shared" si="33"/>
        <v>0</v>
      </c>
      <c r="AC42" s="49"/>
      <c r="AD42" s="50"/>
      <c r="AE42" s="130"/>
      <c r="AF42" s="51"/>
      <c r="AG42" s="94"/>
      <c r="AH42" s="48"/>
      <c r="AI42" s="49"/>
      <c r="AJ42" s="50"/>
      <c r="AK42" s="130"/>
      <c r="AL42" s="95"/>
      <c r="AM42" s="176"/>
      <c r="AN42" s="135"/>
      <c r="AO42" s="95"/>
      <c r="AP42" s="94">
        <v>172969</v>
      </c>
      <c r="AQ42" s="48">
        <v>246112.71</v>
      </c>
      <c r="AR42" s="177">
        <v>1012</v>
      </c>
      <c r="AS42" s="50">
        <v>249032</v>
      </c>
      <c r="AT42" s="50">
        <v>354340.61</v>
      </c>
      <c r="AU42" s="177">
        <v>697</v>
      </c>
      <c r="AV42" s="50"/>
      <c r="AW42" s="50"/>
      <c r="AX42" s="178"/>
      <c r="AY42" s="49"/>
      <c r="AZ42" s="95"/>
      <c r="BA42" s="128"/>
      <c r="BB42" s="49"/>
      <c r="BC42" s="49"/>
      <c r="BD42" s="49"/>
      <c r="BE42" s="49"/>
      <c r="BF42" s="95"/>
      <c r="BG42" s="94"/>
      <c r="BH42" s="48"/>
      <c r="BI42" s="49"/>
      <c r="BJ42" s="49"/>
      <c r="BK42" s="49"/>
      <c r="BL42" s="49"/>
      <c r="BM42" s="95"/>
      <c r="BN42" s="172">
        <f t="shared" si="26"/>
        <v>422001</v>
      </c>
      <c r="BO42" s="172">
        <f t="shared" si="27"/>
        <v>600453.31999999995</v>
      </c>
      <c r="BP42" s="179">
        <f t="shared" si="28"/>
        <v>1709</v>
      </c>
      <c r="BQ42" s="180">
        <f t="shared" si="30"/>
        <v>1.1930161317611872E-2</v>
      </c>
      <c r="BR42" s="65">
        <v>1913361</v>
      </c>
      <c r="BS42" s="133">
        <v>2722467.43</v>
      </c>
      <c r="BT42" s="67">
        <v>7750</v>
      </c>
      <c r="BU42" s="181">
        <f t="shared" si="29"/>
        <v>2.9086483291483431E-2</v>
      </c>
    </row>
    <row r="43" spans="1:73" x14ac:dyDescent="0.25">
      <c r="A43" s="47" t="s">
        <v>79</v>
      </c>
      <c r="B43" s="48"/>
      <c r="C43" s="48"/>
      <c r="D43" s="49"/>
      <c r="E43" s="50"/>
      <c r="F43" s="50"/>
      <c r="G43" s="49"/>
      <c r="H43" s="50"/>
      <c r="I43" s="50"/>
      <c r="J43" s="49"/>
      <c r="K43" s="49"/>
      <c r="L43" s="49"/>
      <c r="M43" s="49"/>
      <c r="N43" s="51"/>
      <c r="O43" s="128"/>
      <c r="P43" s="129"/>
      <c r="Q43" s="95"/>
      <c r="R43" s="48">
        <v>10089.77</v>
      </c>
      <c r="S43" s="48">
        <f t="shared" si="31"/>
        <v>14356.45</v>
      </c>
      <c r="T43" s="49">
        <v>23</v>
      </c>
      <c r="U43" s="50">
        <v>73809.220000000016</v>
      </c>
      <c r="V43" s="50">
        <f t="shared" si="32"/>
        <v>105021.06</v>
      </c>
      <c r="W43" s="49">
        <v>55</v>
      </c>
      <c r="X43" s="50"/>
      <c r="Y43" s="50"/>
      <c r="Z43" s="49"/>
      <c r="AA43" s="50">
        <v>124134.98000000007</v>
      </c>
      <c r="AB43" s="50">
        <f t="shared" si="33"/>
        <v>176628.16</v>
      </c>
      <c r="AC43" s="49">
        <v>130</v>
      </c>
      <c r="AD43" s="50"/>
      <c r="AE43" s="130"/>
      <c r="AF43" s="51"/>
      <c r="AG43" s="94"/>
      <c r="AH43" s="48"/>
      <c r="AI43" s="49"/>
      <c r="AJ43" s="50"/>
      <c r="AK43" s="130"/>
      <c r="AL43" s="95"/>
      <c r="AM43" s="176">
        <f>702.82+3583.2</f>
        <v>4286.0199999999995</v>
      </c>
      <c r="AN43" s="135">
        <f>1000.02+5098.44</f>
        <v>6098.4599999999991</v>
      </c>
      <c r="AO43" s="95">
        <f>3+18</f>
        <v>21</v>
      </c>
      <c r="AP43" s="94">
        <v>5253</v>
      </c>
      <c r="AQ43" s="48">
        <v>7474.35</v>
      </c>
      <c r="AR43" s="177">
        <v>5</v>
      </c>
      <c r="AS43" s="50">
        <v>394</v>
      </c>
      <c r="AT43" s="50">
        <v>560.61</v>
      </c>
      <c r="AU43" s="177">
        <v>5</v>
      </c>
      <c r="AV43" s="50">
        <v>13</v>
      </c>
      <c r="AW43" s="50">
        <v>18.5</v>
      </c>
      <c r="AX43" s="178">
        <v>1</v>
      </c>
      <c r="AY43" s="49"/>
      <c r="AZ43" s="95"/>
      <c r="BA43" s="128"/>
      <c r="BB43" s="49"/>
      <c r="BC43" s="49"/>
      <c r="BD43" s="49"/>
      <c r="BE43" s="49"/>
      <c r="BF43" s="95"/>
      <c r="BG43" s="94"/>
      <c r="BH43" s="48"/>
      <c r="BI43" s="49"/>
      <c r="BJ43" s="49"/>
      <c r="BK43" s="49"/>
      <c r="BL43" s="49"/>
      <c r="BM43" s="95"/>
      <c r="BN43" s="172">
        <f t="shared" si="26"/>
        <v>217979.99000000008</v>
      </c>
      <c r="BO43" s="172">
        <f t="shared" si="27"/>
        <v>310157.58999999997</v>
      </c>
      <c r="BP43" s="179">
        <f t="shared" si="28"/>
        <v>240</v>
      </c>
      <c r="BQ43" s="180">
        <f t="shared" si="30"/>
        <v>6.162394033927464E-3</v>
      </c>
      <c r="BR43" s="65">
        <f>51175+(1134.62+1255.17+702.82)+330075.91+29501.14</f>
        <v>413844.66</v>
      </c>
      <c r="BS43" s="133">
        <f>72815.46+ROUND((1134.62+1255.17+702.82)/0.702804,2)+ROUND((330075.91+29501.14)/0.702804,2)</f>
        <v>588847.9</v>
      </c>
      <c r="BT43" s="67">
        <f>31+(5+1+3)+374+86</f>
        <v>500</v>
      </c>
      <c r="BU43" s="181">
        <f t="shared" si="29"/>
        <v>6.2911733793882289E-3</v>
      </c>
    </row>
    <row r="44" spans="1:73" x14ac:dyDescent="0.25">
      <c r="A44" s="72" t="s">
        <v>80</v>
      </c>
      <c r="B44" s="73"/>
      <c r="C44" s="73"/>
      <c r="D44" s="74"/>
      <c r="E44" s="75"/>
      <c r="F44" s="75"/>
      <c r="G44" s="74"/>
      <c r="H44" s="75"/>
      <c r="I44" s="75"/>
      <c r="J44" s="74"/>
      <c r="K44" s="74"/>
      <c r="L44" s="74"/>
      <c r="M44" s="74"/>
      <c r="N44" s="76"/>
      <c r="O44" s="136"/>
      <c r="P44" s="137"/>
      <c r="Q44" s="138"/>
      <c r="R44" s="73"/>
      <c r="S44" s="48"/>
      <c r="T44" s="74"/>
      <c r="U44" s="75"/>
      <c r="V44" s="50"/>
      <c r="W44" s="74"/>
      <c r="X44" s="75"/>
      <c r="Y44" s="75"/>
      <c r="Z44" s="74"/>
      <c r="AA44" s="75"/>
      <c r="AB44" s="50">
        <f t="shared" si="33"/>
        <v>0</v>
      </c>
      <c r="AC44" s="74"/>
      <c r="AD44" s="75"/>
      <c r="AE44" s="140"/>
      <c r="AF44" s="76"/>
      <c r="AG44" s="139"/>
      <c r="AH44" s="73"/>
      <c r="AI44" s="74"/>
      <c r="AJ44" s="75"/>
      <c r="AK44" s="140"/>
      <c r="AL44" s="138"/>
      <c r="AM44" s="182">
        <v>1716.11</v>
      </c>
      <c r="AN44" s="183">
        <v>2441.8000000000002</v>
      </c>
      <c r="AO44" s="138">
        <v>3</v>
      </c>
      <c r="AP44" s="139"/>
      <c r="AQ44" s="73"/>
      <c r="AR44" s="184"/>
      <c r="AS44" s="75"/>
      <c r="AT44" s="75">
        <v>0</v>
      </c>
      <c r="AU44" s="184"/>
      <c r="AV44" s="75"/>
      <c r="AW44" s="75"/>
      <c r="AX44" s="185"/>
      <c r="AY44" s="74"/>
      <c r="AZ44" s="138"/>
      <c r="BA44" s="136"/>
      <c r="BB44" s="74"/>
      <c r="BC44" s="74"/>
      <c r="BD44" s="74"/>
      <c r="BE44" s="74"/>
      <c r="BF44" s="138"/>
      <c r="BG44" s="139"/>
      <c r="BH44" s="73"/>
      <c r="BI44" s="74"/>
      <c r="BJ44" s="74"/>
      <c r="BK44" s="74"/>
      <c r="BL44" s="74"/>
      <c r="BM44" s="138"/>
      <c r="BN44" s="172">
        <f t="shared" si="26"/>
        <v>1716.11</v>
      </c>
      <c r="BO44" s="172">
        <f t="shared" si="27"/>
        <v>2441.8000000000002</v>
      </c>
      <c r="BP44" s="186">
        <f t="shared" si="28"/>
        <v>3</v>
      </c>
      <c r="BQ44" s="187">
        <f t="shared" si="30"/>
        <v>4.8515214747753934E-5</v>
      </c>
      <c r="BR44" s="65">
        <f>(9173.16+1921.78+1716.11)+591.84</f>
        <v>13402.890000000001</v>
      </c>
      <c r="BS44" s="133">
        <f>ROUND((9173.16+1921.78+1716.11)/0.702804,2)+ROUND(591.84/0.702804,2)</f>
        <v>19070.59</v>
      </c>
      <c r="BT44" s="67">
        <f>(8+1+3)+8</f>
        <v>20</v>
      </c>
      <c r="BU44" s="181">
        <f t="shared" si="29"/>
        <v>2.0374771725910083E-4</v>
      </c>
    </row>
    <row r="45" spans="1:73" ht="16.5" thickBot="1" x14ac:dyDescent="0.3">
      <c r="A45" s="72" t="s">
        <v>81</v>
      </c>
      <c r="B45" s="73"/>
      <c r="C45" s="73"/>
      <c r="D45" s="74"/>
      <c r="E45" s="75"/>
      <c r="F45" s="75"/>
      <c r="G45" s="74"/>
      <c r="H45" s="75"/>
      <c r="I45" s="75"/>
      <c r="J45" s="74"/>
      <c r="K45" s="74"/>
      <c r="L45" s="74"/>
      <c r="M45" s="74"/>
      <c r="N45" s="76"/>
      <c r="O45" s="136"/>
      <c r="P45" s="137"/>
      <c r="Q45" s="138"/>
      <c r="R45" s="73">
        <v>325400.69</v>
      </c>
      <c r="S45" s="48">
        <f t="shared" si="31"/>
        <v>463003.47</v>
      </c>
      <c r="T45" s="74">
        <v>222</v>
      </c>
      <c r="U45" s="75">
        <v>394919.52</v>
      </c>
      <c r="V45" s="50">
        <f t="shared" si="32"/>
        <v>561919.85</v>
      </c>
      <c r="W45" s="74">
        <v>21</v>
      </c>
      <c r="X45" s="75"/>
      <c r="Y45" s="75"/>
      <c r="Z45" s="74"/>
      <c r="AA45" s="75">
        <v>204289.92999999993</v>
      </c>
      <c r="AB45" s="50">
        <f t="shared" si="33"/>
        <v>290678.38</v>
      </c>
      <c r="AC45" s="74">
        <v>111</v>
      </c>
      <c r="AD45" s="75"/>
      <c r="AE45" s="140"/>
      <c r="AF45" s="76"/>
      <c r="AG45" s="139"/>
      <c r="AH45" s="73"/>
      <c r="AI45" s="74"/>
      <c r="AJ45" s="75"/>
      <c r="AK45" s="140"/>
      <c r="AL45" s="138"/>
      <c r="AM45" s="182"/>
      <c r="AN45" s="183"/>
      <c r="AO45" s="138"/>
      <c r="AP45" s="139">
        <v>5</v>
      </c>
      <c r="AQ45" s="73">
        <v>7.11</v>
      </c>
      <c r="AR45" s="184">
        <v>1</v>
      </c>
      <c r="AS45" s="75">
        <v>546</v>
      </c>
      <c r="AT45" s="75">
        <v>776.89</v>
      </c>
      <c r="AU45" s="184">
        <v>1</v>
      </c>
      <c r="AV45" s="75"/>
      <c r="AW45" s="75"/>
      <c r="AX45" s="185"/>
      <c r="AY45" s="74"/>
      <c r="AZ45" s="138"/>
      <c r="BA45" s="136"/>
      <c r="BB45" s="74"/>
      <c r="BC45" s="74"/>
      <c r="BD45" s="74"/>
      <c r="BE45" s="74"/>
      <c r="BF45" s="138"/>
      <c r="BG45" s="139">
        <v>121.99974636</v>
      </c>
      <c r="BH45" s="73">
        <v>173.59</v>
      </c>
      <c r="BI45" s="74">
        <v>2</v>
      </c>
      <c r="BJ45" s="74"/>
      <c r="BK45" s="74"/>
      <c r="BL45" s="74"/>
      <c r="BM45" s="138"/>
      <c r="BN45" s="172">
        <f t="shared" si="26"/>
        <v>925283.1397463599</v>
      </c>
      <c r="BO45" s="172">
        <f t="shared" si="27"/>
        <v>1316559.29</v>
      </c>
      <c r="BP45" s="186">
        <f t="shared" si="28"/>
        <v>358</v>
      </c>
      <c r="BQ45" s="187">
        <f t="shared" si="30"/>
        <v>2.6158177638537547E-2</v>
      </c>
      <c r="BR45" s="97">
        <f>577+6453893.53+122</f>
        <v>6454592.5300000003</v>
      </c>
      <c r="BS45" s="153">
        <f>821+ROUND(6453893.53/0.702804,2)+173.59</f>
        <v>9184057.7599999998</v>
      </c>
      <c r="BT45" s="188">
        <f>4+1058+2</f>
        <v>1064</v>
      </c>
      <c r="BU45" s="189">
        <f t="shared" si="29"/>
        <v>9.812126293845165E-2</v>
      </c>
    </row>
    <row r="46" spans="1:73" ht="16.5" thickBot="1" x14ac:dyDescent="0.3">
      <c r="A46" s="190" t="s">
        <v>63</v>
      </c>
      <c r="B46" s="191">
        <f>SUM(B39:B45)</f>
        <v>0</v>
      </c>
      <c r="C46" s="192"/>
      <c r="D46" s="193">
        <f t="shared" ref="D46:BP46" si="34">SUM(D39:D45)</f>
        <v>0</v>
      </c>
      <c r="E46" s="194">
        <f t="shared" si="34"/>
        <v>939973.56</v>
      </c>
      <c r="F46" s="194">
        <f t="shared" si="34"/>
        <v>1337461.8799999999</v>
      </c>
      <c r="G46" s="193">
        <f t="shared" si="34"/>
        <v>5</v>
      </c>
      <c r="H46" s="194">
        <f t="shared" si="34"/>
        <v>0</v>
      </c>
      <c r="I46" s="194"/>
      <c r="J46" s="193">
        <f t="shared" si="34"/>
        <v>0</v>
      </c>
      <c r="K46" s="194">
        <f t="shared" si="34"/>
        <v>0</v>
      </c>
      <c r="L46" s="193">
        <f t="shared" si="34"/>
        <v>0</v>
      </c>
      <c r="M46" s="194">
        <f t="shared" si="34"/>
        <v>0</v>
      </c>
      <c r="N46" s="195">
        <f t="shared" si="34"/>
        <v>0</v>
      </c>
      <c r="O46" s="192">
        <f t="shared" si="34"/>
        <v>316191.52</v>
      </c>
      <c r="P46" s="196">
        <f t="shared" si="34"/>
        <v>449900</v>
      </c>
      <c r="Q46" s="195">
        <f t="shared" si="34"/>
        <v>1</v>
      </c>
      <c r="R46" s="192">
        <f t="shared" si="34"/>
        <v>17156415.600000001</v>
      </c>
      <c r="S46" s="192">
        <f t="shared" si="34"/>
        <v>24411380.139999997</v>
      </c>
      <c r="T46" s="193">
        <f t="shared" si="34"/>
        <v>433</v>
      </c>
      <c r="U46" s="194">
        <f t="shared" si="34"/>
        <v>7549072.870000001</v>
      </c>
      <c r="V46" s="194">
        <f t="shared" si="34"/>
        <v>10741362.99</v>
      </c>
      <c r="W46" s="193">
        <f t="shared" si="34"/>
        <v>587</v>
      </c>
      <c r="X46" s="194">
        <f t="shared" si="34"/>
        <v>6820.59</v>
      </c>
      <c r="Y46" s="194">
        <f t="shared" si="34"/>
        <v>9704.83</v>
      </c>
      <c r="Z46" s="193">
        <f t="shared" si="34"/>
        <v>8</v>
      </c>
      <c r="AA46" s="194">
        <f t="shared" si="34"/>
        <v>4398555.84</v>
      </c>
      <c r="AB46" s="194">
        <f t="shared" si="34"/>
        <v>6258581.1000000006</v>
      </c>
      <c r="AC46" s="193">
        <f t="shared" si="34"/>
        <v>423</v>
      </c>
      <c r="AD46" s="194">
        <f t="shared" si="34"/>
        <v>269.48</v>
      </c>
      <c r="AE46" s="197">
        <f t="shared" si="34"/>
        <v>383.44</v>
      </c>
      <c r="AF46" s="198">
        <f t="shared" si="34"/>
        <v>6</v>
      </c>
      <c r="AG46" s="191">
        <f t="shared" si="34"/>
        <v>3114124.3400000003</v>
      </c>
      <c r="AH46" s="192">
        <f t="shared" si="34"/>
        <v>4430999.74</v>
      </c>
      <c r="AI46" s="193">
        <f t="shared" si="34"/>
        <v>63</v>
      </c>
      <c r="AJ46" s="194">
        <f t="shared" si="34"/>
        <v>182.3</v>
      </c>
      <c r="AK46" s="197">
        <f t="shared" si="34"/>
        <v>259.39</v>
      </c>
      <c r="AL46" s="195">
        <f t="shared" si="34"/>
        <v>4</v>
      </c>
      <c r="AM46" s="191">
        <f t="shared" si="34"/>
        <v>8948.93</v>
      </c>
      <c r="AN46" s="196">
        <f t="shared" si="34"/>
        <v>12733.18</v>
      </c>
      <c r="AO46" s="195">
        <f t="shared" si="34"/>
        <v>55</v>
      </c>
      <c r="AP46" s="191">
        <f>SUM(AP39:AP45)</f>
        <v>271563</v>
      </c>
      <c r="AQ46" s="192">
        <f>SUM(AQ39:AQ45)</f>
        <v>386399.33999999997</v>
      </c>
      <c r="AR46" s="193">
        <f t="shared" si="34"/>
        <v>1202</v>
      </c>
      <c r="AS46" s="194">
        <f t="shared" si="34"/>
        <v>1274549</v>
      </c>
      <c r="AT46" s="194">
        <f>SUM(AT39:AT45)</f>
        <v>1813519.8399999999</v>
      </c>
      <c r="AU46" s="193">
        <f>SUM(AU39:AU45)</f>
        <v>992</v>
      </c>
      <c r="AV46" s="194">
        <f t="shared" si="34"/>
        <v>308968</v>
      </c>
      <c r="AW46" s="194">
        <f>SUM(AW39:AW45)</f>
        <v>439621.86000000004</v>
      </c>
      <c r="AX46" s="193">
        <f t="shared" si="34"/>
        <v>7</v>
      </c>
      <c r="AY46" s="194">
        <f t="shared" si="34"/>
        <v>0</v>
      </c>
      <c r="AZ46" s="195">
        <f t="shared" si="34"/>
        <v>0</v>
      </c>
      <c r="BA46" s="191">
        <f t="shared" si="34"/>
        <v>0</v>
      </c>
      <c r="BB46" s="193">
        <f t="shared" si="34"/>
        <v>0</v>
      </c>
      <c r="BC46" s="194">
        <f t="shared" si="34"/>
        <v>0</v>
      </c>
      <c r="BD46" s="193">
        <f t="shared" si="34"/>
        <v>0</v>
      </c>
      <c r="BE46" s="194">
        <f t="shared" si="34"/>
        <v>0</v>
      </c>
      <c r="BF46" s="195">
        <f t="shared" si="34"/>
        <v>0</v>
      </c>
      <c r="BG46" s="192">
        <f t="shared" si="34"/>
        <v>26979.703802640001</v>
      </c>
      <c r="BH46" s="192">
        <f t="shared" si="34"/>
        <v>38388.659999999996</v>
      </c>
      <c r="BI46" s="193">
        <f t="shared" si="34"/>
        <v>8</v>
      </c>
      <c r="BJ46" s="194">
        <f t="shared" si="34"/>
        <v>0</v>
      </c>
      <c r="BK46" s="193">
        <f t="shared" si="34"/>
        <v>0</v>
      </c>
      <c r="BL46" s="194">
        <f t="shared" si="34"/>
        <v>0</v>
      </c>
      <c r="BM46" s="193">
        <f t="shared" si="34"/>
        <v>0</v>
      </c>
      <c r="BN46" s="222">
        <f>SUM(BN39:BN45)</f>
        <v>35372614.733802639</v>
      </c>
      <c r="BO46" s="222">
        <f>SUM(BO39:BO45)</f>
        <v>50330696.389999986</v>
      </c>
      <c r="BP46" s="223">
        <f t="shared" si="34"/>
        <v>3794</v>
      </c>
      <c r="BQ46" s="199" t="s">
        <v>64</v>
      </c>
      <c r="BR46" s="200">
        <f>SUM(BR39:BR45)</f>
        <v>65781792.210000001</v>
      </c>
      <c r="BS46" s="201">
        <f>SUM(BS39:BS45)</f>
        <v>93599057.770000026</v>
      </c>
      <c r="BT46" s="202">
        <f>SUM(BT39:BT45)</f>
        <v>16043</v>
      </c>
      <c r="BU46" s="203" t="s">
        <v>64</v>
      </c>
    </row>
    <row r="47" spans="1:73" x14ac:dyDescent="0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R47" s="205"/>
      <c r="BS47" s="205"/>
    </row>
    <row r="48" spans="1:73" ht="15.6" customHeight="1" x14ac:dyDescent="0.25">
      <c r="A48" s="332" t="s">
        <v>82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206"/>
      <c r="BT48" s="207"/>
      <c r="BU48" s="207"/>
    </row>
    <row r="49" spans="1:73" ht="30.75" customHeight="1" x14ac:dyDescent="0.25">
      <c r="A49" s="332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206"/>
      <c r="BT49" s="207"/>
      <c r="BU49" s="207"/>
    </row>
    <row r="51" spans="1:73" x14ac:dyDescent="0.25">
      <c r="BN51" s="205"/>
      <c r="BO51" s="205"/>
    </row>
    <row r="54" spans="1:73" ht="23.25" x14ac:dyDescent="0.35">
      <c r="A54" s="340" t="s">
        <v>83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 t="s">
        <v>84</v>
      </c>
    </row>
    <row r="55" spans="1:73" ht="23.25" x14ac:dyDescent="0.35">
      <c r="A55" s="340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</row>
    <row r="56" spans="1:73" ht="23.25" x14ac:dyDescent="0.35">
      <c r="A56" s="340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</row>
    <row r="57" spans="1:73" ht="23.25" x14ac:dyDescent="0.35">
      <c r="A57" s="340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</row>
    <row r="58" spans="1:73" ht="23.25" x14ac:dyDescent="0.35">
      <c r="A58" s="340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</row>
    <row r="59" spans="1:73" ht="23.25" x14ac:dyDescent="0.35">
      <c r="A59" s="340" t="s">
        <v>87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</row>
    <row r="60" spans="1:73" ht="23.25" x14ac:dyDescent="0.35">
      <c r="A60" s="340" t="s">
        <v>85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</row>
    <row r="61" spans="1:73" ht="23.25" x14ac:dyDescent="0.35">
      <c r="A61" s="340" t="s">
        <v>86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</row>
  </sheetData>
  <mergeCells count="85">
    <mergeCell ref="A48:BR49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Q6:AQ7"/>
    <mergeCell ref="AR6:AR7"/>
    <mergeCell ref="A9:BU9"/>
    <mergeCell ref="A28:BU28"/>
    <mergeCell ref="A38:BU38"/>
    <mergeCell ref="AS6:AS7"/>
    <mergeCell ref="AM6:AM7"/>
    <mergeCell ref="N6:N7"/>
    <mergeCell ref="O6:O7"/>
    <mergeCell ref="P6:P7"/>
    <mergeCell ref="Q6:Q7"/>
    <mergeCell ref="R6:T6"/>
    <mergeCell ref="U6:W6"/>
    <mergeCell ref="X6:Z6"/>
    <mergeCell ref="AA6:AC6"/>
    <mergeCell ref="AD6:AF6"/>
    <mergeCell ref="AG6:AI6"/>
    <mergeCell ref="AJ6:AL6"/>
    <mergeCell ref="AN6:AN7"/>
    <mergeCell ref="AO6:AO7"/>
    <mergeCell ref="AP6:AP7"/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A5:BB5"/>
    <mergeCell ref="B5:D5"/>
    <mergeCell ref="E5:G5"/>
    <mergeCell ref="H5:J5"/>
    <mergeCell ref="K5:L5"/>
    <mergeCell ref="M5:N5"/>
    <mergeCell ref="R5:Z5"/>
    <mergeCell ref="AA5:AF5"/>
    <mergeCell ref="AP5:AR5"/>
    <mergeCell ref="AS5:AU5"/>
    <mergeCell ref="AV5:AX5"/>
    <mergeCell ref="AY5:AZ5"/>
    <mergeCell ref="BN4:BO6"/>
    <mergeCell ref="BP4:BP7"/>
    <mergeCell ref="BQ4:BQ7"/>
    <mergeCell ref="BR4:BS6"/>
    <mergeCell ref="BT4:BT7"/>
    <mergeCell ref="BJ4:BM4"/>
    <mergeCell ref="BC5:BD5"/>
    <mergeCell ref="BE5:BF5"/>
    <mergeCell ref="BJ5:BK6"/>
    <mergeCell ref="BL5:BM6"/>
    <mergeCell ref="BF6:BF7"/>
    <mergeCell ref="A1:BR1"/>
    <mergeCell ref="A2:A7"/>
    <mergeCell ref="B2:BI2"/>
    <mergeCell ref="BN2:BQ3"/>
    <mergeCell ref="BR2:BU3"/>
    <mergeCell ref="B3:BL3"/>
    <mergeCell ref="B4:N4"/>
    <mergeCell ref="O4:Q5"/>
    <mergeCell ref="R4:AF4"/>
    <mergeCell ref="AG4:AL5"/>
    <mergeCell ref="BU4:BU7"/>
    <mergeCell ref="AM4:AO5"/>
    <mergeCell ref="AP4:AX4"/>
    <mergeCell ref="AY4:AZ4"/>
    <mergeCell ref="BA4:BF4"/>
    <mergeCell ref="BG4:BI6"/>
  </mergeCells>
  <pageMargins left="0.7" right="0.7" top="0.75" bottom="0.75" header="0.3" footer="0.3"/>
  <pageSetup paperSize="8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 informatīvo ziņojumu par konstatētajiem neatbilstoši veiktajiem izdevumiem Eiropas Savienības politikas instrumentu, Eiropas Savienības iniciatīvu, Pirmsiestāšanās fondu un Pārejas perioda palīdzības ietvaros līdz 2013.gada 31.decembrim</dc:subject>
  <dc:creator>Aiva Avota</dc:creator>
  <cp:keywords>4.pielikums</cp:keywords>
  <cp:lastModifiedBy>Aiva Avota</cp:lastModifiedBy>
  <cp:lastPrinted>2014-08-29T07:54:25Z</cp:lastPrinted>
  <dcterms:created xsi:type="dcterms:W3CDTF">2014-04-24T12:01:16Z</dcterms:created>
  <dcterms:modified xsi:type="dcterms:W3CDTF">2014-08-29T07:54:46Z</dcterms:modified>
</cp:coreProperties>
</file>