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20" windowWidth="15135" windowHeight="9300"/>
  </bookViews>
  <sheets>
    <sheet name="Tāme piedāvājums" sheetId="1" r:id="rId1"/>
  </sheets>
  <calcPr calcId="125725"/>
</workbook>
</file>

<file path=xl/calcChain.xml><?xml version="1.0" encoding="utf-8"?>
<calcChain xmlns="http://schemas.openxmlformats.org/spreadsheetml/2006/main">
  <c r="O95" i="1"/>
  <c r="L95"/>
  <c r="H95"/>
  <c r="M95"/>
  <c r="P95" s="1"/>
  <c r="O91"/>
  <c r="N91"/>
  <c r="L91"/>
  <c r="H91"/>
  <c r="M91" s="1"/>
  <c r="P91" s="1"/>
  <c r="E43"/>
  <c r="K43" s="1"/>
  <c r="E40"/>
  <c r="N40" s="1"/>
  <c r="P40" s="1"/>
  <c r="N67"/>
  <c r="P67" s="1"/>
  <c r="K67"/>
  <c r="N66"/>
  <c r="P66" s="1"/>
  <c r="K66"/>
  <c r="E65"/>
  <c r="K65" s="1"/>
  <c r="E64"/>
  <c r="K64" s="1"/>
  <c r="O63"/>
  <c r="L63"/>
  <c r="H63"/>
  <c r="M63"/>
  <c r="O96"/>
  <c r="P96"/>
  <c r="L96"/>
  <c r="K96"/>
  <c r="N94"/>
  <c r="P94"/>
  <c r="K94"/>
  <c r="O93"/>
  <c r="L93"/>
  <c r="H93"/>
  <c r="M93" s="1"/>
  <c r="N89"/>
  <c r="P89"/>
  <c r="K89"/>
  <c r="N88"/>
  <c r="P88" s="1"/>
  <c r="K88"/>
  <c r="N87"/>
  <c r="P87" s="1"/>
  <c r="K87"/>
  <c r="O86"/>
  <c r="L86"/>
  <c r="H86"/>
  <c r="M86" s="1"/>
  <c r="P86" s="1"/>
  <c r="O85"/>
  <c r="N85"/>
  <c r="L85"/>
  <c r="H85"/>
  <c r="M85" s="1"/>
  <c r="N45"/>
  <c r="P45" s="1"/>
  <c r="K45"/>
  <c r="N44"/>
  <c r="P44" s="1"/>
  <c r="E42"/>
  <c r="N42" s="1"/>
  <c r="P42" s="1"/>
  <c r="O41"/>
  <c r="L41"/>
  <c r="H41"/>
  <c r="K41" s="1"/>
  <c r="E58"/>
  <c r="K58" s="1"/>
  <c r="O57"/>
  <c r="L57"/>
  <c r="H57"/>
  <c r="M57" s="1"/>
  <c r="P57" s="1"/>
  <c r="E56"/>
  <c r="K56" s="1"/>
  <c r="E55"/>
  <c r="N55" s="1"/>
  <c r="P55" s="1"/>
  <c r="O54"/>
  <c r="L54"/>
  <c r="H54"/>
  <c r="M54" s="1"/>
  <c r="N83"/>
  <c r="P83" s="1"/>
  <c r="K83"/>
  <c r="E52"/>
  <c r="N52" s="1"/>
  <c r="P52" s="1"/>
  <c r="E51"/>
  <c r="N51" s="1"/>
  <c r="P51" s="1"/>
  <c r="E50"/>
  <c r="K50" s="1"/>
  <c r="E49"/>
  <c r="K49" s="1"/>
  <c r="E48"/>
  <c r="N48" s="1"/>
  <c r="P48" s="1"/>
  <c r="E47"/>
  <c r="K47" s="1"/>
  <c r="O46"/>
  <c r="L46"/>
  <c r="H46"/>
  <c r="K46" s="1"/>
  <c r="E31"/>
  <c r="K31" s="1"/>
  <c r="H21"/>
  <c r="M21" s="1"/>
  <c r="L21"/>
  <c r="O21"/>
  <c r="O17"/>
  <c r="L17"/>
  <c r="H17"/>
  <c r="M17" s="1"/>
  <c r="O23"/>
  <c r="L23"/>
  <c r="H23"/>
  <c r="M23" s="1"/>
  <c r="P23" s="1"/>
  <c r="O22"/>
  <c r="L22"/>
  <c r="H22"/>
  <c r="K22" s="1"/>
  <c r="O20"/>
  <c r="L20"/>
  <c r="H20"/>
  <c r="K20" s="1"/>
  <c r="O19"/>
  <c r="L19"/>
  <c r="H19"/>
  <c r="M19" s="1"/>
  <c r="O18"/>
  <c r="L18"/>
  <c r="H18"/>
  <c r="M18" s="1"/>
  <c r="P18" s="1"/>
  <c r="O16"/>
  <c r="L16"/>
  <c r="H16"/>
  <c r="M16" s="1"/>
  <c r="P16" s="1"/>
  <c r="O15"/>
  <c r="L15"/>
  <c r="H15"/>
  <c r="K15" s="1"/>
  <c r="M15"/>
  <c r="P15" s="1"/>
  <c r="O25"/>
  <c r="N25"/>
  <c r="L25"/>
  <c r="H25"/>
  <c r="M25" s="1"/>
  <c r="N28"/>
  <c r="P28"/>
  <c r="K28"/>
  <c r="N27"/>
  <c r="P27" s="1"/>
  <c r="K27"/>
  <c r="O26"/>
  <c r="L26"/>
  <c r="H26"/>
  <c r="M26" s="1"/>
  <c r="N82"/>
  <c r="P82" s="1"/>
  <c r="K82"/>
  <c r="O81"/>
  <c r="L81"/>
  <c r="H81"/>
  <c r="M81" s="1"/>
  <c r="N80"/>
  <c r="P80" s="1"/>
  <c r="K80"/>
  <c r="N79"/>
  <c r="P79" s="1"/>
  <c r="K79"/>
  <c r="N78"/>
  <c r="P78" s="1"/>
  <c r="K78"/>
  <c r="N77"/>
  <c r="P77"/>
  <c r="K77"/>
  <c r="N76"/>
  <c r="P76" s="1"/>
  <c r="K76"/>
  <c r="N75"/>
  <c r="P75" s="1"/>
  <c r="K75"/>
  <c r="O74"/>
  <c r="L74"/>
  <c r="H74"/>
  <c r="M74" s="1"/>
  <c r="P74" s="1"/>
  <c r="N73"/>
  <c r="P73" s="1"/>
  <c r="K73"/>
  <c r="O72"/>
  <c r="L72"/>
  <c r="H72"/>
  <c r="M72" s="1"/>
  <c r="P72" s="1"/>
  <c r="N70"/>
  <c r="P70" s="1"/>
  <c r="K70"/>
  <c r="E69"/>
  <c r="N69" s="1"/>
  <c r="P69" s="1"/>
  <c r="O68"/>
  <c r="L68"/>
  <c r="H68"/>
  <c r="K68" s="1"/>
  <c r="E62"/>
  <c r="N62" s="1"/>
  <c r="P62" s="1"/>
  <c r="E61"/>
  <c r="K61" s="1"/>
  <c r="O60"/>
  <c r="L60"/>
  <c r="H60"/>
  <c r="M60" s="1"/>
  <c r="H39"/>
  <c r="M39" s="1"/>
  <c r="H36"/>
  <c r="K36" s="1"/>
  <c r="H34"/>
  <c r="M34" s="1"/>
  <c r="H32"/>
  <c r="M32" s="1"/>
  <c r="H30"/>
  <c r="M30" s="1"/>
  <c r="O39"/>
  <c r="L39"/>
  <c r="L34"/>
  <c r="E35"/>
  <c r="N35" s="1"/>
  <c r="P35" s="1"/>
  <c r="O34"/>
  <c r="L30"/>
  <c r="O30"/>
  <c r="E38"/>
  <c r="K38" s="1"/>
  <c r="E37"/>
  <c r="N37" s="1"/>
  <c r="P37" s="1"/>
  <c r="O36"/>
  <c r="L36"/>
  <c r="L32"/>
  <c r="O32"/>
  <c r="E33"/>
  <c r="N33" s="1"/>
  <c r="P33" s="1"/>
  <c r="K44"/>
  <c r="K95"/>
  <c r="N47"/>
  <c r="P47" s="1"/>
  <c r="K81"/>
  <c r="K63"/>
  <c r="K18"/>
  <c r="N49"/>
  <c r="P49" s="1"/>
  <c r="K72"/>
  <c r="N38"/>
  <c r="P38" s="1"/>
  <c r="K57"/>
  <c r="K26"/>
  <c r="K74"/>
  <c r="N58" l="1"/>
  <c r="P58" s="1"/>
  <c r="K85"/>
  <c r="N43"/>
  <c r="P43" s="1"/>
  <c r="M68"/>
  <c r="P68" s="1"/>
  <c r="M22"/>
  <c r="P22" s="1"/>
  <c r="K21"/>
  <c r="E59"/>
  <c r="N59" s="1"/>
  <c r="P59" s="1"/>
  <c r="K60"/>
  <c r="K62"/>
  <c r="O100"/>
  <c r="M36"/>
  <c r="N50"/>
  <c r="P50" s="1"/>
  <c r="K91"/>
  <c r="K32"/>
  <c r="N56"/>
  <c r="P56" s="1"/>
  <c r="M41"/>
  <c r="K40"/>
  <c r="P36"/>
  <c r="P34"/>
  <c r="P60"/>
  <c r="P93"/>
  <c r="N31"/>
  <c r="P31" s="1"/>
  <c r="K16"/>
  <c r="M20"/>
  <c r="P20" s="1"/>
  <c r="M46"/>
  <c r="P46" s="1"/>
  <c r="K51"/>
  <c r="P32"/>
  <c r="P39"/>
  <c r="N61"/>
  <c r="P61" s="1"/>
  <c r="P21"/>
  <c r="K48"/>
  <c r="K52"/>
  <c r="P54"/>
  <c r="N65"/>
  <c r="P65" s="1"/>
  <c r="P30"/>
  <c r="K59"/>
  <c r="K93"/>
  <c r="K23"/>
  <c r="K42"/>
  <c r="P26"/>
  <c r="P85"/>
  <c r="K25"/>
  <c r="P81"/>
  <c r="P19"/>
  <c r="P41"/>
  <c r="P63"/>
  <c r="K54"/>
  <c r="K86"/>
  <c r="K33"/>
  <c r="K30"/>
  <c r="K34"/>
  <c r="K39"/>
  <c r="P17"/>
  <c r="N64"/>
  <c r="P64" s="1"/>
  <c r="M98"/>
  <c r="K37"/>
  <c r="K69"/>
  <c r="P25"/>
  <c r="K35"/>
  <c r="K55"/>
  <c r="K17"/>
  <c r="K19"/>
  <c r="N99" l="1"/>
  <c r="P101" s="1"/>
  <c r="P107"/>
  <c r="P102"/>
  <c r="P103" l="1"/>
  <c r="P106"/>
  <c r="P105"/>
  <c r="P104"/>
  <c r="P108" s="1"/>
  <c r="P109" l="1"/>
  <c r="P110"/>
  <c r="P8" s="1"/>
  <c r="P9" s="1"/>
</calcChain>
</file>

<file path=xl/sharedStrings.xml><?xml version="1.0" encoding="utf-8"?>
<sst xmlns="http://schemas.openxmlformats.org/spreadsheetml/2006/main" count="275" uniqueCount="204">
  <si>
    <t>Nr.p.k.</t>
  </si>
  <si>
    <t>Darba nosaukums</t>
  </si>
  <si>
    <t>Mērv.</t>
  </si>
  <si>
    <t>Daudz.</t>
  </si>
  <si>
    <t>Vienības izmaksas</t>
  </si>
  <si>
    <t>Kopā uz visu apjomu</t>
  </si>
  <si>
    <t>Laika norma (c/h)</t>
  </si>
  <si>
    <t>Darbietilpība (c/h)</t>
  </si>
  <si>
    <t>Materiāli</t>
  </si>
  <si>
    <t>Mehānismi</t>
  </si>
  <si>
    <t>Tāmes izmaksas (LVL)</t>
  </si>
  <si>
    <t>Darba alga</t>
  </si>
  <si>
    <t>gab.</t>
  </si>
  <si>
    <t>Tiešās izmaksas</t>
  </si>
  <si>
    <t>Pavisam kopā ar PVN</t>
  </si>
  <si>
    <t>(darba veids vai konstruktīvā elementa nosaukums)</t>
  </si>
  <si>
    <t>Pasūtiijuma Nr.</t>
  </si>
  <si>
    <t>Pasūtītājs: Valsts  a/s ''Valsts nekustamie īpašumi''</t>
  </si>
  <si>
    <t xml:space="preserve">Sociālais nodoklis </t>
  </si>
  <si>
    <t>Materiālu, grunts apmaiņas un būvgružu transporta izdevumi</t>
  </si>
  <si>
    <t>Uzņēmēja plānotā peļņa</t>
  </si>
  <si>
    <t>2.1.</t>
  </si>
  <si>
    <t>Finanšu rezerve neparedzētiem darbiem</t>
  </si>
  <si>
    <t xml:space="preserve">Virsizdevumi </t>
  </si>
  <si>
    <t>3.1.</t>
  </si>
  <si>
    <t xml:space="preserve">PVN </t>
  </si>
  <si>
    <t>Celtniecības putas Penosil GoldGun PU-Foam Low Expansion 750ml</t>
  </si>
  <si>
    <t xml:space="preserve">ROTBAND 30 kg ģipša apmetums </t>
  </si>
  <si>
    <t>Weber LR (VETONIT) smalkais līdzinātājs 25kg</t>
  </si>
  <si>
    <t>PENOSIL Premium Sanitary Silicone. 310ml</t>
  </si>
  <si>
    <t>10-05184</t>
  </si>
  <si>
    <t>Sienu gruntēšana vienā kārtā ar dziļumgrunti augstumā līdz 3,5m.</t>
  </si>
  <si>
    <r>
      <t>m</t>
    </r>
    <r>
      <rPr>
        <vertAlign val="superscript"/>
        <sz val="10"/>
        <rFont val="Times New Roman"/>
        <family val="1"/>
        <charset val="186"/>
      </rPr>
      <t>2</t>
    </r>
  </si>
  <si>
    <t>Knauf Grunts Tiefengrund LF</t>
  </si>
  <si>
    <t>2.2.</t>
  </si>
  <si>
    <t>10-00023</t>
  </si>
  <si>
    <t>m</t>
  </si>
  <si>
    <t>10-04053</t>
  </si>
  <si>
    <t>Sienu špaktelēšana, tai skaitā virsmu slīpēšana.</t>
  </si>
  <si>
    <t>10-12001</t>
  </si>
  <si>
    <t>Sienu apstrāde ar krāsojamām tapetēm augstumā līdz 3,5m.</t>
  </si>
  <si>
    <t>Tapešu līme Metylan Vinil Premium 300g</t>
  </si>
  <si>
    <t>10-06053</t>
  </si>
  <si>
    <t>Sienu krāsošana divās kārtās augstumā līdz 3,5m.</t>
  </si>
  <si>
    <t>Sadolin Bindo 7 matēta lateksa krāsa BC 10L</t>
  </si>
  <si>
    <t>08-30034</t>
  </si>
  <si>
    <t>Piekaramo minerālšķiedras plākšņu ieklāšana un nesošā karkasa izveide.</t>
  </si>
  <si>
    <t>Perimetra līstes K-1099 L-veida perimetra līste 19x24 3,0m balta 30/p</t>
  </si>
  <si>
    <t>Donn T-15-370 Nesošā līste K-1066 balta 20/p (3.7m)</t>
  </si>
  <si>
    <t xml:space="preserve">Donn T-15-120 Šķērslīste K-1068 balta 60/p (1.2m) </t>
  </si>
  <si>
    <t>Donn T-15-60 Šķērslīste K-1069 balta 60/p (0.60m)</t>
  </si>
  <si>
    <t>Piekares komplekts AB 300mm</t>
  </si>
  <si>
    <t>10-25201</t>
  </si>
  <si>
    <t>Linoleja seguma ieklāšana.</t>
  </si>
  <si>
    <t>Komerclinolejs  klase  34</t>
  </si>
  <si>
    <t xml:space="preserve">Uzin KE 2000S linoleja līme </t>
  </si>
  <si>
    <t>kg</t>
  </si>
  <si>
    <t>08-02501</t>
  </si>
  <si>
    <t>Grīdlīstes uzstādīšana.</t>
  </si>
  <si>
    <t xml:space="preserve">Grīdlīstes  77mm x 14mm x 2790mm </t>
  </si>
  <si>
    <t>Līme PENOSIL Premium ExtraFix 310ml</t>
  </si>
  <si>
    <t>18-02000</t>
  </si>
  <si>
    <t>Kabeļu kanālu montāža.</t>
  </si>
  <si>
    <t>Kabeļu kanāls 110x70D</t>
  </si>
  <si>
    <t>18-</t>
  </si>
  <si>
    <t>Elektroinstalācijas, tai skaitā slēdžu un rozešu montāžas darbi.</t>
  </si>
  <si>
    <t>obj</t>
  </si>
  <si>
    <t>1-pola slēdzis ar gaismas diodi10A, ~250V</t>
  </si>
  <si>
    <t xml:space="preserve">
2-viet. Kontaktligzda</t>
  </si>
  <si>
    <t>Kabelis 3*1.5</t>
  </si>
  <si>
    <t>Kabelis 3*2.5</t>
  </si>
  <si>
    <t xml:space="preserve">Vadu savienotājs TORIX </t>
  </si>
  <si>
    <t>iepak.</t>
  </si>
  <si>
    <t xml:space="preserve">Izolācijas lenta </t>
  </si>
  <si>
    <t>Gaismas armatūru montāžas darbi.</t>
  </si>
  <si>
    <t>Gaismeklis z/a balts 4x18W G13 EVG IP20 RELAX PV.EC LA</t>
  </si>
  <si>
    <t>obj.</t>
  </si>
  <si>
    <t>02-10000</t>
  </si>
  <si>
    <t>Virsmu attīrīšana (sienas).</t>
  </si>
  <si>
    <t>02-10602</t>
  </si>
  <si>
    <t>02-06071</t>
  </si>
  <si>
    <t>02-20000</t>
  </si>
  <si>
    <t>Telpas attīrīšana no būvgružiem</t>
  </si>
  <si>
    <t>02-20001</t>
  </si>
  <si>
    <t>Būvgružu utilizācija atkritumu poligonā.</t>
  </si>
  <si>
    <r>
      <t>m</t>
    </r>
    <r>
      <rPr>
        <vertAlign val="superscript"/>
        <sz val="10"/>
        <rFont val="Times New Roman"/>
        <family val="1"/>
        <charset val="186"/>
      </rPr>
      <t>3</t>
    </r>
  </si>
  <si>
    <t>02-12000</t>
  </si>
  <si>
    <t>3.2.</t>
  </si>
  <si>
    <t>3.3.</t>
  </si>
  <si>
    <t>3.4.</t>
  </si>
  <si>
    <t>3.5.</t>
  </si>
  <si>
    <t>3.6.</t>
  </si>
  <si>
    <t>3.7.</t>
  </si>
  <si>
    <t>Starpsienu demontāža</t>
  </si>
  <si>
    <t>08-04704</t>
  </si>
  <si>
    <t>Durvju bloka uzstādīšana tai skaitā furnituras un aplodu uzstādīšana</t>
  </si>
  <si>
    <t>Priedes koka durvis Paula 900mm krāsotas (baltas)</t>
  </si>
  <si>
    <t>kompl.</t>
  </si>
  <si>
    <t>02-</t>
  </si>
  <si>
    <t>līgum-cena</t>
  </si>
  <si>
    <t xml:space="preserve"> Vispārējie celtniecības darbi</t>
  </si>
  <si>
    <t>1.  Demontāžas darbi</t>
  </si>
  <si>
    <t>1.1.</t>
  </si>
  <si>
    <t>1.2.</t>
  </si>
  <si>
    <t>1.3.</t>
  </si>
  <si>
    <t>1.4.</t>
  </si>
  <si>
    <t>1.5.</t>
  </si>
  <si>
    <t>1.6.</t>
  </si>
  <si>
    <t>1.7.</t>
  </si>
  <si>
    <t>1.8.</t>
  </si>
  <si>
    <t>02-10953</t>
  </si>
  <si>
    <t>1.9.</t>
  </si>
  <si>
    <t>2. Logu un durvju remonts /maiņa</t>
  </si>
  <si>
    <t>02-09001</t>
  </si>
  <si>
    <t>Grīdas  pamatnes demontāža (saplāksnis, dēļu klājs).</t>
  </si>
  <si>
    <t>3. Iekšējie apdares darbi (sienas un griesti)</t>
  </si>
  <si>
    <t xml:space="preserve">Sienu apmetuma remonts </t>
  </si>
  <si>
    <t>AMF piekaramo griestu plāksne PLANET SK 600x600mm</t>
  </si>
  <si>
    <t>4. Grīdas</t>
  </si>
  <si>
    <t>4.1.</t>
  </si>
  <si>
    <t>Tāmes izmaksas (EUR)</t>
  </si>
  <si>
    <t>Palīgmateriāli</t>
  </si>
  <si>
    <t>* Piezīme:</t>
  </si>
  <si>
    <t>Dienas gaismas spuldze 18W 4000K</t>
  </si>
  <si>
    <t>08-10201</t>
  </si>
  <si>
    <t>Retināta dēļu klāja izveide uz sijām, tai skaitā līmeņošan, OSB 3, 21mm plātņu ieklāšana</t>
  </si>
  <si>
    <t>OSB-3, 1250x2500x20mm (3.12m2)</t>
  </si>
  <si>
    <t>Impregnēts kokamteriāls 30x120mm</t>
  </si>
  <si>
    <t>4.2.</t>
  </si>
  <si>
    <t>13-</t>
  </si>
  <si>
    <t>Hidroizolācijas membrānas ieklāšana (grīdas sienas)</t>
  </si>
  <si>
    <t>ARDEX SK 100W hidroizolācijas membrāna</t>
  </si>
  <si>
    <t>ARDEX 7+8 līme</t>
  </si>
  <si>
    <t>4.3.</t>
  </si>
  <si>
    <t>4.4.</t>
  </si>
  <si>
    <t>4.5.</t>
  </si>
  <si>
    <t>5. Iekšējie elektrotehniskie darbi</t>
  </si>
  <si>
    <t>5.1.</t>
  </si>
  <si>
    <t>5.2.</t>
  </si>
  <si>
    <t>5.3.</t>
  </si>
  <si>
    <t>Kods pēc BIK 2009</t>
  </si>
  <si>
    <t>Darba samaksas likme (EUR/h)</t>
  </si>
  <si>
    <t>Darba alga (EUR)</t>
  </si>
  <si>
    <t>Materiāli (EUR) bez PVN</t>
  </si>
  <si>
    <t>Mehānismi (EUR)</t>
  </si>
  <si>
    <t>Kopā (EUR)</t>
  </si>
  <si>
    <t>Summa (EUR)</t>
  </si>
  <si>
    <t>10-10073</t>
  </si>
  <si>
    <t>Sakret FFK Superelastīgā flīžu līme, 25kg</t>
  </si>
  <si>
    <t>Keramiskās flīzes (glancētas) 200x250x7mm</t>
  </si>
  <si>
    <t xml:space="preserve">Šuvju mastika  KILLTO </t>
  </si>
  <si>
    <t>Kg</t>
  </si>
  <si>
    <t>11-04500</t>
  </si>
  <si>
    <t>16-40007</t>
  </si>
  <si>
    <t>Uzstāda klozetpodu ar skalojamo kasti "IFO" Cera un pievieno cauruļvadam</t>
  </si>
  <si>
    <t>16-50001</t>
  </si>
  <si>
    <t>Izlietnes, t.sk. skapīša un jaucējkrāna uzstādīšana</t>
  </si>
  <si>
    <t>Jaucējkr.cietais piev.kapara 10mm-50cm hr.</t>
  </si>
  <si>
    <t xml:space="preserve">  Sifons glāze 1 1/4'' x D32mm hromēts Viega</t>
  </si>
  <si>
    <t>Cersanit skapītis ar izlietni un maisītāju</t>
  </si>
  <si>
    <t>6. Iekšējie kanalizācijas vadi un aprīkojums</t>
  </si>
  <si>
    <t>6.1.</t>
  </si>
  <si>
    <t>6.2.</t>
  </si>
  <si>
    <t>Kopsumma EUR bez PVN</t>
  </si>
  <si>
    <r>
      <t>Krāsojamās tapetes (rullis 25m</t>
    </r>
    <r>
      <rPr>
        <vertAlign val="superscript"/>
        <sz val="8"/>
        <rFont val="Times New Roman"/>
        <family val="1"/>
        <charset val="186"/>
      </rPr>
      <t>2</t>
    </r>
    <r>
      <rPr>
        <sz val="8"/>
        <rFont val="Times New Roman"/>
        <family val="1"/>
        <charset val="186"/>
      </rPr>
      <t>)</t>
    </r>
  </si>
  <si>
    <t>Sienas flīzēšana ar keramiskajām flīzēm, tai skaitā šuvošana</t>
  </si>
  <si>
    <t>Apkures radiatoru un stāvvadu krāsošana, tai skaitā virsmas sagatavošana</t>
  </si>
  <si>
    <t>VIVACOLOR KRĀSA RADIATORIEM RADIATOR A 0.9L</t>
  </si>
  <si>
    <t>7.1.</t>
  </si>
  <si>
    <t>01-00400</t>
  </si>
  <si>
    <t>diena</t>
  </si>
  <si>
    <t xml:space="preserve">Alumīnija tornis, platais noma </t>
  </si>
  <si>
    <t>Esošās elektroinstalācijas demontāža. (rozetes slēdži, gaismas armatūra)</t>
  </si>
  <si>
    <t>10-10851</t>
  </si>
  <si>
    <t>Grīdas flīzēšana ar akmens masas flīzēm 330x330mm, tai skaitā šuvošana un flīžu sadurvietu hermetizācija</t>
  </si>
  <si>
    <t>Cersanit Akmens flīzes RODOS R400 7mm 330x330mm</t>
  </si>
  <si>
    <t xml:space="preserve">Grīdas seguma demontāža  </t>
  </si>
  <si>
    <t>Santehnisko ierīču demontāža</t>
  </si>
  <si>
    <t>Durvju un logu (rāmis un aplodas)  demontāža</t>
  </si>
  <si>
    <t>Tāme sastādīta 2014. gada tirgus cenās, pamatojoties uz objekta funkcionālo aprakstu projektēšanas uzdevuma izstrādei un (inventerizācijas lietu).</t>
  </si>
  <si>
    <t>Būvuzņēmējs:  Valsts  a/s ''Valsts nekustamie īpašumi'' Tehniskā servisa daļa</t>
  </si>
  <si>
    <t>Līgum-cena</t>
  </si>
  <si>
    <t>Iekšējie vājstrāvas tīkli (internets, apsardzes un ugunsdzēsības signalizācija)</t>
  </si>
  <si>
    <t>7. Iekšējie elektrotehniskie darbi</t>
  </si>
  <si>
    <t>8. Dažādi darbi</t>
  </si>
  <si>
    <t>8.1.</t>
  </si>
  <si>
    <t>Tehniskā projekta izstrāde un saskaņošana</t>
  </si>
  <si>
    <t>8.2.</t>
  </si>
  <si>
    <t>Telpu remonts un pielāgošana muzeja  vajadzībām</t>
  </si>
  <si>
    <t>Objekta nosaukum: Telpu remonts un pielāgošana muzeja  vajadzībām</t>
  </si>
  <si>
    <t>Būves nosaukums: Tautas frontes muzejs</t>
  </si>
  <si>
    <t>Objekta adrese: Vecpilsētas iela 13/15, Rīga (kadastra apzīmējums 01000030094001)</t>
  </si>
  <si>
    <t>Tāme sastādīta 2014. gada 28. aprīlī</t>
  </si>
  <si>
    <t>Informatīvā  tāme Nr. JP 37/04/2014</t>
  </si>
  <si>
    <t>(tāmei ir informatīvs saturs)</t>
  </si>
  <si>
    <t>Logu bloku montāža (8 gab.)</t>
  </si>
  <si>
    <t>1.pielikums
Informatīvajam ziņojumam
„Par Tautas frontes muzeju”</t>
  </si>
  <si>
    <t>Kultūras ministre</t>
  </si>
  <si>
    <t>D.Melbārde</t>
  </si>
  <si>
    <t>Vīza: Valsts sekretāra p.i.</t>
  </si>
  <si>
    <t xml:space="preserve">2014.05.22. 10:27
832
J.Garjāns, 67330301
Janis.Garjans@km.gov.lv </t>
  </si>
  <si>
    <t>Tāmi sastādīja: Jānis Pitkevičs (tālr. 29399198, e-pasts: janis.pitkevics@vni.lv)</t>
  </si>
  <si>
    <t>Tāmē norādītās izmaksas ir provizoriskas un ir kā uzskates materiāls. Aprēķins veikts ar  nosacījumu, ka darbus veiks Valsts  a/s ''Valsts nekustamie īpašumi'' Tehniskā servisa daļa,  ārpakalpojuma gadijumā būvizmaksas var pieaugt līdz 30%, t.i. ~ 84000,00 EUR, bez PVN</t>
  </si>
  <si>
    <t>B.Zakevica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</si>
</sst>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.0"/>
    <numFmt numFmtId="166" formatCode="0.000"/>
  </numFmts>
  <fonts count="21">
    <font>
      <sz val="10"/>
      <name val="Arial"/>
    </font>
    <font>
      <sz val="10"/>
      <name val="Arial"/>
    </font>
    <font>
      <sz val="11"/>
      <name val="Times New Roman"/>
      <family val="1"/>
      <charset val="186"/>
    </font>
    <font>
      <b/>
      <u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u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sz val="10"/>
      <name val="Times New Roman"/>
      <family val="1"/>
    </font>
    <font>
      <sz val="8"/>
      <name val="Times New Roman"/>
      <family val="1"/>
    </font>
    <font>
      <sz val="10"/>
      <name val="Helv"/>
    </font>
    <font>
      <sz val="14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7" fillId="0" borderId="0"/>
  </cellStyleXfs>
  <cellXfs count="185">
    <xf numFmtId="0" fontId="0" fillId="0" borderId="0" xfId="0"/>
    <xf numFmtId="0" fontId="4" fillId="0" borderId="0" xfId="0" applyFont="1" applyFill="1" applyBorder="1" applyAlignment="1"/>
    <xf numFmtId="0" fontId="6" fillId="0" borderId="0" xfId="0" applyFont="1" applyFill="1" applyBorder="1"/>
    <xf numFmtId="2" fontId="4" fillId="0" borderId="0" xfId="0" applyNumberFormat="1" applyFont="1" applyFill="1" applyBorder="1"/>
    <xf numFmtId="2" fontId="6" fillId="0" borderId="0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/>
    </xf>
    <xf numFmtId="4" fontId="4" fillId="0" borderId="1" xfId="0" applyNumberFormat="1" applyFont="1" applyFill="1" applyBorder="1" applyAlignment="1">
      <alignment horizontal="center" vertical="center" textRotation="90"/>
    </xf>
    <xf numFmtId="4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4" fontId="4" fillId="0" borderId="3" xfId="0" applyNumberFormat="1" applyFont="1" applyFill="1" applyBorder="1" applyAlignment="1">
      <alignment horizontal="center" vertical="center" textRotation="90" wrapText="1"/>
    </xf>
    <xf numFmtId="4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/>
    </xf>
    <xf numFmtId="2" fontId="6" fillId="0" borderId="9" xfId="0" applyNumberFormat="1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2" fontId="6" fillId="0" borderId="11" xfId="0" applyNumberFormat="1" applyFont="1" applyFill="1" applyBorder="1"/>
    <xf numFmtId="0" fontId="6" fillId="0" borderId="12" xfId="0" applyFont="1" applyFill="1" applyBorder="1"/>
    <xf numFmtId="0" fontId="6" fillId="0" borderId="13" xfId="0" applyFont="1" applyFill="1" applyBorder="1"/>
    <xf numFmtId="2" fontId="6" fillId="0" borderId="14" xfId="0" applyNumberFormat="1" applyFont="1" applyFill="1" applyBorder="1"/>
    <xf numFmtId="0" fontId="6" fillId="0" borderId="15" xfId="0" applyFont="1" applyFill="1" applyBorder="1"/>
    <xf numFmtId="2" fontId="6" fillId="0" borderId="16" xfId="0" applyNumberFormat="1" applyFont="1" applyFill="1" applyBorder="1"/>
    <xf numFmtId="0" fontId="6" fillId="0" borderId="17" xfId="0" applyFont="1" applyFill="1" applyBorder="1"/>
    <xf numFmtId="2" fontId="6" fillId="0" borderId="18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/>
    <xf numFmtId="2" fontId="6" fillId="0" borderId="12" xfId="0" applyNumberFormat="1" applyFont="1" applyFill="1" applyBorder="1"/>
    <xf numFmtId="2" fontId="4" fillId="0" borderId="16" xfId="0" applyNumberFormat="1" applyFont="1" applyFill="1" applyBorder="1"/>
    <xf numFmtId="49" fontId="4" fillId="0" borderId="0" xfId="0" applyNumberFormat="1" applyFont="1" applyFill="1" applyBorder="1" applyAlignment="1">
      <alignment horizontal="center" vertical="center"/>
    </xf>
    <xf numFmtId="0" fontId="6" fillId="0" borderId="19" xfId="0" applyFont="1" applyFill="1" applyBorder="1"/>
    <xf numFmtId="2" fontId="6" fillId="0" borderId="20" xfId="0" applyNumberFormat="1" applyFont="1" applyFill="1" applyBorder="1"/>
    <xf numFmtId="0" fontId="6" fillId="0" borderId="0" xfId="0" applyFont="1" applyFill="1"/>
    <xf numFmtId="0" fontId="6" fillId="0" borderId="0" xfId="0" applyFont="1" applyAlignment="1"/>
    <xf numFmtId="0" fontId="6" fillId="0" borderId="0" xfId="0" applyFont="1" applyFill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166" fontId="6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/>
    <xf numFmtId="0" fontId="6" fillId="0" borderId="21" xfId="0" applyFont="1" applyFill="1" applyBorder="1" applyAlignment="1"/>
    <xf numFmtId="0" fontId="6" fillId="0" borderId="9" xfId="0" applyFont="1" applyFill="1" applyBorder="1" applyAlignment="1"/>
    <xf numFmtId="0" fontId="6" fillId="0" borderId="12" xfId="0" applyFont="1" applyFill="1" applyBorder="1" applyAlignment="1"/>
    <xf numFmtId="0" fontId="6" fillId="0" borderId="22" xfId="0" applyFont="1" applyFill="1" applyBorder="1" applyAlignment="1"/>
    <xf numFmtId="0" fontId="6" fillId="0" borderId="11" xfId="0" applyFont="1" applyFill="1" applyBorder="1" applyAlignment="1"/>
    <xf numFmtId="0" fontId="6" fillId="0" borderId="23" xfId="0" applyFont="1" applyFill="1" applyBorder="1" applyAlignment="1"/>
    <xf numFmtId="0" fontId="6" fillId="0" borderId="17" xfId="0" applyFont="1" applyFill="1" applyBorder="1" applyAlignment="1"/>
    <xf numFmtId="0" fontId="6" fillId="0" borderId="24" xfId="0" applyFont="1" applyFill="1" applyBorder="1" applyAlignment="1"/>
    <xf numFmtId="0" fontId="6" fillId="0" borderId="13" xfId="0" applyFont="1" applyFill="1" applyBorder="1" applyAlignment="1"/>
    <xf numFmtId="0" fontId="6" fillId="0" borderId="25" xfId="0" applyFont="1" applyFill="1" applyBorder="1" applyAlignment="1"/>
    <xf numFmtId="0" fontId="6" fillId="0" borderId="19" xfId="0" applyFont="1" applyFill="1" applyBorder="1" applyAlignment="1"/>
    <xf numFmtId="0" fontId="6" fillId="0" borderId="0" xfId="0" applyFont="1" applyFill="1" applyBorder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6" fillId="0" borderId="26" xfId="0" applyFont="1" applyFill="1" applyBorder="1" applyAlignment="1">
      <alignment horizontal="center" vertical="center" textRotation="90"/>
    </xf>
    <xf numFmtId="0" fontId="6" fillId="0" borderId="27" xfId="0" applyFont="1" applyFill="1" applyBorder="1" applyAlignment="1"/>
    <xf numFmtId="0" fontId="6" fillId="0" borderId="15" xfId="0" applyFont="1" applyFill="1" applyBorder="1" applyAlignment="1"/>
    <xf numFmtId="0" fontId="6" fillId="0" borderId="16" xfId="0" applyFont="1" applyFill="1" applyBorder="1" applyAlignment="1"/>
    <xf numFmtId="10" fontId="12" fillId="0" borderId="12" xfId="0" applyNumberFormat="1" applyFont="1" applyFill="1" applyBorder="1" applyAlignment="1"/>
    <xf numFmtId="10" fontId="12" fillId="0" borderId="18" xfId="0" applyNumberFormat="1" applyFont="1" applyFill="1" applyBorder="1" applyAlignment="1"/>
    <xf numFmtId="0" fontId="12" fillId="0" borderId="16" xfId="0" applyFont="1" applyFill="1" applyBorder="1" applyAlignment="1"/>
    <xf numFmtId="10" fontId="12" fillId="0" borderId="14" xfId="0" applyNumberFormat="1" applyFont="1" applyFill="1" applyBorder="1" applyAlignment="1"/>
    <xf numFmtId="10" fontId="12" fillId="0" borderId="20" xfId="0" applyNumberFormat="1" applyFont="1" applyFill="1" applyBorder="1" applyAlignment="1"/>
    <xf numFmtId="0" fontId="6" fillId="0" borderId="1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right" wrapText="1"/>
    </xf>
    <xf numFmtId="0" fontId="6" fillId="0" borderId="28" xfId="0" applyFont="1" applyFill="1" applyBorder="1" applyAlignment="1">
      <alignment horizontal="center" vertical="center" textRotation="90"/>
    </xf>
    <xf numFmtId="0" fontId="6" fillId="0" borderId="29" xfId="0" applyFont="1" applyFill="1" applyBorder="1" applyAlignment="1">
      <alignment horizontal="center" vertical="center" textRotation="90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textRotation="90"/>
    </xf>
    <xf numFmtId="4" fontId="4" fillId="0" borderId="29" xfId="0" applyNumberFormat="1" applyFont="1" applyFill="1" applyBorder="1" applyAlignment="1">
      <alignment horizontal="center" vertical="center" textRotation="90"/>
    </xf>
    <xf numFmtId="4" fontId="4" fillId="0" borderId="29" xfId="0" applyNumberFormat="1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2" fontId="4" fillId="0" borderId="29" xfId="0" applyNumberFormat="1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1" fontId="6" fillId="0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4" fontId="4" fillId="0" borderId="0" xfId="0" applyNumberFormat="1" applyFont="1" applyFill="1" applyBorder="1" applyAlignment="1">
      <alignment horizontal="center" vertical="center" textRotation="90"/>
    </xf>
    <xf numFmtId="4" fontId="4" fillId="0" borderId="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wrapText="1"/>
    </xf>
    <xf numFmtId="0" fontId="6" fillId="0" borderId="13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11" xfId="0" applyFont="1" applyBorder="1" applyAlignment="1">
      <alignment wrapText="1"/>
    </xf>
    <xf numFmtId="16" fontId="6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 horizontal="right"/>
    </xf>
    <xf numFmtId="2" fontId="15" fillId="0" borderId="11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0" fontId="16" fillId="0" borderId="11" xfId="0" applyFont="1" applyFill="1" applyBorder="1" applyAlignment="1">
      <alignment horizontal="right" wrapText="1"/>
    </xf>
    <xf numFmtId="1" fontId="15" fillId="0" borderId="11" xfId="1" applyNumberFormat="1" applyFont="1" applyFill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9" fillId="0" borderId="11" xfId="0" applyFont="1" applyBorder="1" applyAlignment="1">
      <alignment horizontal="right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wrapText="1"/>
    </xf>
    <xf numFmtId="2" fontId="6" fillId="0" borderId="11" xfId="2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/>
    </xf>
    <xf numFmtId="0" fontId="6" fillId="0" borderId="29" xfId="0" applyFont="1" applyFill="1" applyBorder="1"/>
    <xf numFmtId="0" fontId="6" fillId="0" borderId="22" xfId="0" applyFont="1" applyFill="1" applyBorder="1"/>
    <xf numFmtId="2" fontId="4" fillId="0" borderId="27" xfId="0" applyNumberFormat="1" applyFont="1" applyFill="1" applyBorder="1" applyAlignment="1">
      <alignment horizontal="right"/>
    </xf>
    <xf numFmtId="2" fontId="4" fillId="0" borderId="30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165" fontId="15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6" fillId="0" borderId="11" xfId="0" applyFont="1" applyFill="1" applyBorder="1" applyAlignment="1">
      <alignment horizontal="center" wrapText="1"/>
    </xf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0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right" vertical="top" wrapText="1"/>
    </xf>
    <xf numFmtId="0" fontId="8" fillId="0" borderId="46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8" fillId="0" borderId="46" xfId="0" applyFont="1" applyFill="1" applyBorder="1" applyAlignment="1">
      <alignment horizontal="right" wrapText="1"/>
    </xf>
    <xf numFmtId="0" fontId="8" fillId="0" borderId="29" xfId="0" applyFont="1" applyFill="1" applyBorder="1" applyAlignment="1">
      <alignment horizontal="right" wrapText="1"/>
    </xf>
    <xf numFmtId="0" fontId="8" fillId="0" borderId="22" xfId="0" applyFont="1" applyFill="1" applyBorder="1" applyAlignment="1">
      <alignment horizontal="right" wrapText="1"/>
    </xf>
    <xf numFmtId="0" fontId="8" fillId="0" borderId="50" xfId="0" applyFont="1" applyFill="1" applyBorder="1" applyAlignment="1">
      <alignment horizontal="right" wrapText="1"/>
    </xf>
    <xf numFmtId="0" fontId="8" fillId="0" borderId="51" xfId="0" applyFont="1" applyFill="1" applyBorder="1" applyAlignment="1">
      <alignment horizontal="right" wrapText="1"/>
    </xf>
    <xf numFmtId="0" fontId="6" fillId="0" borderId="21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8" fillId="0" borderId="42" xfId="0" applyFont="1" applyFill="1" applyBorder="1" applyAlignment="1">
      <alignment horizontal="right"/>
    </xf>
    <xf numFmtId="0" fontId="8" fillId="0" borderId="43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8" fillId="0" borderId="49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/>
    <xf numFmtId="0" fontId="6" fillId="0" borderId="0" xfId="0" applyFont="1" applyAlignment="1"/>
    <xf numFmtId="0" fontId="2" fillId="0" borderId="0" xfId="0" applyFont="1" applyFill="1" applyAlignment="1"/>
    <xf numFmtId="0" fontId="10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6" fillId="0" borderId="0" xfId="0" applyFont="1" applyFill="1" applyAlignment="1"/>
    <xf numFmtId="0" fontId="6" fillId="0" borderId="31" xfId="0" applyFont="1" applyBorder="1" applyAlignment="1"/>
    <xf numFmtId="0" fontId="5" fillId="0" borderId="32" xfId="0" applyFont="1" applyFill="1" applyBorder="1" applyAlignment="1">
      <alignment horizontal="left"/>
    </xf>
    <xf numFmtId="0" fontId="6" fillId="0" borderId="33" xfId="0" applyFont="1" applyBorder="1" applyAlignment="1"/>
    <xf numFmtId="0" fontId="0" fillId="0" borderId="34" xfId="0" applyBorder="1" applyAlignment="1"/>
    <xf numFmtId="0" fontId="6" fillId="0" borderId="33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 textRotation="90"/>
    </xf>
    <xf numFmtId="4" fontId="4" fillId="0" borderId="39" xfId="0" applyNumberFormat="1" applyFont="1" applyFill="1" applyBorder="1" applyAlignment="1">
      <alignment horizontal="center" vertical="center" textRotation="90"/>
    </xf>
    <xf numFmtId="0" fontId="4" fillId="0" borderId="4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textRotation="90"/>
    </xf>
    <xf numFmtId="0" fontId="6" fillId="0" borderId="36" xfId="0" applyFont="1" applyFill="1" applyBorder="1" applyAlignment="1">
      <alignment horizontal="center" vertical="center" textRotation="90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textRotation="90"/>
    </xf>
    <xf numFmtId="0" fontId="4" fillId="0" borderId="48" xfId="0" applyFont="1" applyFill="1" applyBorder="1" applyAlignment="1">
      <alignment horizontal="center" vertical="center" textRotation="90"/>
    </xf>
    <xf numFmtId="0" fontId="8" fillId="0" borderId="44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8" fillId="0" borderId="45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 vertical="center" textRotation="90" wrapText="1"/>
    </xf>
    <xf numFmtId="0" fontId="4" fillId="0" borderId="36" xfId="0" applyFont="1" applyFill="1" applyBorder="1" applyAlignment="1">
      <alignment horizontal="center" vertical="center" textRotation="90" wrapText="1"/>
    </xf>
    <xf numFmtId="0" fontId="6" fillId="0" borderId="37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</cellXfs>
  <cellStyles count="3">
    <cellStyle name="Atdalītāji" xfId="1" builtinId="3"/>
    <cellStyle name="Normal_Sheet1" xfId="2"/>
    <cellStyle name="Parastai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zoomScaleNormal="100" workbookViewId="0">
      <selection activeCell="S112" sqref="S112"/>
    </sheetView>
  </sheetViews>
  <sheetFormatPr defaultRowHeight="12.75"/>
  <cols>
    <col min="1" max="1" width="5" style="41" customWidth="1"/>
    <col min="2" max="2" width="7.42578125" style="41" customWidth="1"/>
    <col min="3" max="3" width="45.7109375" style="41" customWidth="1"/>
    <col min="4" max="4" width="7.5703125" style="41" customWidth="1"/>
    <col min="5" max="5" width="7.28515625" style="41" customWidth="1"/>
    <col min="6" max="6" width="8.85546875" style="41" customWidth="1"/>
    <col min="7" max="7" width="9.28515625" style="41" customWidth="1"/>
    <col min="8" max="8" width="8.7109375" style="41" customWidth="1"/>
    <col min="9" max="9" width="8.42578125" style="41" customWidth="1"/>
    <col min="10" max="10" width="9" style="41" customWidth="1"/>
    <col min="11" max="11" width="9.140625" style="41" customWidth="1"/>
    <col min="12" max="12" width="8.7109375" style="41" hidden="1" customWidth="1"/>
    <col min="13" max="13" width="9.28515625" style="41" customWidth="1"/>
    <col min="14" max="14" width="8.140625" style="41" customWidth="1"/>
    <col min="15" max="15" width="8.5703125" style="41" customWidth="1"/>
    <col min="16" max="16" width="10.42578125" style="41" customWidth="1"/>
    <col min="17" max="16384" width="9.140625" style="41"/>
  </cols>
  <sheetData>
    <row r="1" spans="1:16" ht="41.25" customHeight="1">
      <c r="A1" s="151" t="s">
        <v>193</v>
      </c>
      <c r="B1" s="151"/>
      <c r="C1" s="151"/>
      <c r="D1" s="151"/>
      <c r="E1" s="151"/>
      <c r="F1" s="151"/>
      <c r="G1" s="151"/>
      <c r="H1" s="151"/>
      <c r="I1" s="123" t="s">
        <v>194</v>
      </c>
      <c r="J1" s="42"/>
      <c r="K1" s="43"/>
      <c r="L1" s="121"/>
      <c r="M1" s="42"/>
      <c r="N1" s="149" t="s">
        <v>196</v>
      </c>
      <c r="O1" s="150"/>
      <c r="P1" s="150"/>
    </row>
    <row r="2" spans="1:16" ht="18.75">
      <c r="A2" s="155" t="s">
        <v>188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2"/>
      <c r="M2" s="153"/>
      <c r="N2" s="153"/>
      <c r="O2" s="153"/>
      <c r="P2" s="153"/>
    </row>
    <row r="3" spans="1:16" ht="16.5" customHeight="1">
      <c r="A3" s="156" t="s">
        <v>15</v>
      </c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2"/>
      <c r="M3" s="153"/>
      <c r="N3" s="153"/>
      <c r="O3" s="153"/>
      <c r="P3" s="153"/>
    </row>
    <row r="4" spans="1:16" ht="14.25" customHeight="1">
      <c r="A4" s="158" t="s">
        <v>17</v>
      </c>
      <c r="B4" s="158"/>
      <c r="C4" s="153"/>
      <c r="D4" s="153"/>
      <c r="E4" s="153"/>
      <c r="F4" s="153"/>
      <c r="G4" s="153"/>
      <c r="H4" s="153"/>
      <c r="I4" s="153"/>
      <c r="J4" s="153"/>
      <c r="K4" s="153"/>
      <c r="L4" s="152"/>
      <c r="M4" s="153"/>
      <c r="N4" s="153"/>
      <c r="O4" s="153"/>
      <c r="P4" s="153"/>
    </row>
    <row r="5" spans="1:16" ht="14.25" customHeight="1">
      <c r="A5" s="158" t="s">
        <v>180</v>
      </c>
      <c r="B5" s="158"/>
      <c r="C5" s="153"/>
      <c r="D5" s="153"/>
      <c r="E5" s="153"/>
      <c r="F5" s="153"/>
      <c r="G5" s="153"/>
      <c r="H5" s="153"/>
      <c r="I5" s="153"/>
      <c r="J5" s="153"/>
      <c r="K5" s="153"/>
      <c r="L5" s="11"/>
    </row>
    <row r="6" spans="1:16" ht="15" customHeight="1">
      <c r="A6" s="158" t="s">
        <v>190</v>
      </c>
      <c r="B6" s="158"/>
      <c r="C6" s="153"/>
      <c r="D6" s="153"/>
      <c r="E6" s="153"/>
      <c r="F6" s="153"/>
      <c r="G6" s="153"/>
      <c r="H6" s="153"/>
      <c r="I6" s="153"/>
      <c r="J6" s="153"/>
      <c r="K6" s="153"/>
      <c r="L6" s="154" t="s">
        <v>192</v>
      </c>
      <c r="M6" s="153"/>
      <c r="N6" s="153"/>
      <c r="O6" s="153"/>
      <c r="P6" s="153"/>
    </row>
    <row r="7" spans="1:16" ht="15" customHeight="1" thickBot="1">
      <c r="A7" s="158" t="s">
        <v>189</v>
      </c>
      <c r="B7" s="158"/>
      <c r="C7" s="153"/>
      <c r="D7" s="153"/>
      <c r="E7" s="153"/>
      <c r="F7" s="153"/>
      <c r="G7" s="153"/>
      <c r="H7" s="153"/>
      <c r="I7" s="153"/>
      <c r="J7" s="153"/>
      <c r="K7" s="153"/>
      <c r="L7" s="12"/>
    </row>
    <row r="8" spans="1:16" ht="15" customHeight="1" thickBot="1">
      <c r="A8" s="158" t="s">
        <v>191</v>
      </c>
      <c r="B8" s="158"/>
      <c r="C8" s="153"/>
      <c r="D8" s="153"/>
      <c r="E8" s="153"/>
      <c r="F8" s="153"/>
      <c r="G8" s="153"/>
      <c r="H8" s="153"/>
      <c r="I8" s="153"/>
      <c r="J8" s="153"/>
      <c r="K8" s="159"/>
      <c r="L8" s="160" t="s">
        <v>120</v>
      </c>
      <c r="M8" s="161"/>
      <c r="N8" s="161"/>
      <c r="O8" s="162"/>
      <c r="P8" s="118">
        <f>SUM(P110)</f>
        <v>78187.366305287171</v>
      </c>
    </row>
    <row r="9" spans="1:16" ht="15" thickBot="1">
      <c r="A9" s="158" t="s">
        <v>16</v>
      </c>
      <c r="B9" s="158"/>
      <c r="C9" s="153"/>
      <c r="D9" s="153"/>
      <c r="E9" s="153"/>
      <c r="F9" s="153"/>
      <c r="G9" s="153"/>
      <c r="H9" s="153"/>
      <c r="I9" s="153"/>
      <c r="J9" s="153"/>
      <c r="K9" s="159"/>
      <c r="L9" s="160" t="s">
        <v>10</v>
      </c>
      <c r="M9" s="163"/>
      <c r="N9" s="163"/>
      <c r="O9" s="162"/>
      <c r="P9" s="117">
        <f>SUM(P8)*0.702804</f>
        <v>54950.393788821042</v>
      </c>
    </row>
    <row r="10" spans="1:16" ht="14.25" customHeight="1" thickBot="1">
      <c r="A10" s="183" t="s">
        <v>179</v>
      </c>
      <c r="B10" s="183"/>
      <c r="C10" s="184"/>
      <c r="D10" s="184"/>
      <c r="E10" s="184"/>
      <c r="F10" s="184"/>
      <c r="G10" s="184"/>
      <c r="H10" s="184"/>
      <c r="I10" s="184"/>
      <c r="J10" s="184"/>
      <c r="K10" s="184"/>
      <c r="L10" s="34"/>
      <c r="M10" s="21"/>
      <c r="N10" s="21"/>
      <c r="O10" s="44"/>
      <c r="P10" s="45"/>
    </row>
    <row r="11" spans="1:16" ht="13.5" customHeight="1" thickBot="1">
      <c r="A11" s="169" t="s">
        <v>0</v>
      </c>
      <c r="B11" s="181" t="s">
        <v>140</v>
      </c>
      <c r="C11" s="171" t="s">
        <v>1</v>
      </c>
      <c r="D11" s="173" t="s">
        <v>2</v>
      </c>
      <c r="E11" s="166" t="s">
        <v>3</v>
      </c>
      <c r="F11" s="168" t="s">
        <v>4</v>
      </c>
      <c r="G11" s="168"/>
      <c r="H11" s="168"/>
      <c r="I11" s="168"/>
      <c r="J11" s="168"/>
      <c r="K11" s="168"/>
      <c r="L11" s="164" t="s">
        <v>5</v>
      </c>
      <c r="M11" s="164"/>
      <c r="N11" s="164"/>
      <c r="O11" s="164"/>
      <c r="P11" s="165"/>
    </row>
    <row r="12" spans="1:16" ht="63" customHeight="1" thickBot="1">
      <c r="A12" s="170"/>
      <c r="B12" s="182"/>
      <c r="C12" s="172"/>
      <c r="D12" s="174"/>
      <c r="E12" s="167"/>
      <c r="F12" s="13" t="s">
        <v>6</v>
      </c>
      <c r="G12" s="14" t="s">
        <v>141</v>
      </c>
      <c r="H12" s="15" t="s">
        <v>142</v>
      </c>
      <c r="I12" s="15" t="s">
        <v>143</v>
      </c>
      <c r="J12" s="16" t="s">
        <v>144</v>
      </c>
      <c r="K12" s="17" t="s">
        <v>145</v>
      </c>
      <c r="L12" s="18" t="s">
        <v>7</v>
      </c>
      <c r="M12" s="19" t="s">
        <v>142</v>
      </c>
      <c r="N12" s="15" t="s">
        <v>143</v>
      </c>
      <c r="O12" s="16" t="s">
        <v>144</v>
      </c>
      <c r="P12" s="20" t="s">
        <v>146</v>
      </c>
    </row>
    <row r="13" spans="1:16">
      <c r="A13" s="68"/>
      <c r="B13" s="77"/>
      <c r="C13" s="5" t="s">
        <v>100</v>
      </c>
      <c r="D13" s="6"/>
      <c r="E13" s="7"/>
      <c r="F13" s="8"/>
      <c r="G13" s="8"/>
      <c r="H13" s="9"/>
      <c r="I13" s="9"/>
      <c r="J13" s="9"/>
      <c r="K13" s="9"/>
      <c r="L13" s="9"/>
      <c r="M13" s="9"/>
      <c r="N13" s="9"/>
      <c r="O13" s="9"/>
      <c r="P13" s="10"/>
    </row>
    <row r="14" spans="1:16">
      <c r="A14" s="79"/>
      <c r="B14" s="80"/>
      <c r="C14" s="81" t="s">
        <v>101</v>
      </c>
      <c r="D14" s="82"/>
      <c r="E14" s="83"/>
      <c r="F14" s="84"/>
      <c r="G14" s="84"/>
      <c r="H14" s="85"/>
      <c r="I14" s="85"/>
      <c r="J14" s="85"/>
      <c r="K14" s="85"/>
      <c r="L14" s="85"/>
      <c r="M14" s="85"/>
      <c r="N14" s="85"/>
      <c r="O14" s="85"/>
      <c r="P14" s="87"/>
    </row>
    <row r="15" spans="1:16" ht="15.75">
      <c r="A15" s="46" t="s">
        <v>102</v>
      </c>
      <c r="B15" s="46" t="s">
        <v>77</v>
      </c>
      <c r="C15" s="47" t="s">
        <v>78</v>
      </c>
      <c r="D15" s="46" t="s">
        <v>32</v>
      </c>
      <c r="E15" s="48">
        <v>528.26</v>
      </c>
      <c r="F15" s="49">
        <v>0.2</v>
      </c>
      <c r="G15" s="49">
        <v>3.5998000000000001</v>
      </c>
      <c r="H15" s="49">
        <f t="shared" ref="H15:H23" si="0">SUM(F15)*(G15)</f>
        <v>0.71996000000000004</v>
      </c>
      <c r="I15" s="49"/>
      <c r="J15" s="49">
        <v>0</v>
      </c>
      <c r="K15" s="49">
        <f t="shared" ref="K15:K23" si="1">ROUND(SUM(H15:J15),2)</f>
        <v>0.72</v>
      </c>
      <c r="L15" s="49">
        <f t="shared" ref="L15:L23" si="2">SUM(E15)*F15</f>
        <v>105.652</v>
      </c>
      <c r="M15" s="49">
        <f t="shared" ref="M15:M23" si="3">ROUND(H15*E15,2)</f>
        <v>380.33</v>
      </c>
      <c r="N15" s="50"/>
      <c r="O15" s="49">
        <f t="shared" ref="O15:O23" si="4">SUM(J15)*E15</f>
        <v>0</v>
      </c>
      <c r="P15" s="49">
        <f t="shared" ref="P15:P23" si="5">SUM(M15:O15)</f>
        <v>380.33</v>
      </c>
    </row>
    <row r="16" spans="1:16" ht="15.75">
      <c r="A16" s="46" t="s">
        <v>103</v>
      </c>
      <c r="B16" s="46" t="s">
        <v>79</v>
      </c>
      <c r="C16" s="47" t="s">
        <v>176</v>
      </c>
      <c r="D16" s="46" t="s">
        <v>32</v>
      </c>
      <c r="E16" s="48">
        <v>182.1</v>
      </c>
      <c r="F16" s="49">
        <v>0.15</v>
      </c>
      <c r="G16" s="49">
        <v>3.5998000000000001</v>
      </c>
      <c r="H16" s="49">
        <f t="shared" si="0"/>
        <v>0.53996999999999995</v>
      </c>
      <c r="I16" s="49"/>
      <c r="J16" s="49">
        <v>0</v>
      </c>
      <c r="K16" s="49">
        <f t="shared" si="1"/>
        <v>0.54</v>
      </c>
      <c r="L16" s="49">
        <f t="shared" si="2"/>
        <v>27.314999999999998</v>
      </c>
      <c r="M16" s="49">
        <f t="shared" si="3"/>
        <v>98.33</v>
      </c>
      <c r="N16" s="50"/>
      <c r="O16" s="49">
        <f t="shared" si="4"/>
        <v>0</v>
      </c>
      <c r="P16" s="49">
        <f t="shared" si="5"/>
        <v>98.33</v>
      </c>
    </row>
    <row r="17" spans="1:16" ht="15.75">
      <c r="A17" s="46" t="s">
        <v>104</v>
      </c>
      <c r="B17" s="46" t="s">
        <v>110</v>
      </c>
      <c r="C17" s="47" t="s">
        <v>114</v>
      </c>
      <c r="D17" s="94" t="s">
        <v>32</v>
      </c>
      <c r="E17" s="97">
        <v>182.1</v>
      </c>
      <c r="F17" s="95">
        <v>0.92</v>
      </c>
      <c r="G17" s="49">
        <v>3.5998000000000001</v>
      </c>
      <c r="H17" s="49">
        <f t="shared" si="0"/>
        <v>3.3118160000000003</v>
      </c>
      <c r="I17" s="49"/>
      <c r="J17" s="49">
        <v>0.05</v>
      </c>
      <c r="K17" s="49">
        <f t="shared" si="1"/>
        <v>3.36</v>
      </c>
      <c r="L17" s="49">
        <f t="shared" si="2"/>
        <v>167.53200000000001</v>
      </c>
      <c r="M17" s="49">
        <f t="shared" si="3"/>
        <v>603.08000000000004</v>
      </c>
      <c r="N17" s="50"/>
      <c r="O17" s="49">
        <f t="shared" si="4"/>
        <v>9.1050000000000004</v>
      </c>
      <c r="P17" s="49">
        <f t="shared" si="5"/>
        <v>612.18500000000006</v>
      </c>
    </row>
    <row r="18" spans="1:16">
      <c r="A18" s="46" t="s">
        <v>105</v>
      </c>
      <c r="B18" s="46" t="s">
        <v>80</v>
      </c>
      <c r="C18" s="47" t="s">
        <v>178</v>
      </c>
      <c r="D18" s="94" t="s">
        <v>12</v>
      </c>
      <c r="E18" s="48">
        <v>22</v>
      </c>
      <c r="F18" s="95">
        <v>2.7</v>
      </c>
      <c r="G18" s="49">
        <v>3.5998000000000001</v>
      </c>
      <c r="H18" s="49">
        <f t="shared" si="0"/>
        <v>9.7194600000000015</v>
      </c>
      <c r="I18" s="49"/>
      <c r="J18" s="49">
        <v>0.1</v>
      </c>
      <c r="K18" s="49">
        <f t="shared" si="1"/>
        <v>9.82</v>
      </c>
      <c r="L18" s="49">
        <f t="shared" si="2"/>
        <v>59.400000000000006</v>
      </c>
      <c r="M18" s="49">
        <f t="shared" si="3"/>
        <v>213.83</v>
      </c>
      <c r="N18" s="50"/>
      <c r="O18" s="49">
        <f t="shared" si="4"/>
        <v>2.2000000000000002</v>
      </c>
      <c r="P18" s="49">
        <f t="shared" si="5"/>
        <v>216.03</v>
      </c>
    </row>
    <row r="19" spans="1:16" ht="25.5">
      <c r="A19" s="46" t="s">
        <v>106</v>
      </c>
      <c r="B19" s="46" t="s">
        <v>86</v>
      </c>
      <c r="C19" s="96" t="s">
        <v>172</v>
      </c>
      <c r="D19" s="94" t="s">
        <v>76</v>
      </c>
      <c r="E19" s="48">
        <v>1</v>
      </c>
      <c r="F19" s="95">
        <v>120</v>
      </c>
      <c r="G19" s="49">
        <v>3.5998000000000001</v>
      </c>
      <c r="H19" s="49">
        <f t="shared" si="0"/>
        <v>431.976</v>
      </c>
      <c r="I19" s="49"/>
      <c r="J19" s="49">
        <v>0.1</v>
      </c>
      <c r="K19" s="49">
        <f t="shared" si="1"/>
        <v>432.08</v>
      </c>
      <c r="L19" s="49">
        <f t="shared" si="2"/>
        <v>120</v>
      </c>
      <c r="M19" s="49">
        <f t="shared" si="3"/>
        <v>431.98</v>
      </c>
      <c r="N19" s="50"/>
      <c r="O19" s="49">
        <f t="shared" si="4"/>
        <v>0.1</v>
      </c>
      <c r="P19" s="49">
        <f t="shared" si="5"/>
        <v>432.08000000000004</v>
      </c>
    </row>
    <row r="20" spans="1:16" ht="15.75">
      <c r="A20" s="46" t="s">
        <v>107</v>
      </c>
      <c r="B20" s="46" t="s">
        <v>98</v>
      </c>
      <c r="C20" s="96" t="s">
        <v>93</v>
      </c>
      <c r="D20" s="94" t="s">
        <v>32</v>
      </c>
      <c r="E20" s="48">
        <v>60</v>
      </c>
      <c r="F20" s="95">
        <v>1.55</v>
      </c>
      <c r="G20" s="49">
        <v>3.5998000000000001</v>
      </c>
      <c r="H20" s="49">
        <f t="shared" si="0"/>
        <v>5.5796900000000003</v>
      </c>
      <c r="I20" s="49"/>
      <c r="J20" s="49">
        <v>0.15</v>
      </c>
      <c r="K20" s="49">
        <f t="shared" si="1"/>
        <v>5.73</v>
      </c>
      <c r="L20" s="49">
        <f t="shared" si="2"/>
        <v>93</v>
      </c>
      <c r="M20" s="49">
        <f t="shared" si="3"/>
        <v>334.78</v>
      </c>
      <c r="N20" s="50"/>
      <c r="O20" s="49">
        <f t="shared" si="4"/>
        <v>9</v>
      </c>
      <c r="P20" s="49">
        <f t="shared" si="5"/>
        <v>343.78</v>
      </c>
    </row>
    <row r="21" spans="1:16">
      <c r="A21" s="46" t="s">
        <v>108</v>
      </c>
      <c r="B21" s="46" t="s">
        <v>113</v>
      </c>
      <c r="C21" s="47" t="s">
        <v>177</v>
      </c>
      <c r="D21" s="94" t="s">
        <v>76</v>
      </c>
      <c r="E21" s="97">
        <v>1</v>
      </c>
      <c r="F21" s="95">
        <v>60</v>
      </c>
      <c r="G21" s="49">
        <v>3.5998000000000001</v>
      </c>
      <c r="H21" s="49">
        <f t="shared" si="0"/>
        <v>215.988</v>
      </c>
      <c r="I21" s="49"/>
      <c r="J21" s="49">
        <v>0.5</v>
      </c>
      <c r="K21" s="49">
        <f t="shared" si="1"/>
        <v>216.49</v>
      </c>
      <c r="L21" s="49">
        <f t="shared" si="2"/>
        <v>60</v>
      </c>
      <c r="M21" s="49">
        <f t="shared" si="3"/>
        <v>215.99</v>
      </c>
      <c r="N21" s="50"/>
      <c r="O21" s="49">
        <f t="shared" si="4"/>
        <v>0.5</v>
      </c>
      <c r="P21" s="49">
        <f t="shared" si="5"/>
        <v>216.49</v>
      </c>
    </row>
    <row r="22" spans="1:16" ht="15.75">
      <c r="A22" s="46" t="s">
        <v>109</v>
      </c>
      <c r="B22" s="46" t="s">
        <v>81</v>
      </c>
      <c r="C22" s="47" t="s">
        <v>82</v>
      </c>
      <c r="D22" s="46" t="s">
        <v>32</v>
      </c>
      <c r="E22" s="48">
        <v>182.1</v>
      </c>
      <c r="F22" s="49">
        <v>0.19</v>
      </c>
      <c r="G22" s="49">
        <v>3.5998000000000001</v>
      </c>
      <c r="H22" s="49">
        <f t="shared" si="0"/>
        <v>0.68396200000000007</v>
      </c>
      <c r="I22" s="49"/>
      <c r="J22" s="49">
        <v>0</v>
      </c>
      <c r="K22" s="49">
        <f t="shared" si="1"/>
        <v>0.68</v>
      </c>
      <c r="L22" s="49">
        <f t="shared" si="2"/>
        <v>34.598999999999997</v>
      </c>
      <c r="M22" s="49">
        <f t="shared" si="3"/>
        <v>124.55</v>
      </c>
      <c r="N22" s="50"/>
      <c r="O22" s="49">
        <f t="shared" si="4"/>
        <v>0</v>
      </c>
      <c r="P22" s="49">
        <f t="shared" si="5"/>
        <v>124.55</v>
      </c>
    </row>
    <row r="23" spans="1:16" ht="15.75">
      <c r="A23" s="46" t="s">
        <v>111</v>
      </c>
      <c r="B23" s="46" t="s">
        <v>83</v>
      </c>
      <c r="C23" s="47" t="s">
        <v>84</v>
      </c>
      <c r="D23" s="46" t="s">
        <v>85</v>
      </c>
      <c r="E23" s="48">
        <v>25</v>
      </c>
      <c r="F23" s="49">
        <v>3</v>
      </c>
      <c r="G23" s="49">
        <v>3.5998000000000001</v>
      </c>
      <c r="H23" s="49">
        <f t="shared" si="0"/>
        <v>10.7994</v>
      </c>
      <c r="I23" s="49"/>
      <c r="J23" s="49">
        <v>18.5</v>
      </c>
      <c r="K23" s="49">
        <f t="shared" si="1"/>
        <v>29.3</v>
      </c>
      <c r="L23" s="49">
        <f t="shared" si="2"/>
        <v>75</v>
      </c>
      <c r="M23" s="49">
        <f t="shared" si="3"/>
        <v>269.99</v>
      </c>
      <c r="N23" s="50"/>
      <c r="O23" s="49">
        <f t="shared" si="4"/>
        <v>462.5</v>
      </c>
      <c r="P23" s="49">
        <f t="shared" si="5"/>
        <v>732.49</v>
      </c>
    </row>
    <row r="24" spans="1:16">
      <c r="A24" s="89"/>
      <c r="B24" s="89"/>
      <c r="C24" s="38" t="s">
        <v>112</v>
      </c>
      <c r="D24" s="90"/>
      <c r="E24" s="91"/>
      <c r="F24" s="92"/>
      <c r="G24" s="92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25.5">
      <c r="A25" s="46" t="s">
        <v>21</v>
      </c>
      <c r="B25" s="122" t="s">
        <v>99</v>
      </c>
      <c r="C25" s="47" t="s">
        <v>195</v>
      </c>
      <c r="D25" s="46" t="s">
        <v>66</v>
      </c>
      <c r="E25" s="48">
        <v>1</v>
      </c>
      <c r="F25" s="49">
        <v>1</v>
      </c>
      <c r="G25" s="49">
        <v>450</v>
      </c>
      <c r="H25" s="49">
        <f>SUM(F25)*(G25)</f>
        <v>450</v>
      </c>
      <c r="I25" s="49">
        <v>3000</v>
      </c>
      <c r="J25" s="49">
        <v>25</v>
      </c>
      <c r="K25" s="49">
        <f>ROUND(SUM(H25:J25),2)</f>
        <v>3475</v>
      </c>
      <c r="L25" s="49">
        <f>SUM(E25)*F25</f>
        <v>1</v>
      </c>
      <c r="M25" s="49">
        <f>ROUND(H25*E25,2)</f>
        <v>450</v>
      </c>
      <c r="N25" s="49">
        <f>SUM(E25)*I25</f>
        <v>3000</v>
      </c>
      <c r="O25" s="49">
        <f>SUM(J25)*E25</f>
        <v>25</v>
      </c>
      <c r="P25" s="49">
        <f>SUM(M25:O25)</f>
        <v>3475</v>
      </c>
    </row>
    <row r="26" spans="1:16" ht="25.5">
      <c r="A26" s="46" t="s">
        <v>34</v>
      </c>
      <c r="B26" s="46" t="s">
        <v>94</v>
      </c>
      <c r="C26" s="47" t="s">
        <v>95</v>
      </c>
      <c r="D26" s="46" t="s">
        <v>12</v>
      </c>
      <c r="E26" s="48">
        <v>14</v>
      </c>
      <c r="F26" s="49">
        <v>3.5</v>
      </c>
      <c r="G26" s="49">
        <v>3.5998000000000001</v>
      </c>
      <c r="H26" s="49">
        <f>SUM(F26)*(G26)</f>
        <v>12.599299999999999</v>
      </c>
      <c r="I26" s="49"/>
      <c r="J26" s="49">
        <v>2</v>
      </c>
      <c r="K26" s="49">
        <f>ROUND(SUM(H26:J26),2)</f>
        <v>14.6</v>
      </c>
      <c r="L26" s="49">
        <f>SUM(E26)*F26</f>
        <v>49</v>
      </c>
      <c r="M26" s="49">
        <f>ROUND(H26*E26,2)</f>
        <v>176.39</v>
      </c>
      <c r="N26" s="50"/>
      <c r="O26" s="49">
        <f>SUM(J26)*E26</f>
        <v>28</v>
      </c>
      <c r="P26" s="49">
        <f>SUM(M26:O26)</f>
        <v>204.39</v>
      </c>
    </row>
    <row r="27" spans="1:16">
      <c r="A27" s="46"/>
      <c r="B27" s="46"/>
      <c r="C27" s="51" t="s">
        <v>96</v>
      </c>
      <c r="D27" s="46" t="s">
        <v>97</v>
      </c>
      <c r="E27" s="48">
        <v>14</v>
      </c>
      <c r="F27" s="49"/>
      <c r="G27" s="49"/>
      <c r="H27" s="49"/>
      <c r="I27" s="49">
        <v>142.30000000000001</v>
      </c>
      <c r="J27" s="48"/>
      <c r="K27" s="49">
        <f>SUM(E27)*I27</f>
        <v>1992.2000000000003</v>
      </c>
      <c r="L27" s="49"/>
      <c r="M27" s="49"/>
      <c r="N27" s="49">
        <f>SUM(E27)*I27</f>
        <v>1992.2000000000003</v>
      </c>
      <c r="O27" s="48"/>
      <c r="P27" s="49">
        <f>SUM(M27:N27)</f>
        <v>1992.2000000000003</v>
      </c>
    </row>
    <row r="28" spans="1:16" ht="22.5">
      <c r="A28" s="46"/>
      <c r="B28" s="46"/>
      <c r="C28" s="51" t="s">
        <v>26</v>
      </c>
      <c r="D28" s="46" t="s">
        <v>12</v>
      </c>
      <c r="E28" s="48">
        <v>7</v>
      </c>
      <c r="F28" s="49"/>
      <c r="G28" s="49"/>
      <c r="H28" s="49"/>
      <c r="I28" s="49">
        <v>4.9800000000000004</v>
      </c>
      <c r="J28" s="48"/>
      <c r="K28" s="49">
        <f>SUM(E28)*I28</f>
        <v>34.86</v>
      </c>
      <c r="L28" s="49"/>
      <c r="M28" s="49"/>
      <c r="N28" s="49">
        <f>SUM(E28)*I28</f>
        <v>34.86</v>
      </c>
      <c r="O28" s="48"/>
      <c r="P28" s="49">
        <f>SUM(M28:N28)</f>
        <v>34.86</v>
      </c>
    </row>
    <row r="29" spans="1:16">
      <c r="A29" s="79"/>
      <c r="B29" s="80"/>
      <c r="C29" s="81" t="s">
        <v>115</v>
      </c>
      <c r="D29" s="82"/>
      <c r="E29" s="83"/>
      <c r="F29" s="84"/>
      <c r="G29" s="84"/>
      <c r="H29" s="85"/>
      <c r="I29" s="85"/>
      <c r="J29" s="85"/>
      <c r="K29" s="85"/>
      <c r="L29" s="85"/>
      <c r="M29" s="86"/>
      <c r="N29" s="85"/>
      <c r="O29" s="85"/>
      <c r="P29" s="87"/>
    </row>
    <row r="30" spans="1:16" ht="25.5">
      <c r="A30" s="102" t="s">
        <v>24</v>
      </c>
      <c r="B30" s="46" t="s">
        <v>30</v>
      </c>
      <c r="C30" s="47" t="s">
        <v>31</v>
      </c>
      <c r="D30" s="46" t="s">
        <v>32</v>
      </c>
      <c r="E30" s="48">
        <v>528.26</v>
      </c>
      <c r="F30" s="49">
        <v>0.18</v>
      </c>
      <c r="G30" s="49">
        <v>3.5998000000000001</v>
      </c>
      <c r="H30" s="49">
        <f>SUM(F30)*(G30)</f>
        <v>0.64796399999999998</v>
      </c>
      <c r="I30" s="49"/>
      <c r="J30" s="49">
        <v>0</v>
      </c>
      <c r="K30" s="49">
        <f>ROUND(SUM(H30:J30),2)</f>
        <v>0.65</v>
      </c>
      <c r="L30" s="49">
        <f>SUM(E30)*F30</f>
        <v>95.086799999999997</v>
      </c>
      <c r="M30" s="49">
        <f>ROUND(H30*E30,2)</f>
        <v>342.29</v>
      </c>
      <c r="N30" s="50"/>
      <c r="O30" s="49">
        <f>SUM(J30)*E30</f>
        <v>0</v>
      </c>
      <c r="P30" s="49">
        <f>SUM(M30:O30)</f>
        <v>342.29</v>
      </c>
    </row>
    <row r="31" spans="1:16">
      <c r="A31" s="46"/>
      <c r="B31" s="46"/>
      <c r="C31" s="51" t="s">
        <v>33</v>
      </c>
      <c r="D31" s="46" t="s">
        <v>12</v>
      </c>
      <c r="E31" s="49">
        <f>SUM(E30)*0.1</f>
        <v>52.826000000000001</v>
      </c>
      <c r="F31" s="49"/>
      <c r="G31" s="49"/>
      <c r="H31" s="49"/>
      <c r="I31" s="49">
        <v>1.32</v>
      </c>
      <c r="J31" s="48"/>
      <c r="K31" s="49">
        <f>SUM(E31)*I31</f>
        <v>69.730320000000006</v>
      </c>
      <c r="L31" s="49"/>
      <c r="M31" s="49"/>
      <c r="N31" s="49">
        <f>SUM(E31)*I31</f>
        <v>69.730320000000006</v>
      </c>
      <c r="O31" s="48"/>
      <c r="P31" s="49">
        <f>SUM(M31:N31)</f>
        <v>69.730320000000006</v>
      </c>
    </row>
    <row r="32" spans="1:16" ht="15.75">
      <c r="A32" s="46" t="s">
        <v>87</v>
      </c>
      <c r="B32" s="46" t="s">
        <v>35</v>
      </c>
      <c r="C32" s="47" t="s">
        <v>116</v>
      </c>
      <c r="D32" s="46" t="s">
        <v>32</v>
      </c>
      <c r="E32" s="48">
        <v>528.26</v>
      </c>
      <c r="F32" s="49">
        <v>1.95</v>
      </c>
      <c r="G32" s="49">
        <v>3.5998000000000001</v>
      </c>
      <c r="H32" s="49">
        <f>SUM(F32)*(G32)</f>
        <v>7.0196100000000001</v>
      </c>
      <c r="I32" s="49"/>
      <c r="J32" s="49">
        <v>0.02</v>
      </c>
      <c r="K32" s="49">
        <f>ROUND(SUM(H32:J32),2)</f>
        <v>7.04</v>
      </c>
      <c r="L32" s="49">
        <f>SUM(E32)*F32</f>
        <v>1030.107</v>
      </c>
      <c r="M32" s="49">
        <f>ROUND(H32*E32,2)</f>
        <v>3708.18</v>
      </c>
      <c r="N32" s="50"/>
      <c r="O32" s="49">
        <f>SUM(J32)*E32</f>
        <v>10.565200000000001</v>
      </c>
      <c r="P32" s="49">
        <f>SUM(M32:O32)</f>
        <v>3718.7451999999998</v>
      </c>
    </row>
    <row r="33" spans="1:16">
      <c r="A33" s="46"/>
      <c r="B33" s="46"/>
      <c r="C33" s="51" t="s">
        <v>27</v>
      </c>
      <c r="D33" s="46" t="s">
        <v>12</v>
      </c>
      <c r="E33" s="88">
        <f>SUM((E32)*2)/30</f>
        <v>35.217333333333336</v>
      </c>
      <c r="F33" s="49"/>
      <c r="G33" s="49"/>
      <c r="H33" s="49"/>
      <c r="I33" s="49">
        <v>8.25</v>
      </c>
      <c r="J33" s="48"/>
      <c r="K33" s="49">
        <f>SUM(E33)*I33</f>
        <v>290.54300000000001</v>
      </c>
      <c r="L33" s="49"/>
      <c r="M33" s="49"/>
      <c r="N33" s="49">
        <f>SUM(E33)*I33</f>
        <v>290.54300000000001</v>
      </c>
      <c r="O33" s="48"/>
      <c r="P33" s="49">
        <f>SUM(M33:N33)</f>
        <v>290.54300000000001</v>
      </c>
    </row>
    <row r="34" spans="1:16" ht="15.75">
      <c r="A34" s="46" t="s">
        <v>88</v>
      </c>
      <c r="B34" s="46" t="s">
        <v>37</v>
      </c>
      <c r="C34" s="47" t="s">
        <v>38</v>
      </c>
      <c r="D34" s="46" t="s">
        <v>32</v>
      </c>
      <c r="E34" s="48">
        <v>528.26</v>
      </c>
      <c r="F34" s="49">
        <v>0.41</v>
      </c>
      <c r="G34" s="49">
        <v>3.5998000000000001</v>
      </c>
      <c r="H34" s="49">
        <f>SUM(F34)*(G34)</f>
        <v>1.4759180000000001</v>
      </c>
      <c r="I34" s="49"/>
      <c r="J34" s="49">
        <v>0.14000000000000001</v>
      </c>
      <c r="K34" s="49">
        <f>ROUND(SUM(H34:J34),2)</f>
        <v>1.62</v>
      </c>
      <c r="L34" s="49">
        <f>SUM(E34)*F34</f>
        <v>216.58659999999998</v>
      </c>
      <c r="M34" s="49">
        <f>ROUND(H34*E34,2)</f>
        <v>779.67</v>
      </c>
      <c r="N34" s="50"/>
      <c r="O34" s="49">
        <f>SUM(J34)*E34</f>
        <v>73.956400000000002</v>
      </c>
      <c r="P34" s="49">
        <f>SUM(M34:O34)</f>
        <v>853.62639999999999</v>
      </c>
    </row>
    <row r="35" spans="1:16">
      <c r="A35" s="46"/>
      <c r="B35" s="46"/>
      <c r="C35" s="51" t="s">
        <v>28</v>
      </c>
      <c r="D35" s="46" t="s">
        <v>12</v>
      </c>
      <c r="E35" s="88">
        <f>SUM((E34)*1.5)/25</f>
        <v>31.695599999999999</v>
      </c>
      <c r="F35" s="49"/>
      <c r="G35" s="49"/>
      <c r="H35" s="49"/>
      <c r="I35" s="49">
        <v>11.2</v>
      </c>
      <c r="J35" s="48"/>
      <c r="K35" s="49">
        <f>SUM(E35)*I35</f>
        <v>354.99071999999995</v>
      </c>
      <c r="L35" s="49"/>
      <c r="M35" s="49"/>
      <c r="N35" s="49">
        <f>SUM(E35)*I35</f>
        <v>354.99071999999995</v>
      </c>
      <c r="O35" s="48"/>
      <c r="P35" s="49">
        <f>SUM(M35:N35)</f>
        <v>354.99071999999995</v>
      </c>
    </row>
    <row r="36" spans="1:16" ht="25.5">
      <c r="A36" s="46" t="s">
        <v>89</v>
      </c>
      <c r="B36" s="46" t="s">
        <v>39</v>
      </c>
      <c r="C36" s="47" t="s">
        <v>40</v>
      </c>
      <c r="D36" s="46" t="s">
        <v>32</v>
      </c>
      <c r="E36" s="48">
        <v>528.26</v>
      </c>
      <c r="F36" s="49">
        <v>0.3</v>
      </c>
      <c r="G36" s="49">
        <v>3.5998000000000001</v>
      </c>
      <c r="H36" s="49">
        <f>SUM(F36)*(G36)</f>
        <v>1.0799399999999999</v>
      </c>
      <c r="I36" s="49"/>
      <c r="J36" s="49">
        <v>0</v>
      </c>
      <c r="K36" s="49">
        <f>ROUND(SUM(H36:J36),2)</f>
        <v>1.08</v>
      </c>
      <c r="L36" s="49">
        <f>SUM(E36)*F36</f>
        <v>158.47799999999998</v>
      </c>
      <c r="M36" s="49">
        <f>ROUND(H36*E36,2)</f>
        <v>570.49</v>
      </c>
      <c r="N36" s="50"/>
      <c r="O36" s="49">
        <f>SUM(J36)*E36</f>
        <v>0</v>
      </c>
      <c r="P36" s="49">
        <f>SUM(M36:O36)</f>
        <v>570.49</v>
      </c>
    </row>
    <row r="37" spans="1:16" ht="15.75">
      <c r="A37" s="46"/>
      <c r="B37" s="46"/>
      <c r="C37" s="51" t="s">
        <v>164</v>
      </c>
      <c r="D37" s="46" t="s">
        <v>32</v>
      </c>
      <c r="E37" s="88">
        <f>SUM(E36)*1.08</f>
        <v>570.52080000000001</v>
      </c>
      <c r="F37" s="49"/>
      <c r="G37" s="49"/>
      <c r="H37" s="49"/>
      <c r="I37" s="49">
        <v>0.95</v>
      </c>
      <c r="J37" s="48"/>
      <c r="K37" s="49">
        <f>SUM(E37)*I37</f>
        <v>541.99475999999993</v>
      </c>
      <c r="L37" s="49"/>
      <c r="M37" s="49"/>
      <c r="N37" s="49">
        <f>SUM(E37)*I37</f>
        <v>541.99475999999993</v>
      </c>
      <c r="O37" s="48"/>
      <c r="P37" s="49">
        <f>SUM(M37:N37)</f>
        <v>541.99475999999993</v>
      </c>
    </row>
    <row r="38" spans="1:16">
      <c r="A38" s="46"/>
      <c r="B38" s="46"/>
      <c r="C38" s="51" t="s">
        <v>41</v>
      </c>
      <c r="D38" s="46" t="s">
        <v>12</v>
      </c>
      <c r="E38" s="88">
        <f>SUM(E36)/40</f>
        <v>13.2065</v>
      </c>
      <c r="F38" s="49"/>
      <c r="G38" s="49"/>
      <c r="H38" s="49"/>
      <c r="I38" s="49">
        <v>2.77</v>
      </c>
      <c r="J38" s="48"/>
      <c r="K38" s="49">
        <f>SUM(E38)*I38</f>
        <v>36.582005000000002</v>
      </c>
      <c r="L38" s="49"/>
      <c r="M38" s="49"/>
      <c r="N38" s="49">
        <f>SUM(E38)*I38</f>
        <v>36.582005000000002</v>
      </c>
      <c r="O38" s="48"/>
      <c r="P38" s="49">
        <f>SUM(M38:N38)</f>
        <v>36.582005000000002</v>
      </c>
    </row>
    <row r="39" spans="1:16" ht="15.75">
      <c r="A39" s="46" t="s">
        <v>90</v>
      </c>
      <c r="B39" s="46" t="s">
        <v>42</v>
      </c>
      <c r="C39" s="47" t="s">
        <v>43</v>
      </c>
      <c r="D39" s="46" t="s">
        <v>32</v>
      </c>
      <c r="E39" s="48">
        <v>528.26</v>
      </c>
      <c r="F39" s="49">
        <v>0.38</v>
      </c>
      <c r="G39" s="49">
        <v>3.5998000000000001</v>
      </c>
      <c r="H39" s="49">
        <f>SUM(F39)*(G39)</f>
        <v>1.3679240000000001</v>
      </c>
      <c r="I39" s="49"/>
      <c r="J39" s="49">
        <v>0</v>
      </c>
      <c r="K39" s="49">
        <f>ROUND(SUM(H39:J39),2)</f>
        <v>1.37</v>
      </c>
      <c r="L39" s="49">
        <f>SUM(E39)*F39</f>
        <v>200.7388</v>
      </c>
      <c r="M39" s="49">
        <f>ROUND(H39*E39,2)</f>
        <v>722.62</v>
      </c>
      <c r="N39" s="50"/>
      <c r="O39" s="49">
        <f>SUM(J39)*E39</f>
        <v>0</v>
      </c>
      <c r="P39" s="49">
        <f>SUM(M39:O39)</f>
        <v>722.62</v>
      </c>
    </row>
    <row r="40" spans="1:16">
      <c r="A40" s="46"/>
      <c r="B40" s="46"/>
      <c r="C40" s="51" t="s">
        <v>44</v>
      </c>
      <c r="D40" s="46" t="s">
        <v>12</v>
      </c>
      <c r="E40" s="88">
        <f>SUM(((E39)*0.19))/10</f>
        <v>10.03694</v>
      </c>
      <c r="F40" s="49"/>
      <c r="G40" s="49"/>
      <c r="H40" s="49"/>
      <c r="I40" s="49">
        <v>40.840000000000003</v>
      </c>
      <c r="J40" s="48"/>
      <c r="K40" s="49">
        <f>SUM(E40)*I40</f>
        <v>409.90862960000004</v>
      </c>
      <c r="L40" s="49"/>
      <c r="M40" s="49"/>
      <c r="N40" s="49">
        <f>SUM(E40)*I40</f>
        <v>409.90862960000004</v>
      </c>
      <c r="O40" s="48"/>
      <c r="P40" s="49">
        <f>SUM(M40:N40)</f>
        <v>409.90862960000004</v>
      </c>
    </row>
    <row r="41" spans="1:16" ht="25.5">
      <c r="A41" s="46" t="s">
        <v>91</v>
      </c>
      <c r="B41" s="46" t="s">
        <v>147</v>
      </c>
      <c r="C41" s="47" t="s">
        <v>165</v>
      </c>
      <c r="D41" s="46" t="s">
        <v>32</v>
      </c>
      <c r="E41" s="48">
        <v>11.31</v>
      </c>
      <c r="F41" s="49">
        <v>1.75</v>
      </c>
      <c r="G41" s="49">
        <v>3.5998000000000001</v>
      </c>
      <c r="H41" s="49">
        <f>SUM(F41)*(G41)</f>
        <v>6.2996499999999997</v>
      </c>
      <c r="I41" s="49"/>
      <c r="J41" s="49">
        <v>0.05</v>
      </c>
      <c r="K41" s="49">
        <f>ROUND(SUM(H41:J41),2)</f>
        <v>6.35</v>
      </c>
      <c r="L41" s="49">
        <f>SUM(E41)*F41</f>
        <v>19.7925</v>
      </c>
      <c r="M41" s="49">
        <f>ROUND(H41*E41,2)</f>
        <v>71.25</v>
      </c>
      <c r="N41" s="50"/>
      <c r="O41" s="49">
        <f>SUM(J41)*E41</f>
        <v>0.5655</v>
      </c>
      <c r="P41" s="49">
        <f>SUM(M41:O41)</f>
        <v>71.8155</v>
      </c>
    </row>
    <row r="42" spans="1:16" ht="15.75">
      <c r="A42" s="46"/>
      <c r="B42" s="46"/>
      <c r="C42" s="110" t="s">
        <v>149</v>
      </c>
      <c r="D42" s="46" t="s">
        <v>32</v>
      </c>
      <c r="E42" s="49">
        <f>SUM(E41)*1.05</f>
        <v>11.875500000000001</v>
      </c>
      <c r="F42" s="49"/>
      <c r="G42" s="49"/>
      <c r="H42" s="49"/>
      <c r="I42" s="49">
        <v>16.55</v>
      </c>
      <c r="J42" s="48"/>
      <c r="K42" s="49">
        <f>SUM(E42)*I42</f>
        <v>196.53952500000003</v>
      </c>
      <c r="L42" s="49"/>
      <c r="M42" s="49"/>
      <c r="N42" s="49">
        <f>SUM(E42)*I42</f>
        <v>196.53952500000003</v>
      </c>
      <c r="O42" s="48"/>
      <c r="P42" s="49">
        <f>SUM(M42:N42)</f>
        <v>196.53952500000003</v>
      </c>
    </row>
    <row r="43" spans="1:16">
      <c r="A43" s="46"/>
      <c r="B43" s="46"/>
      <c r="C43" s="110" t="s">
        <v>148</v>
      </c>
      <c r="D43" s="46" t="s">
        <v>12</v>
      </c>
      <c r="E43" s="88">
        <f>SUM(E41)*3/25</f>
        <v>1.3572</v>
      </c>
      <c r="F43" s="49"/>
      <c r="G43" s="49"/>
      <c r="H43" s="49"/>
      <c r="I43" s="49">
        <v>16.5</v>
      </c>
      <c r="J43" s="48"/>
      <c r="K43" s="49">
        <f>SUM(E43)*I43</f>
        <v>22.393799999999999</v>
      </c>
      <c r="L43" s="49"/>
      <c r="M43" s="49"/>
      <c r="N43" s="49">
        <f>SUM(E43)*I43</f>
        <v>22.393799999999999</v>
      </c>
      <c r="O43" s="48"/>
      <c r="P43" s="49">
        <f>SUM(M43:N43)</f>
        <v>22.393799999999999</v>
      </c>
    </row>
    <row r="44" spans="1:16">
      <c r="A44" s="46"/>
      <c r="B44" s="46"/>
      <c r="C44" s="110" t="s">
        <v>150</v>
      </c>
      <c r="D44" s="46" t="s">
        <v>151</v>
      </c>
      <c r="E44" s="48">
        <v>5</v>
      </c>
      <c r="F44" s="49"/>
      <c r="G44" s="49"/>
      <c r="H44" s="49"/>
      <c r="I44" s="49">
        <v>5.12</v>
      </c>
      <c r="J44" s="48"/>
      <c r="K44" s="49">
        <f>SUM(E44)*I44</f>
        <v>25.6</v>
      </c>
      <c r="L44" s="49"/>
      <c r="M44" s="49"/>
      <c r="N44" s="49">
        <f>SUM(E44)*I44</f>
        <v>25.6</v>
      </c>
      <c r="O44" s="48"/>
      <c r="P44" s="49">
        <f>SUM(M44:N44)</f>
        <v>25.6</v>
      </c>
    </row>
    <row r="45" spans="1:16">
      <c r="A45" s="46"/>
      <c r="B45" s="46"/>
      <c r="C45" s="110" t="s">
        <v>29</v>
      </c>
      <c r="D45" s="46" t="s">
        <v>12</v>
      </c>
      <c r="E45" s="48">
        <v>2</v>
      </c>
      <c r="F45" s="49"/>
      <c r="G45" s="49"/>
      <c r="H45" s="49"/>
      <c r="I45" s="49">
        <v>2.85</v>
      </c>
      <c r="J45" s="48"/>
      <c r="K45" s="49">
        <f>SUM(E45)*I45</f>
        <v>5.7</v>
      </c>
      <c r="L45" s="49"/>
      <c r="M45" s="49"/>
      <c r="N45" s="49">
        <f>SUM(E45)*I45</f>
        <v>5.7</v>
      </c>
      <c r="O45" s="48"/>
      <c r="P45" s="49">
        <f>SUM(M45:N45)</f>
        <v>5.7</v>
      </c>
    </row>
    <row r="46" spans="1:16" ht="25.5">
      <c r="A46" s="46" t="s">
        <v>92</v>
      </c>
      <c r="B46" s="46" t="s">
        <v>45</v>
      </c>
      <c r="C46" s="47" t="s">
        <v>46</v>
      </c>
      <c r="D46" s="46" t="s">
        <v>32</v>
      </c>
      <c r="E46" s="48">
        <v>182.1</v>
      </c>
      <c r="F46" s="49">
        <v>0.95</v>
      </c>
      <c r="G46" s="49">
        <v>3.5998000000000001</v>
      </c>
      <c r="H46" s="49">
        <f>SUM(F46)*(G46)</f>
        <v>3.41981</v>
      </c>
      <c r="I46" s="49"/>
      <c r="J46" s="49">
        <v>0.08</v>
      </c>
      <c r="K46" s="49">
        <f>ROUND(SUM(H46:J46),2)</f>
        <v>3.5</v>
      </c>
      <c r="L46" s="49">
        <f>SUM(E46)*F46</f>
        <v>172.99499999999998</v>
      </c>
      <c r="M46" s="49">
        <f>ROUND(H46*E46,2)</f>
        <v>622.75</v>
      </c>
      <c r="N46" s="50"/>
      <c r="O46" s="49">
        <f>SUM(J46)*E46</f>
        <v>14.568</v>
      </c>
      <c r="P46" s="49">
        <f>SUM(M46:O46)</f>
        <v>637.31799999999998</v>
      </c>
    </row>
    <row r="47" spans="1:16" ht="15.75">
      <c r="A47" s="46"/>
      <c r="B47" s="46"/>
      <c r="C47" s="51" t="s">
        <v>117</v>
      </c>
      <c r="D47" s="46" t="s">
        <v>32</v>
      </c>
      <c r="E47" s="49">
        <f>SUM(E46)*1.15</f>
        <v>209.41499999999996</v>
      </c>
      <c r="F47" s="49"/>
      <c r="G47" s="49"/>
      <c r="H47" s="49"/>
      <c r="I47" s="49">
        <v>3.75</v>
      </c>
      <c r="J47" s="48"/>
      <c r="K47" s="49">
        <f t="shared" ref="K47:K52" si="6">SUM(E47)*I47</f>
        <v>785.30624999999986</v>
      </c>
      <c r="L47" s="49"/>
      <c r="M47" s="49"/>
      <c r="N47" s="49">
        <f t="shared" ref="N47:N52" si="7">SUM(E47)*I47</f>
        <v>785.30624999999986</v>
      </c>
      <c r="O47" s="48"/>
      <c r="P47" s="49">
        <f t="shared" ref="P47:P52" si="8">SUM(M47:N47)</f>
        <v>785.30624999999986</v>
      </c>
    </row>
    <row r="48" spans="1:16" ht="22.5">
      <c r="A48" s="46"/>
      <c r="B48" s="46"/>
      <c r="C48" s="51" t="s">
        <v>47</v>
      </c>
      <c r="D48" s="46" t="s">
        <v>12</v>
      </c>
      <c r="E48" s="88">
        <f>SUM(E46)*0.25</f>
        <v>45.524999999999999</v>
      </c>
      <c r="F48" s="49"/>
      <c r="G48" s="49"/>
      <c r="H48" s="49"/>
      <c r="I48" s="49">
        <v>1.51</v>
      </c>
      <c r="J48" s="48"/>
      <c r="K48" s="49">
        <f t="shared" si="6"/>
        <v>68.742750000000001</v>
      </c>
      <c r="L48" s="49"/>
      <c r="M48" s="49"/>
      <c r="N48" s="49">
        <f t="shared" si="7"/>
        <v>68.742750000000001</v>
      </c>
      <c r="O48" s="48"/>
      <c r="P48" s="49">
        <f t="shared" si="8"/>
        <v>68.742750000000001</v>
      </c>
    </row>
    <row r="49" spans="1:16">
      <c r="A49" s="46"/>
      <c r="B49" s="46"/>
      <c r="C49" s="51" t="s">
        <v>48</v>
      </c>
      <c r="D49" s="46" t="s">
        <v>12</v>
      </c>
      <c r="E49" s="88">
        <f>SUM(E46)*0.3</f>
        <v>54.629999999999995</v>
      </c>
      <c r="F49" s="49"/>
      <c r="G49" s="49"/>
      <c r="H49" s="49"/>
      <c r="I49" s="49">
        <v>2.85</v>
      </c>
      <c r="J49" s="48"/>
      <c r="K49" s="49">
        <f t="shared" si="6"/>
        <v>155.69549999999998</v>
      </c>
      <c r="L49" s="49"/>
      <c r="M49" s="49"/>
      <c r="N49" s="49">
        <f t="shared" si="7"/>
        <v>155.69549999999998</v>
      </c>
      <c r="O49" s="48"/>
      <c r="P49" s="49">
        <f t="shared" si="8"/>
        <v>155.69549999999998</v>
      </c>
    </row>
    <row r="50" spans="1:16">
      <c r="A50" s="46"/>
      <c r="B50" s="46"/>
      <c r="C50" s="51" t="s">
        <v>49</v>
      </c>
      <c r="D50" s="46" t="s">
        <v>12</v>
      </c>
      <c r="E50" s="88">
        <f>SUM(E46*1.3)</f>
        <v>236.73</v>
      </c>
      <c r="F50" s="49"/>
      <c r="G50" s="49"/>
      <c r="H50" s="49"/>
      <c r="I50" s="49">
        <v>0.92</v>
      </c>
      <c r="J50" s="48"/>
      <c r="K50" s="49">
        <f t="shared" si="6"/>
        <v>217.79159999999999</v>
      </c>
      <c r="L50" s="49"/>
      <c r="M50" s="49"/>
      <c r="N50" s="49">
        <f t="shared" si="7"/>
        <v>217.79159999999999</v>
      </c>
      <c r="O50" s="48"/>
      <c r="P50" s="49">
        <f t="shared" si="8"/>
        <v>217.79159999999999</v>
      </c>
    </row>
    <row r="51" spans="1:16">
      <c r="A51" s="46"/>
      <c r="B51" s="46"/>
      <c r="C51" s="51" t="s">
        <v>50</v>
      </c>
      <c r="D51" s="46" t="s">
        <v>12</v>
      </c>
      <c r="E51" s="88">
        <f>SUM(E46*1.3)</f>
        <v>236.73</v>
      </c>
      <c r="F51" s="49"/>
      <c r="G51" s="49"/>
      <c r="H51" s="49"/>
      <c r="I51" s="49">
        <v>0.47</v>
      </c>
      <c r="J51" s="48"/>
      <c r="K51" s="49">
        <f t="shared" si="6"/>
        <v>111.26309999999999</v>
      </c>
      <c r="L51" s="49"/>
      <c r="M51" s="49"/>
      <c r="N51" s="49">
        <f t="shared" si="7"/>
        <v>111.26309999999999</v>
      </c>
      <c r="O51" s="48"/>
      <c r="P51" s="49">
        <f t="shared" si="8"/>
        <v>111.26309999999999</v>
      </c>
    </row>
    <row r="52" spans="1:16">
      <c r="A52" s="46"/>
      <c r="B52" s="46"/>
      <c r="C52" s="51" t="s">
        <v>51</v>
      </c>
      <c r="D52" s="46" t="s">
        <v>12</v>
      </c>
      <c r="E52" s="48">
        <f>SUM(E46)*0.5</f>
        <v>91.05</v>
      </c>
      <c r="F52" s="49"/>
      <c r="G52" s="49"/>
      <c r="H52" s="49"/>
      <c r="I52" s="49">
        <v>0.31</v>
      </c>
      <c r="J52" s="48"/>
      <c r="K52" s="49">
        <f t="shared" si="6"/>
        <v>28.2255</v>
      </c>
      <c r="L52" s="49"/>
      <c r="M52" s="49"/>
      <c r="N52" s="49">
        <f t="shared" si="7"/>
        <v>28.2255</v>
      </c>
      <c r="O52" s="48"/>
      <c r="P52" s="49">
        <f t="shared" si="8"/>
        <v>28.2255</v>
      </c>
    </row>
    <row r="53" spans="1:16">
      <c r="A53" s="79"/>
      <c r="B53" s="80"/>
      <c r="C53" s="81" t="s">
        <v>118</v>
      </c>
      <c r="D53" s="82"/>
      <c r="E53" s="83"/>
      <c r="F53" s="84"/>
      <c r="G53" s="84"/>
      <c r="H53" s="85"/>
      <c r="I53" s="85"/>
      <c r="J53" s="85"/>
      <c r="K53" s="85"/>
      <c r="L53" s="85"/>
      <c r="M53" s="86"/>
      <c r="N53" s="85"/>
      <c r="O53" s="85"/>
      <c r="P53" s="87"/>
    </row>
    <row r="54" spans="1:16" ht="25.5">
      <c r="A54" s="46" t="s">
        <v>119</v>
      </c>
      <c r="B54" s="46" t="s">
        <v>124</v>
      </c>
      <c r="C54" s="47" t="s">
        <v>125</v>
      </c>
      <c r="D54" s="46" t="s">
        <v>32</v>
      </c>
      <c r="E54" s="48">
        <v>182.1</v>
      </c>
      <c r="F54" s="49">
        <v>1.1000000000000001</v>
      </c>
      <c r="G54" s="49">
        <v>3.5998000000000001</v>
      </c>
      <c r="H54" s="49">
        <f>SUM(F54)*(G54)</f>
        <v>3.9597800000000003</v>
      </c>
      <c r="I54" s="49"/>
      <c r="J54" s="49">
        <v>0.01</v>
      </c>
      <c r="K54" s="49">
        <f>ROUND(SUM(H54:J54),2)</f>
        <v>3.97</v>
      </c>
      <c r="L54" s="49">
        <f>SUM(E54)*F54</f>
        <v>200.31</v>
      </c>
      <c r="M54" s="49">
        <f>ROUND(H54*E54,2)</f>
        <v>721.08</v>
      </c>
      <c r="N54" s="50"/>
      <c r="O54" s="49">
        <f>SUM(J54)*E54</f>
        <v>1.821</v>
      </c>
      <c r="P54" s="49">
        <f>SUM(M54:O54)</f>
        <v>722.90100000000007</v>
      </c>
    </row>
    <row r="55" spans="1:16" ht="15.75">
      <c r="A55" s="46"/>
      <c r="B55" s="46"/>
      <c r="C55" s="51" t="s">
        <v>126</v>
      </c>
      <c r="D55" s="46" t="s">
        <v>32</v>
      </c>
      <c r="E55" s="49">
        <f>SUM(E54)*1.1</f>
        <v>200.31</v>
      </c>
      <c r="F55" s="49"/>
      <c r="G55" s="49"/>
      <c r="H55" s="49"/>
      <c r="I55" s="49">
        <v>5.5</v>
      </c>
      <c r="J55" s="48"/>
      <c r="K55" s="49">
        <f>SUM(E55)*I55</f>
        <v>1101.7049999999999</v>
      </c>
      <c r="L55" s="49"/>
      <c r="M55" s="49"/>
      <c r="N55" s="49">
        <f>SUM(E55)*I55</f>
        <v>1101.7049999999999</v>
      </c>
      <c r="O55" s="48"/>
      <c r="P55" s="49">
        <f>SUM(M55:N55)</f>
        <v>1101.7049999999999</v>
      </c>
    </row>
    <row r="56" spans="1:16" ht="15.75">
      <c r="A56" s="46"/>
      <c r="B56" s="46"/>
      <c r="C56" s="51" t="s">
        <v>127</v>
      </c>
      <c r="D56" s="46" t="s">
        <v>85</v>
      </c>
      <c r="E56" s="49">
        <f>SUM((E54)*4.2)*0.03*0.12</f>
        <v>2.753352</v>
      </c>
      <c r="F56" s="49"/>
      <c r="G56" s="49"/>
      <c r="H56" s="49"/>
      <c r="I56" s="49">
        <v>178</v>
      </c>
      <c r="J56" s="48"/>
      <c r="K56" s="49">
        <f>SUM(E56)*I56</f>
        <v>490.096656</v>
      </c>
      <c r="L56" s="49"/>
      <c r="M56" s="49"/>
      <c r="N56" s="49">
        <f>SUM(E56)*I56</f>
        <v>490.096656</v>
      </c>
      <c r="O56" s="48"/>
      <c r="P56" s="49">
        <f>SUM(M56:N56)</f>
        <v>490.096656</v>
      </c>
    </row>
    <row r="57" spans="1:16" ht="15.75">
      <c r="A57" s="46" t="s">
        <v>128</v>
      </c>
      <c r="B57" s="46" t="s">
        <v>129</v>
      </c>
      <c r="C57" s="103" t="s">
        <v>130</v>
      </c>
      <c r="D57" s="46" t="s">
        <v>32</v>
      </c>
      <c r="E57" s="104">
        <v>10</v>
      </c>
      <c r="F57" s="105">
        <v>1.01</v>
      </c>
      <c r="G57" s="49">
        <v>3.5998000000000001</v>
      </c>
      <c r="H57" s="105">
        <f>SUM(F57)*(G57)</f>
        <v>3.6357980000000003</v>
      </c>
      <c r="I57" s="105"/>
      <c r="J57" s="105">
        <v>0</v>
      </c>
      <c r="K57" s="105">
        <f>ROUND(SUM(H57:J57),2)</f>
        <v>3.64</v>
      </c>
      <c r="L57" s="105">
        <f>SUM(E57)*F57</f>
        <v>10.1</v>
      </c>
      <c r="M57" s="105">
        <f>ROUND(H57*E57,2)</f>
        <v>36.36</v>
      </c>
      <c r="N57" s="106"/>
      <c r="O57" s="105">
        <f>SUM(J57)*E57</f>
        <v>0</v>
      </c>
      <c r="P57" s="105">
        <f>SUM(M57:O57)</f>
        <v>36.36</v>
      </c>
    </row>
    <row r="58" spans="1:16" ht="15.75">
      <c r="A58" s="46"/>
      <c r="B58" s="46"/>
      <c r="C58" s="107" t="s">
        <v>131</v>
      </c>
      <c r="D58" s="46" t="s">
        <v>32</v>
      </c>
      <c r="E58" s="120">
        <f>SUM(E57)*1.15</f>
        <v>11.5</v>
      </c>
      <c r="F58" s="105"/>
      <c r="G58" s="105"/>
      <c r="H58" s="105"/>
      <c r="I58" s="105">
        <v>8.5299999999999994</v>
      </c>
      <c r="J58" s="104"/>
      <c r="K58" s="105">
        <f>SUM(E58)*I58</f>
        <v>98.094999999999999</v>
      </c>
      <c r="L58" s="105"/>
      <c r="M58" s="105"/>
      <c r="N58" s="105">
        <f>SUM(E58)*I58</f>
        <v>98.094999999999999</v>
      </c>
      <c r="O58" s="104"/>
      <c r="P58" s="105">
        <f>SUM(M58:N58)</f>
        <v>98.094999999999999</v>
      </c>
    </row>
    <row r="59" spans="1:16" ht="15.75">
      <c r="A59" s="46"/>
      <c r="B59" s="46"/>
      <c r="C59" s="107" t="s">
        <v>132</v>
      </c>
      <c r="D59" s="46" t="s">
        <v>32</v>
      </c>
      <c r="E59" s="108">
        <f>SUM(E58)*1.15</f>
        <v>13.225</v>
      </c>
      <c r="F59" s="105"/>
      <c r="G59" s="105"/>
      <c r="H59" s="105"/>
      <c r="I59" s="105">
        <v>7</v>
      </c>
      <c r="J59" s="104"/>
      <c r="K59" s="105">
        <f>SUM(E59)*I59</f>
        <v>92.575000000000003</v>
      </c>
      <c r="L59" s="105"/>
      <c r="M59" s="105"/>
      <c r="N59" s="105">
        <f>SUM(E59)*I59</f>
        <v>92.575000000000003</v>
      </c>
      <c r="O59" s="104"/>
      <c r="P59" s="105">
        <f>SUM(M59:N59)</f>
        <v>92.575000000000003</v>
      </c>
    </row>
    <row r="60" spans="1:16" ht="15.75">
      <c r="A60" s="46" t="s">
        <v>133</v>
      </c>
      <c r="B60" s="46" t="s">
        <v>52</v>
      </c>
      <c r="C60" s="47" t="s">
        <v>53</v>
      </c>
      <c r="D60" s="46" t="s">
        <v>32</v>
      </c>
      <c r="E60" s="48">
        <v>182.1</v>
      </c>
      <c r="F60" s="49">
        <v>0.5</v>
      </c>
      <c r="G60" s="49">
        <v>3.5998000000000001</v>
      </c>
      <c r="H60" s="49">
        <f>SUM(F60)*(G60)</f>
        <v>1.7999000000000001</v>
      </c>
      <c r="I60" s="49"/>
      <c r="J60" s="49">
        <v>0</v>
      </c>
      <c r="K60" s="49">
        <f>ROUND(SUM(H60:J60),2)</f>
        <v>1.8</v>
      </c>
      <c r="L60" s="49">
        <f>SUM(E60)*F60</f>
        <v>91.05</v>
      </c>
      <c r="M60" s="49">
        <f>ROUND(H60*E60,2)</f>
        <v>327.76</v>
      </c>
      <c r="N60" s="50"/>
      <c r="O60" s="49">
        <f>SUM(J60)*E60</f>
        <v>0</v>
      </c>
      <c r="P60" s="49">
        <f>SUM(M60:O60)</f>
        <v>327.76</v>
      </c>
    </row>
    <row r="61" spans="1:16" ht="15.75">
      <c r="A61" s="46"/>
      <c r="B61" s="46"/>
      <c r="C61" s="51" t="s">
        <v>54</v>
      </c>
      <c r="D61" s="46" t="s">
        <v>32</v>
      </c>
      <c r="E61" s="49">
        <f>SUM(E60)*1.08</f>
        <v>196.66800000000001</v>
      </c>
      <c r="F61" s="49"/>
      <c r="G61" s="49"/>
      <c r="H61" s="49"/>
      <c r="I61" s="49">
        <v>16.309999999999999</v>
      </c>
      <c r="J61" s="48"/>
      <c r="K61" s="49">
        <f>SUM(E61)*I61</f>
        <v>3207.65508</v>
      </c>
      <c r="L61" s="49"/>
      <c r="M61" s="49"/>
      <c r="N61" s="49">
        <f>SUM(E61)*I61</f>
        <v>3207.65508</v>
      </c>
      <c r="O61" s="48"/>
      <c r="P61" s="49">
        <f>SUM(M61:N61)</f>
        <v>3207.65508</v>
      </c>
    </row>
    <row r="62" spans="1:16">
      <c r="A62" s="46"/>
      <c r="B62" s="46"/>
      <c r="C62" s="51" t="s">
        <v>55</v>
      </c>
      <c r="D62" s="46" t="s">
        <v>56</v>
      </c>
      <c r="E62" s="49">
        <f>SUM(E60)*0.45</f>
        <v>81.944999999999993</v>
      </c>
      <c r="F62" s="49"/>
      <c r="G62" s="49"/>
      <c r="H62" s="49"/>
      <c r="I62" s="49">
        <v>5.8</v>
      </c>
      <c r="J62" s="48"/>
      <c r="K62" s="49">
        <f>SUM(E62)*I62</f>
        <v>475.28099999999995</v>
      </c>
      <c r="L62" s="49"/>
      <c r="M62" s="49"/>
      <c r="N62" s="49">
        <f>SUM(E62)*I62</f>
        <v>475.28099999999995</v>
      </c>
      <c r="O62" s="48"/>
      <c r="P62" s="49">
        <f>SUM(M62:N62)</f>
        <v>475.28099999999995</v>
      </c>
    </row>
    <row r="63" spans="1:16" ht="25.5">
      <c r="A63" s="46" t="s">
        <v>134</v>
      </c>
      <c r="B63" s="46" t="s">
        <v>173</v>
      </c>
      <c r="C63" s="101" t="s">
        <v>174</v>
      </c>
      <c r="D63" s="46" t="s">
        <v>32</v>
      </c>
      <c r="E63" s="48">
        <v>5</v>
      </c>
      <c r="F63" s="49">
        <v>1.8</v>
      </c>
      <c r="G63" s="49">
        <v>5</v>
      </c>
      <c r="H63" s="49">
        <f>SUM(F63)*(G63)</f>
        <v>9</v>
      </c>
      <c r="I63" s="49"/>
      <c r="J63" s="49">
        <v>0.03</v>
      </c>
      <c r="K63" s="49">
        <f>ROUND(SUM(H63:J63),2)</f>
        <v>9.0299999999999994</v>
      </c>
      <c r="L63" s="49">
        <f>SUM(E63)*F63</f>
        <v>9</v>
      </c>
      <c r="M63" s="49">
        <f>ROUND(H63*E63,2)</f>
        <v>45</v>
      </c>
      <c r="N63" s="50"/>
      <c r="O63" s="49">
        <f>SUM(J63)*E63</f>
        <v>0.15</v>
      </c>
      <c r="P63" s="49">
        <f>SUM(M63:O63)</f>
        <v>45.15</v>
      </c>
    </row>
    <row r="64" spans="1:16" ht="15.75">
      <c r="A64" s="46"/>
      <c r="B64" s="46"/>
      <c r="C64" s="110" t="s">
        <v>175</v>
      </c>
      <c r="D64" s="46" t="s">
        <v>32</v>
      </c>
      <c r="E64" s="49">
        <f>SUM(E63)*1.05</f>
        <v>5.25</v>
      </c>
      <c r="F64" s="49"/>
      <c r="G64" s="49"/>
      <c r="H64" s="49"/>
      <c r="I64" s="49">
        <v>8.82</v>
      </c>
      <c r="J64" s="48"/>
      <c r="K64" s="49">
        <f>SUM(E64)*I64</f>
        <v>46.305</v>
      </c>
      <c r="L64" s="49"/>
      <c r="M64" s="49"/>
      <c r="N64" s="49">
        <f>SUM(E64)*I64</f>
        <v>46.305</v>
      </c>
      <c r="O64" s="48"/>
      <c r="P64" s="49">
        <f>SUM(M64:N64)</f>
        <v>46.305</v>
      </c>
    </row>
    <row r="65" spans="1:16">
      <c r="A65" s="46"/>
      <c r="B65" s="46"/>
      <c r="C65" s="110" t="s">
        <v>148</v>
      </c>
      <c r="D65" s="46" t="s">
        <v>12</v>
      </c>
      <c r="E65" s="119">
        <f>SUM(E63)*3/25</f>
        <v>0.6</v>
      </c>
      <c r="F65" s="49"/>
      <c r="G65" s="49"/>
      <c r="H65" s="49"/>
      <c r="I65" s="49">
        <v>11.6</v>
      </c>
      <c r="J65" s="48"/>
      <c r="K65" s="49">
        <f>SUM(E65)*I65</f>
        <v>6.96</v>
      </c>
      <c r="L65" s="49"/>
      <c r="M65" s="49"/>
      <c r="N65" s="49">
        <f>SUM(E65)*I65</f>
        <v>6.96</v>
      </c>
      <c r="O65" s="48"/>
      <c r="P65" s="49">
        <f>SUM(M65:N65)</f>
        <v>6.96</v>
      </c>
    </row>
    <row r="66" spans="1:16">
      <c r="A66" s="46"/>
      <c r="B66" s="46"/>
      <c r="C66" s="110" t="s">
        <v>150</v>
      </c>
      <c r="D66" s="46" t="s">
        <v>151</v>
      </c>
      <c r="E66" s="48">
        <v>2</v>
      </c>
      <c r="F66" s="49"/>
      <c r="G66" s="49"/>
      <c r="H66" s="49"/>
      <c r="I66" s="49">
        <v>3.6</v>
      </c>
      <c r="J66" s="48"/>
      <c r="K66" s="49">
        <f>SUM(E66)*I66</f>
        <v>7.2</v>
      </c>
      <c r="L66" s="49"/>
      <c r="M66" s="49"/>
      <c r="N66" s="49">
        <f>SUM(E66)*I66</f>
        <v>7.2</v>
      </c>
      <c r="O66" s="48"/>
      <c r="P66" s="49">
        <f>SUM(M66:N66)</f>
        <v>7.2</v>
      </c>
    </row>
    <row r="67" spans="1:16">
      <c r="A67" s="46"/>
      <c r="B67" s="46"/>
      <c r="C67" s="110" t="s">
        <v>29</v>
      </c>
      <c r="D67" s="46" t="s">
        <v>12</v>
      </c>
      <c r="E67" s="48">
        <v>1</v>
      </c>
      <c r="F67" s="49"/>
      <c r="G67" s="49"/>
      <c r="H67" s="49"/>
      <c r="I67" s="49">
        <v>2</v>
      </c>
      <c r="J67" s="48"/>
      <c r="K67" s="49">
        <f>SUM(E67)*I67</f>
        <v>2</v>
      </c>
      <c r="L67" s="49"/>
      <c r="M67" s="49"/>
      <c r="N67" s="49">
        <f>SUM(E67)*I67</f>
        <v>2</v>
      </c>
      <c r="O67" s="48"/>
      <c r="P67" s="49">
        <f>SUM(M67:N67)</f>
        <v>2</v>
      </c>
    </row>
    <row r="68" spans="1:16">
      <c r="A68" s="46" t="s">
        <v>135</v>
      </c>
      <c r="B68" s="46" t="s">
        <v>57</v>
      </c>
      <c r="C68" s="47" t="s">
        <v>58</v>
      </c>
      <c r="D68" s="46" t="s">
        <v>36</v>
      </c>
      <c r="E68" s="48">
        <v>214.7</v>
      </c>
      <c r="F68" s="49">
        <v>0.2</v>
      </c>
      <c r="G68" s="49">
        <v>3.5998000000000001</v>
      </c>
      <c r="H68" s="49">
        <f>SUM(F68)*(G68)</f>
        <v>0.71996000000000004</v>
      </c>
      <c r="I68" s="49"/>
      <c r="J68" s="49">
        <v>0.03</v>
      </c>
      <c r="K68" s="49">
        <f>ROUND(SUM(H68:J68),2)</f>
        <v>0.75</v>
      </c>
      <c r="L68" s="49">
        <f>SUM(E68)*F68</f>
        <v>42.94</v>
      </c>
      <c r="M68" s="49">
        <f>ROUND(H68*E68,2)</f>
        <v>154.58000000000001</v>
      </c>
      <c r="N68" s="50"/>
      <c r="O68" s="49">
        <f>SUM(J68)*E68</f>
        <v>6.4409999999999998</v>
      </c>
      <c r="P68" s="49">
        <f>SUM(M68:O68)</f>
        <v>161.02100000000002</v>
      </c>
    </row>
    <row r="69" spans="1:16">
      <c r="A69" s="46"/>
      <c r="B69" s="46"/>
      <c r="C69" s="51" t="s">
        <v>59</v>
      </c>
      <c r="D69" s="46" t="s">
        <v>12</v>
      </c>
      <c r="E69" s="88">
        <f>SUM(E68)/2.79</f>
        <v>76.953405017921142</v>
      </c>
      <c r="F69" s="49"/>
      <c r="G69" s="49"/>
      <c r="H69" s="49"/>
      <c r="I69" s="49">
        <v>2.2200000000000002</v>
      </c>
      <c r="J69" s="48"/>
      <c r="K69" s="49">
        <f>SUM(E69)*I69</f>
        <v>170.83655913978495</v>
      </c>
      <c r="L69" s="49"/>
      <c r="M69" s="49"/>
      <c r="N69" s="49">
        <f>SUM(E69)*I69</f>
        <v>170.83655913978495</v>
      </c>
      <c r="O69" s="48"/>
      <c r="P69" s="49">
        <f>SUM(M69:N69)</f>
        <v>170.83655913978495</v>
      </c>
    </row>
    <row r="70" spans="1:16">
      <c r="A70" s="46"/>
      <c r="B70" s="46"/>
      <c r="C70" s="51" t="s">
        <v>60</v>
      </c>
      <c r="D70" s="46" t="s">
        <v>12</v>
      </c>
      <c r="E70" s="88">
        <v>30</v>
      </c>
      <c r="F70" s="49"/>
      <c r="G70" s="49"/>
      <c r="H70" s="49"/>
      <c r="I70" s="49">
        <v>2.56</v>
      </c>
      <c r="J70" s="48"/>
      <c r="K70" s="49">
        <f>SUM(E70)*I70</f>
        <v>76.8</v>
      </c>
      <c r="L70" s="49"/>
      <c r="M70" s="49"/>
      <c r="N70" s="49">
        <f>SUM(E70)*I70</f>
        <v>76.8</v>
      </c>
      <c r="O70" s="48"/>
      <c r="P70" s="49">
        <f>SUM(M70:N70)</f>
        <v>76.8</v>
      </c>
    </row>
    <row r="71" spans="1:16">
      <c r="A71" s="94"/>
      <c r="B71" s="98"/>
      <c r="C71" s="109" t="s">
        <v>136</v>
      </c>
      <c r="D71" s="98"/>
      <c r="E71" s="100"/>
      <c r="F71" s="99"/>
      <c r="G71" s="99"/>
      <c r="H71" s="99"/>
      <c r="I71" s="99"/>
      <c r="J71" s="100"/>
      <c r="K71" s="99"/>
      <c r="L71" s="99"/>
      <c r="M71" s="99"/>
      <c r="N71" s="99"/>
      <c r="O71" s="100"/>
      <c r="P71" s="95"/>
    </row>
    <row r="72" spans="1:16">
      <c r="A72" s="46" t="s">
        <v>137</v>
      </c>
      <c r="B72" s="46" t="s">
        <v>61</v>
      </c>
      <c r="C72" s="47" t="s">
        <v>62</v>
      </c>
      <c r="D72" s="46" t="s">
        <v>36</v>
      </c>
      <c r="E72" s="48">
        <v>150</v>
      </c>
      <c r="F72" s="49">
        <v>0.25</v>
      </c>
      <c r="G72" s="49">
        <v>3.5998000000000001</v>
      </c>
      <c r="H72" s="49">
        <f>SUM(F72)*(G72)</f>
        <v>0.89995000000000003</v>
      </c>
      <c r="I72" s="49"/>
      <c r="J72" s="49">
        <v>0.03</v>
      </c>
      <c r="K72" s="49">
        <f>ROUND(SUM(H72:J72),2)</f>
        <v>0.93</v>
      </c>
      <c r="L72" s="49">
        <f>SUM(E72)*F72</f>
        <v>37.5</v>
      </c>
      <c r="M72" s="49">
        <f>ROUND(H72*E72,2)</f>
        <v>134.99</v>
      </c>
      <c r="N72" s="50"/>
      <c r="O72" s="49">
        <f>SUM(J72)*E72</f>
        <v>4.5</v>
      </c>
      <c r="P72" s="49">
        <f>SUM(M72:O72)</f>
        <v>139.49</v>
      </c>
    </row>
    <row r="73" spans="1:16">
      <c r="A73" s="46"/>
      <c r="B73" s="46"/>
      <c r="C73" s="51" t="s">
        <v>63</v>
      </c>
      <c r="D73" s="46" t="s">
        <v>36</v>
      </c>
      <c r="E73" s="48">
        <v>150</v>
      </c>
      <c r="F73" s="49"/>
      <c r="G73" s="49"/>
      <c r="H73" s="49"/>
      <c r="I73" s="49">
        <v>7.8</v>
      </c>
      <c r="J73" s="48"/>
      <c r="K73" s="49">
        <f>SUM(E73)*I73</f>
        <v>1170</v>
      </c>
      <c r="L73" s="49"/>
      <c r="M73" s="49"/>
      <c r="N73" s="49">
        <f>SUM(E73)*I73</f>
        <v>1170</v>
      </c>
      <c r="O73" s="48"/>
      <c r="P73" s="49">
        <f>SUM(M73:N73)</f>
        <v>1170</v>
      </c>
    </row>
    <row r="74" spans="1:16" ht="25.5">
      <c r="A74" s="46" t="s">
        <v>138</v>
      </c>
      <c r="B74" s="46" t="s">
        <v>64</v>
      </c>
      <c r="C74" s="47" t="s">
        <v>65</v>
      </c>
      <c r="D74" s="46" t="s">
        <v>66</v>
      </c>
      <c r="E74" s="48">
        <v>1</v>
      </c>
      <c r="F74" s="49">
        <v>180</v>
      </c>
      <c r="G74" s="49">
        <v>3.5998000000000001</v>
      </c>
      <c r="H74" s="49">
        <f>SUM(F74)*(G74)</f>
        <v>647.96400000000006</v>
      </c>
      <c r="I74" s="49"/>
      <c r="J74" s="49">
        <v>75</v>
      </c>
      <c r="K74" s="49">
        <f>ROUND(SUM(H74:J74),2)</f>
        <v>722.96</v>
      </c>
      <c r="L74" s="49">
        <f>SUM(E74)*F74</f>
        <v>180</v>
      </c>
      <c r="M74" s="49">
        <f>ROUND(H74*E74,2)</f>
        <v>647.96</v>
      </c>
      <c r="N74" s="50"/>
      <c r="O74" s="49">
        <f>SUM(J74)*E74</f>
        <v>75</v>
      </c>
      <c r="P74" s="49">
        <f>SUM(M74:O74)</f>
        <v>722.96</v>
      </c>
    </row>
    <row r="75" spans="1:16">
      <c r="A75" s="46"/>
      <c r="B75" s="46"/>
      <c r="C75" s="51" t="s">
        <v>67</v>
      </c>
      <c r="D75" s="46" t="s">
        <v>12</v>
      </c>
      <c r="E75" s="48">
        <v>16</v>
      </c>
      <c r="F75" s="49"/>
      <c r="G75" s="49"/>
      <c r="H75" s="49"/>
      <c r="I75" s="49">
        <v>5.03</v>
      </c>
      <c r="J75" s="48"/>
      <c r="K75" s="49">
        <f>SUM(E75)*I75</f>
        <v>80.48</v>
      </c>
      <c r="L75" s="49"/>
      <c r="M75" s="49"/>
      <c r="N75" s="49">
        <f t="shared" ref="N75:N80" si="9">SUM(E75)*I75</f>
        <v>80.48</v>
      </c>
      <c r="O75" s="48"/>
      <c r="P75" s="49">
        <f t="shared" ref="P75:P80" si="10">SUM(M75:N75)</f>
        <v>80.48</v>
      </c>
    </row>
    <row r="76" spans="1:16" ht="12.75" customHeight="1">
      <c r="A76" s="46"/>
      <c r="B76" s="46"/>
      <c r="C76" s="51" t="s">
        <v>68</v>
      </c>
      <c r="D76" s="46" t="s">
        <v>12</v>
      </c>
      <c r="E76" s="48">
        <v>60</v>
      </c>
      <c r="F76" s="49"/>
      <c r="G76" s="49"/>
      <c r="H76" s="49"/>
      <c r="I76" s="49">
        <v>4.05</v>
      </c>
      <c r="J76" s="48"/>
      <c r="K76" s="49">
        <f>SUM(E76)*I76</f>
        <v>243</v>
      </c>
      <c r="L76" s="49"/>
      <c r="M76" s="49"/>
      <c r="N76" s="49">
        <f t="shared" si="9"/>
        <v>243</v>
      </c>
      <c r="O76" s="48"/>
      <c r="P76" s="49">
        <f t="shared" si="10"/>
        <v>243</v>
      </c>
    </row>
    <row r="77" spans="1:16">
      <c r="A77" s="46"/>
      <c r="B77" s="46"/>
      <c r="C77" s="51" t="s">
        <v>69</v>
      </c>
      <c r="D77" s="46" t="s">
        <v>36</v>
      </c>
      <c r="E77" s="48">
        <v>1500</v>
      </c>
      <c r="F77" s="49"/>
      <c r="G77" s="49"/>
      <c r="H77" s="49"/>
      <c r="I77" s="49">
        <v>0.61</v>
      </c>
      <c r="J77" s="48"/>
      <c r="K77" s="49">
        <f>SUM(E77)*I77</f>
        <v>915</v>
      </c>
      <c r="L77" s="49"/>
      <c r="M77" s="49"/>
      <c r="N77" s="49">
        <f t="shared" si="9"/>
        <v>915</v>
      </c>
      <c r="O77" s="48"/>
      <c r="P77" s="49">
        <f t="shared" si="10"/>
        <v>915</v>
      </c>
    </row>
    <row r="78" spans="1:16">
      <c r="A78" s="46"/>
      <c r="B78" s="46"/>
      <c r="C78" s="51" t="s">
        <v>70</v>
      </c>
      <c r="D78" s="46" t="s">
        <v>36</v>
      </c>
      <c r="E78" s="48">
        <v>1000</v>
      </c>
      <c r="F78" s="49"/>
      <c r="G78" s="49"/>
      <c r="H78" s="49"/>
      <c r="I78" s="49">
        <v>0.88</v>
      </c>
      <c r="J78" s="48"/>
      <c r="K78" s="49">
        <f>SUM(E78)*I78</f>
        <v>880</v>
      </c>
      <c r="L78" s="49"/>
      <c r="M78" s="49"/>
      <c r="N78" s="49">
        <f t="shared" si="9"/>
        <v>880</v>
      </c>
      <c r="O78" s="48"/>
      <c r="P78" s="49">
        <f t="shared" si="10"/>
        <v>880</v>
      </c>
    </row>
    <row r="79" spans="1:16">
      <c r="A79" s="46"/>
      <c r="B79" s="46"/>
      <c r="C79" s="51" t="s">
        <v>71</v>
      </c>
      <c r="D79" s="46" t="s">
        <v>72</v>
      </c>
      <c r="E79" s="48">
        <v>5</v>
      </c>
      <c r="F79" s="49"/>
      <c r="G79" s="49"/>
      <c r="H79" s="49"/>
      <c r="I79" s="49">
        <v>9.25</v>
      </c>
      <c r="J79" s="48"/>
      <c r="K79" s="49">
        <f>SUM(I79)</f>
        <v>9.25</v>
      </c>
      <c r="L79" s="49"/>
      <c r="M79" s="49"/>
      <c r="N79" s="49">
        <f t="shared" si="9"/>
        <v>46.25</v>
      </c>
      <c r="O79" s="48"/>
      <c r="P79" s="49">
        <f t="shared" si="10"/>
        <v>46.25</v>
      </c>
    </row>
    <row r="80" spans="1:16">
      <c r="A80" s="46"/>
      <c r="B80" s="46"/>
      <c r="C80" s="51" t="s">
        <v>73</v>
      </c>
      <c r="D80" s="46" t="s">
        <v>12</v>
      </c>
      <c r="E80" s="48">
        <v>3</v>
      </c>
      <c r="F80" s="49"/>
      <c r="G80" s="49"/>
      <c r="H80" s="49"/>
      <c r="I80" s="49">
        <v>1.24</v>
      </c>
      <c r="J80" s="48"/>
      <c r="K80" s="49">
        <f>SUM(I80)</f>
        <v>1.24</v>
      </c>
      <c r="L80" s="49"/>
      <c r="M80" s="49"/>
      <c r="N80" s="49">
        <f t="shared" si="9"/>
        <v>3.7199999999999998</v>
      </c>
      <c r="O80" s="48"/>
      <c r="P80" s="49">
        <f t="shared" si="10"/>
        <v>3.7199999999999998</v>
      </c>
    </row>
    <row r="81" spans="1:16">
      <c r="A81" s="46" t="s">
        <v>139</v>
      </c>
      <c r="B81" s="46" t="s">
        <v>64</v>
      </c>
      <c r="C81" s="47" t="s">
        <v>74</v>
      </c>
      <c r="D81" s="46" t="s">
        <v>12</v>
      </c>
      <c r="E81" s="48">
        <v>40</v>
      </c>
      <c r="F81" s="49">
        <v>2.5</v>
      </c>
      <c r="G81" s="49">
        <v>3.5998000000000001</v>
      </c>
      <c r="H81" s="49">
        <f>SUM(F81)*(G81)</f>
        <v>8.9995000000000012</v>
      </c>
      <c r="I81" s="49"/>
      <c r="J81" s="49">
        <v>0.05</v>
      </c>
      <c r="K81" s="49">
        <f>ROUND(SUM(H81:J81),2)</f>
        <v>9.0500000000000007</v>
      </c>
      <c r="L81" s="49">
        <f>SUM(E81)*F81</f>
        <v>100</v>
      </c>
      <c r="M81" s="49">
        <f>ROUND(H81*E81,2)</f>
        <v>359.98</v>
      </c>
      <c r="N81" s="50"/>
      <c r="O81" s="49">
        <f>SUM(J81)*E81</f>
        <v>2</v>
      </c>
      <c r="P81" s="49">
        <f>SUM(M81:O81)</f>
        <v>361.98</v>
      </c>
    </row>
    <row r="82" spans="1:16">
      <c r="A82" s="46"/>
      <c r="B82" s="46"/>
      <c r="C82" s="51" t="s">
        <v>75</v>
      </c>
      <c r="D82" s="46" t="s">
        <v>12</v>
      </c>
      <c r="E82" s="48">
        <v>40</v>
      </c>
      <c r="F82" s="49"/>
      <c r="G82" s="49"/>
      <c r="H82" s="49"/>
      <c r="I82" s="49">
        <v>21.75</v>
      </c>
      <c r="J82" s="48"/>
      <c r="K82" s="49">
        <f>SUM(E82)*I82</f>
        <v>870</v>
      </c>
      <c r="L82" s="49"/>
      <c r="M82" s="49"/>
      <c r="N82" s="49">
        <f>SUM(E82)*I82</f>
        <v>870</v>
      </c>
      <c r="O82" s="48"/>
      <c r="P82" s="49">
        <f>SUM(M82:N82)</f>
        <v>870</v>
      </c>
    </row>
    <row r="83" spans="1:16">
      <c r="A83" s="46"/>
      <c r="B83" s="46"/>
      <c r="C83" s="51" t="s">
        <v>123</v>
      </c>
      <c r="D83" s="46" t="s">
        <v>12</v>
      </c>
      <c r="E83" s="48">
        <v>1600</v>
      </c>
      <c r="F83" s="49"/>
      <c r="G83" s="49"/>
      <c r="H83" s="49"/>
      <c r="I83" s="49">
        <v>2.13</v>
      </c>
      <c r="J83" s="48"/>
      <c r="K83" s="49">
        <f>SUM(E83)*I83</f>
        <v>3408</v>
      </c>
      <c r="L83" s="49"/>
      <c r="M83" s="49"/>
      <c r="N83" s="49">
        <f>SUM(E83)*I83</f>
        <v>3408</v>
      </c>
      <c r="O83" s="48"/>
      <c r="P83" s="49">
        <f>SUM(M83:N83)</f>
        <v>3408</v>
      </c>
    </row>
    <row r="84" spans="1:16">
      <c r="A84" s="94"/>
      <c r="B84" s="115"/>
      <c r="C84" s="109" t="s">
        <v>160</v>
      </c>
      <c r="D84" s="115"/>
      <c r="E84" s="100"/>
      <c r="F84" s="115"/>
      <c r="G84" s="49"/>
      <c r="H84" s="115"/>
      <c r="I84" s="115"/>
      <c r="J84" s="115"/>
      <c r="K84" s="115"/>
      <c r="L84" s="115"/>
      <c r="M84" s="115"/>
      <c r="N84" s="115"/>
      <c r="O84" s="115"/>
      <c r="P84" s="116"/>
    </row>
    <row r="85" spans="1:16" ht="25.5">
      <c r="A85" s="46" t="s">
        <v>161</v>
      </c>
      <c r="B85" s="25" t="s">
        <v>153</v>
      </c>
      <c r="C85" s="101" t="s">
        <v>154</v>
      </c>
      <c r="D85" s="111" t="s">
        <v>97</v>
      </c>
      <c r="E85" s="112">
        <v>1</v>
      </c>
      <c r="F85" s="49">
        <v>5.7</v>
      </c>
      <c r="G85" s="49">
        <v>3.5998000000000001</v>
      </c>
      <c r="H85" s="49">
        <f>SUM(F85)*(G85)</f>
        <v>20.51886</v>
      </c>
      <c r="I85" s="113">
        <v>223.61</v>
      </c>
      <c r="J85" s="49">
        <v>0.15</v>
      </c>
      <c r="K85" s="49">
        <f>ROUND(SUM(H85:J85),2)</f>
        <v>244.28</v>
      </c>
      <c r="L85" s="49">
        <f>SUM(E85)*F85</f>
        <v>5.7</v>
      </c>
      <c r="M85" s="49">
        <f>ROUND(H85*E85,2)</f>
        <v>20.52</v>
      </c>
      <c r="N85" s="49">
        <f>SUM(E85)*I85</f>
        <v>223.61</v>
      </c>
      <c r="O85" s="49">
        <f>SUM(J85)*E85</f>
        <v>0.15</v>
      </c>
      <c r="P85" s="49">
        <f>SUM(M85:O85)</f>
        <v>244.28000000000003</v>
      </c>
    </row>
    <row r="86" spans="1:16">
      <c r="A86" s="46" t="s">
        <v>162</v>
      </c>
      <c r="B86" s="114" t="s">
        <v>155</v>
      </c>
      <c r="C86" s="47" t="s">
        <v>156</v>
      </c>
      <c r="D86" s="46" t="s">
        <v>97</v>
      </c>
      <c r="E86" s="48">
        <v>1</v>
      </c>
      <c r="F86" s="49">
        <v>15</v>
      </c>
      <c r="G86" s="49">
        <v>3.5998000000000001</v>
      </c>
      <c r="H86" s="49">
        <f>SUM(F86)*(G86)</f>
        <v>53.997</v>
      </c>
      <c r="I86" s="49"/>
      <c r="J86" s="49">
        <v>5</v>
      </c>
      <c r="K86" s="49">
        <f>ROUND(SUM(H86:J86),2)</f>
        <v>59</v>
      </c>
      <c r="L86" s="49">
        <f>SUM(E86)*F86</f>
        <v>15</v>
      </c>
      <c r="M86" s="49">
        <f>ROUND(H86*E86,2)</f>
        <v>54</v>
      </c>
      <c r="N86" s="50"/>
      <c r="O86" s="49">
        <f>SUM(J86)*E86</f>
        <v>5</v>
      </c>
      <c r="P86" s="49">
        <f>SUM(M86:O86)</f>
        <v>59</v>
      </c>
    </row>
    <row r="87" spans="1:16">
      <c r="A87" s="46"/>
      <c r="B87" s="46"/>
      <c r="C87" s="51" t="s">
        <v>157</v>
      </c>
      <c r="D87" s="46" t="s">
        <v>12</v>
      </c>
      <c r="E87" s="48">
        <v>1</v>
      </c>
      <c r="F87" s="49"/>
      <c r="G87" s="49"/>
      <c r="H87" s="49"/>
      <c r="I87" s="49">
        <v>4.8499999999999996</v>
      </c>
      <c r="J87" s="48"/>
      <c r="K87" s="49">
        <f>SUM(I87)</f>
        <v>4.8499999999999996</v>
      </c>
      <c r="L87" s="49"/>
      <c r="M87" s="49"/>
      <c r="N87" s="49">
        <f>SUM(E87)*I87</f>
        <v>4.8499999999999996</v>
      </c>
      <c r="O87" s="48"/>
      <c r="P87" s="49">
        <f>SUM(M87:N87)</f>
        <v>4.8499999999999996</v>
      </c>
    </row>
    <row r="88" spans="1:16">
      <c r="A88" s="46"/>
      <c r="B88" s="46"/>
      <c r="C88" s="51" t="s">
        <v>158</v>
      </c>
      <c r="D88" s="46" t="s">
        <v>12</v>
      </c>
      <c r="E88" s="48">
        <v>1</v>
      </c>
      <c r="F88" s="49"/>
      <c r="G88" s="49"/>
      <c r="H88" s="49"/>
      <c r="I88" s="49">
        <v>9.5</v>
      </c>
      <c r="J88" s="48"/>
      <c r="K88" s="49">
        <f>SUM(I88)</f>
        <v>9.5</v>
      </c>
      <c r="L88" s="49"/>
      <c r="M88" s="49"/>
      <c r="N88" s="49">
        <f>SUM(E88)*I88</f>
        <v>9.5</v>
      </c>
      <c r="O88" s="48"/>
      <c r="P88" s="49">
        <f>SUM(M88:N88)</f>
        <v>9.5</v>
      </c>
    </row>
    <row r="89" spans="1:16">
      <c r="A89" s="46"/>
      <c r="B89" s="46"/>
      <c r="C89" s="51" t="s">
        <v>159</v>
      </c>
      <c r="D89" s="46" t="s">
        <v>97</v>
      </c>
      <c r="E89" s="48">
        <v>1</v>
      </c>
      <c r="F89" s="49"/>
      <c r="G89" s="49"/>
      <c r="H89" s="49"/>
      <c r="I89" s="49">
        <v>130</v>
      </c>
      <c r="J89" s="48"/>
      <c r="K89" s="49">
        <f>SUM(I89)</f>
        <v>130</v>
      </c>
      <c r="L89" s="49"/>
      <c r="M89" s="49"/>
      <c r="N89" s="49">
        <f>SUM(E89)*I89</f>
        <v>130</v>
      </c>
      <c r="O89" s="48"/>
      <c r="P89" s="49">
        <f>SUM(M89:N89)</f>
        <v>130</v>
      </c>
    </row>
    <row r="90" spans="1:16">
      <c r="A90" s="94"/>
      <c r="B90" s="98"/>
      <c r="C90" s="109" t="s">
        <v>183</v>
      </c>
      <c r="D90" s="98"/>
      <c r="E90" s="100"/>
      <c r="F90" s="99"/>
      <c r="G90" s="99"/>
      <c r="H90" s="99"/>
      <c r="I90" s="99"/>
      <c r="J90" s="100"/>
      <c r="K90" s="99"/>
      <c r="L90" s="99"/>
      <c r="M90" s="99"/>
      <c r="N90" s="99"/>
      <c r="O90" s="100"/>
      <c r="P90" s="95"/>
    </row>
    <row r="91" spans="1:16" ht="25.5">
      <c r="A91" s="94" t="s">
        <v>168</v>
      </c>
      <c r="B91" s="122" t="s">
        <v>181</v>
      </c>
      <c r="C91" s="47" t="s">
        <v>182</v>
      </c>
      <c r="D91" s="46" t="s">
        <v>76</v>
      </c>
      <c r="E91" s="48">
        <v>1</v>
      </c>
      <c r="F91" s="49">
        <v>1</v>
      </c>
      <c r="G91" s="49">
        <v>4000</v>
      </c>
      <c r="H91" s="49">
        <f>SUM(F91)*(G91)</f>
        <v>4000</v>
      </c>
      <c r="I91" s="49">
        <v>6000</v>
      </c>
      <c r="J91" s="49">
        <v>700</v>
      </c>
      <c r="K91" s="49">
        <f>ROUND(SUM(H91:J91),2)</f>
        <v>10700</v>
      </c>
      <c r="L91" s="49">
        <f>SUM(E91)*F91</f>
        <v>1</v>
      </c>
      <c r="M91" s="49">
        <f>ROUND(H91*E91,2)</f>
        <v>4000</v>
      </c>
      <c r="N91" s="49">
        <f>SUM(E91)*I91</f>
        <v>6000</v>
      </c>
      <c r="O91" s="49">
        <f>SUM(J91)*E91</f>
        <v>700</v>
      </c>
      <c r="P91" s="49">
        <f>SUM(M91:O91)</f>
        <v>10700</v>
      </c>
    </row>
    <row r="92" spans="1:16">
      <c r="A92" s="94"/>
      <c r="B92" s="115"/>
      <c r="C92" s="109" t="s">
        <v>184</v>
      </c>
      <c r="D92" s="115"/>
      <c r="E92" s="100"/>
      <c r="F92" s="115"/>
      <c r="G92" s="49"/>
      <c r="H92" s="115"/>
      <c r="I92" s="115"/>
      <c r="J92" s="115"/>
      <c r="K92" s="115"/>
      <c r="L92" s="115"/>
      <c r="M92" s="115"/>
      <c r="N92" s="115"/>
      <c r="O92" s="115"/>
      <c r="P92" s="116"/>
    </row>
    <row r="93" spans="1:16" ht="25.5">
      <c r="A93" s="46" t="s">
        <v>185</v>
      </c>
      <c r="B93" s="46" t="s">
        <v>152</v>
      </c>
      <c r="C93" s="47" t="s">
        <v>166</v>
      </c>
      <c r="D93" s="46" t="s">
        <v>76</v>
      </c>
      <c r="E93" s="48">
        <v>1</v>
      </c>
      <c r="F93" s="49">
        <v>65</v>
      </c>
      <c r="G93" s="49">
        <v>3.5998000000000001</v>
      </c>
      <c r="H93" s="49">
        <f>SUM(F93)*(G93)</f>
        <v>233.98699999999999</v>
      </c>
      <c r="I93" s="49"/>
      <c r="J93" s="49">
        <v>15</v>
      </c>
      <c r="K93" s="49">
        <f>ROUND(SUM(H93:J93),2)</f>
        <v>248.99</v>
      </c>
      <c r="L93" s="49">
        <f>SUM(E93)*F93</f>
        <v>65</v>
      </c>
      <c r="M93" s="49">
        <f>ROUND(H93*E93,2)</f>
        <v>233.99</v>
      </c>
      <c r="N93" s="50"/>
      <c r="O93" s="49">
        <f>SUM(J93)*E93</f>
        <v>15</v>
      </c>
      <c r="P93" s="49">
        <f>SUM(M93:O93)</f>
        <v>248.99</v>
      </c>
    </row>
    <row r="94" spans="1:16">
      <c r="A94" s="46"/>
      <c r="B94" s="46"/>
      <c r="C94" s="51" t="s">
        <v>167</v>
      </c>
      <c r="D94" s="46" t="s">
        <v>12</v>
      </c>
      <c r="E94" s="48">
        <v>4</v>
      </c>
      <c r="F94" s="49"/>
      <c r="G94" s="49"/>
      <c r="H94" s="49"/>
      <c r="I94" s="49">
        <v>5.3</v>
      </c>
      <c r="J94" s="48"/>
      <c r="K94" s="49">
        <f>SUM(E94)*I94</f>
        <v>21.2</v>
      </c>
      <c r="L94" s="49"/>
      <c r="M94" s="49"/>
      <c r="N94" s="49">
        <f>SUM(E94)*I94</f>
        <v>21.2</v>
      </c>
      <c r="O94" s="48"/>
      <c r="P94" s="49">
        <f>SUM(M94:N94)</f>
        <v>21.2</v>
      </c>
    </row>
    <row r="95" spans="1:16">
      <c r="A95" s="46" t="s">
        <v>187</v>
      </c>
      <c r="B95" s="46"/>
      <c r="C95" s="47" t="s">
        <v>186</v>
      </c>
      <c r="D95" s="46" t="s">
        <v>76</v>
      </c>
      <c r="E95" s="48">
        <v>1</v>
      </c>
      <c r="F95" s="49">
        <v>1</v>
      </c>
      <c r="G95" s="49">
        <v>1000</v>
      </c>
      <c r="H95" s="49">
        <f>SUM(F95)*(G95)</f>
        <v>1000</v>
      </c>
      <c r="I95" s="49"/>
      <c r="J95" s="49">
        <v>0</v>
      </c>
      <c r="K95" s="49">
        <f>ROUND(SUM(H95:J95),2)</f>
        <v>1000</v>
      </c>
      <c r="L95" s="49">
        <f>SUM(E95)*F95</f>
        <v>1</v>
      </c>
      <c r="M95" s="49">
        <f>ROUND(H95*E95,2)</f>
        <v>1000</v>
      </c>
      <c r="N95" s="50"/>
      <c r="O95" s="49">
        <f>SUM(J95)*E95</f>
        <v>0</v>
      </c>
      <c r="P95" s="49">
        <f>SUM(M95:O95)</f>
        <v>1000</v>
      </c>
    </row>
    <row r="96" spans="1:16">
      <c r="A96" s="46"/>
      <c r="B96" s="46" t="s">
        <v>169</v>
      </c>
      <c r="C96" s="96" t="s">
        <v>171</v>
      </c>
      <c r="D96" s="94" t="s">
        <v>170</v>
      </c>
      <c r="E96" s="48">
        <v>45</v>
      </c>
      <c r="F96" s="95"/>
      <c r="G96" s="49"/>
      <c r="H96" s="49"/>
      <c r="I96" s="49"/>
      <c r="J96" s="49">
        <v>9.5</v>
      </c>
      <c r="K96" s="49">
        <f>ROUND(SUM(H96:J96),2)</f>
        <v>9.5</v>
      </c>
      <c r="L96" s="49">
        <f>SUM(E96)*F96</f>
        <v>0</v>
      </c>
      <c r="M96" s="49"/>
      <c r="N96" s="50"/>
      <c r="O96" s="49">
        <f>SUM(J96)*E96</f>
        <v>427.5</v>
      </c>
      <c r="P96" s="49">
        <f>SUM(M96:O96)</f>
        <v>427.5</v>
      </c>
    </row>
    <row r="97" spans="1:16" ht="13.5" thickBot="1">
      <c r="A97" s="21"/>
      <c r="B97" s="21"/>
      <c r="C97" s="78"/>
      <c r="D97" s="21"/>
      <c r="E97" s="52"/>
      <c r="F97" s="4"/>
      <c r="G97" s="4"/>
      <c r="H97" s="4"/>
      <c r="I97" s="4"/>
      <c r="J97" s="52"/>
      <c r="K97" s="4"/>
      <c r="L97" s="4"/>
      <c r="M97" s="4"/>
      <c r="N97" s="4"/>
      <c r="O97" s="52"/>
      <c r="P97" s="4"/>
    </row>
    <row r="98" spans="1:16" ht="12.75" customHeight="1">
      <c r="A98" s="175" t="s">
        <v>11</v>
      </c>
      <c r="B98" s="176"/>
      <c r="C98" s="177"/>
      <c r="D98" s="53"/>
      <c r="E98" s="54"/>
      <c r="F98" s="55"/>
      <c r="G98" s="55"/>
      <c r="H98" s="55"/>
      <c r="I98" s="55"/>
      <c r="J98" s="55"/>
      <c r="K98" s="55"/>
      <c r="L98" s="55"/>
      <c r="M98" s="22">
        <f>SUM(M15:M96)</f>
        <v>17852.72</v>
      </c>
      <c r="N98" s="23"/>
      <c r="O98" s="23"/>
      <c r="P98" s="24"/>
    </row>
    <row r="99" spans="1:16" ht="12.75" customHeight="1">
      <c r="A99" s="178" t="s">
        <v>8</v>
      </c>
      <c r="B99" s="179"/>
      <c r="C99" s="180"/>
      <c r="D99" s="56"/>
      <c r="E99" s="57"/>
      <c r="F99" s="58"/>
      <c r="G99" s="58"/>
      <c r="H99" s="58"/>
      <c r="I99" s="58"/>
      <c r="J99" s="58"/>
      <c r="K99" s="58"/>
      <c r="L99" s="58"/>
      <c r="M99" s="25"/>
      <c r="N99" s="26">
        <f>SUM(N15:N96)</f>
        <v>28129.186754739785</v>
      </c>
      <c r="O99" s="25"/>
      <c r="P99" s="27"/>
    </row>
    <row r="100" spans="1:16" ht="12.75" customHeight="1">
      <c r="A100" s="130" t="s">
        <v>9</v>
      </c>
      <c r="B100" s="131"/>
      <c r="C100" s="132"/>
      <c r="D100" s="56"/>
      <c r="E100" s="57"/>
      <c r="F100" s="58"/>
      <c r="G100" s="58"/>
      <c r="H100" s="58"/>
      <c r="I100" s="58"/>
      <c r="J100" s="58"/>
      <c r="K100" s="58"/>
      <c r="L100" s="58"/>
      <c r="M100" s="25"/>
      <c r="N100" s="25"/>
      <c r="O100" s="26">
        <f>SUM(O15:O96)</f>
        <v>1873.6221</v>
      </c>
      <c r="P100" s="27"/>
    </row>
    <row r="101" spans="1:16" ht="12.75" customHeight="1">
      <c r="A101" s="130" t="s">
        <v>19</v>
      </c>
      <c r="B101" s="131"/>
      <c r="C101" s="132"/>
      <c r="D101" s="72">
        <v>0.12</v>
      </c>
      <c r="E101" s="57"/>
      <c r="F101" s="58"/>
      <c r="G101" s="58"/>
      <c r="H101" s="58"/>
      <c r="I101" s="58"/>
      <c r="J101" s="58"/>
      <c r="K101" s="58"/>
      <c r="L101" s="58"/>
      <c r="M101" s="25"/>
      <c r="N101" s="25"/>
      <c r="O101" s="25"/>
      <c r="P101" s="36">
        <f>SUM(N99:O100)*D101</f>
        <v>3600.3370625687739</v>
      </c>
    </row>
    <row r="102" spans="1:16" ht="12.75" customHeight="1" thickBot="1">
      <c r="A102" s="130" t="s">
        <v>121</v>
      </c>
      <c r="B102" s="131"/>
      <c r="C102" s="132"/>
      <c r="D102" s="72">
        <v>0.03</v>
      </c>
      <c r="E102" s="57"/>
      <c r="F102" s="58"/>
      <c r="G102" s="58"/>
      <c r="H102" s="58"/>
      <c r="I102" s="58"/>
      <c r="J102" s="58"/>
      <c r="K102" s="58"/>
      <c r="L102" s="58"/>
      <c r="M102" s="25"/>
      <c r="N102" s="25"/>
      <c r="O102" s="25"/>
      <c r="P102" s="36">
        <f>SUM(N99)*D102</f>
        <v>843.87560264219348</v>
      </c>
    </row>
    <row r="103" spans="1:16" ht="12.75" customHeight="1" thickBot="1">
      <c r="A103" s="133" t="s">
        <v>13</v>
      </c>
      <c r="B103" s="134"/>
      <c r="C103" s="135"/>
      <c r="D103" s="74"/>
      <c r="E103" s="69"/>
      <c r="F103" s="70"/>
      <c r="G103" s="70"/>
      <c r="H103" s="70"/>
      <c r="I103" s="70"/>
      <c r="J103" s="70"/>
      <c r="K103" s="70"/>
      <c r="L103" s="70"/>
      <c r="M103" s="30"/>
      <c r="N103" s="30"/>
      <c r="O103" s="30"/>
      <c r="P103" s="31">
        <f>SUM(M98:P102)</f>
        <v>52299.741519950752</v>
      </c>
    </row>
    <row r="104" spans="1:16" ht="12.75" customHeight="1">
      <c r="A104" s="139" t="s">
        <v>23</v>
      </c>
      <c r="B104" s="140"/>
      <c r="C104" s="141"/>
      <c r="D104" s="75">
        <v>5.5E-2</v>
      </c>
      <c r="E104" s="61"/>
      <c r="F104" s="62"/>
      <c r="G104" s="62"/>
      <c r="H104" s="62"/>
      <c r="I104" s="62"/>
      <c r="J104" s="62"/>
      <c r="K104" s="62"/>
      <c r="L104" s="62"/>
      <c r="M104" s="28"/>
      <c r="N104" s="28"/>
      <c r="O104" s="28"/>
      <c r="P104" s="29">
        <f>SUM(P103)*D104</f>
        <v>2876.4857835972912</v>
      </c>
    </row>
    <row r="105" spans="1:16" ht="12.75" customHeight="1">
      <c r="A105" s="136" t="s">
        <v>22</v>
      </c>
      <c r="B105" s="137"/>
      <c r="C105" s="138"/>
      <c r="D105" s="75">
        <v>0.1</v>
      </c>
      <c r="E105" s="61"/>
      <c r="F105" s="62"/>
      <c r="G105" s="62"/>
      <c r="H105" s="62"/>
      <c r="I105" s="62"/>
      <c r="J105" s="62"/>
      <c r="K105" s="62"/>
      <c r="L105" s="62"/>
      <c r="M105" s="28"/>
      <c r="N105" s="28"/>
      <c r="O105" s="28"/>
      <c r="P105" s="29">
        <f>SUM(P103)*D105</f>
        <v>5229.9741519950758</v>
      </c>
    </row>
    <row r="106" spans="1:16" ht="12.75" customHeight="1">
      <c r="A106" s="143" t="s">
        <v>20</v>
      </c>
      <c r="B106" s="144"/>
      <c r="C106" s="145"/>
      <c r="D106" s="73">
        <v>0</v>
      </c>
      <c r="E106" s="59"/>
      <c r="F106" s="60"/>
      <c r="G106" s="60"/>
      <c r="H106" s="60"/>
      <c r="I106" s="60"/>
      <c r="J106" s="60"/>
      <c r="K106" s="60"/>
      <c r="L106" s="60"/>
      <c r="M106" s="32"/>
      <c r="N106" s="32"/>
      <c r="O106" s="32"/>
      <c r="P106" s="33">
        <f>SUM(P103)*D106</f>
        <v>0</v>
      </c>
    </row>
    <row r="107" spans="1:16" ht="12.75" customHeight="1" thickBot="1">
      <c r="A107" s="143" t="s">
        <v>18</v>
      </c>
      <c r="B107" s="144"/>
      <c r="C107" s="145"/>
      <c r="D107" s="73">
        <v>0.2359</v>
      </c>
      <c r="E107" s="59"/>
      <c r="F107" s="60"/>
      <c r="G107" s="60"/>
      <c r="H107" s="60"/>
      <c r="I107" s="60"/>
      <c r="J107" s="60"/>
      <c r="K107" s="60"/>
      <c r="L107" s="60"/>
      <c r="M107" s="32"/>
      <c r="N107" s="32"/>
      <c r="O107" s="32"/>
      <c r="P107" s="33">
        <f>SUM(M98)*D107</f>
        <v>4211.4566480000003</v>
      </c>
    </row>
    <row r="108" spans="1:16" ht="12.75" customHeight="1" thickBot="1">
      <c r="A108" s="133" t="s">
        <v>163</v>
      </c>
      <c r="B108" s="134"/>
      <c r="C108" s="135"/>
      <c r="D108" s="74"/>
      <c r="E108" s="69"/>
      <c r="F108" s="70"/>
      <c r="G108" s="70"/>
      <c r="H108" s="70"/>
      <c r="I108" s="70"/>
      <c r="J108" s="70"/>
      <c r="K108" s="70"/>
      <c r="L108" s="70"/>
      <c r="M108" s="30"/>
      <c r="N108" s="30"/>
      <c r="O108" s="30"/>
      <c r="P108" s="31">
        <f>SUM(P103:P107)</f>
        <v>64617.658103543123</v>
      </c>
    </row>
    <row r="109" spans="1:16" ht="12.75" customHeight="1" thickBot="1">
      <c r="A109" s="146" t="s">
        <v>25</v>
      </c>
      <c r="B109" s="147"/>
      <c r="C109" s="148"/>
      <c r="D109" s="76">
        <v>0.21</v>
      </c>
      <c r="E109" s="63"/>
      <c r="F109" s="64"/>
      <c r="G109" s="64"/>
      <c r="H109" s="64"/>
      <c r="I109" s="64"/>
      <c r="J109" s="64"/>
      <c r="K109" s="64"/>
      <c r="L109" s="64"/>
      <c r="M109" s="39"/>
      <c r="N109" s="39"/>
      <c r="O109" s="39"/>
      <c r="P109" s="40">
        <f>SUM(P108)*D109</f>
        <v>13569.708201744055</v>
      </c>
    </row>
    <row r="110" spans="1:16" ht="13.5" thickBot="1">
      <c r="A110" s="133" t="s">
        <v>14</v>
      </c>
      <c r="B110" s="134"/>
      <c r="C110" s="135"/>
      <c r="D110" s="71"/>
      <c r="E110" s="69"/>
      <c r="F110" s="70"/>
      <c r="G110" s="70"/>
      <c r="H110" s="70"/>
      <c r="I110" s="70"/>
      <c r="J110" s="70"/>
      <c r="K110" s="70"/>
      <c r="L110" s="70"/>
      <c r="M110" s="30"/>
      <c r="N110" s="30"/>
      <c r="O110" s="30"/>
      <c r="P110" s="37">
        <f>SUM(P108:P109)</f>
        <v>78187.366305287171</v>
      </c>
    </row>
    <row r="111" spans="1:16" ht="12" customHeight="1">
      <c r="A111" s="1"/>
      <c r="B111" s="1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2"/>
      <c r="N111" s="2"/>
      <c r="O111" s="2"/>
      <c r="P111" s="3"/>
    </row>
    <row r="112" spans="1:16" ht="33" customHeight="1">
      <c r="A112" s="129" t="s">
        <v>122</v>
      </c>
      <c r="B112" s="129"/>
      <c r="C112" s="142" t="s">
        <v>202</v>
      </c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</row>
    <row r="113" spans="2:16" ht="12.75" customHeight="1"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2"/>
      <c r="N113" s="2"/>
      <c r="O113" s="2"/>
      <c r="P113" s="3"/>
    </row>
    <row r="114" spans="2:16" ht="12.75" customHeight="1">
      <c r="B114" s="124" t="s">
        <v>201</v>
      </c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2"/>
      <c r="N114" s="2"/>
      <c r="O114" s="2"/>
      <c r="P114" s="3"/>
    </row>
    <row r="115" spans="2:16" ht="9.75" customHeight="1"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2"/>
      <c r="N115" s="2"/>
      <c r="O115" s="2"/>
      <c r="P115" s="3"/>
    </row>
    <row r="116" spans="2:16">
      <c r="C116" s="66"/>
      <c r="D116" s="66"/>
      <c r="E116" s="66"/>
      <c r="H116" s="67"/>
      <c r="I116" s="65"/>
      <c r="M116" s="67"/>
      <c r="N116" s="65"/>
      <c r="P116" s="3"/>
    </row>
    <row r="117" spans="2:16">
      <c r="C117" s="66"/>
      <c r="D117" s="66"/>
      <c r="E117" s="66"/>
      <c r="F117" s="66"/>
      <c r="G117" s="35"/>
      <c r="H117" s="35"/>
      <c r="M117" s="67"/>
      <c r="N117" s="65"/>
      <c r="P117" s="3"/>
    </row>
    <row r="118" spans="2:16" ht="18.75">
      <c r="B118" s="125" t="s">
        <v>197</v>
      </c>
      <c r="F118" s="126" t="s">
        <v>198</v>
      </c>
      <c r="I118" s="65"/>
    </row>
    <row r="119" spans="2:16">
      <c r="C119" s="66"/>
      <c r="E119" s="66"/>
      <c r="H119" s="67"/>
      <c r="I119" s="65"/>
      <c r="O119" s="65"/>
    </row>
    <row r="120" spans="2:16">
      <c r="C120" s="66"/>
      <c r="E120" s="66"/>
      <c r="H120" s="67"/>
      <c r="I120" s="65"/>
      <c r="O120" s="65"/>
    </row>
    <row r="121" spans="2:16" ht="18.75">
      <c r="B121" s="125" t="s">
        <v>199</v>
      </c>
      <c r="F121" s="125" t="s">
        <v>203</v>
      </c>
    </row>
    <row r="123" spans="2:16" ht="54" customHeight="1">
      <c r="B123" s="127" t="s">
        <v>200</v>
      </c>
      <c r="C123" s="128"/>
    </row>
  </sheetData>
  <mergeCells count="40">
    <mergeCell ref="A98:C98"/>
    <mergeCell ref="A99:C99"/>
    <mergeCell ref="A100:C100"/>
    <mergeCell ref="A101:C101"/>
    <mergeCell ref="A8:K8"/>
    <mergeCell ref="B11:B12"/>
    <mergeCell ref="A10:K10"/>
    <mergeCell ref="A7:K7"/>
    <mergeCell ref="A9:K9"/>
    <mergeCell ref="L8:O8"/>
    <mergeCell ref="L9:O9"/>
    <mergeCell ref="L11:P11"/>
    <mergeCell ref="E11:E12"/>
    <mergeCell ref="F11:K11"/>
    <mergeCell ref="A11:A12"/>
    <mergeCell ref="C11:C12"/>
    <mergeCell ref="D11:D12"/>
    <mergeCell ref="L6:P6"/>
    <mergeCell ref="A2:K2"/>
    <mergeCell ref="A3:K3"/>
    <mergeCell ref="A4:K4"/>
    <mergeCell ref="A6:K6"/>
    <mergeCell ref="A5:K5"/>
    <mergeCell ref="N1:P1"/>
    <mergeCell ref="A1:H1"/>
    <mergeCell ref="L2:P2"/>
    <mergeCell ref="L3:P3"/>
    <mergeCell ref="L4:P4"/>
    <mergeCell ref="B123:C123"/>
    <mergeCell ref="A112:B112"/>
    <mergeCell ref="A102:C102"/>
    <mergeCell ref="A103:C103"/>
    <mergeCell ref="A105:C105"/>
    <mergeCell ref="A104:C104"/>
    <mergeCell ref="C112:P112"/>
    <mergeCell ref="A107:C107"/>
    <mergeCell ref="A108:C108"/>
    <mergeCell ref="A109:C109"/>
    <mergeCell ref="A110:C110"/>
    <mergeCell ref="A106:C106"/>
  </mergeCells>
  <phoneticPr fontId="0" type="noConversion"/>
  <pageMargins left="0.55118110236220474" right="0.3" top="0.39370078740157483" bottom="0.59055118110236227" header="0.51181102362204722" footer="0.51181102362204722"/>
  <pageSetup paperSize="9" scale="80" orientation="landscape" r:id="rId1"/>
  <headerFooter alignWithMargins="0"/>
  <ignoredErrors>
    <ignoredError sqref="K68:P68 K73:P73 K74 P74 P81:P82 K82 K26:P26 K46:P46 K54:P54 K57:P57 K30:P33 K94:P94 K60:P62 K63:P63 K34:P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 piedāvājums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 tāme Nr. JP 37/04/2014</dc:title>
  <dc:subject>1.pielikums Informatīvajam ziņojumam „Par Tautas frontes muzeju”</dc:subject>
  <dc:creator>J.Garjāns</dc:creator>
  <dc:description>67330301
Janis.Garjans@km.gov.lv </dc:description>
  <cp:lastModifiedBy>Dzintra Rozīte</cp:lastModifiedBy>
  <cp:lastPrinted>2014-06-04T08:28:22Z</cp:lastPrinted>
  <dcterms:created xsi:type="dcterms:W3CDTF">1996-10-14T23:33:28Z</dcterms:created>
  <dcterms:modified xsi:type="dcterms:W3CDTF">2014-06-11T12:32:25Z</dcterms:modified>
</cp:coreProperties>
</file>