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9320" windowHeight="12525"/>
  </bookViews>
  <sheets>
    <sheet name="APRĒĶINI_nosūtīšanai" sheetId="1" r:id="rId1"/>
  </sheets>
  <calcPr calcId="145621"/>
</workbook>
</file>

<file path=xl/calcChain.xml><?xml version="1.0" encoding="utf-8"?>
<calcChain xmlns="http://schemas.openxmlformats.org/spreadsheetml/2006/main">
  <c r="E107" i="1" l="1"/>
  <c r="D107" i="1"/>
  <c r="G60" i="1" l="1"/>
  <c r="G80" i="1"/>
  <c r="E31" i="1"/>
  <c r="E27" i="1"/>
  <c r="D27" i="1"/>
  <c r="D28" i="1"/>
  <c r="D29" i="1"/>
  <c r="D26" i="1"/>
  <c r="E29" i="1"/>
  <c r="E28" i="1"/>
  <c r="B83" i="1" l="1"/>
  <c r="G82" i="1"/>
  <c r="E82" i="1"/>
  <c r="F82" i="1" s="1"/>
  <c r="D82" i="1"/>
  <c r="G81" i="1"/>
  <c r="E81" i="1"/>
  <c r="F81" i="1" s="1"/>
  <c r="D81" i="1"/>
  <c r="E80" i="1"/>
  <c r="F80" i="1" s="1"/>
  <c r="D80" i="1"/>
  <c r="B63" i="1"/>
  <c r="G62" i="1"/>
  <c r="F62" i="1"/>
  <c r="D62" i="1"/>
  <c r="G61" i="1"/>
  <c r="F61" i="1"/>
  <c r="D61" i="1"/>
  <c r="F60" i="1"/>
  <c r="D60" i="1"/>
  <c r="E35" i="1"/>
  <c r="D35" i="1"/>
  <c r="B50" i="1"/>
  <c r="E33" i="1"/>
  <c r="D33" i="1"/>
  <c r="F49" i="1" s="1"/>
  <c r="D32" i="1"/>
  <c r="D31" i="1"/>
  <c r="H31" i="1" s="1"/>
  <c r="B46" i="1"/>
  <c r="F45" i="1"/>
  <c r="F44" i="1"/>
  <c r="H26" i="1"/>
  <c r="B26" i="1"/>
  <c r="C10" i="1"/>
  <c r="H81" i="1" l="1"/>
  <c r="I81" i="1" s="1"/>
  <c r="J81" i="1" s="1"/>
  <c r="E26" i="1"/>
  <c r="F26" i="1" s="1"/>
  <c r="I35" i="1"/>
  <c r="K80" i="1"/>
  <c r="K81" i="1"/>
  <c r="I107" i="1"/>
  <c r="J107" i="1" s="1"/>
  <c r="K107" i="1" s="1"/>
  <c r="L107" i="1" s="1"/>
  <c r="K60" i="1"/>
  <c r="L60" i="1" s="1"/>
  <c r="M60" i="1" s="1"/>
  <c r="N60" i="1" s="1"/>
  <c r="N63" i="1" s="1"/>
  <c r="K82" i="1"/>
  <c r="I27" i="1"/>
  <c r="F47" i="1"/>
  <c r="H82" i="1"/>
  <c r="I82" i="1" s="1"/>
  <c r="J82" i="1" s="1"/>
  <c r="B45" i="1"/>
  <c r="F107" i="1"/>
  <c r="G107" i="1" s="1"/>
  <c r="H107" i="1" s="1"/>
  <c r="B47" i="1"/>
  <c r="F31" i="1"/>
  <c r="G31" i="1" s="1"/>
  <c r="F29" i="1"/>
  <c r="G29" i="1" s="1"/>
  <c r="B42" i="1"/>
  <c r="H28" i="1"/>
  <c r="B49" i="1"/>
  <c r="B44" i="1"/>
  <c r="F42" i="1"/>
  <c r="I33" i="1"/>
  <c r="K61" i="1"/>
  <c r="L61" i="1" s="1"/>
  <c r="M61" i="1" s="1"/>
  <c r="H33" i="1"/>
  <c r="H29" i="1"/>
  <c r="I31" i="1"/>
  <c r="H60" i="1"/>
  <c r="H61" i="1"/>
  <c r="I61" i="1" s="1"/>
  <c r="H62" i="1"/>
  <c r="I62" i="1" s="1"/>
  <c r="H80" i="1"/>
  <c r="I80" i="1" s="1"/>
  <c r="J80" i="1" s="1"/>
  <c r="I28" i="1"/>
  <c r="D10" i="1"/>
  <c r="H32" i="1"/>
  <c r="B48" i="1"/>
  <c r="F27" i="1"/>
  <c r="F28" i="1"/>
  <c r="G28" i="1" s="1"/>
  <c r="F33" i="1"/>
  <c r="G33" i="1" s="1"/>
  <c r="H27" i="1"/>
  <c r="B43" i="1"/>
  <c r="B51" i="1"/>
  <c r="F35" i="1"/>
  <c r="F51" i="1"/>
  <c r="H35" i="1"/>
  <c r="F43" i="1"/>
  <c r="I29" i="1"/>
  <c r="K62" i="1"/>
  <c r="L62" i="1" s="1"/>
  <c r="M62" i="1" s="1"/>
  <c r="C45" i="1" l="1"/>
  <c r="D45" i="1" s="1"/>
  <c r="E45" i="1" s="1"/>
  <c r="A113" i="1"/>
  <c r="B113" i="1" s="1"/>
  <c r="C113" i="1" s="1"/>
  <c r="D113" i="1" s="1"/>
  <c r="C43" i="1"/>
  <c r="B69" i="1"/>
  <c r="C69" i="1" s="1"/>
  <c r="D69" i="1" s="1"/>
  <c r="B90" i="1"/>
  <c r="B71" i="1"/>
  <c r="B70" i="1"/>
  <c r="C70" i="1" s="1"/>
  <c r="D70" i="1" s="1"/>
  <c r="B89" i="1"/>
  <c r="C89" i="1" s="1"/>
  <c r="B91" i="1"/>
  <c r="G26" i="1"/>
  <c r="G36" i="1" s="1"/>
  <c r="I26" i="1"/>
  <c r="E10" i="1"/>
  <c r="G44" i="1" s="1"/>
  <c r="J27" i="1"/>
  <c r="J35" i="1"/>
  <c r="I60" i="1"/>
  <c r="J60" i="1" s="1"/>
  <c r="J63" i="1" s="1"/>
  <c r="C47" i="1"/>
  <c r="L80" i="1"/>
  <c r="C44" i="1"/>
  <c r="C51" i="1"/>
  <c r="D51" i="1" s="1"/>
  <c r="C49" i="1"/>
  <c r="L81" i="1"/>
  <c r="L82" i="1"/>
  <c r="M82" i="1" s="1"/>
  <c r="N82" i="1" s="1"/>
  <c r="J28" i="1"/>
  <c r="K28" i="1" s="1"/>
  <c r="J31" i="1"/>
  <c r="K31" i="1" s="1"/>
  <c r="B119" i="1" s="1"/>
  <c r="J33" i="1"/>
  <c r="K33" i="1" s="1"/>
  <c r="J83" i="1"/>
  <c r="J29" i="1"/>
  <c r="K29" i="1" s="1"/>
  <c r="F10" i="1"/>
  <c r="F91" i="1" l="1"/>
  <c r="G91" i="1" s="1"/>
  <c r="F71" i="1"/>
  <c r="G71" i="1" s="1"/>
  <c r="H71" i="1" s="1"/>
  <c r="F90" i="1"/>
  <c r="F70" i="1"/>
  <c r="G70" i="1" s="1"/>
  <c r="E113" i="1"/>
  <c r="F113" i="1" s="1"/>
  <c r="G113" i="1" s="1"/>
  <c r="H113" i="1" s="1"/>
  <c r="F89" i="1"/>
  <c r="G89" i="1" s="1"/>
  <c r="F69" i="1"/>
  <c r="G69" i="1" s="1"/>
  <c r="G43" i="1"/>
  <c r="D43" i="1"/>
  <c r="C42" i="1"/>
  <c r="D42" i="1" s="1"/>
  <c r="E42" i="1" s="1"/>
  <c r="C71" i="1"/>
  <c r="D71" i="1" s="1"/>
  <c r="G51" i="1"/>
  <c r="H51" i="1" s="1"/>
  <c r="G49" i="1"/>
  <c r="C90" i="1"/>
  <c r="D90" i="1" s="1"/>
  <c r="E90" i="1" s="1"/>
  <c r="G47" i="1"/>
  <c r="H47" i="1" s="1"/>
  <c r="I47" i="1" s="1"/>
  <c r="D119" i="1" s="1"/>
  <c r="G45" i="1"/>
  <c r="H45" i="1" s="1"/>
  <c r="I45" i="1" s="1"/>
  <c r="E69" i="1"/>
  <c r="E72" i="1" s="1"/>
  <c r="C91" i="1"/>
  <c r="D91" i="1" s="1"/>
  <c r="E91" i="1" s="1"/>
  <c r="J26" i="1"/>
  <c r="M80" i="1"/>
  <c r="N80" i="1" s="1"/>
  <c r="M81" i="1"/>
  <c r="N81" i="1" s="1"/>
  <c r="K26" i="1"/>
  <c r="K36" i="1" s="1"/>
  <c r="D44" i="1"/>
  <c r="E44" i="1" s="1"/>
  <c r="D49" i="1"/>
  <c r="E49" i="1" s="1"/>
  <c r="D47" i="1"/>
  <c r="E47" i="1" s="1"/>
  <c r="C119" i="1" s="1"/>
  <c r="H44" i="1"/>
  <c r="I44" i="1" s="1"/>
  <c r="G90" i="1"/>
  <c r="D89" i="1"/>
  <c r="E89" i="1" s="1"/>
  <c r="H49" i="1"/>
  <c r="I49" i="1" s="1"/>
  <c r="N83" i="1" l="1"/>
  <c r="H43" i="1"/>
  <c r="I43" i="1" s="1"/>
  <c r="G42" i="1"/>
  <c r="H42" i="1" s="1"/>
  <c r="I42" i="1" s="1"/>
  <c r="E92" i="1"/>
  <c r="E52" i="1"/>
  <c r="H89" i="1"/>
  <c r="I89" i="1" s="1"/>
  <c r="H69" i="1"/>
  <c r="I69" i="1" s="1"/>
  <c r="H91" i="1"/>
  <c r="I91" i="1" s="1"/>
  <c r="H90" i="1"/>
  <c r="I90" i="1" s="1"/>
  <c r="H70" i="1"/>
  <c r="B120" i="1" l="1"/>
  <c r="B118" i="1" s="1"/>
  <c r="C120" i="1"/>
  <c r="C118" i="1" s="1"/>
  <c r="I92" i="1"/>
  <c r="I72" i="1"/>
  <c r="I52" i="1"/>
  <c r="D120" i="1" l="1"/>
  <c r="D118" i="1" s="1"/>
</calcChain>
</file>

<file path=xl/comments1.xml><?xml version="1.0" encoding="utf-8"?>
<comments xmlns="http://schemas.openxmlformats.org/spreadsheetml/2006/main">
  <authors>
    <author>Ilze Štrausa</author>
    <author>IŠ</author>
    <author>Kristina Pure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Rēķināts kā vidējais svērtais pabalsta apmērs; informatīvs raksturs</t>
        </r>
      </text>
    </comment>
    <comment ref="I26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Rēķināts kā vidējais svērtais pabalsta apmērs; informatīvs raksturs</t>
        </r>
      </text>
    </comment>
    <comment ref="A33" authorId="1">
      <text>
        <r>
          <rPr>
            <b/>
            <sz val="9"/>
            <color indexed="81"/>
            <rFont val="Tahoma"/>
            <family val="2"/>
            <charset val="186"/>
          </rPr>
          <t>IŠ:</t>
        </r>
        <r>
          <rPr>
            <sz val="9"/>
            <color indexed="81"/>
            <rFont val="Tahoma"/>
            <family val="2"/>
            <charset val="186"/>
          </rPr>
          <t xml:space="preserve">
Tā kā lielākajai ČAES dalībnieku daļai III inv. gr., pieņem, ka DZ 60%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Apgādājamo skaits 64</t>
        </r>
      </text>
    </comment>
    <comment ref="K33" authorId="1">
      <text>
        <r>
          <rPr>
            <b/>
            <sz val="9"/>
            <color indexed="81"/>
            <rFont val="Tahoma"/>
            <family val="2"/>
            <charset val="186"/>
          </rPr>
          <t>IŠ:</t>
        </r>
        <r>
          <rPr>
            <sz val="9"/>
            <color indexed="81"/>
            <rFont val="Tahoma"/>
            <family val="2"/>
            <charset val="186"/>
          </rPr>
          <t xml:space="preserve">
Apgādājamo skaits 64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Rēķināts kā vidējais svērtais pabalsta apmērs; informatīvs raksturs</t>
        </r>
      </text>
    </comment>
    <comment ref="G42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Rēķināts kā vidējais svērtais pabalsta apmērs; informatīvs raksturs</t>
        </r>
      </text>
    </comment>
    <comment ref="A49" authorId="1">
      <text>
        <r>
          <rPr>
            <b/>
            <sz val="9"/>
            <color indexed="81"/>
            <rFont val="Tahoma"/>
            <family val="2"/>
            <charset val="186"/>
          </rPr>
          <t>IŠ:</t>
        </r>
        <r>
          <rPr>
            <sz val="9"/>
            <color indexed="81"/>
            <rFont val="Tahoma"/>
            <family val="2"/>
            <charset val="186"/>
          </rPr>
          <t xml:space="preserve">
Tā kā lielākajai ČAES dalībnieku daļai III inv. gr., pieņem, ka DZ 60%</t>
        </r>
      </text>
    </comment>
    <comment ref="E49" authorId="1">
      <text>
        <r>
          <rPr>
            <b/>
            <sz val="9"/>
            <color indexed="81"/>
            <rFont val="Tahoma"/>
            <family val="2"/>
            <charset val="186"/>
          </rPr>
          <t>IŠ:</t>
        </r>
        <r>
          <rPr>
            <sz val="9"/>
            <color indexed="81"/>
            <rFont val="Tahoma"/>
            <family val="2"/>
            <charset val="186"/>
          </rPr>
          <t xml:space="preserve">
Apgādājamo skaits 64</t>
        </r>
      </text>
    </comment>
    <comment ref="I49" authorId="1">
      <text>
        <r>
          <rPr>
            <b/>
            <sz val="9"/>
            <color indexed="81"/>
            <rFont val="Tahoma"/>
            <family val="2"/>
            <charset val="186"/>
          </rPr>
          <t>IŠ:</t>
        </r>
        <r>
          <rPr>
            <sz val="9"/>
            <color indexed="81"/>
            <rFont val="Tahoma"/>
            <family val="2"/>
            <charset val="186"/>
          </rPr>
          <t xml:space="preserve">
Apgādājamo skaits 64</t>
        </r>
      </text>
    </comment>
    <comment ref="C58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Invaliditātes pensija personām, kurām inv-te iestājusies ČAES avārijas seku likvidēšanas rezultātā = KA apmērā</t>
        </r>
      </text>
    </comment>
    <comment ref="C78" authorId="0">
      <text>
        <r>
          <rPr>
            <b/>
            <sz val="9"/>
            <color indexed="81"/>
            <rFont val="Tahoma"/>
            <family val="2"/>
            <charset val="186"/>
          </rPr>
          <t>Ilze Štrausa:</t>
        </r>
        <r>
          <rPr>
            <sz val="9"/>
            <color indexed="81"/>
            <rFont val="Tahoma"/>
            <family val="2"/>
            <charset val="186"/>
          </rPr>
          <t xml:space="preserve">
Vecuma pensija ČAES avārijas seku likvidēšanas dalībniekiem = KA apmērā</t>
        </r>
      </text>
    </comment>
    <comment ref="B82" authorId="2">
      <text>
        <r>
          <rPr>
            <b/>
            <sz val="10"/>
            <color indexed="81"/>
            <rFont val="Tahoma"/>
            <family val="2"/>
            <charset val="186"/>
          </rPr>
          <t>Kristina Pure: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VSAA info pēc LM pieprasījuma:</t>
        </r>
        <r>
          <rPr>
            <sz val="10"/>
            <color indexed="81"/>
            <rFont val="Tahoma"/>
            <family val="2"/>
            <charset val="186"/>
          </rPr>
          <t xml:space="preserve"> aprēķinā ņemts 3.inv. gr. sk. (6 pers.) + inv. gr. nav norādīta (7 pers.)</t>
        </r>
      </text>
    </comment>
    <comment ref="C82" authorId="2">
      <text>
        <r>
          <rPr>
            <b/>
            <sz val="10"/>
            <color indexed="81"/>
            <rFont val="Tahoma"/>
            <family val="2"/>
            <charset val="186"/>
          </rPr>
          <t>Kristina Pure: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VSAA info pēc LM pieprasījuma:</t>
        </r>
        <r>
          <rPr>
            <sz val="10"/>
            <color indexed="81"/>
            <rFont val="Tahoma"/>
            <family val="2"/>
            <charset val="186"/>
          </rPr>
          <t xml:space="preserve"> aprēķinā tiek ņemts lielākais apmērs, t.i., 189,58 Ls (3.inv. gr.) nevis 177,46 Ls (inv. gr. nav norādīta)</t>
        </r>
      </text>
    </comment>
  </commentList>
</comments>
</file>

<file path=xl/sharedStrings.xml><?xml version="1.0" encoding="utf-8"?>
<sst xmlns="http://schemas.openxmlformats.org/spreadsheetml/2006/main" count="229" uniqueCount="135">
  <si>
    <t xml:space="preserve">Jaunā kaitējuma atlīdzības (KA) formula: </t>
  </si>
  <si>
    <r>
      <t>KA=50%×VS×DZ</t>
    </r>
    <r>
      <rPr>
        <sz val="10"/>
        <rFont val="Times New Roman"/>
        <family val="1"/>
        <charset val="186"/>
      </rPr>
      <t>, kur</t>
    </r>
  </si>
  <si>
    <t>VS - iepriekšējā kalendārā gada vidējā apdrošināšanas iemaksu alga valstī;</t>
  </si>
  <si>
    <t>DZ - darbspēju zaudējuma pakāpe (%)</t>
  </si>
  <si>
    <t>Aprēķinā izmantotie dati:</t>
  </si>
  <si>
    <t>Kalendārais gads</t>
  </si>
  <si>
    <r>
      <rPr>
        <b/>
        <sz val="10"/>
        <rFont val="Times New Roman"/>
        <family val="1"/>
        <charset val="186"/>
      </rPr>
      <t>VS,</t>
    </r>
    <r>
      <rPr>
        <sz val="10"/>
        <rFont val="Times New Roman"/>
        <family val="1"/>
        <charset val="186"/>
      </rPr>
      <t xml:space="preserve"> pieņem, ka kalendāra gada vidējā apdrošināšanas iemaksu alga valstī pieaug proporcionāli iepriekšējā kalendārā gada tautsaimniecībā nodarbināto vidējai bruto darba samaksai (Stabilitātes Programmas 2014-2017 dati), EUR mēnesī</t>
    </r>
  </si>
  <si>
    <r>
      <t xml:space="preserve">Invaliditāti iedala: I gr. (DZ 80-100%), II gr. (DZ 60-79%), III (DZ 25-59%). Līdz ar to pieņem, ka vidējā </t>
    </r>
    <r>
      <rPr>
        <b/>
        <sz val="10"/>
        <rFont val="Times New Roman"/>
        <family val="1"/>
        <charset val="186"/>
      </rPr>
      <t>DZ pakāpe:</t>
    </r>
  </si>
  <si>
    <t>I invaliditātes grupa -90%</t>
  </si>
  <si>
    <t>II invaliditātes grupa - 70%</t>
  </si>
  <si>
    <t>III invaliditātes grupa - 50%</t>
  </si>
  <si>
    <r>
      <t xml:space="preserve">Pieņem, ka, </t>
    </r>
    <r>
      <rPr>
        <b/>
        <sz val="10"/>
        <rFont val="Times New Roman"/>
        <family val="1"/>
        <charset val="186"/>
      </rPr>
      <t>ja</t>
    </r>
    <r>
      <rPr>
        <sz val="10"/>
        <rFont val="Times New Roman"/>
        <family val="1"/>
        <charset val="186"/>
      </rPr>
      <t xml:space="preserve"> personai </t>
    </r>
    <r>
      <rPr>
        <b/>
        <sz val="10"/>
        <rFont val="Times New Roman"/>
        <family val="1"/>
        <charset val="186"/>
      </rPr>
      <t>nav noteikta invaliditāte</t>
    </r>
    <r>
      <rPr>
        <sz val="10"/>
        <rFont val="Times New Roman"/>
        <family val="1"/>
        <charset val="186"/>
      </rPr>
      <t>, DZ max - 25%</t>
    </r>
  </si>
  <si>
    <t>KA formulai 50%</t>
  </si>
  <si>
    <t>EUR kurss</t>
  </si>
  <si>
    <t xml:space="preserve">Mēnešu skaits </t>
  </si>
  <si>
    <t>Pieņemsim, ka vid. DZ pakāpe (%) invaliditātes un vecuma pensijas gadījumā ir 60%</t>
  </si>
  <si>
    <r>
      <t>1. Kaitējuma atlīdzības</t>
    </r>
    <r>
      <rPr>
        <i/>
        <sz val="12"/>
        <rFont val="Times New Roman"/>
        <family val="1"/>
        <charset val="186"/>
      </rPr>
      <t xml:space="preserve"> </t>
    </r>
  </si>
  <si>
    <t>1.tabula</t>
  </si>
  <si>
    <t>KA saņēmēju skaits</t>
  </si>
  <si>
    <t>Vidējais piešķirtais KA apmērs, LVL</t>
  </si>
  <si>
    <t>Vidējais piešķirtais KA apmērs, EUR</t>
  </si>
  <si>
    <t>Pieaugums (+) vai samazinājums (-)</t>
  </si>
  <si>
    <t>Papildus izdevumi gadā</t>
  </si>
  <si>
    <t>4=50%×VS×DZ</t>
  </si>
  <si>
    <t>5=4-3</t>
  </si>
  <si>
    <t>6= 5x1x12mēn.</t>
  </si>
  <si>
    <t>I invaliditātes grupa</t>
  </si>
  <si>
    <t>II invaliditātes grupa</t>
  </si>
  <si>
    <t>III invaliditātes grupa</t>
  </si>
  <si>
    <t>2) KA ČAES dalībniekam, kuram noteikta DZ pakāpe (10-25%)</t>
  </si>
  <si>
    <t xml:space="preserve">3) KA mirušā ČAES dalībnieka, kuram noteikta invaliditāte, darbnespējīgiem ģimenes locekļiem </t>
  </si>
  <si>
    <t>48 (apgādājamo sk. - 64)</t>
  </si>
  <si>
    <t>4) KA mirušā ČAES dalībnieka, kuram noteikta DZ pakāpe (10-25%), darbnespējīgiem ģimenes locekļiem</t>
  </si>
  <si>
    <t>3 (apgādājamo sk. - 3)</t>
  </si>
  <si>
    <t>KOPĀ:</t>
  </si>
  <si>
    <t xml:space="preserve">2. Invaliditātes pensijas, kuras piešķirtas līdz 31.12.1999. (KA apmērā)  </t>
  </si>
  <si>
    <t>2.tabula</t>
  </si>
  <si>
    <t>Pensiju saņēmēju skaits</t>
  </si>
  <si>
    <t>Vid. piešķirtais pensijas apmērs (ar piemaksu), LVL</t>
  </si>
  <si>
    <t>Vid. piešķirtais pensijas apmērs (ar piemaksu), EUR</t>
  </si>
  <si>
    <t>Vid. piešķirtais invaliditātes pensijas apmērs personām, kurām invaliditāte iestājusies vispārējās saslimšanas gadījumā, LVL</t>
  </si>
  <si>
    <t>Vid. piešķirtais invaliditātes pensijas apmērs personām, kurām invaliditāte iestājusies vispārējās saslimšanas gadījumā, EUR</t>
  </si>
  <si>
    <t>Jaunais apmērs (invaliditātes pensija + KA), EUR</t>
  </si>
  <si>
    <t>Pieaugums (+) vai samazinājums (-), EUR</t>
  </si>
  <si>
    <t>Papildus izdevumi gadā, EUR</t>
  </si>
  <si>
    <t>Jaunais apmērs (invaliditātes pensija + KA)</t>
  </si>
  <si>
    <t>6 = 50% × VS × DZ</t>
  </si>
  <si>
    <t>7 = 5 + 6</t>
  </si>
  <si>
    <t>8 = 7 - 3</t>
  </si>
  <si>
    <r>
      <t>9 = 8</t>
    </r>
    <r>
      <rPr>
        <b/>
        <i/>
        <sz val="10"/>
        <rFont val="Times New Roman"/>
        <family val="1"/>
        <charset val="186"/>
      </rPr>
      <t>×1×12mēn</t>
    </r>
  </si>
  <si>
    <t xml:space="preserve">3. Vecuma pensijas, kuras piešķirtas līdz 31.12.1999. (vecuma pensija saglabātajā invaliditātes KA apmērā) </t>
  </si>
  <si>
    <t>3.tabula</t>
  </si>
  <si>
    <t>Vid. piešķirtais vecuma pensijas aprēķins pēc pārrēķina, LVL</t>
  </si>
  <si>
    <t>Vid. piešķirtais vecuma pensijas aprēķins pēc pārrēķina, EUR</t>
  </si>
  <si>
    <t>Jaunais apmērs (vecuma pensija + KA), EUR</t>
  </si>
  <si>
    <t>4. Apgādnieka zaudējuma pensijas (AZG) KA apmērā, kuras piešķirtas līdz 31.12.1999.</t>
  </si>
  <si>
    <t>Jaunā KA formula AZG pensijām:</t>
  </si>
  <si>
    <r>
      <t>KA = 50% VS x K</t>
    </r>
    <r>
      <rPr>
        <b/>
        <vertAlign val="subscript"/>
        <sz val="10"/>
        <rFont val="Times New Roman"/>
        <family val="1"/>
        <charset val="186"/>
      </rPr>
      <t>ĢL</t>
    </r>
    <r>
      <rPr>
        <i/>
        <sz val="10"/>
        <rFont val="Times New Roman"/>
        <family val="1"/>
        <charset val="186"/>
      </rPr>
      <t xml:space="preserve">, </t>
    </r>
    <r>
      <rPr>
        <sz val="10"/>
        <rFont val="Times New Roman"/>
        <family val="1"/>
        <charset val="186"/>
      </rPr>
      <t>kur</t>
    </r>
  </si>
  <si>
    <t>KA - kaitējuma atlīdzība;</t>
  </si>
  <si>
    <t xml:space="preserve">VS – iepriekšējā kalendārā gada vidējā apdrošināšanas iemaksu alga valstī </t>
  </si>
  <si>
    <r>
      <t>K</t>
    </r>
    <r>
      <rPr>
        <vertAlign val="subscript"/>
        <sz val="10"/>
        <rFont val="Times New Roman"/>
        <family val="1"/>
        <charset val="186"/>
      </rPr>
      <t>ĢL</t>
    </r>
    <r>
      <rPr>
        <sz val="10"/>
        <rFont val="Times New Roman"/>
        <family val="1"/>
        <charset val="186"/>
      </rPr>
      <t xml:space="preserve"> – kaitējuma atlīdzības koeficients atbilstoši ģimenes locekļu skaitam par kuriem ir piešķirta apgādnieka zaudējuma pensija:</t>
    </r>
  </si>
  <si>
    <t>ja ir viens apgādājamais:</t>
  </si>
  <si>
    <t>ja ir divi apgādājamie:</t>
  </si>
  <si>
    <t>ja ir trīs apgādājamie:</t>
  </si>
  <si>
    <t>Saņēmēju skaists</t>
  </si>
  <si>
    <t>Vid. piešķirtais AZG apmērs ČAES gadījumā, EUR</t>
  </si>
  <si>
    <t>Vid. piešķirtais AZG apmērs vispārējā gadījumā, LVL</t>
  </si>
  <si>
    <t>Vid. piešķirtais AZG apmērs vispārējā gadījumā, EUR</t>
  </si>
  <si>
    <t>Jaunais apmērs (AZG pensija+KA), EUR</t>
  </si>
  <si>
    <r>
      <t>5=50% × VS × (K</t>
    </r>
    <r>
      <rPr>
        <i/>
        <vertAlign val="subscript"/>
        <sz val="10"/>
        <rFont val="Times New Roman"/>
        <family val="1"/>
        <charset val="186"/>
      </rPr>
      <t>ĢL</t>
    </r>
    <r>
      <rPr>
        <i/>
        <sz val="10"/>
        <rFont val="Times New Roman"/>
        <family val="1"/>
        <charset val="186"/>
      </rPr>
      <t>)</t>
    </r>
  </si>
  <si>
    <t>6 = 5+4</t>
  </si>
  <si>
    <t>7=6-2</t>
  </si>
  <si>
    <r>
      <t>** pieņemsim, ka K</t>
    </r>
    <r>
      <rPr>
        <i/>
        <vertAlign val="subscript"/>
        <sz val="10"/>
        <rFont val="Times New Roman"/>
        <family val="1"/>
        <charset val="186"/>
      </rPr>
      <t>ĢL</t>
    </r>
    <r>
      <rPr>
        <i/>
        <sz val="10"/>
        <rFont val="Times New Roman"/>
        <family val="1"/>
        <charset val="186"/>
      </rPr>
      <t xml:space="preserve"> – 0,9 (divi apgādājamie)</t>
    </r>
  </si>
  <si>
    <t>5. Kopsavilkums (papildus izdevumi gadā), EUR</t>
  </si>
  <si>
    <t>5.tabula</t>
  </si>
  <si>
    <t>Gads</t>
  </si>
  <si>
    <t>no valsts pamatbudžeta</t>
  </si>
  <si>
    <t>no valsts speciālā budžeta</t>
  </si>
  <si>
    <t>Labklājības ministrs</t>
  </si>
  <si>
    <t>U.Augulis</t>
  </si>
  <si>
    <t>tālr. 67021636, fakss 67021592</t>
  </si>
  <si>
    <t>Ilze.Strausa@lm.gov.lv</t>
  </si>
  <si>
    <t>8=50%×VS×DZ</t>
  </si>
  <si>
    <t>9=8-7</t>
  </si>
  <si>
    <t>10= 11×1×12mēn.</t>
  </si>
  <si>
    <t>KA pēc jaunās formulas</t>
  </si>
  <si>
    <t>8=7×1×12mēn.</t>
  </si>
  <si>
    <t>10 = 50% × VS × DZ</t>
  </si>
  <si>
    <t>11 = 5+10</t>
  </si>
  <si>
    <t>12=11-3</t>
  </si>
  <si>
    <t>13=12*1*12 mēn.</t>
  </si>
  <si>
    <t>14 = 50% × VS × DZ</t>
  </si>
  <si>
    <t>15= 5 + 14</t>
  </si>
  <si>
    <t>16 = 15 -3</t>
  </si>
  <si>
    <r>
      <t>17= 16</t>
    </r>
    <r>
      <rPr>
        <b/>
        <i/>
        <sz val="10"/>
        <rFont val="Times New Roman"/>
        <family val="1"/>
        <charset val="186"/>
      </rPr>
      <t>×1×12mēn</t>
    </r>
  </si>
  <si>
    <t>18= 50% × VS × DZ</t>
  </si>
  <si>
    <t>19 = 5 +18</t>
  </si>
  <si>
    <t>20= 19 - 3</t>
  </si>
  <si>
    <t>21=20*1*12mēn.</t>
  </si>
  <si>
    <t>12=50%×VS×DZ</t>
  </si>
  <si>
    <t>13=12-11</t>
  </si>
  <si>
    <t>14=13×1×12mēn.</t>
  </si>
  <si>
    <t>16=50%×VS×DZ</t>
  </si>
  <si>
    <t>17=16-15</t>
  </si>
  <si>
    <t>18=17×1×12mēn.</t>
  </si>
  <si>
    <r>
      <t>9 = 50% × VS × (K</t>
    </r>
    <r>
      <rPr>
        <i/>
        <vertAlign val="subscript"/>
        <sz val="10"/>
        <rFont val="Times New Roman"/>
        <family val="1"/>
        <charset val="186"/>
      </rPr>
      <t>ĢL</t>
    </r>
    <r>
      <rPr>
        <i/>
        <sz val="10"/>
        <rFont val="Times New Roman"/>
        <family val="1"/>
        <charset val="186"/>
      </rPr>
      <t>)</t>
    </r>
  </si>
  <si>
    <t>10 = 9+4</t>
  </si>
  <si>
    <t>11 = 10 - 2</t>
  </si>
  <si>
    <t>12=11×1×12mēn.</t>
  </si>
  <si>
    <r>
      <t>13 = 50% × VS × (K</t>
    </r>
    <r>
      <rPr>
        <i/>
        <vertAlign val="subscript"/>
        <sz val="10"/>
        <rFont val="Times New Roman"/>
        <family val="1"/>
        <charset val="186"/>
      </rPr>
      <t>ĢL</t>
    </r>
    <r>
      <rPr>
        <i/>
        <sz val="10"/>
        <rFont val="Times New Roman"/>
        <family val="1"/>
        <charset val="186"/>
      </rPr>
      <t>)</t>
    </r>
  </si>
  <si>
    <t>14 = 13+ 4</t>
  </si>
  <si>
    <t>15 = 14 -2</t>
  </si>
  <si>
    <t>16 = 15×1×12mēn</t>
  </si>
  <si>
    <r>
      <t>17 = 50% × VS × (K</t>
    </r>
    <r>
      <rPr>
        <i/>
        <vertAlign val="subscript"/>
        <sz val="10"/>
        <rFont val="Times New Roman"/>
        <family val="1"/>
        <charset val="186"/>
      </rPr>
      <t>ĢL</t>
    </r>
    <r>
      <rPr>
        <i/>
        <sz val="10"/>
        <rFont val="Times New Roman"/>
        <family val="1"/>
        <charset val="186"/>
      </rPr>
      <t>)</t>
    </r>
  </si>
  <si>
    <t>18 = 17 +4</t>
  </si>
  <si>
    <t>19 = 18 - 2</t>
  </si>
  <si>
    <t>20 = 19×1×12mēn.</t>
  </si>
  <si>
    <t>1.tabula (turpinājums)</t>
  </si>
  <si>
    <t>2.tabula (turpinājums)</t>
  </si>
  <si>
    <t>3.tabula (turpinājums)</t>
  </si>
  <si>
    <t>4.tabula (turpinājums)</t>
  </si>
  <si>
    <r>
      <t>Likumprojekts "Grozījumi Černobiļas atomelektrostacijas avārijas seku likvidēšanas dalībnieku un Černobiļas atomelektrostacijas avārijas rezultātā cietušo personu sociālās aizsardzības likumā"</t>
    </r>
    <r>
      <rPr>
        <i/>
        <sz val="14"/>
        <rFont val="Times New Roman"/>
        <family val="1"/>
        <charset val="186"/>
      </rPr>
      <t xml:space="preserve">
(ietekme uz valsts budžeta izdevumiem)</t>
    </r>
  </si>
  <si>
    <t>(pieņēmums)</t>
  </si>
  <si>
    <t>Ilze Štrausa</t>
  </si>
  <si>
    <t>Papildus izdevumi KOPĀ, t.sk:</t>
  </si>
  <si>
    <t>Pielikums tiesību akta sākotnējās ietekmes novērtējuma ziņojumam (anotācijai)</t>
  </si>
  <si>
    <t>* 4. un 8.ailē noteiktie KA apmēri aprēķināti, kā vidējie svērtie, ņemot vērā katras invaliditātes grupas īpatsvarus kopējā skaitā.</t>
  </si>
  <si>
    <t>1) KA ČAES dalībniekam, kuram noteikta invaliditāte*</t>
  </si>
  <si>
    <t>* 12. un 16.ailē noteiktie KA apmēri aprēķināti, kā vidējie svērtie, ņemot vērā katras invaliditātes grupas īpatsvarus kopējā skaitā.</t>
  </si>
  <si>
    <t>KA apmērs pēc jaunās formulas, EUR</t>
  </si>
  <si>
    <t>KA apmērs pēc jaunās formulas</t>
  </si>
  <si>
    <t>KA apmērs pēc jaunās formulas**, EUR</t>
  </si>
  <si>
    <t>KA apmērs pēc jaunās formulas*, EUR</t>
  </si>
  <si>
    <t>LManotp_240714_CAES; Likumprojekts "Grozījumi Černobiļas atomelektrostacijas avārijas seku likvidēšanas dalībnieku un Černobiļas atomelektrostacijas avārijas rezultātā cietušo personu sociālās aizsardzības likumā"</t>
  </si>
  <si>
    <t>24.07.2014.  10:43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</si>
</sst>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0"/>
      <name val="Arial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b/>
      <vertAlign val="subscript"/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i/>
      <vertAlign val="subscript"/>
      <sz val="1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u/>
      <sz val="10"/>
      <color indexed="81"/>
      <name val="Tahoma"/>
      <family val="2"/>
      <charset val="186"/>
    </font>
    <font>
      <sz val="10"/>
      <name val="BaltHelvetica"/>
    </font>
    <font>
      <sz val="10"/>
      <name val="Helv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u/>
      <sz val="8.5"/>
      <color indexed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i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0"/>
      <color indexed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5" fillId="0" borderId="0"/>
    <xf numFmtId="0" fontId="21" fillId="0" borderId="0"/>
    <xf numFmtId="0" fontId="22" fillId="0" borderId="0"/>
  </cellStyleXfs>
  <cellXfs count="107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0" fillId="0" borderId="0" xfId="0" applyFill="1"/>
    <xf numFmtId="2" fontId="1" fillId="0" borderId="0" xfId="0" applyNumberFormat="1" applyFont="1" applyFill="1"/>
    <xf numFmtId="0" fontId="12" fillId="0" borderId="0" xfId="0" applyFont="1" applyFill="1"/>
    <xf numFmtId="0" fontId="8" fillId="0" borderId="6" xfId="0" applyFont="1" applyFill="1" applyBorder="1" applyAlignment="1">
      <alignment vertical="top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/>
    <xf numFmtId="0" fontId="7" fillId="0" borderId="0" xfId="0" applyFont="1" applyFill="1"/>
    <xf numFmtId="164" fontId="1" fillId="0" borderId="0" xfId="0" applyNumberFormat="1" applyFont="1" applyFill="1"/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" fillId="0" borderId="0" xfId="0" applyFont="1" applyFill="1" applyBorder="1"/>
    <xf numFmtId="0" fontId="9" fillId="0" borderId="1" xfId="0" applyFont="1" applyFill="1" applyBorder="1"/>
    <xf numFmtId="4" fontId="1" fillId="0" borderId="0" xfId="0" applyNumberFormat="1" applyFont="1" applyFill="1"/>
    <xf numFmtId="0" fontId="24" fillId="0" borderId="0" xfId="0" applyFont="1" applyFill="1"/>
    <xf numFmtId="0" fontId="27" fillId="0" borderId="0" xfId="0" applyFont="1" applyFill="1"/>
    <xf numFmtId="0" fontId="31" fillId="0" borderId="0" xfId="1" applyFont="1" applyFill="1" applyAlignment="1" applyProtection="1"/>
    <xf numFmtId="3" fontId="12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vertical="justify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Parastais_FMLikp01_p05_221205_pap_afp_makp" xfId="4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ze.Strausa@lm.gov.lv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79"/>
  <sheetViews>
    <sheetView tabSelected="1" zoomScale="85" zoomScaleNormal="85" workbookViewId="0">
      <pane xSplit="1" ySplit="19" topLeftCell="B167" activePane="bottomRight" state="frozen"/>
      <selection pane="topRight" activeCell="B1" sqref="B1"/>
      <selection pane="bottomLeft" activeCell="A19" sqref="A19"/>
      <selection pane="bottomRight" activeCell="C173" sqref="C173"/>
    </sheetView>
  </sheetViews>
  <sheetFormatPr defaultRowHeight="12.75"/>
  <cols>
    <col min="1" max="1" width="37.42578125" style="7" customWidth="1"/>
    <col min="2" max="26" width="15.85546875" style="7" customWidth="1"/>
    <col min="27" max="27" width="12.7109375" style="7" customWidth="1"/>
    <col min="28" max="28" width="11.5703125" style="7" customWidth="1"/>
    <col min="29" max="30" width="9.140625" style="7"/>
    <col min="31" max="31" width="10.28515625" style="7" bestFit="1" customWidth="1"/>
    <col min="32" max="32" width="9.140625" style="7"/>
    <col min="33" max="33" width="10.5703125" style="7" customWidth="1"/>
    <col min="34" max="34" width="10.28515625" style="7" bestFit="1" customWidth="1"/>
    <col min="35" max="36" width="9.140625" style="7"/>
    <col min="37" max="37" width="10.28515625" style="7" bestFit="1" customWidth="1"/>
    <col min="38" max="16384" width="9.140625" style="7"/>
  </cols>
  <sheetData>
    <row r="1" spans="1:12" ht="15.75">
      <c r="I1" s="22" t="s">
        <v>125</v>
      </c>
    </row>
    <row r="2" spans="1:12" ht="66" customHeight="1">
      <c r="A2" s="100" t="s">
        <v>121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0" customFormat="1">
      <c r="A3" s="8" t="s">
        <v>0</v>
      </c>
      <c r="B3" s="8"/>
      <c r="C3" s="8"/>
      <c r="D3" s="9"/>
      <c r="E3" s="9"/>
      <c r="F3" s="9"/>
      <c r="G3" s="9"/>
      <c r="H3" s="9"/>
      <c r="I3" s="9"/>
    </row>
    <row r="4" spans="1:12">
      <c r="A4" s="10" t="s">
        <v>1</v>
      </c>
      <c r="B4" s="10"/>
      <c r="C4" s="10"/>
      <c r="D4" s="11"/>
      <c r="E4" s="11"/>
      <c r="F4" s="11"/>
      <c r="G4" s="11"/>
      <c r="H4" s="11"/>
      <c r="I4" s="11"/>
    </row>
    <row r="5" spans="1:12">
      <c r="A5" s="12" t="s">
        <v>2</v>
      </c>
      <c r="B5" s="12"/>
      <c r="C5" s="12"/>
    </row>
    <row r="6" spans="1:12">
      <c r="A6" s="12" t="s">
        <v>3</v>
      </c>
      <c r="B6" s="12"/>
      <c r="C6" s="12"/>
    </row>
    <row r="7" spans="1:12">
      <c r="A7" s="12"/>
      <c r="B7" s="12"/>
      <c r="C7" s="12"/>
    </row>
    <row r="8" spans="1:12" s="8" customFormat="1">
      <c r="A8" s="13" t="s">
        <v>4</v>
      </c>
      <c r="B8" s="14"/>
      <c r="C8" s="14"/>
    </row>
    <row r="9" spans="1:12" s="17" customFormat="1">
      <c r="A9" s="15" t="s">
        <v>5</v>
      </c>
      <c r="B9" s="16">
        <v>2013</v>
      </c>
      <c r="C9" s="16">
        <v>2014</v>
      </c>
      <c r="D9" s="16">
        <v>2015</v>
      </c>
      <c r="E9" s="16">
        <v>2016</v>
      </c>
      <c r="F9" s="16">
        <v>2017</v>
      </c>
    </row>
    <row r="10" spans="1:12" ht="78" customHeight="1">
      <c r="A10" s="18" t="s">
        <v>6</v>
      </c>
      <c r="B10" s="2">
        <v>594.05999999999995</v>
      </c>
      <c r="C10" s="19">
        <f>(ROUND(B10+(B10*5.6%),2))</f>
        <v>627.33000000000004</v>
      </c>
      <c r="D10" s="19">
        <f>(ROUND(C10+(C10*5.3%),2))</f>
        <v>660.58</v>
      </c>
      <c r="E10" s="19">
        <f>(ROUND(D10+(D10*5.5%),2))</f>
        <v>696.91</v>
      </c>
      <c r="F10" s="19">
        <f>(ROUND(E10+(E10*5.5%),2))</f>
        <v>735.24</v>
      </c>
      <c r="G10" s="20"/>
      <c r="H10" s="20"/>
      <c r="I10" s="20"/>
      <c r="J10" s="20"/>
    </row>
    <row r="11" spans="1:12" ht="39" customHeight="1">
      <c r="A11" s="18" t="s">
        <v>7</v>
      </c>
      <c r="B11" s="2"/>
      <c r="C11" s="2"/>
      <c r="D11" s="2"/>
      <c r="E11" s="2"/>
      <c r="F11" s="2"/>
      <c r="G11" s="3"/>
    </row>
    <row r="12" spans="1:12" ht="15" customHeight="1">
      <c r="A12" s="1" t="s">
        <v>8</v>
      </c>
      <c r="B12" s="2">
        <v>0.9</v>
      </c>
      <c r="C12" s="2">
        <v>0.9</v>
      </c>
      <c r="D12" s="2">
        <v>0.9</v>
      </c>
      <c r="E12" s="2">
        <v>0.9</v>
      </c>
      <c r="F12" s="2">
        <v>0.9</v>
      </c>
      <c r="G12" s="3"/>
    </row>
    <row r="13" spans="1:12" ht="14.25" customHeight="1">
      <c r="A13" s="1" t="s">
        <v>9</v>
      </c>
      <c r="B13" s="2">
        <v>0.7</v>
      </c>
      <c r="C13" s="2">
        <v>0.7</v>
      </c>
      <c r="D13" s="2">
        <v>0.7</v>
      </c>
      <c r="E13" s="2">
        <v>0.7</v>
      </c>
      <c r="F13" s="2">
        <v>0.7</v>
      </c>
      <c r="G13" s="3"/>
    </row>
    <row r="14" spans="1:12">
      <c r="A14" s="1" t="s">
        <v>10</v>
      </c>
      <c r="B14" s="2">
        <v>0.5</v>
      </c>
      <c r="C14" s="2">
        <v>0.5</v>
      </c>
      <c r="D14" s="2">
        <v>0.5</v>
      </c>
      <c r="E14" s="2">
        <v>0.5</v>
      </c>
      <c r="F14" s="2">
        <v>0.5</v>
      </c>
      <c r="G14" s="3"/>
    </row>
    <row r="15" spans="1:12" ht="25.5">
      <c r="A15" s="1" t="s">
        <v>11</v>
      </c>
      <c r="B15" s="2">
        <v>0.25</v>
      </c>
      <c r="C15" s="2">
        <v>0.25</v>
      </c>
      <c r="D15" s="2">
        <v>0.25</v>
      </c>
      <c r="E15" s="2">
        <v>0.25</v>
      </c>
      <c r="F15" s="2">
        <v>0.25</v>
      </c>
      <c r="G15" s="3"/>
      <c r="H15" s="11"/>
      <c r="I15" s="11"/>
    </row>
    <row r="16" spans="1:12">
      <c r="A16" s="1" t="s">
        <v>12</v>
      </c>
      <c r="B16" s="2">
        <v>0.5</v>
      </c>
      <c r="C16" s="2">
        <v>0.5</v>
      </c>
      <c r="D16" s="2">
        <v>0.5</v>
      </c>
      <c r="E16" s="2">
        <v>0.5</v>
      </c>
      <c r="F16" s="2">
        <v>0.5</v>
      </c>
      <c r="G16" s="3"/>
      <c r="H16" s="11"/>
      <c r="I16" s="11"/>
    </row>
    <row r="17" spans="1:42">
      <c r="A17" s="1" t="s">
        <v>13</v>
      </c>
      <c r="B17" s="2">
        <v>0.70280399999999998</v>
      </c>
      <c r="C17" s="2">
        <v>0.70280399999999998</v>
      </c>
      <c r="D17" s="2">
        <v>0.70280399999999998</v>
      </c>
      <c r="E17" s="2">
        <v>0.70280399999999998</v>
      </c>
      <c r="F17" s="2">
        <v>0.70280399999999998</v>
      </c>
      <c r="H17" s="11"/>
      <c r="I17" s="11"/>
      <c r="V17" s="11"/>
      <c r="W17" s="11"/>
      <c r="X17" s="11"/>
    </row>
    <row r="18" spans="1:42">
      <c r="A18" s="1" t="s">
        <v>14</v>
      </c>
      <c r="B18" s="2">
        <v>12</v>
      </c>
      <c r="C18" s="2">
        <v>12</v>
      </c>
      <c r="D18" s="2">
        <v>12</v>
      </c>
      <c r="E18" s="2">
        <v>12</v>
      </c>
      <c r="F18" s="2">
        <v>12</v>
      </c>
      <c r="H18" s="11"/>
      <c r="I18" s="11"/>
      <c r="V18" s="11"/>
      <c r="W18" s="11"/>
      <c r="X18" s="11"/>
    </row>
    <row r="19" spans="1:42" ht="25.5">
      <c r="A19" s="1" t="s">
        <v>15</v>
      </c>
      <c r="B19" s="2">
        <v>0.6</v>
      </c>
      <c r="C19" s="2">
        <v>0.6</v>
      </c>
      <c r="D19" s="2">
        <v>0.6</v>
      </c>
      <c r="E19" s="2">
        <v>0.6</v>
      </c>
      <c r="F19" s="2">
        <v>0.6</v>
      </c>
      <c r="H19" s="11"/>
      <c r="I19" s="11"/>
      <c r="V19" s="11"/>
      <c r="W19" s="11"/>
      <c r="X19" s="11"/>
    </row>
    <row r="20" spans="1:42">
      <c r="A20" s="4"/>
      <c r="B20" s="5"/>
      <c r="C20" s="5"/>
      <c r="D20" s="5"/>
      <c r="E20" s="5"/>
      <c r="F20" s="5"/>
      <c r="H20" s="21"/>
      <c r="I20" s="21"/>
      <c r="V20" s="11"/>
      <c r="W20" s="11"/>
      <c r="X20" s="11"/>
    </row>
    <row r="21" spans="1:42" ht="20.25" customHeight="1">
      <c r="A21" s="94" t="s">
        <v>16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21"/>
      <c r="V21" s="11"/>
      <c r="W21" s="11"/>
      <c r="X21" s="11"/>
    </row>
    <row r="22" spans="1:42" s="22" customFormat="1" ht="15.75">
      <c r="B22" s="23"/>
      <c r="C22" s="23"/>
      <c r="D22" s="23"/>
      <c r="E22" s="23"/>
      <c r="F22" s="23"/>
      <c r="G22" s="23"/>
      <c r="H22" s="23"/>
      <c r="I22" s="23"/>
      <c r="J22" s="23"/>
      <c r="K22" s="24" t="s">
        <v>17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</row>
    <row r="23" spans="1:42" s="26" customFormat="1">
      <c r="A23" s="102"/>
      <c r="B23" s="102">
        <v>2014</v>
      </c>
      <c r="C23" s="102"/>
      <c r="D23" s="102"/>
      <c r="E23" s="102"/>
      <c r="F23" s="102"/>
      <c r="G23" s="102"/>
      <c r="H23" s="102">
        <v>2015</v>
      </c>
      <c r="I23" s="102"/>
      <c r="J23" s="102"/>
      <c r="K23" s="10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26" customFormat="1" ht="57" customHeight="1">
      <c r="A24" s="102"/>
      <c r="B24" s="27" t="s">
        <v>18</v>
      </c>
      <c r="C24" s="27" t="s">
        <v>19</v>
      </c>
      <c r="D24" s="27" t="s">
        <v>20</v>
      </c>
      <c r="E24" s="27" t="s">
        <v>85</v>
      </c>
      <c r="F24" s="27" t="s">
        <v>21</v>
      </c>
      <c r="G24" s="28" t="s">
        <v>22</v>
      </c>
      <c r="H24" s="27" t="s">
        <v>20</v>
      </c>
      <c r="I24" s="27" t="s">
        <v>85</v>
      </c>
      <c r="J24" s="27" t="s">
        <v>21</v>
      </c>
      <c r="K24" s="28" t="s">
        <v>22</v>
      </c>
      <c r="T24" s="20"/>
      <c r="U24" s="20"/>
      <c r="V24" s="20"/>
      <c r="W24" s="20"/>
      <c r="X24" s="20"/>
      <c r="Y24" s="20"/>
      <c r="Z24" s="2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2" customFormat="1" ht="13.5">
      <c r="A25" s="29"/>
      <c r="B25" s="30">
        <v>1</v>
      </c>
      <c r="C25" s="30">
        <v>2</v>
      </c>
      <c r="D25" s="31">
        <v>3</v>
      </c>
      <c r="E25" s="30" t="s">
        <v>23</v>
      </c>
      <c r="F25" s="30" t="s">
        <v>24</v>
      </c>
      <c r="G25" s="32" t="s">
        <v>25</v>
      </c>
      <c r="H25" s="31">
        <v>7</v>
      </c>
      <c r="I25" s="30" t="s">
        <v>82</v>
      </c>
      <c r="J25" s="30" t="s">
        <v>83</v>
      </c>
      <c r="K25" s="32" t="s">
        <v>84</v>
      </c>
      <c r="T25" s="20"/>
      <c r="U25" s="20"/>
      <c r="V25" s="20"/>
      <c r="W25" s="20"/>
      <c r="X25" s="20"/>
      <c r="Y25" s="20"/>
      <c r="Z25" s="20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25.5">
      <c r="A26" s="6" t="s">
        <v>127</v>
      </c>
      <c r="B26" s="33">
        <f>SUM(B27:B29)</f>
        <v>1205</v>
      </c>
      <c r="C26" s="34">
        <v>66.2</v>
      </c>
      <c r="D26" s="33">
        <f>ROUND(C26/$B$17,2)</f>
        <v>94.19</v>
      </c>
      <c r="E26" s="35">
        <f>ROUND((E27*$B$27+E28*$B$28+E29*$B$29)/$B$26,2)</f>
        <v>168.68</v>
      </c>
      <c r="F26" s="35">
        <f>E26-D26</f>
        <v>74.490000000000009</v>
      </c>
      <c r="G26" s="36">
        <f>G27+G28+G29</f>
        <v>1080703.08</v>
      </c>
      <c r="H26" s="35">
        <f>D26</f>
        <v>94.19</v>
      </c>
      <c r="I26" s="35">
        <f>ROUND((I27*$B$27+I28*$B$28+I29*$B$29)/$B$26,2)</f>
        <v>178.12</v>
      </c>
      <c r="J26" s="35">
        <f>I26-H26</f>
        <v>83.93</v>
      </c>
      <c r="K26" s="36">
        <f>K27+K28+K29</f>
        <v>1213301.04</v>
      </c>
      <c r="T26" s="20"/>
      <c r="U26" s="20"/>
      <c r="V26" s="20"/>
      <c r="W26" s="20"/>
      <c r="X26" s="20"/>
      <c r="Y26" s="20"/>
      <c r="Z26" s="20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>
      <c r="A27" s="37" t="s">
        <v>26</v>
      </c>
      <c r="B27" s="33">
        <v>22</v>
      </c>
      <c r="C27" s="37">
        <v>209.06</v>
      </c>
      <c r="D27" s="33">
        <f t="shared" ref="D27:D29" si="0">ROUND(C27/$B$17,2)</f>
        <v>297.47000000000003</v>
      </c>
      <c r="E27" s="33">
        <f>ROUND(B16*B10*B12,2)</f>
        <v>267.33</v>
      </c>
      <c r="F27" s="35">
        <f>E27-D27</f>
        <v>-30.140000000000043</v>
      </c>
      <c r="G27" s="36">
        <v>0</v>
      </c>
      <c r="H27" s="35">
        <f>D27</f>
        <v>297.47000000000003</v>
      </c>
      <c r="I27" s="35">
        <f>ROUND((C10*C12*C16),2)</f>
        <v>282.3</v>
      </c>
      <c r="J27" s="35">
        <f>I27-H27</f>
        <v>-15.170000000000016</v>
      </c>
      <c r="K27" s="36">
        <v>0</v>
      </c>
      <c r="T27" s="20"/>
      <c r="U27" s="20"/>
      <c r="V27" s="20"/>
      <c r="W27" s="20"/>
      <c r="X27" s="20"/>
      <c r="Y27" s="20"/>
      <c r="Z27" s="20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>
      <c r="A28" s="37" t="s">
        <v>27</v>
      </c>
      <c r="B28" s="33">
        <v>365</v>
      </c>
      <c r="C28" s="37">
        <v>114.52</v>
      </c>
      <c r="D28" s="33">
        <f t="shared" si="0"/>
        <v>162.94999999999999</v>
      </c>
      <c r="E28" s="33">
        <f>ROUND(B16*B10*B13,2)</f>
        <v>207.92</v>
      </c>
      <c r="F28" s="35">
        <f>E28-D28</f>
        <v>44.97</v>
      </c>
      <c r="G28" s="36">
        <f>ROUND(F28*B28*B18,2)</f>
        <v>196968.6</v>
      </c>
      <c r="H28" s="35">
        <f>D28</f>
        <v>162.94999999999999</v>
      </c>
      <c r="I28" s="35">
        <f>ROUND((C10*C13*C16),2)</f>
        <v>219.57</v>
      </c>
      <c r="J28" s="35">
        <f>I28-H28</f>
        <v>56.620000000000005</v>
      </c>
      <c r="K28" s="36">
        <f>ROUND(B28*C18*J28,2)</f>
        <v>247995.6</v>
      </c>
      <c r="T28" s="20"/>
      <c r="U28" s="20"/>
      <c r="V28" s="20"/>
      <c r="W28" s="20"/>
      <c r="X28" s="20"/>
      <c r="Y28" s="20"/>
      <c r="Z28" s="2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>
      <c r="A29" s="37" t="s">
        <v>28</v>
      </c>
      <c r="B29" s="33">
        <v>818</v>
      </c>
      <c r="C29" s="37">
        <v>41.11</v>
      </c>
      <c r="D29" s="33">
        <f t="shared" si="0"/>
        <v>58.49</v>
      </c>
      <c r="E29" s="33">
        <f>ROUND(B16*B10*B14,2)</f>
        <v>148.52000000000001</v>
      </c>
      <c r="F29" s="35">
        <f>E29-D29</f>
        <v>90.03</v>
      </c>
      <c r="G29" s="36">
        <f>ROUND(F29*B29*B18,2)</f>
        <v>883734.48</v>
      </c>
      <c r="H29" s="35">
        <f>D29</f>
        <v>58.49</v>
      </c>
      <c r="I29" s="35">
        <f>ROUND((C10*C14*C16),2)</f>
        <v>156.83000000000001</v>
      </c>
      <c r="J29" s="35">
        <f>I29-H29</f>
        <v>98.34</v>
      </c>
      <c r="K29" s="36">
        <f>ROUND(C18*B29*J29,2)</f>
        <v>965305.44</v>
      </c>
      <c r="T29" s="20"/>
      <c r="U29" s="20"/>
      <c r="V29" s="20"/>
      <c r="W29" s="20"/>
      <c r="X29" s="20"/>
      <c r="Y29" s="20"/>
      <c r="Z29" s="2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>
      <c r="A30" s="37"/>
      <c r="B30" s="37"/>
      <c r="C30" s="37"/>
      <c r="D30" s="37"/>
      <c r="E30" s="37"/>
      <c r="F30" s="37"/>
      <c r="G30" s="38"/>
      <c r="H30" s="35"/>
      <c r="I30" s="37"/>
      <c r="J30" s="37"/>
      <c r="K30" s="38"/>
      <c r="T30" s="20"/>
      <c r="U30" s="20"/>
      <c r="V30" s="20"/>
      <c r="W30" s="20"/>
      <c r="X30" s="20"/>
      <c r="Y30" s="20"/>
      <c r="Z30" s="20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25.5">
      <c r="A31" s="6" t="s">
        <v>29</v>
      </c>
      <c r="B31" s="33">
        <v>419</v>
      </c>
      <c r="C31" s="33">
        <v>50.45</v>
      </c>
      <c r="D31" s="33">
        <f>ROUND(C31/B17,2)</f>
        <v>71.78</v>
      </c>
      <c r="E31" s="33">
        <f>ROUND(B16*B15*B10,2)</f>
        <v>74.260000000000005</v>
      </c>
      <c r="F31" s="33">
        <f>E31-D31</f>
        <v>2.480000000000004</v>
      </c>
      <c r="G31" s="36">
        <f>ROUND(F31*B31*B18,2)</f>
        <v>12469.44</v>
      </c>
      <c r="H31" s="35">
        <f>D31</f>
        <v>71.78</v>
      </c>
      <c r="I31" s="35">
        <f>ROUND((C10*C15*C16),2)</f>
        <v>78.42</v>
      </c>
      <c r="J31" s="35">
        <f>I31-H31</f>
        <v>6.6400000000000006</v>
      </c>
      <c r="K31" s="36">
        <f>ROUND(C18*B31*J31,2)</f>
        <v>33385.919999999998</v>
      </c>
      <c r="T31" s="20"/>
      <c r="U31" s="20"/>
      <c r="V31" s="20"/>
      <c r="W31" s="20"/>
      <c r="X31" s="20"/>
      <c r="Y31" s="20"/>
      <c r="Z31" s="20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>
      <c r="A32" s="37"/>
      <c r="B32" s="37"/>
      <c r="C32" s="37"/>
      <c r="D32" s="33">
        <f>ROUND(C32/B18,2)</f>
        <v>0</v>
      </c>
      <c r="E32" s="37"/>
      <c r="F32" s="37"/>
      <c r="G32" s="38"/>
      <c r="H32" s="35">
        <f>D32</f>
        <v>0</v>
      </c>
      <c r="I32" s="37"/>
      <c r="J32" s="37"/>
      <c r="K32" s="38"/>
      <c r="T32" s="20"/>
      <c r="U32" s="20"/>
      <c r="V32" s="20"/>
      <c r="W32" s="20"/>
      <c r="X32" s="20"/>
      <c r="Y32" s="20"/>
      <c r="Z32" s="20"/>
    </row>
    <row r="33" spans="1:26" ht="38.25">
      <c r="A33" s="6" t="s">
        <v>30</v>
      </c>
      <c r="B33" s="18" t="s">
        <v>31</v>
      </c>
      <c r="C33" s="1">
        <v>72.900000000000006</v>
      </c>
      <c r="D33" s="33">
        <f>ROUND(C33/B17,2)</f>
        <v>103.73</v>
      </c>
      <c r="E33" s="33">
        <f>ROUND(B16*B10*B19,2)</f>
        <v>178.22</v>
      </c>
      <c r="F33" s="33">
        <f>E33-D33</f>
        <v>74.489999999999995</v>
      </c>
      <c r="G33" s="36">
        <f>ROUND(F33*64*B18,2)</f>
        <v>57208.32</v>
      </c>
      <c r="H33" s="35">
        <f>D33</f>
        <v>103.73</v>
      </c>
      <c r="I33" s="33">
        <f>ROUND(C16*C10*C19,2)</f>
        <v>188.2</v>
      </c>
      <c r="J33" s="33">
        <f>I33-H33</f>
        <v>84.469999999999985</v>
      </c>
      <c r="K33" s="36">
        <f>ROUND(J33*64*B18,2)</f>
        <v>64872.959999999999</v>
      </c>
      <c r="T33" s="20"/>
      <c r="U33" s="20"/>
      <c r="V33" s="20"/>
      <c r="W33" s="20"/>
      <c r="X33" s="20"/>
      <c r="Y33" s="20"/>
      <c r="Z33" s="20"/>
    </row>
    <row r="34" spans="1:26">
      <c r="A34" s="37"/>
      <c r="B34" s="37"/>
      <c r="C34" s="37"/>
      <c r="D34" s="37"/>
      <c r="E34" s="37"/>
      <c r="F34" s="37"/>
      <c r="G34" s="38"/>
      <c r="H34" s="35"/>
      <c r="I34" s="37"/>
      <c r="J34" s="37"/>
      <c r="K34" s="38"/>
      <c r="T34" s="20"/>
      <c r="U34" s="20"/>
      <c r="V34" s="20"/>
      <c r="W34" s="20"/>
      <c r="X34" s="11"/>
    </row>
    <row r="35" spans="1:26" ht="38.25">
      <c r="A35" s="6" t="s">
        <v>32</v>
      </c>
      <c r="B35" s="1" t="s">
        <v>33</v>
      </c>
      <c r="C35" s="1">
        <v>64.34</v>
      </c>
      <c r="D35" s="33">
        <f>ROUND(C35/B17,2)</f>
        <v>91.55</v>
      </c>
      <c r="E35" s="33">
        <f>ROUND(B16*B10*B15,2)</f>
        <v>74.260000000000005</v>
      </c>
      <c r="F35" s="33">
        <f>E35-D35</f>
        <v>-17.289999999999992</v>
      </c>
      <c r="G35" s="36">
        <v>0</v>
      </c>
      <c r="H35" s="35">
        <f>D35</f>
        <v>91.55</v>
      </c>
      <c r="I35" s="33">
        <f>ROUND(C16*C10*C15,2)</f>
        <v>78.42</v>
      </c>
      <c r="J35" s="33">
        <f>I35-H35</f>
        <v>-13.129999999999995</v>
      </c>
      <c r="K35" s="36">
        <v>0</v>
      </c>
      <c r="T35" s="20"/>
      <c r="U35" s="20"/>
      <c r="V35" s="20"/>
      <c r="W35" s="20"/>
      <c r="X35" s="11"/>
    </row>
    <row r="36" spans="1:26" ht="13.5">
      <c r="A36" s="39" t="s">
        <v>34</v>
      </c>
      <c r="B36" s="39"/>
      <c r="C36" s="39"/>
      <c r="D36" s="1"/>
      <c r="E36" s="1"/>
      <c r="F36" s="1"/>
      <c r="G36" s="40">
        <f>G26+G31+G33+G35</f>
        <v>1150380.8400000001</v>
      </c>
      <c r="H36" s="1"/>
      <c r="I36" s="1"/>
      <c r="J36" s="1"/>
      <c r="K36" s="40">
        <f>K26+K31+K33+K35</f>
        <v>1311559.92</v>
      </c>
      <c r="T36" s="20"/>
      <c r="U36" s="20"/>
      <c r="V36" s="20"/>
      <c r="W36" s="20"/>
      <c r="X36" s="11"/>
    </row>
    <row r="37" spans="1:26" s="20" customFormat="1">
      <c r="A37" s="7" t="s">
        <v>126</v>
      </c>
    </row>
    <row r="38" spans="1:26" s="20" customFormat="1" ht="15.75">
      <c r="I38" s="24" t="s">
        <v>117</v>
      </c>
    </row>
    <row r="39" spans="1:26" s="20" customFormat="1">
      <c r="A39" s="102"/>
      <c r="B39" s="41">
        <v>2016</v>
      </c>
      <c r="C39" s="42"/>
      <c r="D39" s="42"/>
      <c r="E39" s="43"/>
      <c r="F39" s="41">
        <v>2017</v>
      </c>
      <c r="G39" s="42"/>
      <c r="H39" s="42"/>
      <c r="I39" s="43"/>
      <c r="J39" s="7"/>
      <c r="K39" s="7"/>
    </row>
    <row r="40" spans="1:26" s="20" customFormat="1" ht="25.5">
      <c r="A40" s="102"/>
      <c r="B40" s="27" t="s">
        <v>20</v>
      </c>
      <c r="C40" s="27" t="s">
        <v>85</v>
      </c>
      <c r="D40" s="27" t="s">
        <v>21</v>
      </c>
      <c r="E40" s="28" t="s">
        <v>22</v>
      </c>
      <c r="F40" s="27" t="s">
        <v>20</v>
      </c>
      <c r="G40" s="27" t="s">
        <v>85</v>
      </c>
      <c r="H40" s="27" t="s">
        <v>21</v>
      </c>
      <c r="I40" s="28" t="s">
        <v>22</v>
      </c>
      <c r="J40" s="7"/>
      <c r="K40" s="7"/>
    </row>
    <row r="41" spans="1:26" s="20" customFormat="1" ht="13.5">
      <c r="A41" s="29"/>
      <c r="B41" s="31">
        <v>11</v>
      </c>
      <c r="C41" s="30" t="s">
        <v>99</v>
      </c>
      <c r="D41" s="30" t="s">
        <v>100</v>
      </c>
      <c r="E41" s="32" t="s">
        <v>101</v>
      </c>
      <c r="F41" s="31">
        <v>15</v>
      </c>
      <c r="G41" s="30" t="s">
        <v>102</v>
      </c>
      <c r="H41" s="30" t="s">
        <v>103</v>
      </c>
      <c r="I41" s="32" t="s">
        <v>104</v>
      </c>
      <c r="J41" s="7"/>
      <c r="K41" s="7"/>
    </row>
    <row r="42" spans="1:26" s="20" customFormat="1" ht="25.5">
      <c r="A42" s="6" t="s">
        <v>127</v>
      </c>
      <c r="B42" s="33">
        <f t="shared" ref="B42:B51" si="1">D26</f>
        <v>94.19</v>
      </c>
      <c r="C42" s="33">
        <f>ROUND((C43*$B$27+C44*$B$28+C45*$B$29)/$B$26,2)</f>
        <v>187.57</v>
      </c>
      <c r="D42" s="35">
        <f>C42-B42</f>
        <v>93.38</v>
      </c>
      <c r="E42" s="36">
        <f>ROUND(D42*B26*D18,2)</f>
        <v>1350274.8</v>
      </c>
      <c r="F42" s="35">
        <f>D26</f>
        <v>94.19</v>
      </c>
      <c r="G42" s="33">
        <f>ROUND((G43*$B$27+G44*$B$28+G45*$B$29)/$B$26,2)</f>
        <v>197.88</v>
      </c>
      <c r="H42" s="35">
        <f>G42-F42</f>
        <v>103.69</v>
      </c>
      <c r="I42" s="36">
        <f>ROUND(E18*B26*H42,2)</f>
        <v>1499357.4</v>
      </c>
      <c r="J42" s="7"/>
      <c r="K42" s="7"/>
    </row>
    <row r="43" spans="1:26" s="20" customFormat="1">
      <c r="A43" s="37" t="s">
        <v>26</v>
      </c>
      <c r="B43" s="33">
        <f t="shared" si="1"/>
        <v>297.47000000000003</v>
      </c>
      <c r="C43" s="33">
        <f>ROUND(D10*D12*D16,2)</f>
        <v>297.26</v>
      </c>
      <c r="D43" s="35">
        <f>C43-B43</f>
        <v>-0.21000000000003638</v>
      </c>
      <c r="E43" s="36">
        <v>0</v>
      </c>
      <c r="F43" s="35">
        <f>D27</f>
        <v>297.47000000000003</v>
      </c>
      <c r="G43" s="33">
        <f>ROUND(E10*E12*E16,2)</f>
        <v>313.61</v>
      </c>
      <c r="H43" s="35">
        <f>G43-F43</f>
        <v>16.139999999999986</v>
      </c>
      <c r="I43" s="36">
        <f>ROUND(E18*B27*H43,2)</f>
        <v>4260.96</v>
      </c>
      <c r="J43" s="7"/>
      <c r="K43" s="7"/>
    </row>
    <row r="44" spans="1:26" s="20" customFormat="1">
      <c r="A44" s="37" t="s">
        <v>27</v>
      </c>
      <c r="B44" s="33">
        <f t="shared" si="1"/>
        <v>162.94999999999999</v>
      </c>
      <c r="C44" s="33">
        <f>ROUND(D10*D13*D16,2)</f>
        <v>231.2</v>
      </c>
      <c r="D44" s="35">
        <f>C44-B44</f>
        <v>68.25</v>
      </c>
      <c r="E44" s="36">
        <f>ROUND(D44*B28*D18,2)</f>
        <v>298935</v>
      </c>
      <c r="F44" s="35">
        <f>D28</f>
        <v>162.94999999999999</v>
      </c>
      <c r="G44" s="33">
        <f>ROUND(E10*E13*E16,2)</f>
        <v>243.92</v>
      </c>
      <c r="H44" s="35">
        <f>G44-F44</f>
        <v>80.97</v>
      </c>
      <c r="I44" s="36">
        <f>ROUND(E18*H44*B28,2)</f>
        <v>354648.6</v>
      </c>
      <c r="J44" s="7"/>
      <c r="K44" s="7"/>
    </row>
    <row r="45" spans="1:26" s="20" customFormat="1">
      <c r="A45" s="37" t="s">
        <v>28</v>
      </c>
      <c r="B45" s="33">
        <f t="shared" si="1"/>
        <v>58.49</v>
      </c>
      <c r="C45" s="33">
        <f>ROUND(D10*D14*D16,2)</f>
        <v>165.15</v>
      </c>
      <c r="D45" s="35">
        <f>C45-B45</f>
        <v>106.66</v>
      </c>
      <c r="E45" s="36">
        <f>ROUND(D45*B29*D18,2)</f>
        <v>1046974.56</v>
      </c>
      <c r="F45" s="35">
        <f>D29</f>
        <v>58.49</v>
      </c>
      <c r="G45" s="33">
        <f>ROUND(E10*E14*E16,2)</f>
        <v>174.23</v>
      </c>
      <c r="H45" s="35">
        <f>G45-F45</f>
        <v>115.73999999999998</v>
      </c>
      <c r="I45" s="36">
        <f>ROUND(B29*E18*H45,2)</f>
        <v>1136103.8400000001</v>
      </c>
      <c r="J45" s="7"/>
      <c r="K45" s="7"/>
    </row>
    <row r="46" spans="1:26" s="20" customFormat="1">
      <c r="A46" s="37"/>
      <c r="B46" s="33">
        <f t="shared" si="1"/>
        <v>0</v>
      </c>
      <c r="C46" s="37"/>
      <c r="D46" s="35"/>
      <c r="E46" s="36"/>
      <c r="F46" s="35"/>
      <c r="G46" s="37"/>
      <c r="H46" s="35"/>
      <c r="I46" s="36"/>
      <c r="J46" s="7"/>
      <c r="K46" s="7"/>
    </row>
    <row r="47" spans="1:26" s="20" customFormat="1" ht="25.5">
      <c r="A47" s="6" t="s">
        <v>29</v>
      </c>
      <c r="B47" s="33">
        <f t="shared" si="1"/>
        <v>71.78</v>
      </c>
      <c r="C47" s="33">
        <f>ROUND(D10*D15*D16,2)</f>
        <v>82.57</v>
      </c>
      <c r="D47" s="35">
        <f>C47-B47</f>
        <v>10.789999999999992</v>
      </c>
      <c r="E47" s="36">
        <f>ROUND(D47*B31*D18,2)</f>
        <v>54252.12</v>
      </c>
      <c r="F47" s="35">
        <f>D31</f>
        <v>71.78</v>
      </c>
      <c r="G47" s="33">
        <f>ROUND(E10*E15*E16,2)</f>
        <v>87.11</v>
      </c>
      <c r="H47" s="35">
        <f>G47-F47</f>
        <v>15.329999999999998</v>
      </c>
      <c r="I47" s="36">
        <f>ROUND(E18*B31*H47,2)</f>
        <v>77079.240000000005</v>
      </c>
      <c r="J47" s="7"/>
      <c r="K47" s="7"/>
    </row>
    <row r="48" spans="1:26" s="20" customFormat="1">
      <c r="A48" s="37"/>
      <c r="B48" s="33">
        <f t="shared" si="1"/>
        <v>0</v>
      </c>
      <c r="C48" s="37"/>
      <c r="D48" s="35"/>
      <c r="E48" s="36"/>
      <c r="F48" s="35"/>
      <c r="G48" s="37"/>
      <c r="H48" s="35"/>
      <c r="I48" s="36"/>
      <c r="J48" s="7"/>
      <c r="K48" s="7"/>
    </row>
    <row r="49" spans="1:28" s="20" customFormat="1" ht="38.25">
      <c r="A49" s="6" t="s">
        <v>30</v>
      </c>
      <c r="B49" s="33">
        <f t="shared" si="1"/>
        <v>103.73</v>
      </c>
      <c r="C49" s="33">
        <f>ROUND(D10*D16*D19,2)</f>
        <v>198.17</v>
      </c>
      <c r="D49" s="35">
        <f>C49-B49</f>
        <v>94.439999999999984</v>
      </c>
      <c r="E49" s="36">
        <f>ROUND(D49*D18*64,2)</f>
        <v>72529.919999999998</v>
      </c>
      <c r="F49" s="35">
        <f>D33</f>
        <v>103.73</v>
      </c>
      <c r="G49" s="33">
        <f>ROUND(E10*E16*E19,2)</f>
        <v>209.07</v>
      </c>
      <c r="H49" s="35">
        <f>G49-F49</f>
        <v>105.33999999999999</v>
      </c>
      <c r="I49" s="36">
        <f>ROUND(E18*H49*64,2)</f>
        <v>80901.119999999995</v>
      </c>
      <c r="J49" s="7"/>
      <c r="K49" s="7"/>
    </row>
    <row r="50" spans="1:28" s="20" customFormat="1">
      <c r="A50" s="37"/>
      <c r="B50" s="33">
        <f t="shared" si="1"/>
        <v>0</v>
      </c>
      <c r="C50" s="37"/>
      <c r="D50" s="35"/>
      <c r="E50" s="36"/>
      <c r="F50" s="35"/>
      <c r="G50" s="37"/>
      <c r="H50" s="35"/>
      <c r="I50" s="36"/>
      <c r="J50" s="7"/>
      <c r="K50" s="7"/>
    </row>
    <row r="51" spans="1:28" s="20" customFormat="1" ht="38.25">
      <c r="A51" s="6" t="s">
        <v>32</v>
      </c>
      <c r="B51" s="33">
        <f t="shared" si="1"/>
        <v>91.55</v>
      </c>
      <c r="C51" s="33">
        <f>ROUND(D10*D15*D16,2)</f>
        <v>82.57</v>
      </c>
      <c r="D51" s="35">
        <f>C51-B51</f>
        <v>-8.980000000000004</v>
      </c>
      <c r="E51" s="36">
        <v>0</v>
      </c>
      <c r="F51" s="35">
        <f>D35</f>
        <v>91.55</v>
      </c>
      <c r="G51" s="33">
        <f>ROUND(E10*E16*E15,2)</f>
        <v>87.11</v>
      </c>
      <c r="H51" s="35">
        <f>G51-F51</f>
        <v>-4.4399999999999977</v>
      </c>
      <c r="I51" s="36">
        <v>0</v>
      </c>
      <c r="J51" s="7"/>
      <c r="K51" s="7"/>
    </row>
    <row r="52" spans="1:28" s="20" customFormat="1" ht="13.5">
      <c r="A52" s="39" t="s">
        <v>34</v>
      </c>
      <c r="B52" s="1"/>
      <c r="C52" s="1"/>
      <c r="D52" s="1"/>
      <c r="E52" s="40">
        <f>E42+E47+E49+E51</f>
        <v>1477056.84</v>
      </c>
      <c r="F52" s="1"/>
      <c r="G52" s="1"/>
      <c r="H52" s="1"/>
      <c r="I52" s="40">
        <f>I42+I47+I49+I51</f>
        <v>1657337.7599999998</v>
      </c>
      <c r="J52" s="7"/>
      <c r="K52" s="7"/>
    </row>
    <row r="53" spans="1:28" s="20" customFormat="1">
      <c r="A53" s="7" t="s">
        <v>128</v>
      </c>
    </row>
    <row r="54" spans="1:28" s="20" customFormat="1"/>
    <row r="55" spans="1:28" s="20" customFormat="1" ht="15.75">
      <c r="A55" s="94" t="s">
        <v>35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1:28" ht="25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 t="s">
        <v>36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8">
      <c r="A57" s="93"/>
      <c r="B57" s="90">
        <v>2014</v>
      </c>
      <c r="C57" s="91"/>
      <c r="D57" s="91"/>
      <c r="E57" s="91"/>
      <c r="F57" s="91"/>
      <c r="G57" s="91"/>
      <c r="H57" s="91"/>
      <c r="I57" s="91"/>
      <c r="J57" s="92"/>
      <c r="K57" s="90">
        <v>2015</v>
      </c>
      <c r="L57" s="91"/>
      <c r="M57" s="91"/>
      <c r="N57" s="92"/>
      <c r="O57" s="20"/>
      <c r="P57" s="20"/>
      <c r="Q57" s="20"/>
      <c r="R57" s="20"/>
      <c r="S57" s="20"/>
      <c r="T57" s="20"/>
      <c r="U57" s="20"/>
      <c r="V57" s="20"/>
      <c r="Z57" s="20"/>
      <c r="AB57" s="11"/>
    </row>
    <row r="58" spans="1:28" s="26" customFormat="1" ht="114.75">
      <c r="A58" s="93"/>
      <c r="B58" s="27" t="s">
        <v>37</v>
      </c>
      <c r="C58" s="27" t="s">
        <v>38</v>
      </c>
      <c r="D58" s="27" t="s">
        <v>39</v>
      </c>
      <c r="E58" s="27" t="s">
        <v>40</v>
      </c>
      <c r="F58" s="27" t="s">
        <v>41</v>
      </c>
      <c r="G58" s="27" t="s">
        <v>129</v>
      </c>
      <c r="H58" s="27" t="s">
        <v>42</v>
      </c>
      <c r="I58" s="27" t="s">
        <v>43</v>
      </c>
      <c r="J58" s="28" t="s">
        <v>44</v>
      </c>
      <c r="K58" s="27" t="s">
        <v>129</v>
      </c>
      <c r="L58" s="27" t="s">
        <v>42</v>
      </c>
      <c r="M58" s="27" t="s">
        <v>43</v>
      </c>
      <c r="N58" s="28" t="s">
        <v>44</v>
      </c>
      <c r="Z58" s="20"/>
    </row>
    <row r="59" spans="1:28" ht="26.25">
      <c r="A59" s="2"/>
      <c r="B59" s="44">
        <v>1</v>
      </c>
      <c r="C59" s="44">
        <v>2</v>
      </c>
      <c r="D59" s="44">
        <v>3</v>
      </c>
      <c r="E59" s="44">
        <v>4</v>
      </c>
      <c r="F59" s="44">
        <v>5</v>
      </c>
      <c r="G59" s="44" t="s">
        <v>46</v>
      </c>
      <c r="H59" s="44" t="s">
        <v>47</v>
      </c>
      <c r="I59" s="44" t="s">
        <v>48</v>
      </c>
      <c r="J59" s="45" t="s">
        <v>49</v>
      </c>
      <c r="K59" s="44" t="s">
        <v>87</v>
      </c>
      <c r="L59" s="44" t="s">
        <v>88</v>
      </c>
      <c r="M59" s="44" t="s">
        <v>89</v>
      </c>
      <c r="N59" s="45" t="s">
        <v>90</v>
      </c>
      <c r="Z59" s="20"/>
    </row>
    <row r="60" spans="1:28">
      <c r="A60" s="1" t="s">
        <v>26</v>
      </c>
      <c r="B60" s="46">
        <v>21</v>
      </c>
      <c r="C60" s="47">
        <v>333.31</v>
      </c>
      <c r="D60" s="47">
        <f>ROUND(C60/B17,2)</f>
        <v>474.26</v>
      </c>
      <c r="E60" s="47">
        <v>154.30000000000001</v>
      </c>
      <c r="F60" s="47">
        <f>ROUND(E60/$B$17,2)</f>
        <v>219.55</v>
      </c>
      <c r="G60" s="47">
        <f>ROUND(B16*B10*B12,2)</f>
        <v>267.33</v>
      </c>
      <c r="H60" s="48">
        <f>F60+G60</f>
        <v>486.88</v>
      </c>
      <c r="I60" s="48">
        <f>H60-D60</f>
        <v>12.620000000000005</v>
      </c>
      <c r="J60" s="49">
        <f>I60*B60*12</f>
        <v>3180.2400000000011</v>
      </c>
      <c r="K60" s="47">
        <f>ROUND(C10*C12*C16,2)</f>
        <v>282.3</v>
      </c>
      <c r="L60" s="48">
        <f>K60+F60</f>
        <v>501.85</v>
      </c>
      <c r="M60" s="48">
        <f>L60-D60</f>
        <v>27.590000000000032</v>
      </c>
      <c r="N60" s="49">
        <f>M60*B60*12</f>
        <v>6952.6800000000076</v>
      </c>
      <c r="Z60" s="20"/>
    </row>
    <row r="61" spans="1:28">
      <c r="A61" s="1" t="s">
        <v>27</v>
      </c>
      <c r="B61" s="46">
        <v>463</v>
      </c>
      <c r="C61" s="47">
        <v>315.24</v>
      </c>
      <c r="D61" s="47">
        <f>ROUND(C61/B17,2)</f>
        <v>448.55</v>
      </c>
      <c r="E61" s="47">
        <v>143.24</v>
      </c>
      <c r="F61" s="47">
        <f>ROUND(E61/$B$17,2)</f>
        <v>203.81</v>
      </c>
      <c r="G61" s="47">
        <f>ROUND(B16*B10*B13,2)</f>
        <v>207.92</v>
      </c>
      <c r="H61" s="48">
        <f>F61+G61</f>
        <v>411.73</v>
      </c>
      <c r="I61" s="48">
        <f>H61-D61</f>
        <v>-36.819999999999993</v>
      </c>
      <c r="J61" s="49">
        <v>0</v>
      </c>
      <c r="K61" s="47">
        <f>ROUND(C10*C13*C16,2)</f>
        <v>219.57</v>
      </c>
      <c r="L61" s="48">
        <f>K61+F61</f>
        <v>423.38</v>
      </c>
      <c r="M61" s="48">
        <f>L61-D61</f>
        <v>-25.170000000000016</v>
      </c>
      <c r="N61" s="49">
        <v>0</v>
      </c>
      <c r="Z61" s="20"/>
    </row>
    <row r="62" spans="1:28">
      <c r="A62" s="1" t="s">
        <v>28</v>
      </c>
      <c r="B62" s="46">
        <v>771</v>
      </c>
      <c r="C62" s="47">
        <v>207.46</v>
      </c>
      <c r="D62" s="47">
        <f>ROUND(C62/B17,2)</f>
        <v>295.19</v>
      </c>
      <c r="E62" s="47">
        <v>69.33</v>
      </c>
      <c r="F62" s="47">
        <f>ROUND(E62/$B$17,2)</f>
        <v>98.65</v>
      </c>
      <c r="G62" s="47">
        <f>ROUND(B16*B10*B14,2)</f>
        <v>148.52000000000001</v>
      </c>
      <c r="H62" s="48">
        <f>F62+G62</f>
        <v>247.17000000000002</v>
      </c>
      <c r="I62" s="48">
        <f>H62-D62</f>
        <v>-48.019999999999982</v>
      </c>
      <c r="J62" s="49">
        <v>0</v>
      </c>
      <c r="K62" s="47">
        <f>ROUND(C10*C14*C16,2)</f>
        <v>156.83000000000001</v>
      </c>
      <c r="L62" s="48">
        <f>K62+F62</f>
        <v>255.48000000000002</v>
      </c>
      <c r="M62" s="48">
        <f>L62-D62</f>
        <v>-39.70999999999998</v>
      </c>
      <c r="N62" s="49">
        <v>0</v>
      </c>
      <c r="Z62" s="20"/>
    </row>
    <row r="63" spans="1:28" ht="13.5">
      <c r="A63" s="1" t="s">
        <v>34</v>
      </c>
      <c r="B63" s="50">
        <f>B60+B61+B62</f>
        <v>1255</v>
      </c>
      <c r="C63" s="51"/>
      <c r="D63" s="51"/>
      <c r="E63" s="51"/>
      <c r="F63" s="51"/>
      <c r="G63" s="51"/>
      <c r="H63" s="51"/>
      <c r="I63" s="51"/>
      <c r="J63" s="52">
        <f>SUM(J60:J62)</f>
        <v>3180.2400000000011</v>
      </c>
      <c r="K63" s="51"/>
      <c r="L63" s="51"/>
      <c r="M63" s="51"/>
      <c r="N63" s="52">
        <f>SUM(N60:N62)</f>
        <v>6952.6800000000076</v>
      </c>
      <c r="Z63" s="20"/>
    </row>
    <row r="64" spans="1:28" s="20" customFormat="1"/>
    <row r="65" spans="1:28" ht="15.75">
      <c r="B65" s="53"/>
      <c r="C65" s="53"/>
      <c r="I65" s="24" t="s">
        <v>118</v>
      </c>
    </row>
    <row r="66" spans="1:28">
      <c r="A66" s="93"/>
      <c r="B66" s="90">
        <v>2016</v>
      </c>
      <c r="C66" s="91"/>
      <c r="D66" s="91"/>
      <c r="E66" s="92"/>
      <c r="F66" s="93">
        <v>2017</v>
      </c>
      <c r="G66" s="93"/>
      <c r="H66" s="93"/>
      <c r="I66" s="93"/>
    </row>
    <row r="67" spans="1:28" ht="38.25">
      <c r="A67" s="93"/>
      <c r="B67" s="27" t="s">
        <v>130</v>
      </c>
      <c r="C67" s="27" t="s">
        <v>45</v>
      </c>
      <c r="D67" s="27" t="s">
        <v>21</v>
      </c>
      <c r="E67" s="28" t="s">
        <v>22</v>
      </c>
      <c r="F67" s="27" t="s">
        <v>130</v>
      </c>
      <c r="G67" s="27" t="s">
        <v>45</v>
      </c>
      <c r="H67" s="27" t="s">
        <v>21</v>
      </c>
      <c r="I67" s="28" t="s">
        <v>22</v>
      </c>
    </row>
    <row r="68" spans="1:28" ht="26.25">
      <c r="A68" s="2"/>
      <c r="B68" s="44" t="s">
        <v>91</v>
      </c>
      <c r="C68" s="44" t="s">
        <v>92</v>
      </c>
      <c r="D68" s="44" t="s">
        <v>93</v>
      </c>
      <c r="E68" s="45" t="s">
        <v>94</v>
      </c>
      <c r="F68" s="44" t="s">
        <v>95</v>
      </c>
      <c r="G68" s="44" t="s">
        <v>96</v>
      </c>
      <c r="H68" s="44" t="s">
        <v>97</v>
      </c>
      <c r="I68" s="45" t="s">
        <v>98</v>
      </c>
    </row>
    <row r="69" spans="1:28">
      <c r="A69" s="1" t="s">
        <v>26</v>
      </c>
      <c r="B69" s="47">
        <f>ROUND(D10*D12*D16,2)</f>
        <v>297.26</v>
      </c>
      <c r="C69" s="48">
        <f>F60+B69</f>
        <v>516.80999999999995</v>
      </c>
      <c r="D69" s="48">
        <f>C69-D60</f>
        <v>42.549999999999955</v>
      </c>
      <c r="E69" s="49">
        <f>D69*B60*12</f>
        <v>10722.599999999988</v>
      </c>
      <c r="F69" s="47">
        <f>ROUND(E10*E12*E16,2)</f>
        <v>313.61</v>
      </c>
      <c r="G69" s="48">
        <f>F69+F60</f>
        <v>533.16000000000008</v>
      </c>
      <c r="H69" s="48">
        <f>G69-D60</f>
        <v>58.900000000000091</v>
      </c>
      <c r="I69" s="49">
        <f>H69*B60*12</f>
        <v>14842.800000000023</v>
      </c>
    </row>
    <row r="70" spans="1:28">
      <c r="A70" s="1" t="s">
        <v>27</v>
      </c>
      <c r="B70" s="47">
        <f>ROUND(D10*D13*D16,2)</f>
        <v>231.2</v>
      </c>
      <c r="C70" s="48">
        <f>F61+B70</f>
        <v>435.01</v>
      </c>
      <c r="D70" s="48">
        <f>C70-D61</f>
        <v>-13.54000000000002</v>
      </c>
      <c r="E70" s="49">
        <v>0</v>
      </c>
      <c r="F70" s="47">
        <f>ROUND(E10*E13*E16,2)</f>
        <v>243.92</v>
      </c>
      <c r="G70" s="48">
        <f>F70+F61</f>
        <v>447.73</v>
      </c>
      <c r="H70" s="48">
        <f>G70-D61</f>
        <v>-0.81999999999999318</v>
      </c>
      <c r="I70" s="49">
        <v>0</v>
      </c>
    </row>
    <row r="71" spans="1:28">
      <c r="A71" s="1" t="s">
        <v>28</v>
      </c>
      <c r="B71" s="47">
        <f>ROUND(D10*D14*D16,2)</f>
        <v>165.15</v>
      </c>
      <c r="C71" s="48">
        <f>F62+B71</f>
        <v>263.8</v>
      </c>
      <c r="D71" s="48">
        <f>C71-D62</f>
        <v>-31.389999999999986</v>
      </c>
      <c r="E71" s="49">
        <v>0</v>
      </c>
      <c r="F71" s="47">
        <f>ROUND(E10*E14*E16,2)</f>
        <v>174.23</v>
      </c>
      <c r="G71" s="48">
        <f>F71+F62</f>
        <v>272.88</v>
      </c>
      <c r="H71" s="48">
        <f>G71-D62</f>
        <v>-22.310000000000002</v>
      </c>
      <c r="I71" s="49">
        <v>0</v>
      </c>
    </row>
    <row r="72" spans="1:28" ht="13.5">
      <c r="A72" s="1" t="s">
        <v>34</v>
      </c>
      <c r="B72" s="51"/>
      <c r="C72" s="51"/>
      <c r="D72" s="51"/>
      <c r="E72" s="52">
        <f>SUM(E69:E71)</f>
        <v>10722.599999999988</v>
      </c>
      <c r="F72" s="51"/>
      <c r="G72" s="51"/>
      <c r="H72" s="51"/>
      <c r="I72" s="52">
        <f>SUM(I69:I71)</f>
        <v>14842.800000000023</v>
      </c>
    </row>
    <row r="73" spans="1:28">
      <c r="B73" s="53"/>
      <c r="C73" s="53"/>
    </row>
    <row r="74" spans="1:28">
      <c r="A74" s="54"/>
      <c r="B74" s="54"/>
      <c r="C74" s="54"/>
    </row>
    <row r="75" spans="1:28" ht="15.75">
      <c r="A75" s="94" t="s">
        <v>50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1:28" ht="21.7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4" t="s">
        <v>51</v>
      </c>
      <c r="O76" s="20"/>
      <c r="P76" s="20"/>
      <c r="Q76" s="20"/>
      <c r="R76" s="20"/>
      <c r="S76" s="20"/>
      <c r="T76" s="20"/>
      <c r="U76" s="20"/>
      <c r="W76" s="20"/>
      <c r="X76" s="20"/>
      <c r="Y76" s="20"/>
      <c r="Z76" s="20"/>
      <c r="AA76" s="20"/>
    </row>
    <row r="77" spans="1:28" ht="12.75" customHeight="1">
      <c r="A77" s="95"/>
      <c r="B77" s="96">
        <v>2014</v>
      </c>
      <c r="C77" s="97"/>
      <c r="D77" s="97"/>
      <c r="E77" s="97"/>
      <c r="F77" s="97"/>
      <c r="G77" s="97"/>
      <c r="H77" s="97"/>
      <c r="I77" s="97"/>
      <c r="J77" s="98"/>
      <c r="K77" s="96">
        <v>2015</v>
      </c>
      <c r="L77" s="97"/>
      <c r="M77" s="97"/>
      <c r="N77" s="98"/>
      <c r="W77" s="20"/>
      <c r="X77" s="20"/>
      <c r="Y77" s="20"/>
      <c r="Z77" s="20"/>
      <c r="AA77" s="20"/>
      <c r="AB77" s="11"/>
    </row>
    <row r="78" spans="1:28" ht="51">
      <c r="A78" s="95"/>
      <c r="B78" s="55" t="s">
        <v>37</v>
      </c>
      <c r="C78" s="27" t="s">
        <v>38</v>
      </c>
      <c r="D78" s="27" t="s">
        <v>39</v>
      </c>
      <c r="E78" s="27" t="s">
        <v>52</v>
      </c>
      <c r="F78" s="27" t="s">
        <v>53</v>
      </c>
      <c r="G78" s="27" t="s">
        <v>129</v>
      </c>
      <c r="H78" s="27" t="s">
        <v>54</v>
      </c>
      <c r="I78" s="27" t="s">
        <v>43</v>
      </c>
      <c r="J78" s="28" t="s">
        <v>44</v>
      </c>
      <c r="K78" s="27" t="s">
        <v>129</v>
      </c>
      <c r="L78" s="27" t="s">
        <v>54</v>
      </c>
      <c r="M78" s="27" t="s">
        <v>43</v>
      </c>
      <c r="N78" s="28" t="s">
        <v>44</v>
      </c>
      <c r="W78" s="20"/>
      <c r="X78" s="20"/>
      <c r="Y78" s="20"/>
      <c r="Z78" s="20"/>
      <c r="AA78" s="20"/>
    </row>
    <row r="79" spans="1:28" ht="26.25">
      <c r="A79" s="2"/>
      <c r="B79" s="44">
        <v>1</v>
      </c>
      <c r="C79" s="44">
        <v>2</v>
      </c>
      <c r="D79" s="44">
        <v>3</v>
      </c>
      <c r="E79" s="44">
        <v>4</v>
      </c>
      <c r="F79" s="44">
        <v>5</v>
      </c>
      <c r="G79" s="44" t="s">
        <v>46</v>
      </c>
      <c r="H79" s="44" t="s">
        <v>47</v>
      </c>
      <c r="I79" s="44" t="s">
        <v>48</v>
      </c>
      <c r="J79" s="45" t="s">
        <v>49</v>
      </c>
      <c r="K79" s="44" t="s">
        <v>87</v>
      </c>
      <c r="L79" s="44" t="s">
        <v>88</v>
      </c>
      <c r="M79" s="44" t="s">
        <v>89</v>
      </c>
      <c r="N79" s="45" t="s">
        <v>90</v>
      </c>
      <c r="W79" s="20"/>
      <c r="X79" s="20"/>
      <c r="Y79" s="20"/>
      <c r="Z79" s="20"/>
      <c r="AA79" s="20"/>
    </row>
    <row r="80" spans="1:28">
      <c r="A80" s="1" t="s">
        <v>26</v>
      </c>
      <c r="B80" s="56">
        <v>1</v>
      </c>
      <c r="C80" s="57">
        <v>162.25</v>
      </c>
      <c r="D80" s="56">
        <f>ROUND(C80/$B$17,2)</f>
        <v>230.86</v>
      </c>
      <c r="E80" s="37">
        <f>ROUND(C80*0.9,2)</f>
        <v>146.03</v>
      </c>
      <c r="F80" s="56">
        <f>ROUND(E80/$B$17,2)</f>
        <v>207.78</v>
      </c>
      <c r="G80" s="56">
        <f>ROUND(B16*B10*B12,2)</f>
        <v>267.33</v>
      </c>
      <c r="H80" s="2">
        <f>F80+G80</f>
        <v>475.11</v>
      </c>
      <c r="I80" s="2">
        <f>H80-D80</f>
        <v>244.25</v>
      </c>
      <c r="J80" s="49">
        <f>ROUND(I80*B80*$B$18,2)</f>
        <v>2931</v>
      </c>
      <c r="K80" s="58">
        <f>ROUND(C10*C12*C16,2)</f>
        <v>282.3</v>
      </c>
      <c r="L80" s="59">
        <f>K80+F80</f>
        <v>490.08000000000004</v>
      </c>
      <c r="M80" s="48">
        <f>L80-D80</f>
        <v>259.22000000000003</v>
      </c>
      <c r="N80" s="49">
        <f>ROUND(B80*M80*12,2)</f>
        <v>3110.64</v>
      </c>
      <c r="W80" s="20"/>
      <c r="X80" s="20"/>
      <c r="Y80" s="20"/>
      <c r="Z80" s="20"/>
      <c r="AA80" s="20"/>
    </row>
    <row r="81" spans="1:27">
      <c r="A81" s="1" t="s">
        <v>27</v>
      </c>
      <c r="B81" s="56">
        <v>14</v>
      </c>
      <c r="C81" s="57">
        <v>180.4</v>
      </c>
      <c r="D81" s="56">
        <f>ROUND(C81/$B$17,2)</f>
        <v>256.69</v>
      </c>
      <c r="E81" s="37">
        <f>ROUND(C81*0.9,2)</f>
        <v>162.36000000000001</v>
      </c>
      <c r="F81" s="56">
        <f>ROUND(E81/$B$17,2)</f>
        <v>231.02</v>
      </c>
      <c r="G81" s="56">
        <f>ROUND(B16*B10*B13,2)</f>
        <v>207.92</v>
      </c>
      <c r="H81" s="2">
        <f>F81+G81</f>
        <v>438.94</v>
      </c>
      <c r="I81" s="2">
        <f>H81-D81</f>
        <v>182.25</v>
      </c>
      <c r="J81" s="49">
        <f>ROUND(I81*B81*$B$18,2)</f>
        <v>30618</v>
      </c>
      <c r="K81" s="58">
        <f>ROUND(C10*C13*C16,2)</f>
        <v>219.57</v>
      </c>
      <c r="L81" s="59">
        <f>K81+F81</f>
        <v>450.59000000000003</v>
      </c>
      <c r="M81" s="48">
        <f>L81-D81</f>
        <v>193.90000000000003</v>
      </c>
      <c r="N81" s="49">
        <f>ROUND(B81*M81*12,2)</f>
        <v>32575.200000000001</v>
      </c>
      <c r="W81" s="20"/>
      <c r="X81" s="20"/>
      <c r="Y81" s="20"/>
      <c r="Z81" s="20"/>
      <c r="AA81" s="20"/>
    </row>
    <row r="82" spans="1:27">
      <c r="A82" s="1" t="s">
        <v>28</v>
      </c>
      <c r="B82" s="56">
        <v>13</v>
      </c>
      <c r="C82" s="57">
        <v>189.58</v>
      </c>
      <c r="D82" s="56">
        <f>ROUND(C82/$B$17,2)</f>
        <v>269.75</v>
      </c>
      <c r="E82" s="37">
        <f>ROUND(C82*0.9,2)</f>
        <v>170.62</v>
      </c>
      <c r="F82" s="58">
        <f>ROUND(E82/$B$17,2)</f>
        <v>242.77</v>
      </c>
      <c r="G82" s="56">
        <f>ROUND(B16*B10*B14,2)</f>
        <v>148.52000000000001</v>
      </c>
      <c r="H82" s="2">
        <f>F82+G82</f>
        <v>391.29</v>
      </c>
      <c r="I82" s="2">
        <f>H82-D82</f>
        <v>121.54000000000002</v>
      </c>
      <c r="J82" s="49">
        <f>ROUND(I82*B82*$B$18,2)</f>
        <v>18960.240000000002</v>
      </c>
      <c r="K82" s="58">
        <f>ROUND(C10*C14*C16,2)</f>
        <v>156.83000000000001</v>
      </c>
      <c r="L82" s="59">
        <f>K82+F82</f>
        <v>399.6</v>
      </c>
      <c r="M82" s="48">
        <f>L82-D82</f>
        <v>129.85000000000002</v>
      </c>
      <c r="N82" s="49">
        <f>ROUND(B82*M82*12,2)</f>
        <v>20256.599999999999</v>
      </c>
      <c r="W82" s="20"/>
      <c r="X82" s="20"/>
      <c r="Y82" s="20"/>
      <c r="Z82" s="20"/>
      <c r="AA82" s="20"/>
    </row>
    <row r="83" spans="1:27" ht="13.5">
      <c r="A83" s="1" t="s">
        <v>34</v>
      </c>
      <c r="B83" s="37">
        <f>B80+B81+B82</f>
        <v>28</v>
      </c>
      <c r="C83" s="1"/>
      <c r="D83" s="60"/>
      <c r="E83" s="61"/>
      <c r="F83" s="61"/>
      <c r="G83" s="61"/>
      <c r="H83" s="2"/>
      <c r="I83" s="62"/>
      <c r="J83" s="52">
        <f>SUM(J80:J82)</f>
        <v>52509.240000000005</v>
      </c>
      <c r="K83" s="61"/>
      <c r="L83" s="61"/>
      <c r="M83" s="62"/>
      <c r="N83" s="52">
        <f>SUM(N80:N82)</f>
        <v>55942.44</v>
      </c>
      <c r="W83" s="20"/>
      <c r="X83" s="20"/>
      <c r="Y83" s="20"/>
      <c r="Z83" s="20"/>
      <c r="AA83" s="20"/>
    </row>
    <row r="84" spans="1:27" s="20" customFormat="1"/>
    <row r="85" spans="1:27" ht="15.75">
      <c r="I85" s="24" t="s">
        <v>119</v>
      </c>
      <c r="W85" s="20"/>
      <c r="X85" s="20"/>
      <c r="Y85" s="20"/>
      <c r="Z85" s="20"/>
      <c r="AA85" s="20"/>
    </row>
    <row r="86" spans="1:27">
      <c r="A86" s="95"/>
      <c r="B86" s="96">
        <v>2016</v>
      </c>
      <c r="C86" s="97"/>
      <c r="D86" s="97"/>
      <c r="E86" s="98"/>
      <c r="F86" s="99">
        <v>2017</v>
      </c>
      <c r="G86" s="99"/>
      <c r="H86" s="99"/>
      <c r="I86" s="99"/>
      <c r="W86" s="20"/>
      <c r="X86" s="20"/>
      <c r="Y86" s="20"/>
      <c r="Z86" s="20"/>
      <c r="AA86" s="20"/>
    </row>
    <row r="87" spans="1:27" ht="38.25">
      <c r="A87" s="95"/>
      <c r="B87" s="27" t="s">
        <v>129</v>
      </c>
      <c r="C87" s="27" t="s">
        <v>54</v>
      </c>
      <c r="D87" s="27" t="s">
        <v>43</v>
      </c>
      <c r="E87" s="28" t="s">
        <v>44</v>
      </c>
      <c r="F87" s="27" t="s">
        <v>129</v>
      </c>
      <c r="G87" s="27" t="s">
        <v>54</v>
      </c>
      <c r="H87" s="27" t="s">
        <v>43</v>
      </c>
      <c r="I87" s="28" t="s">
        <v>44</v>
      </c>
      <c r="W87" s="20"/>
      <c r="X87" s="20"/>
      <c r="Y87" s="20"/>
      <c r="Z87" s="20"/>
      <c r="AA87" s="20"/>
    </row>
    <row r="88" spans="1:27" ht="26.25">
      <c r="A88" s="2"/>
      <c r="B88" s="44" t="s">
        <v>91</v>
      </c>
      <c r="C88" s="44" t="s">
        <v>92</v>
      </c>
      <c r="D88" s="44" t="s">
        <v>93</v>
      </c>
      <c r="E88" s="45" t="s">
        <v>94</v>
      </c>
      <c r="F88" s="44" t="s">
        <v>95</v>
      </c>
      <c r="G88" s="44" t="s">
        <v>96</v>
      </c>
      <c r="H88" s="44" t="s">
        <v>97</v>
      </c>
      <c r="I88" s="45" t="s">
        <v>98</v>
      </c>
      <c r="W88" s="20"/>
      <c r="X88" s="20"/>
      <c r="Y88" s="20"/>
      <c r="Z88" s="20"/>
      <c r="AA88" s="20"/>
    </row>
    <row r="89" spans="1:27">
      <c r="A89" s="1" t="s">
        <v>26</v>
      </c>
      <c r="B89" s="58">
        <f>ROUND(D10*D12*D16,2)</f>
        <v>297.26</v>
      </c>
      <c r="C89" s="59">
        <f>B89+F80</f>
        <v>505.03999999999996</v>
      </c>
      <c r="D89" s="59">
        <f>C89-D80</f>
        <v>274.17999999999995</v>
      </c>
      <c r="E89" s="49">
        <f>ROUND(D89*B80*12,2)</f>
        <v>3290.16</v>
      </c>
      <c r="F89" s="58">
        <f>ROUND(E10*E12*E16,2)</f>
        <v>313.61</v>
      </c>
      <c r="G89" s="59">
        <f>F89+F80</f>
        <v>521.39</v>
      </c>
      <c r="H89" s="48">
        <f>G89-D80</f>
        <v>290.52999999999997</v>
      </c>
      <c r="I89" s="49">
        <f>H89*B80*12</f>
        <v>3486.3599999999997</v>
      </c>
      <c r="W89" s="20"/>
      <c r="X89" s="20"/>
      <c r="Y89" s="20"/>
      <c r="Z89" s="20"/>
      <c r="AA89" s="20"/>
    </row>
    <row r="90" spans="1:27">
      <c r="A90" s="1" t="s">
        <v>27</v>
      </c>
      <c r="B90" s="58">
        <f>ROUND(D10*D13*D16,2)</f>
        <v>231.2</v>
      </c>
      <c r="C90" s="59">
        <f>B90+F81</f>
        <v>462.22</v>
      </c>
      <c r="D90" s="59">
        <f>C90-D81</f>
        <v>205.53000000000003</v>
      </c>
      <c r="E90" s="49">
        <f>ROUND(D90*B81*12,2)</f>
        <v>34529.040000000001</v>
      </c>
      <c r="F90" s="58">
        <f>ROUND(E10*E13*E16,2)</f>
        <v>243.92</v>
      </c>
      <c r="G90" s="59">
        <f>F90+F81</f>
        <v>474.94</v>
      </c>
      <c r="H90" s="48">
        <f>G90-D81</f>
        <v>218.25</v>
      </c>
      <c r="I90" s="49">
        <f>H90*B81*12</f>
        <v>36666</v>
      </c>
      <c r="W90" s="20"/>
      <c r="X90" s="20"/>
      <c r="Y90" s="20"/>
      <c r="Z90" s="20"/>
      <c r="AA90" s="20"/>
    </row>
    <row r="91" spans="1:27">
      <c r="A91" s="1" t="s">
        <v>28</v>
      </c>
      <c r="B91" s="58">
        <f>ROUND(D10*D14*D16,2)</f>
        <v>165.15</v>
      </c>
      <c r="C91" s="59">
        <f>B91+F82</f>
        <v>407.92</v>
      </c>
      <c r="D91" s="59">
        <f>C91-D82</f>
        <v>138.17000000000002</v>
      </c>
      <c r="E91" s="49">
        <f>ROUND(D91*B82*12,2)</f>
        <v>21554.52</v>
      </c>
      <c r="F91" s="58">
        <f>ROUND(E10*E14*E16,2)</f>
        <v>174.23</v>
      </c>
      <c r="G91" s="59">
        <f>F91+F82</f>
        <v>417</v>
      </c>
      <c r="H91" s="48">
        <f>G91-D82</f>
        <v>147.25</v>
      </c>
      <c r="I91" s="49">
        <f>H91*B82*12</f>
        <v>22971</v>
      </c>
      <c r="W91" s="20"/>
      <c r="X91" s="20"/>
      <c r="Y91" s="20"/>
      <c r="Z91" s="20"/>
      <c r="AA91" s="20"/>
    </row>
    <row r="92" spans="1:27" ht="13.5">
      <c r="A92" s="1" t="s">
        <v>34</v>
      </c>
      <c r="B92" s="61"/>
      <c r="C92" s="61"/>
      <c r="D92" s="62"/>
      <c r="E92" s="52">
        <f>SUM(E89:E91)</f>
        <v>59373.72</v>
      </c>
      <c r="F92" s="18"/>
      <c r="G92" s="18"/>
      <c r="H92" s="18"/>
      <c r="I92" s="52">
        <f>SUM(I89:I91)</f>
        <v>63123.360000000001</v>
      </c>
      <c r="W92" s="20"/>
      <c r="X92" s="20"/>
      <c r="Y92" s="20"/>
      <c r="Z92" s="20"/>
      <c r="AA92" s="20"/>
    </row>
    <row r="95" spans="1:27" ht="29.25" customHeight="1">
      <c r="A95" s="103" t="s">
        <v>55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7">
      <c r="A96" s="64" t="s">
        <v>56</v>
      </c>
    </row>
    <row r="97" spans="1:24" ht="14.25">
      <c r="A97" s="65" t="s">
        <v>57</v>
      </c>
    </row>
    <row r="98" spans="1:24">
      <c r="A98" s="66" t="s">
        <v>58</v>
      </c>
    </row>
    <row r="99" spans="1:24" ht="25.5">
      <c r="A99" s="66" t="s">
        <v>59</v>
      </c>
    </row>
    <row r="100" spans="1:24" ht="39.75">
      <c r="A100" s="66" t="s">
        <v>60</v>
      </c>
    </row>
    <row r="101" spans="1:24">
      <c r="A101" s="54" t="s">
        <v>61</v>
      </c>
      <c r="B101" s="7">
        <v>0.8</v>
      </c>
    </row>
    <row r="102" spans="1:24" s="10" customFormat="1" ht="13.5">
      <c r="A102" s="67" t="s">
        <v>62</v>
      </c>
      <c r="B102" s="10">
        <v>0.9</v>
      </c>
      <c r="C102" s="68" t="s">
        <v>122</v>
      </c>
      <c r="D102" s="69"/>
    </row>
    <row r="103" spans="1:24">
      <c r="A103" s="54" t="s">
        <v>63</v>
      </c>
      <c r="B103" s="70">
        <v>1</v>
      </c>
    </row>
    <row r="104" spans="1:24">
      <c r="A104" s="71"/>
      <c r="B104" s="105">
        <v>2014</v>
      </c>
      <c r="C104" s="105"/>
      <c r="D104" s="105"/>
      <c r="E104" s="105"/>
      <c r="F104" s="105"/>
      <c r="G104" s="106"/>
      <c r="H104" s="55"/>
      <c r="I104" s="90">
        <v>2015</v>
      </c>
      <c r="J104" s="91"/>
      <c r="K104" s="91"/>
      <c r="L104" s="92"/>
      <c r="X104" s="20"/>
    </row>
    <row r="105" spans="1:24" s="26" customFormat="1" ht="52.5" customHeight="1">
      <c r="A105" s="55" t="s">
        <v>64</v>
      </c>
      <c r="B105" s="55" t="s">
        <v>65</v>
      </c>
      <c r="C105" s="55" t="s">
        <v>66</v>
      </c>
      <c r="D105" s="55" t="s">
        <v>67</v>
      </c>
      <c r="E105" s="55" t="s">
        <v>131</v>
      </c>
      <c r="F105" s="55" t="s">
        <v>68</v>
      </c>
      <c r="G105" s="55" t="s">
        <v>43</v>
      </c>
      <c r="H105" s="72" t="s">
        <v>44</v>
      </c>
      <c r="I105" s="27" t="s">
        <v>131</v>
      </c>
      <c r="J105" s="27" t="s">
        <v>68</v>
      </c>
      <c r="K105" s="27" t="s">
        <v>43</v>
      </c>
      <c r="L105" s="28" t="s">
        <v>44</v>
      </c>
      <c r="X105" s="20"/>
    </row>
    <row r="106" spans="1:24" s="76" customFormat="1" ht="27">
      <c r="A106" s="73">
        <v>1</v>
      </c>
      <c r="B106" s="73">
        <v>2</v>
      </c>
      <c r="C106" s="74">
        <v>3</v>
      </c>
      <c r="D106" s="73">
        <v>4</v>
      </c>
      <c r="E106" s="73" t="s">
        <v>69</v>
      </c>
      <c r="F106" s="74" t="s">
        <v>70</v>
      </c>
      <c r="G106" s="74" t="s">
        <v>71</v>
      </c>
      <c r="H106" s="55" t="s">
        <v>86</v>
      </c>
      <c r="I106" s="73" t="s">
        <v>105</v>
      </c>
      <c r="J106" s="74" t="s">
        <v>106</v>
      </c>
      <c r="K106" s="74" t="s">
        <v>107</v>
      </c>
      <c r="L106" s="75" t="s">
        <v>108</v>
      </c>
      <c r="X106" s="20"/>
    </row>
    <row r="107" spans="1:24">
      <c r="A107" s="77">
        <v>5</v>
      </c>
      <c r="B107" s="56">
        <v>349.32</v>
      </c>
      <c r="C107" s="37">
        <v>94.78</v>
      </c>
      <c r="D107" s="77">
        <f>ROUND(C107/B17,2)</f>
        <v>134.86000000000001</v>
      </c>
      <c r="E107" s="77">
        <f>ROUND(B16*B10*B102,2)</f>
        <v>267.33</v>
      </c>
      <c r="F107" s="37">
        <f>D107+E107</f>
        <v>402.19</v>
      </c>
      <c r="G107" s="37">
        <f>F107-B107</f>
        <v>52.870000000000005</v>
      </c>
      <c r="H107" s="78">
        <f>ROUND(G107*A107*12,2)</f>
        <v>3172.2</v>
      </c>
      <c r="I107" s="58">
        <f>ROUND(C10*B102*C16,2)</f>
        <v>282.3</v>
      </c>
      <c r="J107" s="35">
        <f>I107+D107</f>
        <v>417.16</v>
      </c>
      <c r="K107" s="35">
        <f>J107-B107</f>
        <v>67.840000000000032</v>
      </c>
      <c r="L107" s="36">
        <f>ROUND(K107*A107*12,2)</f>
        <v>4070.4</v>
      </c>
      <c r="X107" s="20"/>
    </row>
    <row r="108" spans="1:24" ht="14.25">
      <c r="A108" s="79" t="s">
        <v>72</v>
      </c>
      <c r="X108" s="20"/>
    </row>
    <row r="109" spans="1:24" ht="15.75">
      <c r="C109" s="11"/>
      <c r="D109" s="11"/>
      <c r="E109" s="11"/>
      <c r="H109" s="24" t="s">
        <v>120</v>
      </c>
      <c r="X109" s="20"/>
    </row>
    <row r="110" spans="1:24">
      <c r="A110" s="90">
        <v>2016</v>
      </c>
      <c r="B110" s="91"/>
      <c r="C110" s="91"/>
      <c r="D110" s="92"/>
      <c r="E110" s="93">
        <v>2017</v>
      </c>
      <c r="F110" s="93"/>
      <c r="G110" s="93"/>
      <c r="H110" s="93"/>
      <c r="X110" s="20"/>
    </row>
    <row r="111" spans="1:24" ht="38.25">
      <c r="A111" s="27" t="s">
        <v>132</v>
      </c>
      <c r="B111" s="27" t="s">
        <v>68</v>
      </c>
      <c r="C111" s="27" t="s">
        <v>43</v>
      </c>
      <c r="D111" s="28" t="s">
        <v>44</v>
      </c>
      <c r="E111" s="27" t="s">
        <v>131</v>
      </c>
      <c r="F111" s="27" t="s">
        <v>68</v>
      </c>
      <c r="G111" s="27" t="s">
        <v>43</v>
      </c>
      <c r="H111" s="28" t="s">
        <v>44</v>
      </c>
      <c r="X111" s="20"/>
    </row>
    <row r="112" spans="1:24" ht="27">
      <c r="A112" s="73" t="s">
        <v>109</v>
      </c>
      <c r="B112" s="74" t="s">
        <v>110</v>
      </c>
      <c r="C112" s="74" t="s">
        <v>111</v>
      </c>
      <c r="D112" s="75" t="s">
        <v>112</v>
      </c>
      <c r="E112" s="73" t="s">
        <v>113</v>
      </c>
      <c r="F112" s="74" t="s">
        <v>114</v>
      </c>
      <c r="G112" s="74" t="s">
        <v>115</v>
      </c>
      <c r="H112" s="75" t="s">
        <v>116</v>
      </c>
      <c r="X112" s="20"/>
    </row>
    <row r="113" spans="1:24">
      <c r="A113" s="58">
        <f>ROUND(D10*B102*D16,2)</f>
        <v>297.26</v>
      </c>
      <c r="B113" s="35">
        <f>A113+D107</f>
        <v>432.12</v>
      </c>
      <c r="C113" s="35">
        <f>B113-B107</f>
        <v>82.800000000000011</v>
      </c>
      <c r="D113" s="36">
        <f>ROUND(C113*A107*12,2)</f>
        <v>4968</v>
      </c>
      <c r="E113" s="58">
        <f>ROUND(E10*B102*E16,2)</f>
        <v>313.61</v>
      </c>
      <c r="F113" s="35">
        <f>E113+D107</f>
        <v>448.47</v>
      </c>
      <c r="G113" s="35">
        <f>F113-B107</f>
        <v>99.150000000000034</v>
      </c>
      <c r="H113" s="36">
        <f>ROUND(G113*A107*12,2)</f>
        <v>5949</v>
      </c>
      <c r="X113" s="20"/>
    </row>
    <row r="114" spans="1:24" ht="14.25">
      <c r="A114" s="79" t="s">
        <v>72</v>
      </c>
      <c r="C114" s="11"/>
      <c r="D114" s="11"/>
      <c r="E114" s="11"/>
      <c r="X114" s="20"/>
    </row>
    <row r="115" spans="1:24" ht="15.75">
      <c r="A115" s="104" t="s">
        <v>73</v>
      </c>
      <c r="B115" s="104"/>
      <c r="C115" s="104"/>
      <c r="D115" s="104"/>
      <c r="X115" s="20"/>
    </row>
    <row r="116" spans="1:24" ht="15.75">
      <c r="D116" s="24" t="s">
        <v>74</v>
      </c>
      <c r="X116" s="20"/>
    </row>
    <row r="117" spans="1:24" ht="19.5" customHeight="1">
      <c r="A117" s="80" t="s">
        <v>75</v>
      </c>
      <c r="B117" s="81">
        <v>2015</v>
      </c>
      <c r="C117" s="81">
        <v>2016</v>
      </c>
      <c r="D117" s="81">
        <v>2017</v>
      </c>
    </row>
    <row r="118" spans="1:24" ht="15.75">
      <c r="A118" s="82" t="s">
        <v>124</v>
      </c>
      <c r="B118" s="89">
        <f>B119+B120</f>
        <v>1378526</v>
      </c>
      <c r="C118" s="89">
        <f>C119+C120</f>
        <v>1552121</v>
      </c>
      <c r="D118" s="89">
        <f>D119+D120</f>
        <v>1741253</v>
      </c>
      <c r="F118" s="83"/>
      <c r="G118" s="83"/>
      <c r="H118" s="83"/>
    </row>
    <row r="119" spans="1:24" ht="15.75">
      <c r="A119" s="84" t="s">
        <v>76</v>
      </c>
      <c r="B119" s="89">
        <f>ROUND(K31+K35,0)</f>
        <v>33386</v>
      </c>
      <c r="C119" s="89">
        <f>ROUND(E47+E51,0)</f>
        <v>54252</v>
      </c>
      <c r="D119" s="89">
        <f>ROUND(I47+I51,0)</f>
        <v>77079</v>
      </c>
      <c r="F119" s="3"/>
      <c r="G119" s="3"/>
      <c r="H119" s="3"/>
      <c r="J119" s="21"/>
    </row>
    <row r="120" spans="1:24" ht="15.75">
      <c r="A120" s="84" t="s">
        <v>77</v>
      </c>
      <c r="B120" s="89">
        <f>ROUND(K26+K33+N63+N83+L107,0)</f>
        <v>1345140</v>
      </c>
      <c r="C120" s="89">
        <f>ROUND(E42+E49+E72+E92+D113,0)</f>
        <v>1497869</v>
      </c>
      <c r="D120" s="89">
        <f>ROUND(I42+I49+I72+I92+H113,0)</f>
        <v>1664174</v>
      </c>
      <c r="F120" s="20"/>
      <c r="G120" s="20"/>
      <c r="H120" s="20"/>
      <c r="J120" s="21"/>
    </row>
    <row r="121" spans="1:24">
      <c r="B121" s="85"/>
      <c r="F121" s="20"/>
      <c r="G121" s="20"/>
      <c r="H121" s="20"/>
      <c r="J121" s="21"/>
    </row>
    <row r="122" spans="1:24">
      <c r="F122" s="20"/>
      <c r="G122" s="20"/>
      <c r="H122" s="20"/>
    </row>
    <row r="123" spans="1:24" s="86" customFormat="1" ht="18.75">
      <c r="A123" s="86" t="s">
        <v>78</v>
      </c>
      <c r="I123" s="86" t="s">
        <v>79</v>
      </c>
    </row>
    <row r="124" spans="1:24" s="86" customFormat="1" ht="18.75"/>
    <row r="129" spans="2:5">
      <c r="B129" s="85"/>
      <c r="C129" s="85"/>
      <c r="D129" s="85"/>
      <c r="E129" s="85"/>
    </row>
    <row r="130" spans="2:5">
      <c r="B130" s="85"/>
      <c r="C130" s="85"/>
      <c r="D130" s="85"/>
      <c r="E130" s="85"/>
    </row>
    <row r="131" spans="2:5" s="87" customFormat="1" ht="15.75" customHeight="1"/>
    <row r="142" spans="2:5" ht="87" customHeight="1"/>
    <row r="174" spans="1:1">
      <c r="A174" s="7" t="s">
        <v>134</v>
      </c>
    </row>
    <row r="175" spans="1:1" ht="15" customHeight="1">
      <c r="A175" s="7" t="s">
        <v>123</v>
      </c>
    </row>
    <row r="176" spans="1:1">
      <c r="A176" s="7" t="s">
        <v>80</v>
      </c>
    </row>
    <row r="177" spans="1:10">
      <c r="A177" s="88" t="s">
        <v>81</v>
      </c>
    </row>
    <row r="179" spans="1:10" ht="15">
      <c r="A179" s="101" t="s">
        <v>133</v>
      </c>
      <c r="B179" s="101"/>
      <c r="C179" s="101"/>
      <c r="D179" s="101"/>
      <c r="E179" s="101"/>
      <c r="F179" s="101"/>
      <c r="G179" s="101"/>
      <c r="H179" s="101"/>
      <c r="I179" s="101"/>
      <c r="J179" s="101"/>
    </row>
  </sheetData>
  <mergeCells count="27">
    <mergeCell ref="A2:L2"/>
    <mergeCell ref="A179:J179"/>
    <mergeCell ref="A23:A24"/>
    <mergeCell ref="A57:A58"/>
    <mergeCell ref="A77:A78"/>
    <mergeCell ref="B77:J77"/>
    <mergeCell ref="A39:A40"/>
    <mergeCell ref="H23:K23"/>
    <mergeCell ref="B23:G23"/>
    <mergeCell ref="B57:J57"/>
    <mergeCell ref="K57:N57"/>
    <mergeCell ref="B66:E66"/>
    <mergeCell ref="F66:I66"/>
    <mergeCell ref="A95:L95"/>
    <mergeCell ref="A115:D115"/>
    <mergeCell ref="B104:G104"/>
    <mergeCell ref="I104:L104"/>
    <mergeCell ref="A110:D110"/>
    <mergeCell ref="E110:H110"/>
    <mergeCell ref="A21:K21"/>
    <mergeCell ref="A66:A67"/>
    <mergeCell ref="A55:N55"/>
    <mergeCell ref="A86:A87"/>
    <mergeCell ref="A75:N75"/>
    <mergeCell ref="K77:N77"/>
    <mergeCell ref="B86:E86"/>
    <mergeCell ref="F86:I86"/>
  </mergeCells>
  <phoneticPr fontId="23" type="noConversion"/>
  <hyperlinks>
    <hyperlink ref="A177" r:id="rId1"/>
  </hyperlinks>
  <pageMargins left="0" right="0" top="0" bottom="0" header="0" footer="0"/>
  <pageSetup scale="55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APRĒĶINI_nosūtīšanai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"Grozījumi Černobiļas atomelektrostacijas avārijas seku likvidēšans dalībnieku un Černobiļas atomelektrostacijas avārijas rezultātā cietušo personu sociālās aizsardzības likumā"</dc:title>
  <dc:subject>Pielikums anotācijai</dc:subject>
  <dc:creator>Ilze Štrausa</dc:creator>
  <dc:description>Ilze.Starusa@lm.gov.lv, 67021636</dc:description>
  <cp:lastModifiedBy>Kristina Pure</cp:lastModifiedBy>
  <cp:lastPrinted>2014-07-24T07:03:51Z</cp:lastPrinted>
  <dcterms:created xsi:type="dcterms:W3CDTF">2014-07-07T05:13:33Z</dcterms:created>
  <dcterms:modified xsi:type="dcterms:W3CDTF">2014-07-24T07:43:32Z</dcterms:modified>
</cp:coreProperties>
</file>