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LAF\Padome_2015\Informativais_zinojums\Uz_MK_250615\"/>
    </mc:Choice>
  </mc:AlternateContent>
  <bookViews>
    <workbookView xWindow="0" yWindow="0" windowWidth="20700" windowHeight="7905"/>
  </bookViews>
  <sheets>
    <sheet name="2.pieliku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C37" i="1"/>
  <c r="AS35" i="1"/>
  <c r="BB34" i="1"/>
  <c r="BA34" i="1"/>
  <c r="AZ34" i="1"/>
  <c r="AY34" i="1"/>
  <c r="AW34" i="1"/>
  <c r="AV34" i="1"/>
  <c r="AU34" i="1"/>
  <c r="AT34" i="1"/>
  <c r="AR34" i="1"/>
  <c r="AS34" i="1" s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S33" i="1"/>
  <c r="AQ33" i="1"/>
  <c r="AM33" i="1"/>
  <c r="AX32" i="1"/>
  <c r="AS32" i="1"/>
  <c r="AQ32" i="1"/>
  <c r="AM32" i="1"/>
  <c r="AR31" i="1"/>
  <c r="AX31" i="1" s="1"/>
  <c r="AP31" i="1"/>
  <c r="AQ31" i="1" s="1"/>
  <c r="AM31" i="1"/>
  <c r="AR30" i="1"/>
  <c r="AQ30" i="1"/>
  <c r="AP30" i="1"/>
  <c r="AM30" i="1"/>
  <c r="AM26" i="1" s="1"/>
  <c r="AX29" i="1"/>
  <c r="AU29" i="1"/>
  <c r="AR29" i="1"/>
  <c r="AS29" i="1" s="1"/>
  <c r="AP29" i="1"/>
  <c r="AQ29" i="1" s="1"/>
  <c r="AM29" i="1"/>
  <c r="AX28" i="1"/>
  <c r="AS28" i="1"/>
  <c r="AQ28" i="1"/>
  <c r="AM28" i="1"/>
  <c r="AX27" i="1"/>
  <c r="AU27" i="1"/>
  <c r="AS27" i="1"/>
  <c r="AR27" i="1"/>
  <c r="AP27" i="1"/>
  <c r="AN27" i="1"/>
  <c r="AM27" i="1"/>
  <c r="BB26" i="1"/>
  <c r="BA26" i="1"/>
  <c r="AZ26" i="1"/>
  <c r="AY26" i="1"/>
  <c r="AW26" i="1"/>
  <c r="AV26" i="1"/>
  <c r="AT26" i="1"/>
  <c r="AR26" i="1"/>
  <c r="AS26" i="1" s="1"/>
  <c r="AO26" i="1"/>
  <c r="AN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S25" i="1"/>
  <c r="AQ25" i="1"/>
  <c r="AX24" i="1"/>
  <c r="AS24" i="1"/>
  <c r="AQ24" i="1"/>
  <c r="AX23" i="1"/>
  <c r="AS23" i="1"/>
  <c r="AQ23" i="1"/>
  <c r="AX22" i="1"/>
  <c r="AS22" i="1"/>
  <c r="AQ22" i="1"/>
  <c r="AS21" i="1"/>
  <c r="AQ21" i="1"/>
  <c r="AX20" i="1"/>
  <c r="AS20" i="1"/>
  <c r="AQ20" i="1"/>
  <c r="BB19" i="1"/>
  <c r="BB37" i="1" s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M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Y18" i="1"/>
  <c r="AW18" i="1"/>
  <c r="AX18" i="1" s="1"/>
  <c r="AT18" i="1"/>
  <c r="AR18" i="1"/>
  <c r="AU18" i="1" s="1"/>
  <c r="AP18" i="1"/>
  <c r="AQ18" i="1" s="1"/>
  <c r="AO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AX17" i="1"/>
  <c r="AS17" i="1"/>
  <c r="AQ17" i="1"/>
  <c r="AX16" i="1"/>
  <c r="AS16" i="1"/>
  <c r="AQ16" i="1"/>
  <c r="BB15" i="1"/>
  <c r="BA15" i="1"/>
  <c r="AZ15" i="1"/>
  <c r="AY15" i="1"/>
  <c r="AW15" i="1"/>
  <c r="AX15" i="1" s="1"/>
  <c r="AV15" i="1"/>
  <c r="AU15" i="1"/>
  <c r="AT15" i="1"/>
  <c r="AS15" i="1"/>
  <c r="AR15" i="1"/>
  <c r="AP15" i="1"/>
  <c r="AQ15" i="1" s="1"/>
  <c r="AO15" i="1"/>
  <c r="AN15" i="1"/>
  <c r="AM15" i="1"/>
  <c r="AL15" i="1"/>
  <c r="AL37" i="1" s="1"/>
  <c r="AK15" i="1"/>
  <c r="AJ15" i="1"/>
  <c r="AI15" i="1"/>
  <c r="AH15" i="1"/>
  <c r="AG15" i="1"/>
  <c r="AF15" i="1"/>
  <c r="AE15" i="1"/>
  <c r="AD15" i="1"/>
  <c r="AD37" i="1" s="1"/>
  <c r="AC15" i="1"/>
  <c r="AB15" i="1"/>
  <c r="AA15" i="1"/>
  <c r="Z15" i="1"/>
  <c r="Y15" i="1"/>
  <c r="X15" i="1"/>
  <c r="W15" i="1"/>
  <c r="V15" i="1"/>
  <c r="V37" i="1" s="1"/>
  <c r="U15" i="1"/>
  <c r="T15" i="1"/>
  <c r="S15" i="1"/>
  <c r="R15" i="1"/>
  <c r="Q15" i="1"/>
  <c r="P15" i="1"/>
  <c r="O15" i="1"/>
  <c r="N15" i="1"/>
  <c r="N37" i="1" s="1"/>
  <c r="M15" i="1"/>
  <c r="L15" i="1"/>
  <c r="K15" i="1"/>
  <c r="J15" i="1"/>
  <c r="J37" i="1" s="1"/>
  <c r="I15" i="1"/>
  <c r="H15" i="1"/>
  <c r="G15" i="1"/>
  <c r="F15" i="1"/>
  <c r="F37" i="1" s="1"/>
  <c r="E15" i="1"/>
  <c r="D15" i="1"/>
  <c r="C15" i="1"/>
  <c r="AX14" i="1"/>
  <c r="AS14" i="1"/>
  <c r="AQ14" i="1"/>
  <c r="AX13" i="1"/>
  <c r="AS13" i="1"/>
  <c r="AQ13" i="1"/>
  <c r="BB12" i="1"/>
  <c r="BA12" i="1"/>
  <c r="AZ12" i="1"/>
  <c r="AZ7" i="1" s="1"/>
  <c r="AZ37" i="1" s="1"/>
  <c r="AY12" i="1"/>
  <c r="AW12" i="1"/>
  <c r="AV12" i="1"/>
  <c r="AU12" i="1"/>
  <c r="AT12" i="1"/>
  <c r="AR12" i="1"/>
  <c r="AQ12" i="1"/>
  <c r="AP12" i="1"/>
  <c r="AO12" i="1"/>
  <c r="AN12" i="1"/>
  <c r="AM12" i="1"/>
  <c r="AL12" i="1"/>
  <c r="AK12" i="1"/>
  <c r="AJ12" i="1"/>
  <c r="AJ7" i="1" s="1"/>
  <c r="AJ37" i="1" s="1"/>
  <c r="AI12" i="1"/>
  <c r="AH12" i="1"/>
  <c r="AG12" i="1"/>
  <c r="AF12" i="1"/>
  <c r="AE12" i="1"/>
  <c r="AD12" i="1"/>
  <c r="AC12" i="1"/>
  <c r="AB12" i="1"/>
  <c r="AB7" i="1" s="1"/>
  <c r="AB37" i="1" s="1"/>
  <c r="AA12" i="1"/>
  <c r="Z12" i="1"/>
  <c r="Y12" i="1"/>
  <c r="X12" i="1"/>
  <c r="W12" i="1"/>
  <c r="V12" i="1"/>
  <c r="U12" i="1"/>
  <c r="T12" i="1"/>
  <c r="T7" i="1" s="1"/>
  <c r="T37" i="1" s="1"/>
  <c r="S12" i="1"/>
  <c r="R12" i="1"/>
  <c r="Q12" i="1"/>
  <c r="P12" i="1"/>
  <c r="O12" i="1"/>
  <c r="O7" i="1" s="1"/>
  <c r="O37" i="1" s="1"/>
  <c r="N12" i="1"/>
  <c r="M12" i="1"/>
  <c r="L12" i="1"/>
  <c r="K12" i="1"/>
  <c r="K7" i="1" s="1"/>
  <c r="J12" i="1"/>
  <c r="I12" i="1"/>
  <c r="H12" i="1"/>
  <c r="G12" i="1"/>
  <c r="G7" i="1" s="1"/>
  <c r="G37" i="1" s="1"/>
  <c r="F12" i="1"/>
  <c r="E12" i="1"/>
  <c r="D12" i="1"/>
  <c r="C12" i="1"/>
  <c r="C7" i="1" s="1"/>
  <c r="AX11" i="1"/>
  <c r="AS11" i="1"/>
  <c r="AQ11" i="1"/>
  <c r="AX10" i="1"/>
  <c r="AS10" i="1"/>
  <c r="AQ10" i="1"/>
  <c r="Z10" i="1"/>
  <c r="Y10" i="1"/>
  <c r="Y8" i="1" s="1"/>
  <c r="Y7" i="1" s="1"/>
  <c r="Y37" i="1" s="1"/>
  <c r="AX9" i="1"/>
  <c r="AS9" i="1"/>
  <c r="AQ9" i="1"/>
  <c r="Z9" i="1"/>
  <c r="Z8" i="1" s="1"/>
  <c r="Z7" i="1" s="1"/>
  <c r="Z37" i="1" s="1"/>
  <c r="Y9" i="1"/>
  <c r="V9" i="1"/>
  <c r="BB8" i="1"/>
  <c r="BB7" i="1" s="1"/>
  <c r="BA8" i="1"/>
  <c r="AZ8" i="1"/>
  <c r="AY8" i="1"/>
  <c r="AY7" i="1" s="1"/>
  <c r="AY37" i="1" s="1"/>
  <c r="AW8" i="1"/>
  <c r="AX8" i="1" s="1"/>
  <c r="AV8" i="1"/>
  <c r="AU8" i="1"/>
  <c r="AT8" i="1"/>
  <c r="AT7" i="1" s="1"/>
  <c r="AT37" i="1" s="1"/>
  <c r="AS8" i="1"/>
  <c r="AR8" i="1"/>
  <c r="AP8" i="1"/>
  <c r="AO8" i="1"/>
  <c r="AN8" i="1"/>
  <c r="AM8" i="1"/>
  <c r="AM7" i="1" s="1"/>
  <c r="AM37" i="1" s="1"/>
  <c r="AL8" i="1"/>
  <c r="AL7" i="1" s="1"/>
  <c r="AK8" i="1"/>
  <c r="AJ8" i="1"/>
  <c r="AI8" i="1"/>
  <c r="AI7" i="1" s="1"/>
  <c r="AI37" i="1" s="1"/>
  <c r="AH8" i="1"/>
  <c r="AH7" i="1" s="1"/>
  <c r="AH37" i="1" s="1"/>
  <c r="AG8" i="1"/>
  <c r="AF8" i="1"/>
  <c r="AE8" i="1"/>
  <c r="AE7" i="1" s="1"/>
  <c r="AE37" i="1" s="1"/>
  <c r="AD8" i="1"/>
  <c r="AD7" i="1" s="1"/>
  <c r="AC8" i="1"/>
  <c r="AB8" i="1"/>
  <c r="AA8" i="1"/>
  <c r="AA7" i="1" s="1"/>
  <c r="AA37" i="1" s="1"/>
  <c r="X8" i="1"/>
  <c r="W8" i="1"/>
  <c r="W7" i="1" s="1"/>
  <c r="W37" i="1" s="1"/>
  <c r="V8" i="1"/>
  <c r="V7" i="1" s="1"/>
  <c r="U8" i="1"/>
  <c r="T8" i="1"/>
  <c r="S8" i="1"/>
  <c r="S7" i="1" s="1"/>
  <c r="S37" i="1" s="1"/>
  <c r="R8" i="1"/>
  <c r="R7" i="1" s="1"/>
  <c r="R37" i="1" s="1"/>
  <c r="P8" i="1"/>
  <c r="O8" i="1"/>
  <c r="N8" i="1"/>
  <c r="M8" i="1"/>
  <c r="L8" i="1"/>
  <c r="K8" i="1"/>
  <c r="J8" i="1"/>
  <c r="I8" i="1"/>
  <c r="H8" i="1"/>
  <c r="H7" i="1" s="1"/>
  <c r="H37" i="1" s="1"/>
  <c r="G8" i="1"/>
  <c r="BA7" i="1"/>
  <c r="BA37" i="1" s="1"/>
  <c r="AV7" i="1"/>
  <c r="AV37" i="1" s="1"/>
  <c r="AO7" i="1"/>
  <c r="AN7" i="1"/>
  <c r="AN37" i="1" s="1"/>
  <c r="AK7" i="1"/>
  <c r="AK37" i="1" s="1"/>
  <c r="AG7" i="1"/>
  <c r="AF7" i="1"/>
  <c r="AC7" i="1"/>
  <c r="AC37" i="1" s="1"/>
  <c r="X7" i="1"/>
  <c r="U7" i="1"/>
  <c r="U37" i="1" s="1"/>
  <c r="Q7" i="1"/>
  <c r="P7" i="1"/>
  <c r="N7" i="1"/>
  <c r="M7" i="1"/>
  <c r="L7" i="1"/>
  <c r="J7" i="1"/>
  <c r="I7" i="1"/>
  <c r="I37" i="1" s="1"/>
  <c r="F7" i="1"/>
  <c r="E7" i="1"/>
  <c r="D7" i="1"/>
  <c r="D37" i="1" s="1"/>
  <c r="AX26" i="1" l="1"/>
  <c r="E37" i="1"/>
  <c r="P37" i="1"/>
  <c r="X37" i="1"/>
  <c r="AF37" i="1"/>
  <c r="AQ19" i="1"/>
  <c r="AU30" i="1"/>
  <c r="AS30" i="1"/>
  <c r="L37" i="1"/>
  <c r="Q37" i="1"/>
  <c r="AG37" i="1"/>
  <c r="AO37" i="1"/>
  <c r="AW7" i="1"/>
  <c r="AS12" i="1"/>
  <c r="AX12" i="1"/>
  <c r="AS18" i="1"/>
  <c r="AU26" i="1"/>
  <c r="AX30" i="1"/>
  <c r="AS31" i="1"/>
  <c r="M37" i="1"/>
  <c r="AR7" i="1"/>
  <c r="AQ8" i="1"/>
  <c r="AP7" i="1"/>
  <c r="AU7" i="1"/>
  <c r="AQ27" i="1"/>
  <c r="AP26" i="1"/>
  <c r="AQ26" i="1" s="1"/>
  <c r="AR37" i="1" l="1"/>
  <c r="AS7" i="1"/>
  <c r="AW37" i="1"/>
  <c r="AX37" i="1" s="1"/>
  <c r="AX7" i="1"/>
  <c r="AU37" i="1"/>
  <c r="AQ7" i="1"/>
  <c r="AP37" i="1"/>
  <c r="AQ37" i="1" l="1"/>
  <c r="AS37" i="1"/>
</calcChain>
</file>

<file path=xl/comments1.xml><?xml version="1.0" encoding="utf-8"?>
<comments xmlns="http://schemas.openxmlformats.org/spreadsheetml/2006/main">
  <authors>
    <author>Aiva Avota</author>
    <author>FM</author>
  </authors>
  <commentList>
    <comment ref="AN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FM:
Katru gadu adbildīgo iestāžu aktualizētais, ņemot vērā norakstītās un anulētās summas</t>
        </r>
      </text>
    </comment>
    <comment ref="AP4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AT4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AV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
</t>
        </r>
      </text>
    </comment>
    <comment ref="AY4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M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N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O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P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Q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R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S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T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U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
</t>
        </r>
      </text>
    </comment>
    <comment ref="V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D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AG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H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I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K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 + KM -2007.-2009.gada programma bez TP.</t>
        </r>
      </text>
    </comment>
    <comment ref="AL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 ar TM+IeM</t>
        </r>
      </text>
    </comment>
    <comment ref="AM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 līdz 31.12.2013. +IeM 2014.gadā</t>
        </r>
      </text>
    </comment>
    <comment ref="AN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 līdz 31.12.2013. +IeM 2014.gadā</t>
        </r>
      </text>
    </comment>
    <comment ref="AO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 līdz 31.12.2013. +IeM 2014.gadā</t>
        </r>
      </text>
    </comment>
    <comment ref="AP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 līdz 31.12.2013. +IeM 2014.gadā</t>
        </r>
      </text>
    </comment>
    <comment ref="AV18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Y1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2008.gadā Latvijas partneriem netika veikti maksājumi projektu ieviešanai </t>
        </r>
      </text>
    </comment>
    <comment ref="AK26" authorId="1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Kopējais piešķirtais finansējums Latvijas partneriem (ERAF+ nacionālais līdzfinansējums)</t>
        </r>
      </text>
    </comment>
  </commentList>
</comments>
</file>

<file path=xl/sharedStrings.xml><?xml version="1.0" encoding="utf-8"?>
<sst xmlns="http://schemas.openxmlformats.org/spreadsheetml/2006/main" count="173" uniqueCount="100">
  <si>
    <t>Nr.p.k.</t>
  </si>
  <si>
    <t>Fondi/programmas</t>
  </si>
  <si>
    <t>2007.-2013.gada plānošanas periodā līdz 31.12.2014.</t>
  </si>
  <si>
    <t>2007.-2013.gada plānošanas periodā līdz 31.12.2014. atgūšana</t>
  </si>
  <si>
    <t>Maksātnespējas un bankrota gadījumu skaits un apjoms [6]</t>
  </si>
  <si>
    <t>Kopējais pieprasītais publiskais finansējums</t>
  </si>
  <si>
    <t>Apstiprināto projektu skaits</t>
  </si>
  <si>
    <t>Neatbilstību skaits</t>
  </si>
  <si>
    <t>Neatbilstību summa</t>
  </si>
  <si>
    <t>Kopā pieejamais publiskais finansējums ES fondu projektiem</t>
  </si>
  <si>
    <t>Kopējais pieprasītais publiskais finansējums*</t>
  </si>
  <si>
    <t>Kopējais finansējums projektiem, kuros konstatētas neatbilstības</t>
  </si>
  <si>
    <t>Neatbilstību skaits **
(kumulatīvi)</t>
  </si>
  <si>
    <t>Neatbilstību skaita procents kopējā attiecīgā fonda ietvaros apstiprināto projektu skaitā, %</t>
  </si>
  <si>
    <t>Neatbilstību summa (kumulatīvi)</t>
  </si>
  <si>
    <t>Neatbilstību summas procents kopējā attiecīgā fonda ietvaros pieprasītā publiskā finansējumā, %</t>
  </si>
  <si>
    <t>Atgūstamā summa
(kumulatīvi)</t>
  </si>
  <si>
    <t xml:space="preserve">Faktiski atgūtā summa (kumulatīvi) </t>
  </si>
  <si>
    <t xml:space="preserve">Slēgto neatbilstību gadījumu skaits (kumulatīvi) </t>
  </si>
  <si>
    <t>LVL</t>
  </si>
  <si>
    <t>EUR</t>
  </si>
  <si>
    <t xml:space="preserve"> %</t>
  </si>
  <si>
    <t>Skaits</t>
  </si>
  <si>
    <t>42=41/40</t>
  </si>
  <si>
    <t>44=43/38</t>
  </si>
  <si>
    <t>47=46/43</t>
  </si>
  <si>
    <t>1.</t>
  </si>
  <si>
    <t>Eiropas Savienības struktūrfondi 2007.-2013.gada plānošanas periods</t>
  </si>
  <si>
    <t>1.1.</t>
  </si>
  <si>
    <t>ERAF</t>
  </si>
  <si>
    <t>1.1.1.</t>
  </si>
  <si>
    <t>2.darbības programma "Uzņēmējdarbība un inovācijas"</t>
  </si>
  <si>
    <t>1.1.2.</t>
  </si>
  <si>
    <t>3.darbības programma "Infrastruktūra un pakalpojumi"</t>
  </si>
  <si>
    <t>1.1.3.</t>
  </si>
  <si>
    <t>Tehniskā palīdzība ERAF ieviešanai</t>
  </si>
  <si>
    <t>1.2.</t>
  </si>
  <si>
    <t>ESF</t>
  </si>
  <si>
    <t>1.2.1.</t>
  </si>
  <si>
    <t>1.darbības programma "Cilvēkresursi un nodarbinātība"</t>
  </si>
  <si>
    <t>1.2.2.</t>
  </si>
  <si>
    <t>Tehniskā palīdzība ESF ieviešanai</t>
  </si>
  <si>
    <t>2.</t>
  </si>
  <si>
    <r>
      <t xml:space="preserve">Eiropas Savienības Kohēzijas fonds </t>
    </r>
    <r>
      <rPr>
        <b/>
        <sz val="10"/>
        <color rgb="FF000000"/>
        <rFont val="Times New Roman"/>
        <family val="1"/>
        <charset val="186"/>
      </rPr>
      <t>2007.-2013.gada plānošanas periods</t>
    </r>
  </si>
  <si>
    <t>2.1.</t>
  </si>
  <si>
    <t>2.2.</t>
  </si>
  <si>
    <t>Tehniskā palīdzība KF ieviešanai</t>
  </si>
  <si>
    <t>3.</t>
  </si>
  <si>
    <t>Vispārīgā programma „Solidaritāte un migrācijas plūsmu pārvaldība”</t>
  </si>
  <si>
    <t>4.</t>
  </si>
  <si>
    <t>Eiropas Lauksaimniecības un lauku attīstības fondi 2007.-2013.gada plānošanas periods, neskaitot priekšfinansējumu[4]</t>
  </si>
  <si>
    <t>4.1.</t>
  </si>
  <si>
    <t>Eiropas Lauksaimniecības garantiju fonds (ELGF)</t>
  </si>
  <si>
    <t>4.1.1.</t>
  </si>
  <si>
    <t>Priekšfinansējums ELGF ietvaros</t>
  </si>
  <si>
    <t>X</t>
  </si>
  <si>
    <t>x</t>
  </si>
  <si>
    <t>4.2.</t>
  </si>
  <si>
    <t>Eiropas Lauksaimniecības fonds lauku attīstībai (ELFLA)</t>
  </si>
  <si>
    <t>4.2.1.</t>
  </si>
  <si>
    <t>Priekšfinansējums ELFLA ietvaros [10]</t>
  </si>
  <si>
    <t>4.3.</t>
  </si>
  <si>
    <t>Eiropas Zivsaimniecības fonds (EZF)</t>
  </si>
  <si>
    <t>4.3.1.</t>
  </si>
  <si>
    <t>Priekšfinansējums EZF ietvaros</t>
  </si>
  <si>
    <t>5.</t>
  </si>
  <si>
    <t>Eiropas Savienības struktūrfondu 3.mērķa „Eiropas teritoriālā sadarbība” programmas [11]</t>
  </si>
  <si>
    <t>5.1.</t>
  </si>
  <si>
    <t>Latvijas-Lietuvas pārrobežu sadarbības programma</t>
  </si>
  <si>
    <t>5.2.</t>
  </si>
  <si>
    <t>Igaunijas-Latvijas pārrobežu sadarbības programma</t>
  </si>
  <si>
    <t>5.3.</t>
  </si>
  <si>
    <t>Centrālā Baltijas jūras reģiona INTERREG IVA pārrobežu sadarbības programma</t>
  </si>
  <si>
    <t>5.4.</t>
  </si>
  <si>
    <t>Baltijas jūras reģiona transnacionālās sadarbības programma</t>
  </si>
  <si>
    <t>5.5.</t>
  </si>
  <si>
    <t>Starpreģionu sadarbības programmas INTERREG IVC</t>
  </si>
  <si>
    <t>64 565,90</t>
  </si>
  <si>
    <t>5.6.</t>
  </si>
  <si>
    <t>Pilsētvides attīstības programmas URBACT II</t>
  </si>
  <si>
    <t>5.7.</t>
  </si>
  <si>
    <t>ESPON 2013</t>
  </si>
  <si>
    <t>6.</t>
  </si>
  <si>
    <t>Citi ES finanšu palīdzības instrumenti</t>
  </si>
  <si>
    <t>6.1.</t>
  </si>
  <si>
    <t>TEN-T programma</t>
  </si>
  <si>
    <t>6.2.</t>
  </si>
  <si>
    <t>TEN-E programma</t>
  </si>
  <si>
    <t>Kopā</t>
  </si>
  <si>
    <t>[10] ELFLA priekšfinansējumā lielākā daļa neatbilstības attiecas uz pašvaldībām - Latvijā īstenotās novadu reformas rezultātā, jaunajām pašvaldībām pārņemot veco pašvaldību līgumus, daudzas izlēma projektu realizāciju neturpināt un atmaksāt saņemtos priekšfinansējuma maksājumus (99% faktiski atgūtās summas 2007.-2013.gada plānošanas periodā līdz 31.12.2011).</t>
  </si>
  <si>
    <t>[11] Kopējais piešķirtais finansējums Latvijas partneriem (ERAF+nacionālais līdzfinansējums); Kopējais apgūtais finansējums pa gadiem=Kopējais sertificētais finansējums LV partneriem pa gadiem (Saskaņā ar pirmā līmeņa finanšu kontroles (VRAA) datiem). Maksājumus un uzskaiti veic attiecīgās programmas Vadošās iestādes, kuras atrodas dažādās ES dalībvalstīs.</t>
  </si>
  <si>
    <t xml:space="preserve">* Pieprasītais finansējums atbisltoši VIS datiem. Pieprasīto finasējumu ņemot vērā avansu dzēšanas laika periodu (līdz pat gadam) nav iespējams kumulēt, saskaitot summas par iepriekšējos gados pieprasīto finasējumu. </t>
  </si>
  <si>
    <t xml:space="preserve">** Neatbilstību kumulatīvais apjoms un skaits nevar tikt rēķināts, saskaitot summas par ieriekšējiem gadiem, jo dati mainās uz pārsūdzību un atceltu neatbisltību rēķina.  </t>
  </si>
  <si>
    <t>3.pielikums</t>
  </si>
  <si>
    <t>finanšu ministrs</t>
  </si>
  <si>
    <t>J.Reirs</t>
  </si>
  <si>
    <t>A.Avota</t>
  </si>
  <si>
    <t>67083954, aiva.avota@fm.gov.lv</t>
  </si>
  <si>
    <r>
      <t xml:space="preserve">2007. - 2013.gada plānošanas periodā līdz 2014.gada 31.decembrim konstatētie neatbilstību gadījumi un ar tiem saistītās summas (latos un </t>
    </r>
    <r>
      <rPr>
        <b/>
        <i/>
        <sz val="12"/>
        <color theme="1"/>
        <rFont val="Times New Roman"/>
        <family val="1"/>
        <charset val="186"/>
      </rPr>
      <t>euro)</t>
    </r>
    <r>
      <rPr>
        <b/>
        <sz val="12"/>
        <color theme="1"/>
        <rFont val="Times New Roman"/>
        <family val="1"/>
        <charset val="186"/>
      </rPr>
      <t xml:space="preserve"> sadalījumā pa fondiem/programmām, izdalot atsevišķi maksātnespējas un bankrota gadījumus</t>
    </r>
  </si>
  <si>
    <t>26.06.2015.  09:24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</si>
</sst>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6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2"/>
      <charset val="186"/>
    </font>
    <font>
      <u/>
      <sz val="12"/>
      <color theme="10"/>
      <name val="Times New Roman"/>
      <family val="2"/>
      <charset val="186"/>
    </font>
    <font>
      <i/>
      <sz val="9"/>
      <color rgb="FF000000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rgb="FF000000"/>
      <name val="Times New Roman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8"/>
      <name val="Times New Roman"/>
      <family val="2"/>
      <charset val="186"/>
    </font>
    <font>
      <b/>
      <i/>
      <sz val="12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7">
    <xf numFmtId="0" fontId="0" fillId="0" borderId="0" xfId="0"/>
    <xf numFmtId="0" fontId="3" fillId="0" borderId="0" xfId="0" applyFont="1"/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2" xfId="2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5" borderId="43" xfId="2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0" fontId="11" fillId="5" borderId="40" xfId="2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vertical="center" wrapText="1"/>
    </xf>
    <xf numFmtId="4" fontId="4" fillId="6" borderId="15" xfId="0" applyNumberFormat="1" applyFont="1" applyFill="1" applyBorder="1" applyAlignment="1">
      <alignment horizontal="center"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4" fontId="4" fillId="6" borderId="17" xfId="0" applyNumberFormat="1" applyFont="1" applyFill="1" applyBorder="1" applyAlignment="1">
      <alignment horizontal="center" vertical="center" wrapText="1"/>
    </xf>
    <xf numFmtId="4" fontId="4" fillId="6" borderId="18" xfId="0" applyNumberFormat="1" applyFont="1" applyFill="1" applyBorder="1" applyAlignment="1">
      <alignment horizontal="center" vertical="center" wrapText="1"/>
    </xf>
    <xf numFmtId="4" fontId="4" fillId="6" borderId="19" xfId="0" applyNumberFormat="1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center" vertical="center" wrapText="1"/>
    </xf>
    <xf numFmtId="4" fontId="4" fillId="6" borderId="16" xfId="0" applyNumberFormat="1" applyFont="1" applyFill="1" applyBorder="1" applyAlignment="1">
      <alignment horizontal="center" vertical="center" wrapText="1"/>
    </xf>
    <xf numFmtId="4" fontId="12" fillId="6" borderId="16" xfId="0" applyNumberFormat="1" applyFont="1" applyFill="1" applyBorder="1" applyAlignment="1">
      <alignment horizontal="center" vertical="center" wrapText="1"/>
    </xf>
    <xf numFmtId="3" fontId="12" fillId="6" borderId="16" xfId="0" applyNumberFormat="1" applyFont="1" applyFill="1" applyBorder="1" applyAlignment="1">
      <alignment horizontal="center" vertical="center" wrapText="1"/>
    </xf>
    <xf numFmtId="4" fontId="12" fillId="6" borderId="17" xfId="0" applyNumberFormat="1" applyFont="1" applyFill="1" applyBorder="1" applyAlignment="1">
      <alignment horizontal="center" vertical="center" wrapText="1"/>
    </xf>
    <xf numFmtId="4" fontId="13" fillId="6" borderId="19" xfId="0" applyNumberFormat="1" applyFont="1" applyFill="1" applyBorder="1" applyAlignment="1">
      <alignment horizontal="center" vertical="center" wrapText="1"/>
    </xf>
    <xf numFmtId="4" fontId="12" fillId="6" borderId="19" xfId="0" applyNumberFormat="1" applyFont="1" applyFill="1" applyBorder="1" applyAlignment="1">
      <alignment horizontal="center" vertical="center" wrapText="1"/>
    </xf>
    <xf numFmtId="3" fontId="12" fillId="7" borderId="16" xfId="0" applyNumberFormat="1" applyFont="1" applyFill="1" applyBorder="1" applyAlignment="1">
      <alignment horizontal="center" vertical="center"/>
    </xf>
    <xf numFmtId="10" fontId="12" fillId="7" borderId="16" xfId="0" applyNumberFormat="1" applyFont="1" applyFill="1" applyBorder="1" applyAlignment="1">
      <alignment horizontal="center" vertical="center"/>
    </xf>
    <xf numFmtId="4" fontId="12" fillId="7" borderId="18" xfId="0" applyNumberFormat="1" applyFont="1" applyFill="1" applyBorder="1" applyAlignment="1">
      <alignment horizontal="center" vertical="center"/>
    </xf>
    <xf numFmtId="10" fontId="12" fillId="7" borderId="18" xfId="0" applyNumberFormat="1" applyFont="1" applyFill="1" applyBorder="1" applyAlignment="1">
      <alignment horizontal="center" vertical="center"/>
    </xf>
    <xf numFmtId="4" fontId="13" fillId="7" borderId="15" xfId="0" applyNumberFormat="1" applyFont="1" applyFill="1" applyBorder="1" applyAlignment="1">
      <alignment horizontal="center" vertical="center"/>
    </xf>
    <xf numFmtId="4" fontId="12" fillId="7" borderId="16" xfId="0" applyNumberFormat="1" applyFont="1" applyFill="1" applyBorder="1" applyAlignment="1">
      <alignment horizontal="center" vertical="center"/>
    </xf>
    <xf numFmtId="3" fontId="12" fillId="7" borderId="18" xfId="0" applyNumberFormat="1" applyFont="1" applyFill="1" applyBorder="1" applyAlignment="1">
      <alignment horizontal="center" vertical="center"/>
    </xf>
    <xf numFmtId="3" fontId="12" fillId="7" borderId="17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4" fontId="15" fillId="8" borderId="15" xfId="0" applyNumberFormat="1" applyFont="1" applyFill="1" applyBorder="1" applyAlignment="1">
      <alignment horizontal="center" vertical="center" wrapText="1"/>
    </xf>
    <xf numFmtId="0" fontId="15" fillId="8" borderId="16" xfId="0" applyNumberFormat="1" applyFont="1" applyFill="1" applyBorder="1" applyAlignment="1">
      <alignment horizontal="center" vertical="center" wrapText="1"/>
    </xf>
    <xf numFmtId="4" fontId="15" fillId="8" borderId="17" xfId="0" applyNumberFormat="1" applyFont="1" applyFill="1" applyBorder="1" applyAlignment="1">
      <alignment horizontal="center" vertical="center" wrapText="1"/>
    </xf>
    <xf numFmtId="4" fontId="15" fillId="8" borderId="18" xfId="0" applyNumberFormat="1" applyFont="1" applyFill="1" applyBorder="1" applyAlignment="1">
      <alignment horizontal="center" vertical="center" wrapText="1"/>
    </xf>
    <xf numFmtId="4" fontId="3" fillId="8" borderId="17" xfId="0" applyNumberFormat="1" applyFont="1" applyFill="1" applyBorder="1" applyAlignment="1">
      <alignment horizontal="center" vertical="center"/>
    </xf>
    <xf numFmtId="4" fontId="3" fillId="8" borderId="19" xfId="0" applyNumberFormat="1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>
      <alignment horizontal="center" vertical="center"/>
    </xf>
    <xf numFmtId="4" fontId="3" fillId="8" borderId="18" xfId="0" applyNumberFormat="1" applyFont="1" applyFill="1" applyBorder="1" applyAlignment="1">
      <alignment horizontal="center" vertical="center"/>
    </xf>
    <xf numFmtId="4" fontId="3" fillId="8" borderId="15" xfId="0" applyNumberFormat="1" applyFont="1" applyFill="1" applyBorder="1" applyAlignment="1">
      <alignment horizontal="center" vertical="center"/>
    </xf>
    <xf numFmtId="4" fontId="3" fillId="8" borderId="16" xfId="0" applyNumberFormat="1" applyFont="1" applyFill="1" applyBorder="1" applyAlignment="1">
      <alignment horizontal="center" vertical="center"/>
    </xf>
    <xf numFmtId="4" fontId="16" fillId="8" borderId="16" xfId="0" applyNumberFormat="1" applyFont="1" applyFill="1" applyBorder="1" applyAlignment="1">
      <alignment horizontal="center" vertical="center"/>
    </xf>
    <xf numFmtId="3" fontId="16" fillId="8" borderId="16" xfId="0" applyNumberFormat="1" applyFont="1" applyFill="1" applyBorder="1" applyAlignment="1">
      <alignment horizontal="center" vertical="center"/>
    </xf>
    <xf numFmtId="4" fontId="16" fillId="8" borderId="17" xfId="0" applyNumberFormat="1" applyFont="1" applyFill="1" applyBorder="1" applyAlignment="1">
      <alignment horizontal="center" vertical="center"/>
    </xf>
    <xf numFmtId="4" fontId="17" fillId="8" borderId="19" xfId="0" applyNumberFormat="1" applyFont="1" applyFill="1" applyBorder="1" applyAlignment="1">
      <alignment horizontal="center" vertical="center"/>
    </xf>
    <xf numFmtId="4" fontId="16" fillId="8" borderId="19" xfId="0" applyNumberFormat="1" applyFont="1" applyFill="1" applyBorder="1" applyAlignment="1">
      <alignment horizontal="center" vertical="center"/>
    </xf>
    <xf numFmtId="10" fontId="16" fillId="8" borderId="16" xfId="0" applyNumberFormat="1" applyFont="1" applyFill="1" applyBorder="1" applyAlignment="1">
      <alignment horizontal="center"/>
    </xf>
    <xf numFmtId="4" fontId="16" fillId="8" borderId="18" xfId="0" applyNumberFormat="1" applyFont="1" applyFill="1" applyBorder="1" applyAlignment="1">
      <alignment horizontal="center"/>
    </xf>
    <xf numFmtId="10" fontId="16" fillId="8" borderId="18" xfId="0" applyNumberFormat="1" applyFont="1" applyFill="1" applyBorder="1" applyAlignment="1">
      <alignment horizontal="center" vertical="center"/>
    </xf>
    <xf numFmtId="4" fontId="17" fillId="8" borderId="15" xfId="0" applyNumberFormat="1" applyFont="1" applyFill="1" applyBorder="1" applyAlignment="1">
      <alignment horizontal="center"/>
    </xf>
    <xf numFmtId="4" fontId="16" fillId="8" borderId="16" xfId="0" applyNumberFormat="1" applyFont="1" applyFill="1" applyBorder="1" applyAlignment="1">
      <alignment horizontal="center"/>
    </xf>
    <xf numFmtId="3" fontId="16" fillId="8" borderId="18" xfId="0" applyNumberFormat="1" applyFont="1" applyFill="1" applyBorder="1" applyAlignment="1">
      <alignment horizontal="center"/>
    </xf>
    <xf numFmtId="3" fontId="16" fillId="8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right" vertical="center" wrapText="1"/>
    </xf>
    <xf numFmtId="4" fontId="15" fillId="4" borderId="15" xfId="0" applyNumberFormat="1" applyFont="1" applyFill="1" applyBorder="1" applyAlignment="1">
      <alignment horizontal="center" vertical="center" wrapText="1"/>
    </xf>
    <xf numFmtId="0" fontId="15" fillId="4" borderId="16" xfId="0" applyNumberFormat="1" applyFont="1" applyFill="1" applyBorder="1" applyAlignment="1">
      <alignment horizontal="center" vertical="center" wrapText="1"/>
    </xf>
    <xf numFmtId="4" fontId="15" fillId="4" borderId="17" xfId="0" applyNumberFormat="1" applyFont="1" applyFill="1" applyBorder="1" applyAlignment="1">
      <alignment horizontal="center" vertical="center" wrapText="1"/>
    </xf>
    <xf numFmtId="4" fontId="15" fillId="4" borderId="18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15" fillId="4" borderId="16" xfId="0" applyNumberFormat="1" applyFont="1" applyFill="1" applyBorder="1" applyAlignment="1">
      <alignment horizontal="center"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4" fontId="16" fillId="4" borderId="16" xfId="0" applyNumberFormat="1" applyFont="1" applyFill="1" applyBorder="1" applyAlignment="1">
      <alignment horizontal="center" vertical="center" wrapText="1"/>
    </xf>
    <xf numFmtId="3" fontId="16" fillId="4" borderId="16" xfId="0" applyNumberFormat="1" applyFont="1" applyFill="1" applyBorder="1" applyAlignment="1">
      <alignment horizontal="center" vertical="center" wrapText="1"/>
    </xf>
    <xf numFmtId="4" fontId="16" fillId="4" borderId="17" xfId="0" applyNumberFormat="1" applyFont="1" applyFill="1" applyBorder="1" applyAlignment="1">
      <alignment horizontal="center" vertical="center" wrapText="1"/>
    </xf>
    <xf numFmtId="4" fontId="17" fillId="4" borderId="19" xfId="0" applyNumberFormat="1" applyFont="1" applyFill="1" applyBorder="1" applyAlignment="1">
      <alignment horizontal="center" vertical="center" wrapText="1"/>
    </xf>
    <xf numFmtId="4" fontId="16" fillId="4" borderId="19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/>
    </xf>
    <xf numFmtId="10" fontId="16" fillId="0" borderId="16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10" fontId="16" fillId="0" borderId="18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10" fontId="16" fillId="8" borderId="16" xfId="0" applyNumberFormat="1" applyFont="1" applyFill="1" applyBorder="1" applyAlignment="1">
      <alignment horizontal="center" vertical="center"/>
    </xf>
    <xf numFmtId="4" fontId="16" fillId="8" borderId="18" xfId="0" applyNumberFormat="1" applyFont="1" applyFill="1" applyBorder="1" applyAlignment="1">
      <alignment horizontal="center" vertical="center"/>
    </xf>
    <xf numFmtId="4" fontId="17" fillId="8" borderId="15" xfId="0" applyNumberFormat="1" applyFont="1" applyFill="1" applyBorder="1" applyAlignment="1">
      <alignment horizontal="center" vertical="center"/>
    </xf>
    <xf numFmtId="3" fontId="16" fillId="8" borderId="18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 wrapText="1"/>
    </xf>
    <xf numFmtId="4" fontId="5" fillId="6" borderId="15" xfId="0" applyNumberFormat="1" applyFont="1" applyFill="1" applyBorder="1" applyAlignment="1">
      <alignment horizontal="center" vertical="center" wrapText="1"/>
    </xf>
    <xf numFmtId="0" fontId="5" fillId="6" borderId="16" xfId="0" applyNumberFormat="1" applyFont="1" applyFill="1" applyBorder="1" applyAlignment="1">
      <alignment horizontal="center" vertical="center" wrapText="1"/>
    </xf>
    <xf numFmtId="10" fontId="12" fillId="6" borderId="16" xfId="0" applyNumberFormat="1" applyFont="1" applyFill="1" applyBorder="1" applyAlignment="1">
      <alignment horizontal="center" vertical="center" wrapText="1"/>
    </xf>
    <xf numFmtId="4" fontId="12" fillId="6" borderId="18" xfId="0" applyNumberFormat="1" applyFont="1" applyFill="1" applyBorder="1" applyAlignment="1">
      <alignment horizontal="center" vertical="center" wrapText="1"/>
    </xf>
    <xf numFmtId="10" fontId="12" fillId="6" borderId="18" xfId="0" applyNumberFormat="1" applyFont="1" applyFill="1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center" vertical="center" wrapText="1"/>
    </xf>
    <xf numFmtId="3" fontId="12" fillId="6" borderId="18" xfId="0" applyNumberFormat="1" applyFont="1" applyFill="1" applyBorder="1" applyAlignment="1">
      <alignment horizontal="center" vertical="center" wrapText="1"/>
    </xf>
    <xf numFmtId="3" fontId="12" fillId="6" borderId="17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left" vertical="center" wrapText="1"/>
    </xf>
    <xf numFmtId="4" fontId="12" fillId="6" borderId="15" xfId="0" applyNumberFormat="1" applyFont="1" applyFill="1" applyBorder="1" applyAlignment="1">
      <alignment horizontal="center" vertical="center" wrapText="1"/>
    </xf>
    <xf numFmtId="0" fontId="12" fillId="6" borderId="16" xfId="0" applyNumberFormat="1" applyFont="1" applyFill="1" applyBorder="1" applyAlignment="1">
      <alignment horizontal="center" vertical="center" wrapText="1"/>
    </xf>
    <xf numFmtId="4" fontId="12" fillId="7" borderId="15" xfId="0" applyNumberFormat="1" applyFont="1" applyFill="1" applyBorder="1" applyAlignment="1">
      <alignment horizontal="center" vertical="center" wrapText="1"/>
    </xf>
    <xf numFmtId="0" fontId="12" fillId="7" borderId="16" xfId="0" applyNumberFormat="1" applyFont="1" applyFill="1" applyBorder="1" applyAlignment="1">
      <alignment horizontal="center" vertical="center" wrapText="1"/>
    </xf>
    <xf numFmtId="4" fontId="12" fillId="7" borderId="17" xfId="0" applyNumberFormat="1" applyFont="1" applyFill="1" applyBorder="1" applyAlignment="1">
      <alignment horizontal="center" vertical="center" wrapText="1"/>
    </xf>
    <xf numFmtId="4" fontId="12" fillId="7" borderId="15" xfId="0" applyNumberFormat="1" applyFont="1" applyFill="1" applyBorder="1" applyAlignment="1">
      <alignment horizontal="center" vertical="center"/>
    </xf>
    <xf numFmtId="0" fontId="18" fillId="0" borderId="0" xfId="0" applyFont="1"/>
    <xf numFmtId="0" fontId="12" fillId="7" borderId="0" xfId="0" applyFont="1" applyFill="1" applyAlignment="1">
      <alignment horizontal="left" vertical="top" wrapText="1"/>
    </xf>
    <xf numFmtId="4" fontId="12" fillId="6" borderId="15" xfId="2" applyNumberFormat="1" applyFont="1" applyFill="1" applyBorder="1" applyAlignment="1">
      <alignment horizontal="center" vertical="center" wrapText="1"/>
    </xf>
    <xf numFmtId="4" fontId="12" fillId="6" borderId="16" xfId="2" applyNumberFormat="1" applyFont="1" applyFill="1" applyBorder="1" applyAlignment="1">
      <alignment horizontal="center" vertical="center" wrapText="1"/>
    </xf>
    <xf numFmtId="1" fontId="12" fillId="6" borderId="16" xfId="2" applyNumberFormat="1" applyFont="1" applyFill="1" applyBorder="1" applyAlignment="1">
      <alignment horizontal="center" vertical="center" wrapText="1"/>
    </xf>
    <xf numFmtId="4" fontId="12" fillId="6" borderId="17" xfId="2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/>
    </xf>
    <xf numFmtId="4" fontId="16" fillId="5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/>
    </xf>
    <xf numFmtId="4" fontId="16" fillId="0" borderId="0" xfId="0" applyNumberFormat="1" applyFont="1" applyBorder="1" applyAlignment="1">
      <alignment horizontal="center" vertical="center"/>
    </xf>
    <xf numFmtId="10" fontId="18" fillId="0" borderId="0" xfId="1" applyNumberFormat="1" applyFont="1" applyAlignment="1">
      <alignment horizontal="center" vertical="center"/>
    </xf>
    <xf numFmtId="0" fontId="12" fillId="7" borderId="0" xfId="0" applyFont="1" applyFill="1" applyAlignment="1">
      <alignment wrapText="1"/>
    </xf>
    <xf numFmtId="0" fontId="19" fillId="0" borderId="18" xfId="0" applyFont="1" applyBorder="1" applyAlignment="1">
      <alignment horizontal="right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" fontId="16" fillId="5" borderId="16" xfId="0" applyNumberFormat="1" applyFont="1" applyFill="1" applyBorder="1" applyAlignment="1">
      <alignment horizontal="center" vertical="center"/>
    </xf>
    <xf numFmtId="10" fontId="16" fillId="5" borderId="16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3" fontId="16" fillId="5" borderId="16" xfId="0" applyNumberFormat="1" applyFont="1" applyFill="1" applyBorder="1" applyAlignment="1">
      <alignment horizontal="center" vertical="center" wrapText="1"/>
    </xf>
    <xf numFmtId="4" fontId="16" fillId="5" borderId="18" xfId="0" applyNumberFormat="1" applyFont="1" applyFill="1" applyBorder="1" applyAlignment="1">
      <alignment horizontal="center" vertical="center" wrapText="1"/>
    </xf>
    <xf numFmtId="4" fontId="16" fillId="5" borderId="19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vertical="center" wrapText="1"/>
    </xf>
    <xf numFmtId="4" fontId="12" fillId="9" borderId="15" xfId="0" applyNumberFormat="1" applyFont="1" applyFill="1" applyBorder="1" applyAlignment="1">
      <alignment horizontal="center" vertical="center" wrapText="1"/>
    </xf>
    <xf numFmtId="0" fontId="12" fillId="9" borderId="16" xfId="0" applyNumberFormat="1" applyFont="1" applyFill="1" applyBorder="1" applyAlignment="1">
      <alignment horizontal="center" vertical="center" wrapText="1"/>
    </xf>
    <xf numFmtId="4" fontId="12" fillId="9" borderId="17" xfId="0" applyNumberFormat="1" applyFont="1" applyFill="1" applyBorder="1" applyAlignment="1">
      <alignment horizontal="center" vertical="center" wrapText="1"/>
    </xf>
    <xf numFmtId="4" fontId="12" fillId="9" borderId="18" xfId="0" applyNumberFormat="1" applyFont="1" applyFill="1" applyBorder="1" applyAlignment="1">
      <alignment horizontal="center" vertical="center" wrapText="1"/>
    </xf>
    <xf numFmtId="3" fontId="12" fillId="9" borderId="16" xfId="0" applyNumberFormat="1" applyFont="1" applyFill="1" applyBorder="1" applyAlignment="1">
      <alignment horizontal="center" vertical="center" wrapText="1"/>
    </xf>
    <xf numFmtId="4" fontId="12" fillId="9" borderId="19" xfId="0" applyNumberFormat="1" applyFont="1" applyFill="1" applyBorder="1" applyAlignment="1">
      <alignment horizontal="center" vertical="center" wrapText="1"/>
    </xf>
    <xf numFmtId="3" fontId="12" fillId="9" borderId="18" xfId="0" applyNumberFormat="1" applyFont="1" applyFill="1" applyBorder="1" applyAlignment="1">
      <alignment horizontal="center" vertical="center" wrapText="1"/>
    </xf>
    <xf numFmtId="3" fontId="12" fillId="9" borderId="17" xfId="0" applyNumberFormat="1" applyFont="1" applyFill="1" applyBorder="1" applyAlignment="1">
      <alignment horizontal="center" vertical="center" wrapText="1"/>
    </xf>
    <xf numFmtId="4" fontId="12" fillId="9" borderId="16" xfId="0" applyNumberFormat="1" applyFont="1" applyFill="1" applyBorder="1" applyAlignment="1">
      <alignment horizontal="center" vertical="center" wrapText="1"/>
    </xf>
    <xf numFmtId="4" fontId="12" fillId="9" borderId="44" xfId="0" applyNumberFormat="1" applyFont="1" applyFill="1" applyBorder="1" applyAlignment="1">
      <alignment horizontal="center" vertical="center" wrapText="1"/>
    </xf>
    <xf numFmtId="10" fontId="12" fillId="9" borderId="16" xfId="0" applyNumberFormat="1" applyFont="1" applyFill="1" applyBorder="1" applyAlignment="1">
      <alignment horizontal="center" vertical="center" wrapText="1"/>
    </xf>
    <xf numFmtId="10" fontId="12" fillId="9" borderId="18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right" vertical="center" wrapText="1"/>
    </xf>
    <xf numFmtId="4" fontId="16" fillId="4" borderId="15" xfId="0" applyNumberFormat="1" applyFont="1" applyFill="1" applyBorder="1" applyAlignment="1">
      <alignment horizontal="center" vertical="center" wrapText="1"/>
    </xf>
    <xf numFmtId="0" fontId="16" fillId="4" borderId="16" xfId="0" applyNumberFormat="1" applyFont="1" applyFill="1" applyBorder="1" applyAlignment="1">
      <alignment horizontal="center" vertical="center" wrapText="1"/>
    </xf>
    <xf numFmtId="4" fontId="16" fillId="4" borderId="18" xfId="0" applyNumberFormat="1" applyFont="1" applyFill="1" applyBorder="1" applyAlignment="1">
      <alignment horizontal="center" vertical="center" wrapText="1"/>
    </xf>
    <xf numFmtId="10" fontId="16" fillId="0" borderId="16" xfId="1" applyNumberFormat="1" applyFont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right" vertical="center" wrapText="1"/>
    </xf>
    <xf numFmtId="4" fontId="4" fillId="10" borderId="26" xfId="0" applyNumberFormat="1" applyFont="1" applyFill="1" applyBorder="1" applyAlignment="1">
      <alignment horizontal="center" vertical="center" wrapText="1"/>
    </xf>
    <xf numFmtId="3" fontId="4" fillId="10" borderId="32" xfId="0" applyNumberFormat="1" applyFont="1" applyFill="1" applyBorder="1" applyAlignment="1">
      <alignment horizontal="center" vertical="center" wrapText="1"/>
    </xf>
    <xf numFmtId="1" fontId="4" fillId="10" borderId="32" xfId="0" applyNumberFormat="1" applyFont="1" applyFill="1" applyBorder="1" applyAlignment="1">
      <alignment horizontal="center" vertical="center" wrapText="1"/>
    </xf>
    <xf numFmtId="4" fontId="4" fillId="10" borderId="28" xfId="0" applyNumberFormat="1" applyFont="1" applyFill="1" applyBorder="1" applyAlignment="1">
      <alignment horizontal="center" vertical="center" wrapText="1"/>
    </xf>
    <xf numFmtId="0" fontId="4" fillId="10" borderId="32" xfId="0" applyNumberFormat="1" applyFont="1" applyFill="1" applyBorder="1" applyAlignment="1">
      <alignment horizontal="center" vertical="center" wrapText="1"/>
    </xf>
    <xf numFmtId="4" fontId="4" fillId="10" borderId="35" xfId="0" applyNumberFormat="1" applyFont="1" applyFill="1" applyBorder="1" applyAlignment="1">
      <alignment horizontal="center" vertical="center" wrapText="1"/>
    </xf>
    <xf numFmtId="4" fontId="4" fillId="10" borderId="34" xfId="0" applyNumberFormat="1" applyFont="1" applyFill="1" applyBorder="1" applyAlignment="1">
      <alignment horizontal="center" vertical="center" wrapText="1"/>
    </xf>
    <xf numFmtId="4" fontId="4" fillId="10" borderId="32" xfId="0" applyNumberFormat="1" applyFont="1" applyFill="1" applyBorder="1" applyAlignment="1">
      <alignment horizontal="center" vertical="center" wrapText="1"/>
    </xf>
    <xf numFmtId="3" fontId="5" fillId="11" borderId="32" xfId="0" applyNumberFormat="1" applyFont="1" applyFill="1" applyBorder="1" applyAlignment="1">
      <alignment horizontal="center" vertical="center"/>
    </xf>
    <xf numFmtId="10" fontId="5" fillId="11" borderId="32" xfId="0" applyNumberFormat="1" applyFont="1" applyFill="1" applyBorder="1" applyAlignment="1">
      <alignment horizontal="center" vertical="center"/>
    </xf>
    <xf numFmtId="4" fontId="5" fillId="11" borderId="35" xfId="0" applyNumberFormat="1" applyFont="1" applyFill="1" applyBorder="1" applyAlignment="1">
      <alignment horizontal="center" vertical="center"/>
    </xf>
    <xf numFmtId="10" fontId="5" fillId="11" borderId="35" xfId="0" applyNumberFormat="1" applyFont="1" applyFill="1" applyBorder="1" applyAlignment="1">
      <alignment horizontal="center" vertical="center"/>
    </xf>
    <xf numFmtId="4" fontId="5" fillId="11" borderId="26" xfId="0" applyNumberFormat="1" applyFont="1" applyFill="1" applyBorder="1" applyAlignment="1">
      <alignment horizontal="center" vertical="center"/>
    </xf>
    <xf numFmtId="4" fontId="5" fillId="11" borderId="32" xfId="0" applyNumberFormat="1" applyFont="1" applyFill="1" applyBorder="1" applyAlignment="1">
      <alignment horizontal="center" vertical="center"/>
    </xf>
    <xf numFmtId="164" fontId="5" fillId="11" borderId="32" xfId="0" applyNumberFormat="1" applyFont="1" applyFill="1" applyBorder="1" applyAlignment="1">
      <alignment horizontal="center" vertical="center"/>
    </xf>
    <xf numFmtId="3" fontId="5" fillId="11" borderId="35" xfId="0" applyNumberFormat="1" applyFont="1" applyFill="1" applyBorder="1" applyAlignment="1">
      <alignment horizontal="center" vertical="center"/>
    </xf>
    <xf numFmtId="3" fontId="5" fillId="11" borderId="28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/>
    <xf numFmtId="10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  <xf numFmtId="165" fontId="3" fillId="0" borderId="0" xfId="0" applyNumberFormat="1" applyFont="1"/>
    <xf numFmtId="164" fontId="0" fillId="0" borderId="0" xfId="1" applyNumberFormat="1" applyFont="1" applyAlignment="1">
      <alignment horizontal="center" vertical="center"/>
    </xf>
    <xf numFmtId="0" fontId="21" fillId="0" borderId="0" xfId="0" applyFont="1"/>
    <xf numFmtId="4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4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right" vertical="center" wrapText="1"/>
    </xf>
    <xf numFmtId="0" fontId="4" fillId="10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"/>
  <sheetViews>
    <sheetView tabSelected="1" topLeftCell="A31" zoomScale="70" zoomScaleNormal="70" workbookViewId="0">
      <selection activeCell="A51" sqref="A51"/>
    </sheetView>
  </sheetViews>
  <sheetFormatPr defaultRowHeight="15.75" x14ac:dyDescent="0.25"/>
  <cols>
    <col min="2" max="2" width="34.25" customWidth="1"/>
    <col min="3" max="3" width="13.5" customWidth="1"/>
    <col min="4" max="4" width="10.625" customWidth="1"/>
    <col min="5" max="5" width="9.875" customWidth="1"/>
    <col min="6" max="6" width="10" customWidth="1"/>
    <col min="7" max="7" width="14.25" customWidth="1"/>
    <col min="8" max="8" width="9.75" customWidth="1"/>
    <col min="9" max="9" width="9.625" customWidth="1"/>
    <col min="10" max="10" width="10" customWidth="1"/>
    <col min="11" max="11" width="17.625" customWidth="1"/>
    <col min="12" max="12" width="10.25" customWidth="1"/>
    <col min="13" max="13" width="10.5" customWidth="1"/>
    <col min="14" max="14" width="11.75" customWidth="1"/>
    <col min="15" max="15" width="15.25" customWidth="1"/>
    <col min="16" max="16" width="11.25" customWidth="1"/>
    <col min="17" max="17" width="9.25" customWidth="1"/>
    <col min="18" max="18" width="13.75" customWidth="1"/>
    <col min="19" max="19" width="14" customWidth="1"/>
    <col min="20" max="20" width="9.75" customWidth="1"/>
    <col min="22" max="22" width="11.75" customWidth="1"/>
    <col min="23" max="23" width="13.875" customWidth="1"/>
    <col min="24" max="26" width="11.75" customWidth="1"/>
    <col min="27" max="27" width="14" customWidth="1"/>
    <col min="28" max="28" width="15" customWidth="1"/>
    <col min="29" max="30" width="11.75" customWidth="1"/>
    <col min="31" max="31" width="13" customWidth="1"/>
    <col min="32" max="32" width="11.875" customWidth="1"/>
    <col min="33" max="33" width="16.75" bestFit="1" customWidth="1"/>
    <col min="34" max="34" width="11.375" customWidth="1"/>
    <col min="35" max="35" width="11.875" customWidth="1"/>
    <col min="36" max="36" width="14.125" customWidth="1"/>
    <col min="37" max="37" width="0.125" customWidth="1"/>
    <col min="38" max="38" width="13.375" customWidth="1"/>
    <col min="39" max="39" width="13.5" customWidth="1"/>
    <col min="40" max="40" width="16.5" customWidth="1"/>
    <col min="41" max="41" width="12.25" customWidth="1"/>
    <col min="42" max="42" width="12.75" customWidth="1"/>
    <col min="43" max="43" width="13.125" customWidth="1"/>
    <col min="44" max="44" width="13.375" customWidth="1"/>
    <col min="45" max="45" width="13.75" customWidth="1"/>
    <col min="46" max="46" width="0.125" hidden="1" customWidth="1"/>
    <col min="47" max="47" width="14.375" customWidth="1"/>
    <col min="48" max="48" width="0.125" hidden="1" customWidth="1"/>
    <col min="49" max="49" width="10.875" customWidth="1"/>
    <col min="50" max="50" width="11.5" customWidth="1"/>
    <col min="51" max="51" width="11.75" customWidth="1"/>
    <col min="52" max="52" width="0.25" hidden="1" customWidth="1"/>
    <col min="53" max="53" width="10.25" bestFit="1" customWidth="1"/>
    <col min="55" max="55" width="10.875" bestFit="1" customWidth="1"/>
  </cols>
  <sheetData>
    <row r="1" spans="1:54" ht="15.6" customHeight="1" x14ac:dyDescent="0.25">
      <c r="A1" s="247" t="s">
        <v>98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1" t="s">
        <v>93</v>
      </c>
      <c r="BA1" s="1"/>
      <c r="BB1" s="1"/>
    </row>
    <row r="2" spans="1:54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6.149999999999999" customHeight="1" thickBot="1" x14ac:dyDescent="0.3">
      <c r="A3" s="248" t="s">
        <v>0</v>
      </c>
      <c r="B3" s="251" t="s">
        <v>1</v>
      </c>
      <c r="C3" s="254">
        <v>2007</v>
      </c>
      <c r="D3" s="255"/>
      <c r="E3" s="255"/>
      <c r="F3" s="256"/>
      <c r="G3" s="254">
        <v>2008</v>
      </c>
      <c r="H3" s="255"/>
      <c r="I3" s="255"/>
      <c r="J3" s="256"/>
      <c r="K3" s="254">
        <v>2009</v>
      </c>
      <c r="L3" s="255"/>
      <c r="M3" s="255"/>
      <c r="N3" s="255"/>
      <c r="O3" s="257">
        <v>2010</v>
      </c>
      <c r="P3" s="258"/>
      <c r="Q3" s="258"/>
      <c r="R3" s="259"/>
      <c r="S3" s="255">
        <v>2011</v>
      </c>
      <c r="T3" s="255"/>
      <c r="U3" s="255"/>
      <c r="V3" s="255"/>
      <c r="W3" s="257">
        <v>2012</v>
      </c>
      <c r="X3" s="258"/>
      <c r="Y3" s="258"/>
      <c r="Z3" s="260"/>
      <c r="AA3" s="257">
        <v>2013</v>
      </c>
      <c r="AB3" s="258"/>
      <c r="AC3" s="258"/>
      <c r="AD3" s="258"/>
      <c r="AE3" s="258"/>
      <c r="AF3" s="259"/>
      <c r="AG3" s="261">
        <v>2014</v>
      </c>
      <c r="AH3" s="261"/>
      <c r="AI3" s="261"/>
      <c r="AJ3" s="262"/>
      <c r="AK3" s="263" t="s">
        <v>2</v>
      </c>
      <c r="AL3" s="263"/>
      <c r="AM3" s="263"/>
      <c r="AN3" s="263"/>
      <c r="AO3" s="263"/>
      <c r="AP3" s="263"/>
      <c r="AQ3" s="263"/>
      <c r="AR3" s="263"/>
      <c r="AS3" s="263"/>
      <c r="AT3" s="264" t="s">
        <v>3</v>
      </c>
      <c r="AU3" s="263"/>
      <c r="AV3" s="263"/>
      <c r="AW3" s="263"/>
      <c r="AX3" s="263"/>
      <c r="AY3" s="263"/>
      <c r="AZ3" s="237" t="s">
        <v>4</v>
      </c>
      <c r="BA3" s="238"/>
      <c r="BB3" s="239"/>
    </row>
    <row r="4" spans="1:54" ht="63.75" customHeight="1" thickBot="1" x14ac:dyDescent="0.3">
      <c r="A4" s="249"/>
      <c r="B4" s="252"/>
      <c r="C4" s="2" t="s">
        <v>5</v>
      </c>
      <c r="D4" s="243" t="s">
        <v>6</v>
      </c>
      <c r="E4" s="243" t="s">
        <v>7</v>
      </c>
      <c r="F4" s="3" t="s">
        <v>8</v>
      </c>
      <c r="G4" s="2" t="s">
        <v>5</v>
      </c>
      <c r="H4" s="243" t="s">
        <v>6</v>
      </c>
      <c r="I4" s="243" t="s">
        <v>7</v>
      </c>
      <c r="J4" s="3" t="s">
        <v>8</v>
      </c>
      <c r="K4" s="2" t="s">
        <v>5</v>
      </c>
      <c r="L4" s="243" t="s">
        <v>6</v>
      </c>
      <c r="M4" s="243" t="s">
        <v>7</v>
      </c>
      <c r="N4" s="4" t="s">
        <v>8</v>
      </c>
      <c r="O4" s="2" t="s">
        <v>5</v>
      </c>
      <c r="P4" s="243" t="s">
        <v>6</v>
      </c>
      <c r="Q4" s="243" t="s">
        <v>7</v>
      </c>
      <c r="R4" s="3" t="s">
        <v>8</v>
      </c>
      <c r="S4" s="5" t="s">
        <v>5</v>
      </c>
      <c r="T4" s="243" t="s">
        <v>6</v>
      </c>
      <c r="U4" s="243" t="s">
        <v>7</v>
      </c>
      <c r="V4" s="4" t="s">
        <v>8</v>
      </c>
      <c r="W4" s="2" t="s">
        <v>5</v>
      </c>
      <c r="X4" s="243" t="s">
        <v>6</v>
      </c>
      <c r="Y4" s="243" t="s">
        <v>7</v>
      </c>
      <c r="Z4" s="4" t="s">
        <v>8</v>
      </c>
      <c r="AA4" s="222" t="s">
        <v>5</v>
      </c>
      <c r="AB4" s="223"/>
      <c r="AC4" s="224" t="s">
        <v>6</v>
      </c>
      <c r="AD4" s="224" t="s">
        <v>7</v>
      </c>
      <c r="AE4" s="226" t="s">
        <v>8</v>
      </c>
      <c r="AF4" s="227"/>
      <c r="AG4" s="6" t="s">
        <v>5</v>
      </c>
      <c r="AH4" s="228" t="s">
        <v>6</v>
      </c>
      <c r="AI4" s="228" t="s">
        <v>7</v>
      </c>
      <c r="AJ4" s="7" t="s">
        <v>8</v>
      </c>
      <c r="AK4" s="233" t="s">
        <v>9</v>
      </c>
      <c r="AL4" s="234"/>
      <c r="AM4" s="8" t="s">
        <v>10</v>
      </c>
      <c r="AN4" s="8" t="s">
        <v>11</v>
      </c>
      <c r="AO4" s="235" t="s">
        <v>6</v>
      </c>
      <c r="AP4" s="235" t="s">
        <v>12</v>
      </c>
      <c r="AQ4" s="235" t="s">
        <v>13</v>
      </c>
      <c r="AR4" s="8" t="s">
        <v>14</v>
      </c>
      <c r="AS4" s="265" t="s">
        <v>15</v>
      </c>
      <c r="AT4" s="220" t="s">
        <v>16</v>
      </c>
      <c r="AU4" s="221"/>
      <c r="AV4" s="244" t="s">
        <v>17</v>
      </c>
      <c r="AW4" s="244"/>
      <c r="AX4" s="244"/>
      <c r="AY4" s="245" t="s">
        <v>18</v>
      </c>
      <c r="AZ4" s="240"/>
      <c r="BA4" s="241"/>
      <c r="BB4" s="242"/>
    </row>
    <row r="5" spans="1:54" ht="39" thickBot="1" x14ac:dyDescent="0.3">
      <c r="A5" s="250"/>
      <c r="B5" s="253"/>
      <c r="C5" s="2" t="s">
        <v>19</v>
      </c>
      <c r="D5" s="243"/>
      <c r="E5" s="243"/>
      <c r="F5" s="3" t="s">
        <v>19</v>
      </c>
      <c r="G5" s="2" t="s">
        <v>19</v>
      </c>
      <c r="H5" s="243"/>
      <c r="I5" s="243"/>
      <c r="J5" s="3" t="s">
        <v>19</v>
      </c>
      <c r="K5" s="2" t="s">
        <v>19</v>
      </c>
      <c r="L5" s="243"/>
      <c r="M5" s="243"/>
      <c r="N5" s="4" t="s">
        <v>19</v>
      </c>
      <c r="O5" s="2" t="s">
        <v>19</v>
      </c>
      <c r="P5" s="243"/>
      <c r="Q5" s="243"/>
      <c r="R5" s="3" t="s">
        <v>19</v>
      </c>
      <c r="S5" s="5" t="s">
        <v>19</v>
      </c>
      <c r="T5" s="243"/>
      <c r="U5" s="243"/>
      <c r="V5" s="4" t="s">
        <v>19</v>
      </c>
      <c r="W5" s="2" t="s">
        <v>19</v>
      </c>
      <c r="X5" s="243"/>
      <c r="Y5" s="243"/>
      <c r="Z5" s="4" t="s">
        <v>19</v>
      </c>
      <c r="AA5" s="2" t="s">
        <v>19</v>
      </c>
      <c r="AB5" s="9" t="s">
        <v>20</v>
      </c>
      <c r="AC5" s="225"/>
      <c r="AD5" s="225"/>
      <c r="AE5" s="9" t="s">
        <v>19</v>
      </c>
      <c r="AF5" s="3" t="s">
        <v>20</v>
      </c>
      <c r="AG5" s="10" t="s">
        <v>20</v>
      </c>
      <c r="AH5" s="229"/>
      <c r="AI5" s="229"/>
      <c r="AJ5" s="11" t="s">
        <v>20</v>
      </c>
      <c r="AK5" s="12" t="s">
        <v>19</v>
      </c>
      <c r="AL5" s="12" t="s">
        <v>20</v>
      </c>
      <c r="AM5" s="13" t="s">
        <v>20</v>
      </c>
      <c r="AN5" s="13" t="s">
        <v>20</v>
      </c>
      <c r="AO5" s="236"/>
      <c r="AP5" s="236"/>
      <c r="AQ5" s="236"/>
      <c r="AR5" s="14" t="s">
        <v>20</v>
      </c>
      <c r="AS5" s="266"/>
      <c r="AT5" s="15" t="s">
        <v>19</v>
      </c>
      <c r="AU5" s="16" t="s">
        <v>20</v>
      </c>
      <c r="AV5" s="17" t="s">
        <v>19</v>
      </c>
      <c r="AW5" s="17" t="s">
        <v>20</v>
      </c>
      <c r="AX5" s="17" t="s">
        <v>21</v>
      </c>
      <c r="AY5" s="246"/>
      <c r="AZ5" s="18" t="s">
        <v>19</v>
      </c>
      <c r="BA5" s="19" t="s">
        <v>20</v>
      </c>
      <c r="BB5" s="20" t="s">
        <v>22</v>
      </c>
    </row>
    <row r="6" spans="1:54" x14ac:dyDescent="0.25">
      <c r="A6" s="21">
        <v>1</v>
      </c>
      <c r="B6" s="22">
        <v>2</v>
      </c>
      <c r="C6" s="23">
        <v>3</v>
      </c>
      <c r="D6" s="24">
        <v>4</v>
      </c>
      <c r="E6" s="24">
        <v>5</v>
      </c>
      <c r="F6" s="25">
        <v>6</v>
      </c>
      <c r="G6" s="23">
        <v>7</v>
      </c>
      <c r="H6" s="24">
        <v>8</v>
      </c>
      <c r="I6" s="24">
        <v>9</v>
      </c>
      <c r="J6" s="25">
        <v>10</v>
      </c>
      <c r="K6" s="23">
        <v>11</v>
      </c>
      <c r="L6" s="24">
        <v>12</v>
      </c>
      <c r="M6" s="24">
        <v>13</v>
      </c>
      <c r="N6" s="26">
        <v>14</v>
      </c>
      <c r="O6" s="23">
        <v>15</v>
      </c>
      <c r="P6" s="24">
        <v>16</v>
      </c>
      <c r="Q6" s="24">
        <v>17</v>
      </c>
      <c r="R6" s="25">
        <v>18</v>
      </c>
      <c r="S6" s="27">
        <v>19</v>
      </c>
      <c r="T6" s="24">
        <v>20</v>
      </c>
      <c r="U6" s="24">
        <v>21</v>
      </c>
      <c r="V6" s="26">
        <v>22</v>
      </c>
      <c r="W6" s="23">
        <v>23</v>
      </c>
      <c r="X6" s="24">
        <v>24</v>
      </c>
      <c r="Y6" s="24">
        <v>25</v>
      </c>
      <c r="Z6" s="26">
        <v>26</v>
      </c>
      <c r="AA6" s="23">
        <v>27</v>
      </c>
      <c r="AB6" s="24">
        <v>28</v>
      </c>
      <c r="AC6" s="24">
        <v>29</v>
      </c>
      <c r="AD6" s="24">
        <v>30</v>
      </c>
      <c r="AE6" s="24">
        <v>31</v>
      </c>
      <c r="AF6" s="25">
        <v>32</v>
      </c>
      <c r="AG6" s="21">
        <v>33</v>
      </c>
      <c r="AH6" s="21">
        <v>34</v>
      </c>
      <c r="AI6" s="21">
        <v>35</v>
      </c>
      <c r="AJ6" s="28">
        <v>36</v>
      </c>
      <c r="AK6" s="29">
        <v>33</v>
      </c>
      <c r="AL6" s="29">
        <v>37</v>
      </c>
      <c r="AM6" s="21">
        <v>38</v>
      </c>
      <c r="AN6" s="21">
        <v>39</v>
      </c>
      <c r="AO6" s="30">
        <v>40</v>
      </c>
      <c r="AP6" s="31">
        <v>41</v>
      </c>
      <c r="AQ6" s="31" t="s">
        <v>23</v>
      </c>
      <c r="AR6" s="32">
        <v>43</v>
      </c>
      <c r="AS6" s="32" t="s">
        <v>24</v>
      </c>
      <c r="AT6" s="33">
        <v>45</v>
      </c>
      <c r="AU6" s="34">
        <v>45</v>
      </c>
      <c r="AV6" s="35">
        <v>47</v>
      </c>
      <c r="AW6" s="35">
        <v>46</v>
      </c>
      <c r="AX6" s="35" t="s">
        <v>25</v>
      </c>
      <c r="AY6" s="36">
        <v>48</v>
      </c>
      <c r="AZ6" s="37">
        <v>51</v>
      </c>
      <c r="BA6" s="31">
        <v>49</v>
      </c>
      <c r="BB6" s="38">
        <v>50</v>
      </c>
    </row>
    <row r="7" spans="1:54" ht="25.5" x14ac:dyDescent="0.25">
      <c r="A7" s="39" t="s">
        <v>26</v>
      </c>
      <c r="B7" s="40" t="s">
        <v>27</v>
      </c>
      <c r="C7" s="41">
        <f t="shared" ref="C7:AP7" si="0">C8+C12</f>
        <v>0</v>
      </c>
      <c r="D7" s="42">
        <f t="shared" si="0"/>
        <v>0</v>
      </c>
      <c r="E7" s="42">
        <f t="shared" si="0"/>
        <v>0</v>
      </c>
      <c r="F7" s="43">
        <f t="shared" si="0"/>
        <v>0</v>
      </c>
      <c r="G7" s="41">
        <f t="shared" si="0"/>
        <v>67781987.370000005</v>
      </c>
      <c r="H7" s="42">
        <f t="shared" si="0"/>
        <v>309</v>
      </c>
      <c r="I7" s="42">
        <f t="shared" si="0"/>
        <v>0</v>
      </c>
      <c r="J7" s="43">
        <f t="shared" si="0"/>
        <v>0</v>
      </c>
      <c r="K7" s="41">
        <f t="shared" si="0"/>
        <v>288322382.53000003</v>
      </c>
      <c r="L7" s="42">
        <f t="shared" si="0"/>
        <v>819</v>
      </c>
      <c r="M7" s="42">
        <f t="shared" si="0"/>
        <v>200</v>
      </c>
      <c r="N7" s="44">
        <f t="shared" si="0"/>
        <v>326235.39</v>
      </c>
      <c r="O7" s="41">
        <f t="shared" si="0"/>
        <v>335368088.25</v>
      </c>
      <c r="P7" s="42">
        <f t="shared" si="0"/>
        <v>925</v>
      </c>
      <c r="Q7" s="42">
        <f t="shared" si="0"/>
        <v>209</v>
      </c>
      <c r="R7" s="43">
        <f t="shared" si="0"/>
        <v>2817053.9799999995</v>
      </c>
      <c r="S7" s="45">
        <f t="shared" si="0"/>
        <v>453202577.56999999</v>
      </c>
      <c r="T7" s="46">
        <f t="shared" si="0"/>
        <v>1361</v>
      </c>
      <c r="U7" s="46">
        <f t="shared" si="0"/>
        <v>962</v>
      </c>
      <c r="V7" s="44">
        <f t="shared" si="0"/>
        <v>7930915.3200000003</v>
      </c>
      <c r="W7" s="41">
        <f t="shared" si="0"/>
        <v>1236865443.9100003</v>
      </c>
      <c r="X7" s="46">
        <f t="shared" si="0"/>
        <v>1944</v>
      </c>
      <c r="Y7" s="46">
        <f t="shared" si="0"/>
        <v>1539</v>
      </c>
      <c r="Z7" s="44">
        <f t="shared" si="0"/>
        <v>15083728.620000008</v>
      </c>
      <c r="AA7" s="41">
        <f t="shared" si="0"/>
        <v>529405704.86000001</v>
      </c>
      <c r="AB7" s="47">
        <f t="shared" si="0"/>
        <v>753276453.83999991</v>
      </c>
      <c r="AC7" s="46">
        <f t="shared" si="0"/>
        <v>3214</v>
      </c>
      <c r="AD7" s="46">
        <f t="shared" si="0"/>
        <v>1457</v>
      </c>
      <c r="AE7" s="47">
        <f t="shared" si="0"/>
        <v>29111134.375537101</v>
      </c>
      <c r="AF7" s="43">
        <f t="shared" si="0"/>
        <v>41421412.480000004</v>
      </c>
      <c r="AG7" s="48">
        <f t="shared" si="0"/>
        <v>718339770.12999988</v>
      </c>
      <c r="AH7" s="49">
        <f t="shared" si="0"/>
        <v>1018</v>
      </c>
      <c r="AI7" s="49">
        <f t="shared" si="0"/>
        <v>1116</v>
      </c>
      <c r="AJ7" s="50">
        <f t="shared" si="0"/>
        <v>14988450.690000018</v>
      </c>
      <c r="AK7" s="51">
        <f t="shared" si="0"/>
        <v>0</v>
      </c>
      <c r="AL7" s="52">
        <f t="shared" si="0"/>
        <v>2990671081</v>
      </c>
      <c r="AM7" s="48">
        <f t="shared" si="0"/>
        <v>3005798329</v>
      </c>
      <c r="AN7" s="48">
        <f t="shared" si="0"/>
        <v>972472233.25</v>
      </c>
      <c r="AO7" s="53">
        <f t="shared" si="0"/>
        <v>7706</v>
      </c>
      <c r="AP7" s="53">
        <f t="shared" si="0"/>
        <v>5813</v>
      </c>
      <c r="AQ7" s="54">
        <f>AP7/AO7</f>
        <v>0.75434726187386447</v>
      </c>
      <c r="AR7" s="55">
        <f t="shared" ref="AR7" si="1">AR8+AR12</f>
        <v>94079672.069999889</v>
      </c>
      <c r="AS7" s="56">
        <f t="shared" ref="AS7:AS35" si="2">AR7/AM7</f>
        <v>3.1299395958244242E-2</v>
      </c>
      <c r="AT7" s="57">
        <f>AT8+AT12</f>
        <v>0</v>
      </c>
      <c r="AU7" s="58">
        <f t="shared" ref="AU7" si="3">AU8+AU12</f>
        <v>94079672.069999889</v>
      </c>
      <c r="AV7" s="58">
        <f>AV8+AV12</f>
        <v>0</v>
      </c>
      <c r="AW7" s="58">
        <f t="shared" ref="AW7" si="4">AW8+AW12</f>
        <v>80334049.739999995</v>
      </c>
      <c r="AX7" s="54">
        <f t="shared" ref="AX7:AX30" si="5">AW7/AR7</f>
        <v>0.85389381119682817</v>
      </c>
      <c r="AY7" s="59">
        <f>AY8+AY12</f>
        <v>5464</v>
      </c>
      <c r="AZ7" s="58">
        <f>AZ8+AZ12</f>
        <v>0</v>
      </c>
      <c r="BA7" s="58">
        <f t="shared" ref="BA7" si="6">BA8+BA12</f>
        <v>3912947.7100000009</v>
      </c>
      <c r="BB7" s="60">
        <f>BB8+BB12</f>
        <v>32</v>
      </c>
    </row>
    <row r="8" spans="1:54" x14ac:dyDescent="0.25">
      <c r="A8" s="61" t="s">
        <v>28</v>
      </c>
      <c r="B8" s="62" t="s">
        <v>29</v>
      </c>
      <c r="C8" s="63"/>
      <c r="D8" s="64"/>
      <c r="E8" s="64"/>
      <c r="F8" s="65"/>
      <c r="G8" s="63">
        <f t="shared" ref="G8:P8" si="7">SUM(G9:G11)</f>
        <v>66195563.460000001</v>
      </c>
      <c r="H8" s="64">
        <f t="shared" si="7"/>
        <v>143</v>
      </c>
      <c r="I8" s="64">
        <f t="shared" si="7"/>
        <v>0</v>
      </c>
      <c r="J8" s="65">
        <f t="shared" si="7"/>
        <v>0</v>
      </c>
      <c r="K8" s="63">
        <f t="shared" si="7"/>
        <v>222224463.49000001</v>
      </c>
      <c r="L8" s="64">
        <f t="shared" si="7"/>
        <v>680</v>
      </c>
      <c r="M8" s="64">
        <f t="shared" si="7"/>
        <v>116</v>
      </c>
      <c r="N8" s="66">
        <f t="shared" si="7"/>
        <v>123484.39000000001</v>
      </c>
      <c r="O8" s="63">
        <f t="shared" si="7"/>
        <v>237025445.22000003</v>
      </c>
      <c r="P8" s="64">
        <f t="shared" si="7"/>
        <v>603</v>
      </c>
      <c r="Q8" s="64">
        <v>114</v>
      </c>
      <c r="R8" s="67">
        <f t="shared" ref="R8:BB8" si="8">SUM(R9:R11)</f>
        <v>2734586.1799999997</v>
      </c>
      <c r="S8" s="68">
        <f t="shared" si="8"/>
        <v>332387503.62</v>
      </c>
      <c r="T8" s="69">
        <f t="shared" si="8"/>
        <v>1143</v>
      </c>
      <c r="U8" s="69">
        <f t="shared" si="8"/>
        <v>658</v>
      </c>
      <c r="V8" s="70">
        <f t="shared" si="8"/>
        <v>7303917.5600000005</v>
      </c>
      <c r="W8" s="71">
        <f t="shared" si="8"/>
        <v>885320925.47000015</v>
      </c>
      <c r="X8" s="69">
        <f t="shared" si="8"/>
        <v>1857</v>
      </c>
      <c r="Y8" s="69">
        <f t="shared" si="8"/>
        <v>980</v>
      </c>
      <c r="Z8" s="70">
        <f t="shared" si="8"/>
        <v>14381705.280000007</v>
      </c>
      <c r="AA8" s="71">
        <f t="shared" si="8"/>
        <v>441862578.93000007</v>
      </c>
      <c r="AB8" s="72">
        <f t="shared" si="8"/>
        <v>628713807.73999989</v>
      </c>
      <c r="AC8" s="69">
        <f t="shared" si="8"/>
        <v>2696</v>
      </c>
      <c r="AD8" s="69">
        <f t="shared" si="8"/>
        <v>1028</v>
      </c>
      <c r="AE8" s="72">
        <f t="shared" si="8"/>
        <v>24712309.055537101</v>
      </c>
      <c r="AF8" s="67">
        <f t="shared" si="8"/>
        <v>35162447.93</v>
      </c>
      <c r="AG8" s="73">
        <f t="shared" si="8"/>
        <v>663859961.63999987</v>
      </c>
      <c r="AH8" s="74">
        <f t="shared" si="8"/>
        <v>1014</v>
      </c>
      <c r="AI8" s="74">
        <f t="shared" si="8"/>
        <v>893</v>
      </c>
      <c r="AJ8" s="75">
        <f t="shared" si="8"/>
        <v>14729105.770000018</v>
      </c>
      <c r="AK8" s="76">
        <f t="shared" si="8"/>
        <v>0</v>
      </c>
      <c r="AL8" s="77">
        <f t="shared" si="8"/>
        <v>2407567364</v>
      </c>
      <c r="AM8" s="73">
        <f t="shared" si="8"/>
        <v>2322357797.1599998</v>
      </c>
      <c r="AN8" s="73">
        <f t="shared" si="8"/>
        <v>653531671.18999994</v>
      </c>
      <c r="AO8" s="74">
        <f t="shared" si="8"/>
        <v>6646</v>
      </c>
      <c r="AP8" s="74">
        <f t="shared" si="8"/>
        <v>4086</v>
      </c>
      <c r="AQ8" s="78">
        <f t="shared" ref="AQ8:AQ33" si="9">AP8/AO8</f>
        <v>0.61480589828468246</v>
      </c>
      <c r="AR8" s="79">
        <f t="shared" si="8"/>
        <v>85442545.219999894</v>
      </c>
      <c r="AS8" s="80">
        <f t="shared" si="2"/>
        <v>3.6791292592591535E-2</v>
      </c>
      <c r="AT8" s="81">
        <f t="shared" si="8"/>
        <v>0</v>
      </c>
      <c r="AU8" s="82">
        <f t="shared" si="8"/>
        <v>85442545.219999894</v>
      </c>
      <c r="AV8" s="82">
        <f t="shared" si="8"/>
        <v>0</v>
      </c>
      <c r="AW8" s="82">
        <f t="shared" si="8"/>
        <v>71910396.549999997</v>
      </c>
      <c r="AX8" s="78">
        <f t="shared" si="5"/>
        <v>0.84162282812202127</v>
      </c>
      <c r="AY8" s="83">
        <f t="shared" si="8"/>
        <v>3775</v>
      </c>
      <c r="AZ8" s="73">
        <f t="shared" si="8"/>
        <v>0</v>
      </c>
      <c r="BA8" s="73">
        <f t="shared" si="8"/>
        <v>3781663.4400000009</v>
      </c>
      <c r="BB8" s="84">
        <f t="shared" si="8"/>
        <v>20</v>
      </c>
    </row>
    <row r="9" spans="1:54" ht="30" x14ac:dyDescent="0.25">
      <c r="A9" s="61" t="s">
        <v>30</v>
      </c>
      <c r="B9" s="85" t="s">
        <v>31</v>
      </c>
      <c r="C9" s="86">
        <v>0</v>
      </c>
      <c r="D9" s="87">
        <v>0</v>
      </c>
      <c r="E9" s="87">
        <v>0</v>
      </c>
      <c r="F9" s="88">
        <v>0</v>
      </c>
      <c r="G9" s="86">
        <v>65079563.469999999</v>
      </c>
      <c r="H9" s="87">
        <v>113</v>
      </c>
      <c r="I9" s="87">
        <v>0</v>
      </c>
      <c r="J9" s="88">
        <v>0</v>
      </c>
      <c r="K9" s="86">
        <v>112038411.01000001</v>
      </c>
      <c r="L9" s="87">
        <v>99</v>
      </c>
      <c r="M9" s="87">
        <v>0</v>
      </c>
      <c r="N9" s="89">
        <v>0</v>
      </c>
      <c r="O9" s="86">
        <v>39399960.609999999</v>
      </c>
      <c r="P9" s="87">
        <v>76</v>
      </c>
      <c r="Q9" s="87">
        <v>7</v>
      </c>
      <c r="R9" s="90">
        <v>111324.81</v>
      </c>
      <c r="S9" s="91">
        <v>99070063.659999996</v>
      </c>
      <c r="T9" s="92">
        <v>457</v>
      </c>
      <c r="U9" s="92">
        <v>342</v>
      </c>
      <c r="V9" s="89">
        <f>6525941.17-3024529.26</f>
        <v>3501411.91</v>
      </c>
      <c r="W9" s="86">
        <v>308732419.41000003</v>
      </c>
      <c r="X9" s="93">
        <v>1303</v>
      </c>
      <c r="Y9" s="93">
        <f>404-2</f>
        <v>402</v>
      </c>
      <c r="Z9" s="89">
        <f>6137850.25-1112855.21</f>
        <v>5024995.04</v>
      </c>
      <c r="AA9" s="86">
        <v>57651959.26000005</v>
      </c>
      <c r="AB9" s="94">
        <v>82031347.659999996</v>
      </c>
      <c r="AC9" s="93">
        <v>1155</v>
      </c>
      <c r="AD9" s="93">
        <v>433</v>
      </c>
      <c r="AE9" s="94">
        <v>17156415.5955371</v>
      </c>
      <c r="AF9" s="88">
        <v>24411380.120000001</v>
      </c>
      <c r="AG9" s="95">
        <v>250438776.95999998</v>
      </c>
      <c r="AH9" s="96">
        <v>867</v>
      </c>
      <c r="AI9" s="96">
        <v>311</v>
      </c>
      <c r="AJ9" s="97">
        <v>5966874.7700000098</v>
      </c>
      <c r="AK9" s="98"/>
      <c r="AL9" s="99">
        <v>673296578</v>
      </c>
      <c r="AM9" s="95">
        <v>750653530.64999986</v>
      </c>
      <c r="AN9" s="95">
        <v>314924791.5</v>
      </c>
      <c r="AO9" s="100">
        <v>3593</v>
      </c>
      <c r="AP9" s="100">
        <v>1546</v>
      </c>
      <c r="AQ9" s="101">
        <f>AP9/AO9</f>
        <v>0.43028110214305593</v>
      </c>
      <c r="AR9" s="102">
        <v>43305265.559999898</v>
      </c>
      <c r="AS9" s="103">
        <f t="shared" si="2"/>
        <v>5.769008442883277E-2</v>
      </c>
      <c r="AT9" s="104"/>
      <c r="AU9" s="105">
        <v>43305265.559999898</v>
      </c>
      <c r="AV9" s="105"/>
      <c r="AW9" s="105">
        <v>38657350.399999999</v>
      </c>
      <c r="AX9" s="101">
        <f t="shared" si="5"/>
        <v>0.89267090041140229</v>
      </c>
      <c r="AY9" s="106">
        <v>1507</v>
      </c>
      <c r="AZ9" s="105"/>
      <c r="BA9" s="105">
        <v>3781663.4400000009</v>
      </c>
      <c r="BB9" s="107">
        <v>20</v>
      </c>
    </row>
    <row r="10" spans="1:54" ht="30" x14ac:dyDescent="0.25">
      <c r="A10" s="61" t="s">
        <v>32</v>
      </c>
      <c r="B10" s="85" t="s">
        <v>33</v>
      </c>
      <c r="C10" s="86">
        <v>0</v>
      </c>
      <c r="D10" s="87">
        <v>0</v>
      </c>
      <c r="E10" s="87">
        <v>0</v>
      </c>
      <c r="F10" s="88">
        <v>0</v>
      </c>
      <c r="G10" s="86">
        <v>1115999.99</v>
      </c>
      <c r="H10" s="87">
        <v>7</v>
      </c>
      <c r="I10" s="87">
        <v>0</v>
      </c>
      <c r="J10" s="88">
        <v>0</v>
      </c>
      <c r="K10" s="86">
        <v>107631811.20999999</v>
      </c>
      <c r="L10" s="87">
        <v>581</v>
      </c>
      <c r="M10" s="87">
        <v>28</v>
      </c>
      <c r="N10" s="89">
        <v>92423.71</v>
      </c>
      <c r="O10" s="86">
        <v>188187577.36000001</v>
      </c>
      <c r="P10" s="87">
        <v>527</v>
      </c>
      <c r="Q10" s="87">
        <v>123</v>
      </c>
      <c r="R10" s="90">
        <v>2583211.5699999998</v>
      </c>
      <c r="S10" s="91">
        <v>226715144.31</v>
      </c>
      <c r="T10" s="92">
        <v>663</v>
      </c>
      <c r="U10" s="92">
        <v>266</v>
      </c>
      <c r="V10" s="89">
        <v>3792449.16</v>
      </c>
      <c r="W10" s="86">
        <v>549769422.1500001</v>
      </c>
      <c r="X10" s="93">
        <v>518</v>
      </c>
      <c r="Y10" s="93">
        <f>539-1</f>
        <v>538</v>
      </c>
      <c r="Z10" s="89">
        <f>9359185.26000001-6370.96</f>
        <v>9352814.3000000082</v>
      </c>
      <c r="AA10" s="86">
        <v>377233266.74000001</v>
      </c>
      <c r="AB10" s="94">
        <v>536754581.27999997</v>
      </c>
      <c r="AC10" s="93">
        <v>1522</v>
      </c>
      <c r="AD10" s="93">
        <v>587</v>
      </c>
      <c r="AE10" s="94">
        <v>7549072.8700000001</v>
      </c>
      <c r="AF10" s="88">
        <v>10741362.98</v>
      </c>
      <c r="AG10" s="95">
        <v>399518985.05999988</v>
      </c>
      <c r="AH10" s="96">
        <v>146</v>
      </c>
      <c r="AI10" s="96">
        <v>533</v>
      </c>
      <c r="AJ10" s="97">
        <v>8256677.9900000086</v>
      </c>
      <c r="AK10" s="98"/>
      <c r="AL10" s="99">
        <v>1653675685</v>
      </c>
      <c r="AM10" s="95">
        <v>1509815682.52</v>
      </c>
      <c r="AN10" s="95">
        <v>316176553.30000001</v>
      </c>
      <c r="AO10" s="100">
        <v>2971</v>
      </c>
      <c r="AP10" s="100">
        <v>2181</v>
      </c>
      <c r="AQ10" s="101">
        <f t="shared" si="9"/>
        <v>0.73409626388421412</v>
      </c>
      <c r="AR10" s="102">
        <v>41376148.920000002</v>
      </c>
      <c r="AS10" s="103">
        <f t="shared" si="2"/>
        <v>2.7404768276707781E-2</v>
      </c>
      <c r="AT10" s="104"/>
      <c r="AU10" s="105">
        <v>41376148.920000002</v>
      </c>
      <c r="AV10" s="105"/>
      <c r="AW10" s="105">
        <v>32960235.800000001</v>
      </c>
      <c r="AX10" s="101">
        <f t="shared" si="5"/>
        <v>0.79659989294141398</v>
      </c>
      <c r="AY10" s="106">
        <v>1945</v>
      </c>
      <c r="AZ10" s="105"/>
      <c r="BA10" s="105">
        <v>0</v>
      </c>
      <c r="BB10" s="107">
        <v>0</v>
      </c>
    </row>
    <row r="11" spans="1:54" x14ac:dyDescent="0.25">
      <c r="A11" s="61" t="s">
        <v>34</v>
      </c>
      <c r="B11" s="85" t="s">
        <v>35</v>
      </c>
      <c r="C11" s="86">
        <v>0</v>
      </c>
      <c r="D11" s="87">
        <v>0</v>
      </c>
      <c r="E11" s="87">
        <v>0</v>
      </c>
      <c r="F11" s="88">
        <v>0</v>
      </c>
      <c r="G11" s="86">
        <v>0</v>
      </c>
      <c r="H11" s="87">
        <v>23</v>
      </c>
      <c r="I11" s="87">
        <v>0</v>
      </c>
      <c r="J11" s="88">
        <v>0</v>
      </c>
      <c r="K11" s="86">
        <v>2554241.27</v>
      </c>
      <c r="L11" s="87">
        <v>0</v>
      </c>
      <c r="M11" s="87">
        <v>88</v>
      </c>
      <c r="N11" s="89">
        <v>31060.68</v>
      </c>
      <c r="O11" s="86">
        <v>9437907.25</v>
      </c>
      <c r="P11" s="87">
        <v>0</v>
      </c>
      <c r="Q11" s="87">
        <v>32</v>
      </c>
      <c r="R11" s="90">
        <v>40049.800000000003</v>
      </c>
      <c r="S11" s="91">
        <v>6602295.6500000004</v>
      </c>
      <c r="T11" s="92">
        <v>23</v>
      </c>
      <c r="U11" s="92">
        <v>50</v>
      </c>
      <c r="V11" s="89">
        <v>10056.49</v>
      </c>
      <c r="W11" s="86">
        <v>26819083.909999996</v>
      </c>
      <c r="X11" s="93">
        <v>36</v>
      </c>
      <c r="Y11" s="93">
        <v>40</v>
      </c>
      <c r="Z11" s="89">
        <v>3895.94</v>
      </c>
      <c r="AA11" s="86">
        <v>6977352.9299999997</v>
      </c>
      <c r="AB11" s="94">
        <v>9927878.8000000007</v>
      </c>
      <c r="AC11" s="93">
        <v>19</v>
      </c>
      <c r="AD11" s="93">
        <v>8</v>
      </c>
      <c r="AE11" s="94">
        <v>6820.59</v>
      </c>
      <c r="AF11" s="88">
        <v>9704.83</v>
      </c>
      <c r="AG11" s="95">
        <v>13902199.620000005</v>
      </c>
      <c r="AH11" s="96">
        <v>1</v>
      </c>
      <c r="AI11" s="96">
        <v>49</v>
      </c>
      <c r="AJ11" s="97">
        <v>505553.01</v>
      </c>
      <c r="AK11" s="98"/>
      <c r="AL11" s="99">
        <v>80595101</v>
      </c>
      <c r="AM11" s="95">
        <v>61888583.990000002</v>
      </c>
      <c r="AN11" s="95">
        <v>22430326.390000001</v>
      </c>
      <c r="AO11" s="100">
        <v>82</v>
      </c>
      <c r="AP11" s="100">
        <v>359</v>
      </c>
      <c r="AQ11" s="101">
        <f t="shared" si="9"/>
        <v>4.3780487804878048</v>
      </c>
      <c r="AR11" s="102">
        <v>761130.74</v>
      </c>
      <c r="AS11" s="103">
        <f t="shared" si="2"/>
        <v>1.2298402886758307E-2</v>
      </c>
      <c r="AT11" s="104"/>
      <c r="AU11" s="105">
        <v>761130.74</v>
      </c>
      <c r="AV11" s="105"/>
      <c r="AW11" s="105">
        <v>292810.34999999998</v>
      </c>
      <c r="AX11" s="101">
        <f t="shared" si="5"/>
        <v>0.3847044070247379</v>
      </c>
      <c r="AY11" s="106">
        <v>323</v>
      </c>
      <c r="AZ11" s="105"/>
      <c r="BA11" s="105">
        <v>0</v>
      </c>
      <c r="BB11" s="107">
        <v>0</v>
      </c>
    </row>
    <row r="12" spans="1:54" x14ac:dyDescent="0.25">
      <c r="A12" s="61" t="s">
        <v>36</v>
      </c>
      <c r="B12" s="62" t="s">
        <v>37</v>
      </c>
      <c r="C12" s="63">
        <f t="shared" ref="C12:AN12" si="10">SUM(C13:C14)</f>
        <v>0</v>
      </c>
      <c r="D12" s="64">
        <f t="shared" si="10"/>
        <v>0</v>
      </c>
      <c r="E12" s="64">
        <f t="shared" si="10"/>
        <v>0</v>
      </c>
      <c r="F12" s="65">
        <f t="shared" si="10"/>
        <v>0</v>
      </c>
      <c r="G12" s="63">
        <f t="shared" si="10"/>
        <v>1586423.91</v>
      </c>
      <c r="H12" s="64">
        <f t="shared" si="10"/>
        <v>166</v>
      </c>
      <c r="I12" s="64">
        <f t="shared" si="10"/>
        <v>0</v>
      </c>
      <c r="J12" s="65">
        <f t="shared" si="10"/>
        <v>0</v>
      </c>
      <c r="K12" s="63">
        <f t="shared" si="10"/>
        <v>66097919.039999999</v>
      </c>
      <c r="L12" s="64">
        <f t="shared" si="10"/>
        <v>139</v>
      </c>
      <c r="M12" s="64">
        <f t="shared" si="10"/>
        <v>84</v>
      </c>
      <c r="N12" s="66">
        <f t="shared" si="10"/>
        <v>202751</v>
      </c>
      <c r="O12" s="63">
        <f t="shared" si="10"/>
        <v>98342643.030000001</v>
      </c>
      <c r="P12" s="64">
        <f t="shared" si="10"/>
        <v>322</v>
      </c>
      <c r="Q12" s="64">
        <f t="shared" si="10"/>
        <v>95</v>
      </c>
      <c r="R12" s="67">
        <f t="shared" si="10"/>
        <v>82467.8</v>
      </c>
      <c r="S12" s="68">
        <f t="shared" si="10"/>
        <v>120815073.94999999</v>
      </c>
      <c r="T12" s="69">
        <f t="shared" si="10"/>
        <v>218</v>
      </c>
      <c r="U12" s="69">
        <f t="shared" si="10"/>
        <v>304</v>
      </c>
      <c r="V12" s="70">
        <f t="shared" si="10"/>
        <v>626997.76000000001</v>
      </c>
      <c r="W12" s="71">
        <f t="shared" si="10"/>
        <v>351544518.44000006</v>
      </c>
      <c r="X12" s="69">
        <f t="shared" si="10"/>
        <v>87</v>
      </c>
      <c r="Y12" s="69">
        <f t="shared" si="10"/>
        <v>559</v>
      </c>
      <c r="Z12" s="70">
        <f t="shared" si="10"/>
        <v>702023.3400000009</v>
      </c>
      <c r="AA12" s="71">
        <f t="shared" si="10"/>
        <v>87543125.929999918</v>
      </c>
      <c r="AB12" s="72">
        <f t="shared" si="10"/>
        <v>124562646.09999999</v>
      </c>
      <c r="AC12" s="69">
        <f t="shared" si="10"/>
        <v>518</v>
      </c>
      <c r="AD12" s="69">
        <f t="shared" si="10"/>
        <v>429</v>
      </c>
      <c r="AE12" s="72">
        <f t="shared" si="10"/>
        <v>4398825.32</v>
      </c>
      <c r="AF12" s="67">
        <f t="shared" si="10"/>
        <v>6258964.5500000007</v>
      </c>
      <c r="AG12" s="73">
        <f t="shared" si="10"/>
        <v>54479808.489999995</v>
      </c>
      <c r="AH12" s="74">
        <f t="shared" si="10"/>
        <v>4</v>
      </c>
      <c r="AI12" s="74">
        <f t="shared" si="10"/>
        <v>223</v>
      </c>
      <c r="AJ12" s="75">
        <f t="shared" si="10"/>
        <v>259344.91999999993</v>
      </c>
      <c r="AK12" s="76">
        <f t="shared" si="10"/>
        <v>0</v>
      </c>
      <c r="AL12" s="77">
        <f t="shared" si="10"/>
        <v>583103717</v>
      </c>
      <c r="AM12" s="73">
        <f t="shared" si="10"/>
        <v>683440531.83999991</v>
      </c>
      <c r="AN12" s="73">
        <f t="shared" si="10"/>
        <v>318940562.06</v>
      </c>
      <c r="AO12" s="74">
        <f>SUM(AO13:AO14)</f>
        <v>1060</v>
      </c>
      <c r="AP12" s="74">
        <f t="shared" ref="AP12:BB12" si="11">SUM(AP13:AP14)</f>
        <v>1727</v>
      </c>
      <c r="AQ12" s="108">
        <f t="shared" si="9"/>
        <v>1.629245283018868</v>
      </c>
      <c r="AR12" s="109">
        <f>SUM(AR13:AR14)</f>
        <v>8637126.8499999996</v>
      </c>
      <c r="AS12" s="80">
        <f t="shared" si="2"/>
        <v>1.2637715276772661E-2</v>
      </c>
      <c r="AT12" s="110">
        <f t="shared" si="11"/>
        <v>0</v>
      </c>
      <c r="AU12" s="73">
        <f>SUM(AU13:AU14)</f>
        <v>8637126.8499999996</v>
      </c>
      <c r="AV12" s="73">
        <f t="shared" si="11"/>
        <v>0</v>
      </c>
      <c r="AW12" s="73">
        <f>SUM(AW13:AW14)</f>
        <v>8423653.1899999995</v>
      </c>
      <c r="AX12" s="108">
        <f t="shared" si="5"/>
        <v>0.97528418145207629</v>
      </c>
      <c r="AY12" s="111">
        <f t="shared" si="11"/>
        <v>1689</v>
      </c>
      <c r="AZ12" s="73">
        <f t="shared" si="11"/>
        <v>0</v>
      </c>
      <c r="BA12" s="73">
        <f>SUM(BA13:BA14)</f>
        <v>131284.26999999999</v>
      </c>
      <c r="BB12" s="84">
        <f t="shared" si="11"/>
        <v>12</v>
      </c>
    </row>
    <row r="13" spans="1:54" ht="30" x14ac:dyDescent="0.25">
      <c r="A13" s="61" t="s">
        <v>38</v>
      </c>
      <c r="B13" s="85" t="s">
        <v>39</v>
      </c>
      <c r="C13" s="86">
        <v>0</v>
      </c>
      <c r="D13" s="87">
        <v>0</v>
      </c>
      <c r="E13" s="87">
        <v>0</v>
      </c>
      <c r="F13" s="88">
        <v>0</v>
      </c>
      <c r="G13" s="86">
        <v>1586423.91</v>
      </c>
      <c r="H13" s="87">
        <v>143</v>
      </c>
      <c r="I13" s="87">
        <v>0</v>
      </c>
      <c r="J13" s="88">
        <v>0</v>
      </c>
      <c r="K13" s="86">
        <v>64049025.740000002</v>
      </c>
      <c r="L13" s="87">
        <v>139</v>
      </c>
      <c r="M13" s="87">
        <v>12</v>
      </c>
      <c r="N13" s="89">
        <v>181332.7</v>
      </c>
      <c r="O13" s="86">
        <v>96551361.829999998</v>
      </c>
      <c r="P13" s="87">
        <v>322</v>
      </c>
      <c r="Q13" s="87">
        <v>62</v>
      </c>
      <c r="R13" s="90">
        <v>71633.88</v>
      </c>
      <c r="S13" s="91">
        <v>118621616.48999999</v>
      </c>
      <c r="T13" s="92">
        <v>196</v>
      </c>
      <c r="U13" s="92">
        <v>262</v>
      </c>
      <c r="V13" s="89">
        <v>624404.76</v>
      </c>
      <c r="W13" s="86">
        <v>343175593.94000006</v>
      </c>
      <c r="X13" s="93">
        <v>87</v>
      </c>
      <c r="Y13" s="93">
        <v>536</v>
      </c>
      <c r="Z13" s="89">
        <v>701605.98000000091</v>
      </c>
      <c r="AA13" s="86">
        <v>86180640.089999914</v>
      </c>
      <c r="AB13" s="94">
        <v>122624003.41</v>
      </c>
      <c r="AC13" s="93">
        <v>507</v>
      </c>
      <c r="AD13" s="93">
        <v>423</v>
      </c>
      <c r="AE13" s="94">
        <v>4398555.84</v>
      </c>
      <c r="AF13" s="88">
        <v>6258581.1100000003</v>
      </c>
      <c r="AG13" s="95">
        <v>52290832.459999993</v>
      </c>
      <c r="AH13" s="96">
        <v>4</v>
      </c>
      <c r="AI13" s="96">
        <v>194</v>
      </c>
      <c r="AJ13" s="97">
        <v>164133.22999999992</v>
      </c>
      <c r="AK13" s="98"/>
      <c r="AL13" s="99">
        <v>564823000</v>
      </c>
      <c r="AM13" s="95">
        <v>667580035.11999989</v>
      </c>
      <c r="AN13" s="95">
        <v>315587240</v>
      </c>
      <c r="AO13" s="100">
        <v>1015</v>
      </c>
      <c r="AP13" s="100">
        <v>1521</v>
      </c>
      <c r="AQ13" s="101">
        <f t="shared" si="9"/>
        <v>1.4985221674876847</v>
      </c>
      <c r="AR13" s="102">
        <v>8491675.2599999998</v>
      </c>
      <c r="AS13" s="103">
        <f t="shared" si="2"/>
        <v>1.272008570249347E-2</v>
      </c>
      <c r="AT13" s="104"/>
      <c r="AU13" s="105">
        <v>8491675.2599999998</v>
      </c>
      <c r="AV13" s="105"/>
      <c r="AW13" s="105">
        <v>8366669.2999999998</v>
      </c>
      <c r="AX13" s="101">
        <f t="shared" si="5"/>
        <v>0.98527899899930937</v>
      </c>
      <c r="AY13" s="106">
        <v>1504</v>
      </c>
      <c r="AZ13" s="105"/>
      <c r="BA13" s="105">
        <v>131284.26999999999</v>
      </c>
      <c r="BB13" s="107">
        <v>12</v>
      </c>
    </row>
    <row r="14" spans="1:54" x14ac:dyDescent="0.25">
      <c r="A14" s="61" t="s">
        <v>40</v>
      </c>
      <c r="B14" s="85" t="s">
        <v>41</v>
      </c>
      <c r="C14" s="86">
        <v>0</v>
      </c>
      <c r="D14" s="87">
        <v>0</v>
      </c>
      <c r="E14" s="87">
        <v>0</v>
      </c>
      <c r="F14" s="88">
        <v>0</v>
      </c>
      <c r="G14" s="86">
        <v>0</v>
      </c>
      <c r="H14" s="87">
        <v>23</v>
      </c>
      <c r="I14" s="87">
        <v>0</v>
      </c>
      <c r="J14" s="88">
        <v>0</v>
      </c>
      <c r="K14" s="86">
        <v>2048893.3</v>
      </c>
      <c r="L14" s="87">
        <v>0</v>
      </c>
      <c r="M14" s="87">
        <v>72</v>
      </c>
      <c r="N14" s="89">
        <v>21418.3</v>
      </c>
      <c r="O14" s="86">
        <v>1791281.2</v>
      </c>
      <c r="P14" s="87">
        <v>0</v>
      </c>
      <c r="Q14" s="87">
        <v>33</v>
      </c>
      <c r="R14" s="90">
        <v>10833.92</v>
      </c>
      <c r="S14" s="91">
        <v>2193457.46</v>
      </c>
      <c r="T14" s="92">
        <v>22</v>
      </c>
      <c r="U14" s="92">
        <v>42</v>
      </c>
      <c r="V14" s="89">
        <v>2593</v>
      </c>
      <c r="W14" s="86">
        <v>8368924.5</v>
      </c>
      <c r="X14" s="93">
        <v>0</v>
      </c>
      <c r="Y14" s="93">
        <v>23</v>
      </c>
      <c r="Z14" s="89">
        <v>417.36</v>
      </c>
      <c r="AA14" s="86">
        <v>1362485.8399999999</v>
      </c>
      <c r="AB14" s="94">
        <v>1938642.69</v>
      </c>
      <c r="AC14" s="93">
        <v>11</v>
      </c>
      <c r="AD14" s="93">
        <v>6</v>
      </c>
      <c r="AE14" s="94">
        <v>269.48</v>
      </c>
      <c r="AF14" s="88">
        <v>383.44</v>
      </c>
      <c r="AG14" s="95">
        <v>2188976.0300000012</v>
      </c>
      <c r="AH14" s="96">
        <v>0</v>
      </c>
      <c r="AI14" s="96">
        <v>29</v>
      </c>
      <c r="AJ14" s="97">
        <v>95211.69</v>
      </c>
      <c r="AK14" s="98"/>
      <c r="AL14" s="99">
        <v>18280717</v>
      </c>
      <c r="AM14" s="95">
        <v>15860496.720000001</v>
      </c>
      <c r="AN14" s="95">
        <v>3353322.06</v>
      </c>
      <c r="AO14" s="100">
        <v>45</v>
      </c>
      <c r="AP14" s="100">
        <v>206</v>
      </c>
      <c r="AQ14" s="101">
        <f t="shared" si="9"/>
        <v>4.5777777777777775</v>
      </c>
      <c r="AR14" s="102">
        <v>145451.59000000005</v>
      </c>
      <c r="AS14" s="103">
        <f t="shared" si="2"/>
        <v>9.1706831486927133E-3</v>
      </c>
      <c r="AT14" s="104"/>
      <c r="AU14" s="105">
        <v>145451.59000000005</v>
      </c>
      <c r="AV14" s="105"/>
      <c r="AW14" s="105">
        <v>56983.889999999992</v>
      </c>
      <c r="AX14" s="101">
        <f t="shared" si="5"/>
        <v>0.39177220407147129</v>
      </c>
      <c r="AY14" s="106">
        <v>185</v>
      </c>
      <c r="AZ14" s="105"/>
      <c r="BA14" s="105">
        <v>0</v>
      </c>
      <c r="BB14" s="107">
        <v>0</v>
      </c>
    </row>
    <row r="15" spans="1:54" ht="25.5" x14ac:dyDescent="0.25">
      <c r="A15" s="39" t="s">
        <v>42</v>
      </c>
      <c r="B15" s="112" t="s">
        <v>43</v>
      </c>
      <c r="C15" s="113">
        <f t="shared" ref="C15:AM15" si="12">SUM(C16:C17)</f>
        <v>0</v>
      </c>
      <c r="D15" s="114">
        <f t="shared" si="12"/>
        <v>0</v>
      </c>
      <c r="E15" s="42">
        <f t="shared" si="12"/>
        <v>0</v>
      </c>
      <c r="F15" s="43">
        <f t="shared" si="12"/>
        <v>0</v>
      </c>
      <c r="G15" s="41">
        <f t="shared" si="12"/>
        <v>31566288.789999999</v>
      </c>
      <c r="H15" s="42">
        <f t="shared" si="12"/>
        <v>65</v>
      </c>
      <c r="I15" s="42">
        <f t="shared" si="12"/>
        <v>0</v>
      </c>
      <c r="J15" s="43">
        <f t="shared" si="12"/>
        <v>0</v>
      </c>
      <c r="K15" s="41">
        <f t="shared" si="12"/>
        <v>149868790.00999999</v>
      </c>
      <c r="L15" s="42">
        <f t="shared" si="12"/>
        <v>47</v>
      </c>
      <c r="M15" s="42">
        <f t="shared" si="12"/>
        <v>61</v>
      </c>
      <c r="N15" s="44">
        <f t="shared" si="12"/>
        <v>209731.49</v>
      </c>
      <c r="O15" s="41">
        <f t="shared" si="12"/>
        <v>162188754.02000001</v>
      </c>
      <c r="P15" s="42">
        <f t="shared" si="12"/>
        <v>61</v>
      </c>
      <c r="Q15" s="42">
        <f t="shared" si="12"/>
        <v>57</v>
      </c>
      <c r="R15" s="43">
        <f t="shared" si="12"/>
        <v>272417.78000000003</v>
      </c>
      <c r="S15" s="45">
        <f t="shared" si="12"/>
        <v>158302206.52000001</v>
      </c>
      <c r="T15" s="46">
        <f t="shared" si="12"/>
        <v>111</v>
      </c>
      <c r="U15" s="46">
        <f t="shared" si="12"/>
        <v>65</v>
      </c>
      <c r="V15" s="44">
        <f t="shared" si="12"/>
        <v>204158.53999999998</v>
      </c>
      <c r="W15" s="41">
        <f t="shared" si="12"/>
        <v>441075357.89999992</v>
      </c>
      <c r="X15" s="46">
        <f t="shared" si="12"/>
        <v>119</v>
      </c>
      <c r="Y15" s="46">
        <f t="shared" si="12"/>
        <v>71</v>
      </c>
      <c r="Z15" s="44">
        <f t="shared" si="12"/>
        <v>484518.05</v>
      </c>
      <c r="AA15" s="41">
        <f t="shared" si="12"/>
        <v>261179773.40000021</v>
      </c>
      <c r="AB15" s="47">
        <f t="shared" si="12"/>
        <v>371625337.08000004</v>
      </c>
      <c r="AC15" s="46">
        <f t="shared" si="12"/>
        <v>236</v>
      </c>
      <c r="AD15" s="46">
        <f t="shared" si="12"/>
        <v>67</v>
      </c>
      <c r="AE15" s="47">
        <f t="shared" si="12"/>
        <v>3114306.6399999997</v>
      </c>
      <c r="AF15" s="43">
        <f t="shared" si="12"/>
        <v>4431259.13</v>
      </c>
      <c r="AG15" s="48">
        <f t="shared" si="12"/>
        <v>460924241.91999996</v>
      </c>
      <c r="AH15" s="49">
        <f t="shared" si="12"/>
        <v>45</v>
      </c>
      <c r="AI15" s="49">
        <f t="shared" si="12"/>
        <v>86</v>
      </c>
      <c r="AJ15" s="50">
        <f t="shared" si="12"/>
        <v>7702603.4400000004</v>
      </c>
      <c r="AK15" s="51">
        <f t="shared" si="12"/>
        <v>0</v>
      </c>
      <c r="AL15" s="52">
        <f t="shared" si="12"/>
        <v>1539776553</v>
      </c>
      <c r="AM15" s="48">
        <f t="shared" si="12"/>
        <v>1363885982.98</v>
      </c>
      <c r="AN15" s="48">
        <f>SUM(AN16:AN17)</f>
        <v>208989616.33999997</v>
      </c>
      <c r="AO15" s="49">
        <f t="shared" ref="AO15:BB15" si="13">SUM(AO16:AO17)</f>
        <v>490</v>
      </c>
      <c r="AP15" s="49">
        <f t="shared" si="13"/>
        <v>430</v>
      </c>
      <c r="AQ15" s="115">
        <f t="shared" si="9"/>
        <v>0.87755102040816324</v>
      </c>
      <c r="AR15" s="116">
        <f t="shared" si="13"/>
        <v>14006700.670000006</v>
      </c>
      <c r="AS15" s="117">
        <f t="shared" si="2"/>
        <v>1.026970057966011E-2</v>
      </c>
      <c r="AT15" s="118">
        <f t="shared" si="13"/>
        <v>0</v>
      </c>
      <c r="AU15" s="48">
        <f t="shared" si="13"/>
        <v>14006700.670000006</v>
      </c>
      <c r="AV15" s="48">
        <f t="shared" si="13"/>
        <v>0</v>
      </c>
      <c r="AW15" s="48">
        <f t="shared" si="13"/>
        <v>10534756.75</v>
      </c>
      <c r="AX15" s="115">
        <f t="shared" si="5"/>
        <v>0.75212264459707312</v>
      </c>
      <c r="AY15" s="119">
        <f t="shared" si="13"/>
        <v>407</v>
      </c>
      <c r="AZ15" s="48">
        <f t="shared" si="13"/>
        <v>0</v>
      </c>
      <c r="BA15" s="48">
        <f t="shared" si="13"/>
        <v>0</v>
      </c>
      <c r="BB15" s="120">
        <f t="shared" si="13"/>
        <v>0</v>
      </c>
    </row>
    <row r="16" spans="1:54" ht="30" x14ac:dyDescent="0.25">
      <c r="A16" s="121" t="s">
        <v>44</v>
      </c>
      <c r="B16" s="85" t="s">
        <v>33</v>
      </c>
      <c r="C16" s="86">
        <v>0</v>
      </c>
      <c r="D16" s="87">
        <v>0</v>
      </c>
      <c r="E16" s="122">
        <v>0</v>
      </c>
      <c r="F16" s="123">
        <v>0</v>
      </c>
      <c r="G16" s="124">
        <v>31566288.789999999</v>
      </c>
      <c r="H16" s="122">
        <v>49</v>
      </c>
      <c r="I16" s="122">
        <v>0</v>
      </c>
      <c r="J16" s="123">
        <v>0</v>
      </c>
      <c r="K16" s="124">
        <v>149349485.5</v>
      </c>
      <c r="L16" s="122">
        <v>47</v>
      </c>
      <c r="M16" s="122">
        <v>16</v>
      </c>
      <c r="N16" s="125">
        <v>204901.34</v>
      </c>
      <c r="O16" s="124">
        <v>161593416.08000001</v>
      </c>
      <c r="P16" s="122">
        <v>61</v>
      </c>
      <c r="Q16" s="122">
        <v>42</v>
      </c>
      <c r="R16" s="123">
        <v>272146.21000000002</v>
      </c>
      <c r="S16" s="126">
        <v>157518134.28</v>
      </c>
      <c r="T16" s="127">
        <v>93</v>
      </c>
      <c r="U16" s="127">
        <v>43</v>
      </c>
      <c r="V16" s="125">
        <v>203260.18</v>
      </c>
      <c r="W16" s="124">
        <v>438174168.62999994</v>
      </c>
      <c r="X16" s="127">
        <v>119</v>
      </c>
      <c r="Y16" s="127">
        <v>58</v>
      </c>
      <c r="Z16" s="125">
        <v>484426.33999999997</v>
      </c>
      <c r="AA16" s="124">
        <v>260089672.76000023</v>
      </c>
      <c r="AB16" s="128">
        <v>370074263.61000001</v>
      </c>
      <c r="AC16" s="127">
        <v>227</v>
      </c>
      <c r="AD16" s="127">
        <v>63</v>
      </c>
      <c r="AE16" s="128">
        <v>3114124.34</v>
      </c>
      <c r="AF16" s="123">
        <v>4430999.74</v>
      </c>
      <c r="AG16" s="129">
        <v>458589019.67999995</v>
      </c>
      <c r="AH16" s="130">
        <v>45</v>
      </c>
      <c r="AI16" s="130">
        <v>66</v>
      </c>
      <c r="AJ16" s="131">
        <v>7612070.2400000002</v>
      </c>
      <c r="AK16" s="132"/>
      <c r="AL16" s="133">
        <v>1527576553</v>
      </c>
      <c r="AM16" s="129">
        <v>1355896663.24</v>
      </c>
      <c r="AN16" s="129">
        <v>207984932.69999999</v>
      </c>
      <c r="AO16" s="100">
        <v>456</v>
      </c>
      <c r="AP16" s="100">
        <v>311</v>
      </c>
      <c r="AQ16" s="101">
        <f t="shared" si="9"/>
        <v>0.68201754385964908</v>
      </c>
      <c r="AR16" s="102">
        <v>13907275.970000006</v>
      </c>
      <c r="AS16" s="103">
        <f t="shared" si="2"/>
        <v>1.0256884869653487E-2</v>
      </c>
      <c r="AT16" s="104"/>
      <c r="AU16" s="105">
        <v>13907275.970000006</v>
      </c>
      <c r="AV16" s="105"/>
      <c r="AW16" s="105">
        <v>10524046.699999999</v>
      </c>
      <c r="AX16" s="101">
        <f t="shared" si="5"/>
        <v>0.75672955097043315</v>
      </c>
      <c r="AY16" s="106">
        <v>302</v>
      </c>
      <c r="AZ16" s="105"/>
      <c r="BA16" s="105">
        <v>0</v>
      </c>
      <c r="BB16" s="107">
        <v>0</v>
      </c>
    </row>
    <row r="17" spans="1:55" x14ac:dyDescent="0.25">
      <c r="A17" s="121" t="s">
        <v>45</v>
      </c>
      <c r="B17" s="85" t="s">
        <v>46</v>
      </c>
      <c r="C17" s="86">
        <v>0</v>
      </c>
      <c r="D17" s="87">
        <v>0</v>
      </c>
      <c r="E17" s="122">
        <v>0</v>
      </c>
      <c r="F17" s="123">
        <v>0</v>
      </c>
      <c r="G17" s="124">
        <v>0</v>
      </c>
      <c r="H17" s="122">
        <v>16</v>
      </c>
      <c r="I17" s="122">
        <v>0</v>
      </c>
      <c r="J17" s="123">
        <v>0</v>
      </c>
      <c r="K17" s="124">
        <v>519304.51</v>
      </c>
      <c r="L17" s="122">
        <v>0</v>
      </c>
      <c r="M17" s="122">
        <v>45</v>
      </c>
      <c r="N17" s="125">
        <v>4830.1499999999996</v>
      </c>
      <c r="O17" s="124">
        <v>595337.93999999994</v>
      </c>
      <c r="P17" s="122">
        <v>0</v>
      </c>
      <c r="Q17" s="122">
        <v>15</v>
      </c>
      <c r="R17" s="123">
        <v>271.57</v>
      </c>
      <c r="S17" s="126">
        <v>784072.24</v>
      </c>
      <c r="T17" s="127">
        <v>18</v>
      </c>
      <c r="U17" s="127">
        <v>22</v>
      </c>
      <c r="V17" s="125">
        <v>898.36</v>
      </c>
      <c r="W17" s="124">
        <v>2901189.27</v>
      </c>
      <c r="X17" s="127">
        <v>0</v>
      </c>
      <c r="Y17" s="127">
        <v>13</v>
      </c>
      <c r="Z17" s="125">
        <v>91.71</v>
      </c>
      <c r="AA17" s="124">
        <v>1090100.6400000001</v>
      </c>
      <c r="AB17" s="128">
        <v>1551073.47</v>
      </c>
      <c r="AC17" s="127">
        <v>9</v>
      </c>
      <c r="AD17" s="127">
        <v>4</v>
      </c>
      <c r="AE17" s="128">
        <v>182.3</v>
      </c>
      <c r="AF17" s="123">
        <v>259.39</v>
      </c>
      <c r="AG17" s="129">
        <v>2335222.2400000002</v>
      </c>
      <c r="AH17" s="130">
        <v>0</v>
      </c>
      <c r="AI17" s="130">
        <v>20</v>
      </c>
      <c r="AJ17" s="131">
        <v>90533.2</v>
      </c>
      <c r="AK17" s="132"/>
      <c r="AL17" s="133">
        <v>12200000</v>
      </c>
      <c r="AM17" s="129">
        <v>7989319.7400000002</v>
      </c>
      <c r="AN17" s="129">
        <v>1004683.64</v>
      </c>
      <c r="AO17" s="100">
        <v>34</v>
      </c>
      <c r="AP17" s="100">
        <v>119</v>
      </c>
      <c r="AQ17" s="101">
        <f t="shared" si="9"/>
        <v>3.5</v>
      </c>
      <c r="AR17" s="102">
        <v>99424.700000000041</v>
      </c>
      <c r="AS17" s="103">
        <f t="shared" si="2"/>
        <v>1.2444701581063526E-2</v>
      </c>
      <c r="AT17" s="104"/>
      <c r="AU17" s="105">
        <v>99424.700000000041</v>
      </c>
      <c r="AV17" s="105"/>
      <c r="AW17" s="105">
        <v>10710.05</v>
      </c>
      <c r="AX17" s="101">
        <f t="shared" si="5"/>
        <v>0.10772021439340521</v>
      </c>
      <c r="AY17" s="106">
        <v>105</v>
      </c>
      <c r="AZ17" s="105"/>
      <c r="BA17" s="105">
        <v>0</v>
      </c>
      <c r="BB17" s="107">
        <v>0</v>
      </c>
    </row>
    <row r="18" spans="1:55" s="142" customFormat="1" ht="25.5" x14ac:dyDescent="0.25">
      <c r="A18" s="134" t="s">
        <v>47</v>
      </c>
      <c r="B18" s="135" t="s">
        <v>48</v>
      </c>
      <c r="C18" s="136"/>
      <c r="D18" s="137"/>
      <c r="E18" s="137"/>
      <c r="F18" s="50"/>
      <c r="G18" s="136">
        <v>49191.4</v>
      </c>
      <c r="H18" s="137">
        <v>1</v>
      </c>
      <c r="I18" s="137">
        <v>1</v>
      </c>
      <c r="J18" s="50">
        <v>18.88</v>
      </c>
      <c r="K18" s="136">
        <f>1432537.84+2545539.43</f>
        <v>3978077.2700000005</v>
      </c>
      <c r="L18" s="137">
        <f>30+30</f>
        <v>60</v>
      </c>
      <c r="M18" s="137">
        <f>23+22</f>
        <v>45</v>
      </c>
      <c r="N18" s="116">
        <f>16343.75+7954.99</f>
        <v>24298.739999999998</v>
      </c>
      <c r="O18" s="138">
        <f>1814056.61+773985.13</f>
        <v>2588041.7400000002</v>
      </c>
      <c r="P18" s="139">
        <f>58+16</f>
        <v>74</v>
      </c>
      <c r="Q18" s="139">
        <f>10+14</f>
        <v>24</v>
      </c>
      <c r="R18" s="140">
        <f>7954.99+12663.22</f>
        <v>20618.21</v>
      </c>
      <c r="S18" s="52">
        <f>3434826.04+585723.86</f>
        <v>4020549.9</v>
      </c>
      <c r="T18" s="49">
        <f>54+20</f>
        <v>74</v>
      </c>
      <c r="U18" s="49">
        <f>14+13</f>
        <v>27</v>
      </c>
      <c r="V18" s="116">
        <f>2002.54+4921.63</f>
        <v>6924.17</v>
      </c>
      <c r="W18" s="136">
        <f>883882.82+2433133</f>
        <v>3317015.82</v>
      </c>
      <c r="X18" s="49">
        <f>21+22</f>
        <v>43</v>
      </c>
      <c r="Y18" s="49">
        <f>19+13</f>
        <v>32</v>
      </c>
      <c r="Z18" s="116">
        <f>8171.9+4282.37</f>
        <v>12454.27</v>
      </c>
      <c r="AA18" s="136">
        <f>3387049+975783.07</f>
        <v>4362832.07</v>
      </c>
      <c r="AB18" s="48">
        <f>4819336.54+1388414.22</f>
        <v>6207750.7599999998</v>
      </c>
      <c r="AC18" s="49">
        <f>35+14</f>
        <v>49</v>
      </c>
      <c r="AD18" s="49">
        <f>27+28</f>
        <v>55</v>
      </c>
      <c r="AE18" s="48">
        <f>4785.88+4163.05</f>
        <v>8948.93</v>
      </c>
      <c r="AF18" s="50">
        <f>6809.69+5923.49</f>
        <v>12733.18</v>
      </c>
      <c r="AG18" s="48">
        <f>3534416.76+6029704.82</f>
        <v>9564121.5800000001</v>
      </c>
      <c r="AH18" s="49">
        <f>34+35</f>
        <v>69</v>
      </c>
      <c r="AI18" s="49">
        <f>21+6</f>
        <v>27</v>
      </c>
      <c r="AJ18" s="50">
        <f>16328.41+14848.54</f>
        <v>31176.95</v>
      </c>
      <c r="AK18" s="52"/>
      <c r="AL18" s="52">
        <f>9392812.13+29448829.82</f>
        <v>38841641.950000003</v>
      </c>
      <c r="AM18" s="48">
        <f>8910688.8+17858170.82+6029704.82</f>
        <v>32798564.440000001</v>
      </c>
      <c r="AN18" s="48">
        <f>3541658.73+6158789.07917428+2473417.72</f>
        <v>12173865.529174281</v>
      </c>
      <c r="AO18" s="53">
        <f>118+200+35</f>
        <v>353</v>
      </c>
      <c r="AP18" s="53">
        <f>130+(87+6)</f>
        <v>223</v>
      </c>
      <c r="AQ18" s="54">
        <f>AP18/AO18</f>
        <v>0.63172804532577909</v>
      </c>
      <c r="AR18" s="55">
        <f>65050.66+34323.13+14848.54</f>
        <v>114222.33000000002</v>
      </c>
      <c r="AS18" s="56">
        <f t="shared" si="2"/>
        <v>3.4825405303623102E-3</v>
      </c>
      <c r="AT18" s="141" t="e">
        <f>#REF!</f>
        <v>#REF!</v>
      </c>
      <c r="AU18" s="58">
        <f>AR18</f>
        <v>114222.33000000002</v>
      </c>
      <c r="AV18" s="58"/>
      <c r="AW18" s="58">
        <f>65050.66+25641.32+14848.54</f>
        <v>105540.52000000002</v>
      </c>
      <c r="AX18" s="54">
        <f t="shared" si="5"/>
        <v>0.92399200751726918</v>
      </c>
      <c r="AY18" s="59">
        <f>130+(54+6)</f>
        <v>190</v>
      </c>
      <c r="AZ18" s="58"/>
      <c r="BA18" s="58">
        <v>0</v>
      </c>
      <c r="BB18" s="60">
        <v>0</v>
      </c>
    </row>
    <row r="19" spans="1:55" s="142" customFormat="1" ht="38.25" x14ac:dyDescent="0.25">
      <c r="A19" s="134" t="s">
        <v>49</v>
      </c>
      <c r="B19" s="143" t="s">
        <v>50</v>
      </c>
      <c r="C19" s="144">
        <f>C20+C22+C24</f>
        <v>67977068</v>
      </c>
      <c r="D19" s="145">
        <f>D20+D22+D24</f>
        <v>159296</v>
      </c>
      <c r="E19" s="146">
        <f>E20+E22+E24</f>
        <v>55</v>
      </c>
      <c r="F19" s="147">
        <f>F20+F22+F24</f>
        <v>30986.720000000001</v>
      </c>
      <c r="G19" s="136">
        <f>G20+G22+G24</f>
        <v>186948493</v>
      </c>
      <c r="H19" s="49">
        <f t="shared" ref="H19:AO19" si="14">H20+H22+H24</f>
        <v>311574</v>
      </c>
      <c r="I19" s="137">
        <f t="shared" si="14"/>
        <v>878</v>
      </c>
      <c r="J19" s="50">
        <f t="shared" si="14"/>
        <v>45906.48</v>
      </c>
      <c r="K19" s="136">
        <f t="shared" si="14"/>
        <v>252522860.33000001</v>
      </c>
      <c r="L19" s="49">
        <f t="shared" si="14"/>
        <v>280797</v>
      </c>
      <c r="M19" s="49">
        <f t="shared" si="14"/>
        <v>1525</v>
      </c>
      <c r="N19" s="116">
        <f>N20+N22+N24</f>
        <v>540904.55000000005</v>
      </c>
      <c r="O19" s="136">
        <f t="shared" si="14"/>
        <v>322063204.69999999</v>
      </c>
      <c r="P19" s="49">
        <f t="shared" si="14"/>
        <v>363647</v>
      </c>
      <c r="Q19" s="49">
        <f t="shared" si="14"/>
        <v>2252</v>
      </c>
      <c r="R19" s="50">
        <f t="shared" si="14"/>
        <v>554007.42000000004</v>
      </c>
      <c r="S19" s="52">
        <f t="shared" si="14"/>
        <v>329119757.89999998</v>
      </c>
      <c r="T19" s="49">
        <f t="shared" si="14"/>
        <v>231396</v>
      </c>
      <c r="U19" s="49">
        <f t="shared" si="14"/>
        <v>1761</v>
      </c>
      <c r="V19" s="116">
        <f t="shared" si="14"/>
        <v>981478.5</v>
      </c>
      <c r="W19" s="136">
        <f t="shared" si="14"/>
        <v>380792987</v>
      </c>
      <c r="X19" s="49">
        <f t="shared" si="14"/>
        <v>258988</v>
      </c>
      <c r="Y19" s="49">
        <f t="shared" si="14"/>
        <v>2395</v>
      </c>
      <c r="Z19" s="116">
        <f t="shared" si="14"/>
        <v>1484992.7899999998</v>
      </c>
      <c r="AA19" s="136">
        <f t="shared" si="14"/>
        <v>336760078.61999995</v>
      </c>
      <c r="AB19" s="48">
        <f t="shared" si="14"/>
        <v>479166422.81</v>
      </c>
      <c r="AC19" s="49">
        <f t="shared" si="14"/>
        <v>226408</v>
      </c>
      <c r="AD19" s="49">
        <f t="shared" si="14"/>
        <v>2201</v>
      </c>
      <c r="AE19" s="48">
        <f t="shared" si="14"/>
        <v>1855080</v>
      </c>
      <c r="AF19" s="50">
        <f t="shared" si="14"/>
        <v>2639541.04</v>
      </c>
      <c r="AG19" s="48">
        <f t="shared" si="14"/>
        <v>403782111.94999999</v>
      </c>
      <c r="AH19" s="49">
        <f t="shared" si="14"/>
        <v>260586</v>
      </c>
      <c r="AI19" s="49">
        <f t="shared" si="14"/>
        <v>911</v>
      </c>
      <c r="AJ19" s="50">
        <f t="shared" si="14"/>
        <v>3313078.97</v>
      </c>
      <c r="AK19" s="52">
        <f t="shared" si="14"/>
        <v>0</v>
      </c>
      <c r="AL19" s="52">
        <v>2991074871.6999998</v>
      </c>
      <c r="AM19" s="48">
        <f t="shared" si="14"/>
        <v>3056504366.3899994</v>
      </c>
      <c r="AN19" s="48">
        <f t="shared" si="14"/>
        <v>32610690.829999998</v>
      </c>
      <c r="AO19" s="53">
        <f t="shared" si="14"/>
        <v>2092692</v>
      </c>
      <c r="AP19" s="53">
        <f>AP20+AP22+AP24</f>
        <v>11674</v>
      </c>
      <c r="AQ19" s="54">
        <f t="shared" si="9"/>
        <v>5.5784606621519075E-3</v>
      </c>
      <c r="AR19" s="55">
        <f t="shared" ref="AR19" si="15">AR20+AR22+AR24</f>
        <v>11034084.74</v>
      </c>
      <c r="AS19" s="56">
        <f t="shared" si="2"/>
        <v>3.6100340183816671E-3</v>
      </c>
      <c r="AT19" s="141">
        <f>AT20+AT22+AT24</f>
        <v>0</v>
      </c>
      <c r="AU19" s="58">
        <f t="shared" ref="AU19:AW19" si="16">AU20+AU22+AU24</f>
        <v>11034084.74</v>
      </c>
      <c r="AV19" s="58">
        <f>AV20+AV22+AV24</f>
        <v>0</v>
      </c>
      <c r="AW19" s="58">
        <f t="shared" si="16"/>
        <v>5409023.5700000003</v>
      </c>
      <c r="AX19" s="54">
        <f t="shared" si="5"/>
        <v>0.490210443136401</v>
      </c>
      <c r="AY19" s="59">
        <f>AY20+AY22+AY24</f>
        <v>10458</v>
      </c>
      <c r="AZ19" s="58">
        <f>AZ20+AZ22+AZ24</f>
        <v>0</v>
      </c>
      <c r="BA19" s="58">
        <f t="shared" ref="BA19" si="17">BA20+BA22+BA24</f>
        <v>4447758.84</v>
      </c>
      <c r="BB19" s="60">
        <f>BB20+BB22+BB24</f>
        <v>25</v>
      </c>
    </row>
    <row r="20" spans="1:55" s="142" customFormat="1" ht="25.5" x14ac:dyDescent="0.25">
      <c r="A20" s="148" t="s">
        <v>51</v>
      </c>
      <c r="B20" s="149" t="s">
        <v>52</v>
      </c>
      <c r="C20" s="150">
        <v>67977068</v>
      </c>
      <c r="D20" s="130">
        <v>159296</v>
      </c>
      <c r="E20" s="151">
        <v>55</v>
      </c>
      <c r="F20" s="131">
        <v>30986.720000000001</v>
      </c>
      <c r="G20" s="150">
        <v>122282348</v>
      </c>
      <c r="H20" s="130">
        <v>253003</v>
      </c>
      <c r="I20" s="151">
        <v>755</v>
      </c>
      <c r="J20" s="131">
        <v>44395</v>
      </c>
      <c r="K20" s="150">
        <v>140234477.33000001</v>
      </c>
      <c r="L20" s="130">
        <v>215734</v>
      </c>
      <c r="M20" s="130">
        <v>1059</v>
      </c>
      <c r="N20" s="152">
        <v>198607.76</v>
      </c>
      <c r="O20" s="150">
        <v>148578361.69999999</v>
      </c>
      <c r="P20" s="130">
        <v>285042</v>
      </c>
      <c r="Q20" s="130">
        <v>817</v>
      </c>
      <c r="R20" s="131">
        <v>152169.78</v>
      </c>
      <c r="S20" s="133">
        <v>150157442.90000001</v>
      </c>
      <c r="T20" s="130">
        <v>180817</v>
      </c>
      <c r="U20" s="130">
        <v>752</v>
      </c>
      <c r="V20" s="152">
        <v>253674.49</v>
      </c>
      <c r="W20" s="150">
        <v>158306777</v>
      </c>
      <c r="X20" s="130">
        <v>202146</v>
      </c>
      <c r="Y20" s="130">
        <v>1185</v>
      </c>
      <c r="Z20" s="152">
        <v>444446.01</v>
      </c>
      <c r="AA20" s="150">
        <v>160066728.19</v>
      </c>
      <c r="AB20" s="129">
        <v>227754435.36000001</v>
      </c>
      <c r="AC20" s="130">
        <v>171212</v>
      </c>
      <c r="AD20" s="130">
        <v>1202</v>
      </c>
      <c r="AE20" s="129">
        <v>271563</v>
      </c>
      <c r="AF20" s="131">
        <v>386399.34</v>
      </c>
      <c r="AG20" s="129">
        <v>253077954.33000001</v>
      </c>
      <c r="AH20" s="130">
        <v>202789</v>
      </c>
      <c r="AI20" s="130">
        <v>404</v>
      </c>
      <c r="AJ20" s="131">
        <v>342425.41</v>
      </c>
      <c r="AK20" s="133"/>
      <c r="AL20" s="133">
        <v>1941413235</v>
      </c>
      <c r="AM20" s="129">
        <v>1608529666.8999999</v>
      </c>
      <c r="AN20" s="129">
        <v>10189611</v>
      </c>
      <c r="AO20" s="100">
        <v>1670039</v>
      </c>
      <c r="AP20" s="100">
        <v>5947</v>
      </c>
      <c r="AQ20" s="101">
        <f t="shared" si="9"/>
        <v>3.5609946833576938E-3</v>
      </c>
      <c r="AR20" s="102">
        <v>2282960.2000000002</v>
      </c>
      <c r="AS20" s="103">
        <f t="shared" si="2"/>
        <v>1.4192838633805122E-3</v>
      </c>
      <c r="AT20" s="153"/>
      <c r="AU20" s="105">
        <v>2282960.2000000002</v>
      </c>
      <c r="AV20" s="105"/>
      <c r="AW20" s="105">
        <v>1799174</v>
      </c>
      <c r="AX20" s="101">
        <f t="shared" si="5"/>
        <v>0.78808820232608512</v>
      </c>
      <c r="AY20" s="106">
        <v>5167</v>
      </c>
      <c r="AZ20" s="105"/>
      <c r="BA20" s="105">
        <v>0</v>
      </c>
      <c r="BB20" s="107">
        <v>0</v>
      </c>
    </row>
    <row r="21" spans="1:55" s="142" customFormat="1" x14ac:dyDescent="0.25">
      <c r="A21" s="148" t="s">
        <v>53</v>
      </c>
      <c r="B21" s="149" t="s">
        <v>54</v>
      </c>
      <c r="C21" s="150" t="s">
        <v>55</v>
      </c>
      <c r="D21" s="130" t="s">
        <v>55</v>
      </c>
      <c r="E21" s="151" t="s">
        <v>55</v>
      </c>
      <c r="F21" s="131" t="s">
        <v>55</v>
      </c>
      <c r="G21" s="150" t="s">
        <v>55</v>
      </c>
      <c r="H21" s="130" t="s">
        <v>55</v>
      </c>
      <c r="I21" s="151" t="s">
        <v>55</v>
      </c>
      <c r="J21" s="131" t="s">
        <v>55</v>
      </c>
      <c r="K21" s="150">
        <v>1226140.67</v>
      </c>
      <c r="L21" s="130">
        <v>28</v>
      </c>
      <c r="M21" s="130" t="s">
        <v>55</v>
      </c>
      <c r="N21" s="152" t="s">
        <v>55</v>
      </c>
      <c r="O21" s="150">
        <v>500803.3</v>
      </c>
      <c r="P21" s="130">
        <v>24</v>
      </c>
      <c r="Q21" s="130" t="s">
        <v>55</v>
      </c>
      <c r="R21" s="131" t="s">
        <v>55</v>
      </c>
      <c r="S21" s="133">
        <v>447994.1</v>
      </c>
      <c r="T21" s="130">
        <v>4</v>
      </c>
      <c r="U21" s="130">
        <v>0</v>
      </c>
      <c r="V21" s="152">
        <v>0</v>
      </c>
      <c r="W21" s="150">
        <v>7531551</v>
      </c>
      <c r="X21" s="130">
        <v>10</v>
      </c>
      <c r="Y21" s="130">
        <v>0</v>
      </c>
      <c r="Z21" s="152">
        <v>0</v>
      </c>
      <c r="AA21" s="150">
        <v>2838743.71</v>
      </c>
      <c r="AB21" s="129">
        <v>4039168.4</v>
      </c>
      <c r="AC21" s="130">
        <v>12</v>
      </c>
      <c r="AD21" s="130">
        <v>0</v>
      </c>
      <c r="AE21" s="129">
        <v>0</v>
      </c>
      <c r="AF21" s="131">
        <v>0</v>
      </c>
      <c r="AG21" s="129">
        <v>2887385.8499999996</v>
      </c>
      <c r="AH21" s="130">
        <v>9</v>
      </c>
      <c r="AI21" s="130">
        <v>0</v>
      </c>
      <c r="AJ21" s="131">
        <v>0</v>
      </c>
      <c r="AK21" s="133" t="s">
        <v>55</v>
      </c>
      <c r="AL21" s="133" t="s">
        <v>56</v>
      </c>
      <c r="AM21" s="129">
        <v>20737643.930489011</v>
      </c>
      <c r="AN21" s="129">
        <v>0</v>
      </c>
      <c r="AO21" s="100">
        <v>87</v>
      </c>
      <c r="AP21" s="100">
        <v>0</v>
      </c>
      <c r="AQ21" s="101">
        <f t="shared" si="9"/>
        <v>0</v>
      </c>
      <c r="AR21" s="102">
        <v>0</v>
      </c>
      <c r="AS21" s="103">
        <f t="shared" si="2"/>
        <v>0</v>
      </c>
      <c r="AT21" s="153"/>
      <c r="AU21" s="105">
        <v>0</v>
      </c>
      <c r="AV21" s="105"/>
      <c r="AW21" s="105">
        <v>0</v>
      </c>
      <c r="AX21" s="101">
        <v>0</v>
      </c>
      <c r="AY21" s="106">
        <v>0</v>
      </c>
      <c r="AZ21" s="105"/>
      <c r="BA21" s="105">
        <v>0</v>
      </c>
      <c r="BB21" s="107">
        <v>0</v>
      </c>
    </row>
    <row r="22" spans="1:55" s="142" customFormat="1" ht="25.5" x14ac:dyDescent="0.25">
      <c r="A22" s="148" t="s">
        <v>57</v>
      </c>
      <c r="B22" s="149" t="s">
        <v>58</v>
      </c>
      <c r="C22" s="150">
        <v>0</v>
      </c>
      <c r="D22" s="130">
        <v>0</v>
      </c>
      <c r="E22" s="151">
        <v>0</v>
      </c>
      <c r="F22" s="131">
        <v>0</v>
      </c>
      <c r="G22" s="150">
        <v>64449967</v>
      </c>
      <c r="H22" s="130">
        <v>58492</v>
      </c>
      <c r="I22" s="151">
        <v>123</v>
      </c>
      <c r="J22" s="131">
        <v>1511.48</v>
      </c>
      <c r="K22" s="150">
        <v>98528265</v>
      </c>
      <c r="L22" s="130">
        <v>64713</v>
      </c>
      <c r="M22" s="130">
        <v>464</v>
      </c>
      <c r="N22" s="152">
        <v>333569.37</v>
      </c>
      <c r="O22" s="150">
        <v>155267028</v>
      </c>
      <c r="P22" s="130">
        <v>78323</v>
      </c>
      <c r="Q22" s="130">
        <v>1432</v>
      </c>
      <c r="R22" s="131">
        <v>389717.98</v>
      </c>
      <c r="S22" s="133">
        <v>159043149</v>
      </c>
      <c r="T22" s="130">
        <v>50145</v>
      </c>
      <c r="U22" s="130">
        <v>1004</v>
      </c>
      <c r="V22" s="152">
        <v>688013.65</v>
      </c>
      <c r="W22" s="150">
        <v>199463371</v>
      </c>
      <c r="X22" s="130">
        <v>56508</v>
      </c>
      <c r="Y22" s="130">
        <v>1205</v>
      </c>
      <c r="Z22" s="152">
        <v>1017391.2699999999</v>
      </c>
      <c r="AA22" s="150">
        <v>160913240.84999999</v>
      </c>
      <c r="AB22" s="129">
        <v>228958914.36000001</v>
      </c>
      <c r="AC22" s="130">
        <v>54922</v>
      </c>
      <c r="AD22" s="130">
        <v>992</v>
      </c>
      <c r="AE22" s="129">
        <v>1274549</v>
      </c>
      <c r="AF22" s="131">
        <v>1813519.84</v>
      </c>
      <c r="AG22" s="154">
        <v>137019560.19999999</v>
      </c>
      <c r="AH22" s="130">
        <v>57614</v>
      </c>
      <c r="AI22" s="130">
        <v>507</v>
      </c>
      <c r="AJ22" s="131">
        <v>2970653.56</v>
      </c>
      <c r="AK22" s="133"/>
      <c r="AL22" s="133">
        <v>1382974218</v>
      </c>
      <c r="AM22" s="129">
        <v>1307788018.29</v>
      </c>
      <c r="AN22" s="129">
        <v>21264904</v>
      </c>
      <c r="AO22" s="100">
        <v>420717</v>
      </c>
      <c r="AP22" s="100">
        <v>5705</v>
      </c>
      <c r="AQ22" s="101">
        <f t="shared" si="9"/>
        <v>1.3560184161799976E-2</v>
      </c>
      <c r="AR22" s="102">
        <v>7946525.54</v>
      </c>
      <c r="AS22" s="103">
        <f t="shared" si="2"/>
        <v>6.0763100967926673E-3</v>
      </c>
      <c r="AT22" s="153"/>
      <c r="AU22" s="105">
        <v>7946525.54</v>
      </c>
      <c r="AV22" s="105"/>
      <c r="AW22" s="105">
        <v>3376362</v>
      </c>
      <c r="AX22" s="101">
        <f t="shared" si="5"/>
        <v>0.4248853140916225</v>
      </c>
      <c r="AY22" s="106">
        <v>5272</v>
      </c>
      <c r="AZ22" s="105"/>
      <c r="BA22" s="105">
        <v>4318921.2699999996</v>
      </c>
      <c r="BB22" s="107">
        <v>22</v>
      </c>
    </row>
    <row r="23" spans="1:55" s="142" customFormat="1" x14ac:dyDescent="0.25">
      <c r="A23" s="148" t="s">
        <v>59</v>
      </c>
      <c r="B23" s="155" t="s">
        <v>60</v>
      </c>
      <c r="C23" s="150">
        <v>0</v>
      </c>
      <c r="D23" s="130">
        <v>0</v>
      </c>
      <c r="E23" s="151">
        <v>0</v>
      </c>
      <c r="F23" s="131">
        <v>0</v>
      </c>
      <c r="G23" s="150">
        <v>0</v>
      </c>
      <c r="H23" s="130">
        <v>0</v>
      </c>
      <c r="I23" s="151">
        <v>0</v>
      </c>
      <c r="J23" s="131">
        <v>0</v>
      </c>
      <c r="K23" s="150">
        <v>9146330.8900000006</v>
      </c>
      <c r="L23" s="130">
        <v>646</v>
      </c>
      <c r="M23" s="130">
        <v>7</v>
      </c>
      <c r="N23" s="152">
        <v>160832.67000000001</v>
      </c>
      <c r="O23" s="150">
        <v>8575325.3900000006</v>
      </c>
      <c r="P23" s="130">
        <v>918</v>
      </c>
      <c r="Q23" s="130">
        <v>47</v>
      </c>
      <c r="R23" s="131">
        <v>456512.92</v>
      </c>
      <c r="S23" s="133">
        <v>11381733.960000001</v>
      </c>
      <c r="T23" s="130">
        <v>1101</v>
      </c>
      <c r="U23" s="130">
        <v>81</v>
      </c>
      <c r="V23" s="152">
        <v>667938.99</v>
      </c>
      <c r="W23" s="150">
        <v>15152085</v>
      </c>
      <c r="X23" s="130">
        <v>1103</v>
      </c>
      <c r="Y23" s="130">
        <v>32</v>
      </c>
      <c r="Z23" s="152">
        <v>88081.1</v>
      </c>
      <c r="AA23" s="150">
        <v>4033792.29</v>
      </c>
      <c r="AB23" s="129">
        <v>5739569.3399999999</v>
      </c>
      <c r="AC23" s="130">
        <v>729</v>
      </c>
      <c r="AD23" s="130">
        <v>44</v>
      </c>
      <c r="AE23" s="129">
        <v>80036</v>
      </c>
      <c r="AF23" s="131">
        <v>113880.97</v>
      </c>
      <c r="AG23" s="129">
        <v>3462002.1</v>
      </c>
      <c r="AH23" s="130">
        <v>585</v>
      </c>
      <c r="AI23" s="130">
        <v>103</v>
      </c>
      <c r="AJ23" s="131">
        <v>84544.83</v>
      </c>
      <c r="AK23" s="133" t="s">
        <v>55</v>
      </c>
      <c r="AL23" s="133" t="s">
        <v>56</v>
      </c>
      <c r="AM23" s="129">
        <v>72171439.624544531</v>
      </c>
      <c r="AN23" s="129">
        <v>4028822</v>
      </c>
      <c r="AO23" s="100">
        <v>5082</v>
      </c>
      <c r="AP23" s="100">
        <v>312</v>
      </c>
      <c r="AQ23" s="101">
        <f t="shared" si="9"/>
        <v>6.1393152302243209E-2</v>
      </c>
      <c r="AR23" s="156">
        <v>2109927.31</v>
      </c>
      <c r="AS23" s="157">
        <f t="shared" si="2"/>
        <v>2.9234934497308299E-2</v>
      </c>
      <c r="AT23" s="153"/>
      <c r="AU23" s="105">
        <v>2109927.31</v>
      </c>
      <c r="AV23" s="105"/>
      <c r="AW23" s="105">
        <v>1903925</v>
      </c>
      <c r="AX23" s="101">
        <f t="shared" si="5"/>
        <v>0.90236520991806113</v>
      </c>
      <c r="AY23" s="106">
        <v>203</v>
      </c>
      <c r="AZ23" s="105"/>
      <c r="BA23" s="105">
        <v>0</v>
      </c>
      <c r="BB23" s="107">
        <v>0</v>
      </c>
    </row>
    <row r="24" spans="1:55" s="142" customFormat="1" x14ac:dyDescent="0.25">
      <c r="A24" s="148" t="s">
        <v>61</v>
      </c>
      <c r="B24" s="149" t="s">
        <v>62</v>
      </c>
      <c r="C24" s="150">
        <v>0</v>
      </c>
      <c r="D24" s="130">
        <v>0</v>
      </c>
      <c r="E24" s="151">
        <v>0</v>
      </c>
      <c r="F24" s="131">
        <v>0</v>
      </c>
      <c r="G24" s="150">
        <v>216178</v>
      </c>
      <c r="H24" s="130">
        <v>79</v>
      </c>
      <c r="I24" s="151">
        <v>0</v>
      </c>
      <c r="J24" s="131">
        <v>0</v>
      </c>
      <c r="K24" s="150">
        <v>13760118</v>
      </c>
      <c r="L24" s="130">
        <v>350</v>
      </c>
      <c r="M24" s="130">
        <v>2</v>
      </c>
      <c r="N24" s="152">
        <v>8727.42</v>
      </c>
      <c r="O24" s="150">
        <v>18217815</v>
      </c>
      <c r="P24" s="130">
        <v>282</v>
      </c>
      <c r="Q24" s="130">
        <v>3</v>
      </c>
      <c r="R24" s="131">
        <v>12119.66</v>
      </c>
      <c r="S24" s="133">
        <v>19919166</v>
      </c>
      <c r="T24" s="130">
        <v>434</v>
      </c>
      <c r="U24" s="130">
        <v>5</v>
      </c>
      <c r="V24" s="152">
        <v>39790.36</v>
      </c>
      <c r="W24" s="150">
        <v>23022839</v>
      </c>
      <c r="X24" s="130">
        <v>334</v>
      </c>
      <c r="Y24" s="130">
        <v>5</v>
      </c>
      <c r="Z24" s="152">
        <v>23155.51</v>
      </c>
      <c r="AA24" s="150">
        <v>15780109.580000002</v>
      </c>
      <c r="AB24" s="129">
        <v>22453073.09</v>
      </c>
      <c r="AC24" s="130">
        <v>274</v>
      </c>
      <c r="AD24" s="130">
        <v>7</v>
      </c>
      <c r="AE24" s="129">
        <v>308968</v>
      </c>
      <c r="AF24" s="131">
        <v>439621.86</v>
      </c>
      <c r="AG24" s="129">
        <v>13684597.42</v>
      </c>
      <c r="AH24" s="130">
        <v>183</v>
      </c>
      <c r="AI24" s="130">
        <v>0</v>
      </c>
      <c r="AJ24" s="131">
        <v>0</v>
      </c>
      <c r="AK24" s="133"/>
      <c r="AL24" s="133">
        <v>166687419</v>
      </c>
      <c r="AM24" s="129">
        <v>140186681.19999999</v>
      </c>
      <c r="AN24" s="129">
        <v>1156175.83</v>
      </c>
      <c r="AO24" s="100">
        <v>1936</v>
      </c>
      <c r="AP24" s="100">
        <v>22</v>
      </c>
      <c r="AQ24" s="101">
        <f t="shared" si="9"/>
        <v>1.1363636363636364E-2</v>
      </c>
      <c r="AR24" s="102">
        <v>804599</v>
      </c>
      <c r="AS24" s="103">
        <f t="shared" si="2"/>
        <v>5.7394824751725417E-3</v>
      </c>
      <c r="AT24" s="153"/>
      <c r="AU24" s="105">
        <v>804599</v>
      </c>
      <c r="AV24" s="105"/>
      <c r="AW24" s="105">
        <v>233487.57</v>
      </c>
      <c r="AX24" s="101">
        <f t="shared" si="5"/>
        <v>0.29019122569130712</v>
      </c>
      <c r="AY24" s="106">
        <v>19</v>
      </c>
      <c r="AZ24" s="105"/>
      <c r="BA24" s="105">
        <v>128837.57</v>
      </c>
      <c r="BB24" s="107">
        <v>3</v>
      </c>
    </row>
    <row r="25" spans="1:55" s="142" customFormat="1" x14ac:dyDescent="0.25">
      <c r="A25" s="148" t="s">
        <v>63</v>
      </c>
      <c r="B25" s="149" t="s">
        <v>64</v>
      </c>
      <c r="C25" s="150">
        <v>0</v>
      </c>
      <c r="D25" s="130">
        <v>0</v>
      </c>
      <c r="E25" s="151">
        <v>0</v>
      </c>
      <c r="F25" s="131">
        <v>0</v>
      </c>
      <c r="G25" s="150">
        <v>0</v>
      </c>
      <c r="H25" s="130">
        <v>0</v>
      </c>
      <c r="I25" s="151">
        <v>0</v>
      </c>
      <c r="J25" s="131">
        <v>0</v>
      </c>
      <c r="K25" s="150">
        <v>0</v>
      </c>
      <c r="L25" s="130">
        <v>0</v>
      </c>
      <c r="M25" s="130">
        <v>0</v>
      </c>
      <c r="N25" s="152">
        <v>0</v>
      </c>
      <c r="O25" s="150">
        <v>241503.79</v>
      </c>
      <c r="P25" s="130">
        <v>40</v>
      </c>
      <c r="Q25" s="130">
        <v>0</v>
      </c>
      <c r="R25" s="131">
        <v>0</v>
      </c>
      <c r="S25" s="133">
        <v>1119497.32</v>
      </c>
      <c r="T25" s="130">
        <v>131</v>
      </c>
      <c r="U25" s="130">
        <v>3</v>
      </c>
      <c r="V25" s="152">
        <v>98.33</v>
      </c>
      <c r="W25" s="150">
        <v>1294052</v>
      </c>
      <c r="X25" s="130">
        <v>152</v>
      </c>
      <c r="Y25" s="130">
        <v>3</v>
      </c>
      <c r="Z25" s="152">
        <v>20694.61</v>
      </c>
      <c r="AA25" s="150">
        <v>1544457.11</v>
      </c>
      <c r="AB25" s="129">
        <v>2197564.48</v>
      </c>
      <c r="AC25" s="130">
        <v>140</v>
      </c>
      <c r="AD25" s="130">
        <v>11</v>
      </c>
      <c r="AE25" s="129">
        <v>7166</v>
      </c>
      <c r="AF25" s="131">
        <v>10196.299999999999</v>
      </c>
      <c r="AG25" s="129">
        <v>816889.09000000008</v>
      </c>
      <c r="AH25" s="130">
        <v>115</v>
      </c>
      <c r="AI25" s="130">
        <v>23</v>
      </c>
      <c r="AJ25" s="131">
        <v>29483</v>
      </c>
      <c r="AK25" s="133" t="s">
        <v>55</v>
      </c>
      <c r="AL25" s="133" t="s">
        <v>56</v>
      </c>
      <c r="AM25" s="129">
        <v>6792253.8005025024</v>
      </c>
      <c r="AN25" s="129">
        <v>586602</v>
      </c>
      <c r="AO25" s="100">
        <v>578</v>
      </c>
      <c r="AP25" s="100">
        <v>39</v>
      </c>
      <c r="AQ25" s="101">
        <f t="shared" si="9"/>
        <v>6.7474048442906581E-2</v>
      </c>
      <c r="AR25" s="102">
        <v>64057.42</v>
      </c>
      <c r="AS25" s="103">
        <f t="shared" si="2"/>
        <v>9.4309520641382566E-3</v>
      </c>
      <c r="AT25" s="153"/>
      <c r="AU25" s="105">
        <v>64057.42</v>
      </c>
      <c r="AV25" s="105"/>
      <c r="AW25" s="105">
        <v>8306</v>
      </c>
      <c r="AX25" s="101">
        <f t="shared" si="5"/>
        <v>0.12966491625794482</v>
      </c>
      <c r="AY25" s="106">
        <v>21</v>
      </c>
      <c r="AZ25" s="105"/>
      <c r="BA25" s="105">
        <v>0</v>
      </c>
      <c r="BB25" s="107">
        <v>0</v>
      </c>
    </row>
    <row r="26" spans="1:55" s="142" customFormat="1" ht="39" x14ac:dyDescent="0.25">
      <c r="A26" s="134" t="s">
        <v>65</v>
      </c>
      <c r="B26" s="158" t="s">
        <v>66</v>
      </c>
      <c r="C26" s="136">
        <f>SUM(C27:C33)</f>
        <v>0</v>
      </c>
      <c r="D26" s="49">
        <f>SUM(D27:D33)</f>
        <v>0</v>
      </c>
      <c r="E26" s="137">
        <f>SUM(E27:E33)</f>
        <v>0</v>
      </c>
      <c r="F26" s="50">
        <f>SUM(E27:E33)</f>
        <v>0</v>
      </c>
      <c r="G26" s="136">
        <f t="shared" ref="G26:AP26" si="18">SUM(G27:G33)</f>
        <v>0</v>
      </c>
      <c r="H26" s="137">
        <f>SUM(H27:H33)</f>
        <v>50</v>
      </c>
      <c r="I26" s="137">
        <f t="shared" si="18"/>
        <v>0</v>
      </c>
      <c r="J26" s="50">
        <f t="shared" si="18"/>
        <v>0</v>
      </c>
      <c r="K26" s="136">
        <f t="shared" si="18"/>
        <v>1146755.25</v>
      </c>
      <c r="L26" s="137">
        <f t="shared" si="18"/>
        <v>81</v>
      </c>
      <c r="M26" s="137">
        <f t="shared" si="18"/>
        <v>0</v>
      </c>
      <c r="N26" s="116">
        <f t="shared" si="18"/>
        <v>0</v>
      </c>
      <c r="O26" s="136">
        <f t="shared" si="18"/>
        <v>9088423.9200000018</v>
      </c>
      <c r="P26" s="137">
        <f t="shared" si="18"/>
        <v>74</v>
      </c>
      <c r="Q26" s="137">
        <f t="shared" si="18"/>
        <v>0</v>
      </c>
      <c r="R26" s="50">
        <f t="shared" si="18"/>
        <v>0</v>
      </c>
      <c r="S26" s="52">
        <f t="shared" si="18"/>
        <v>11846232.059999999</v>
      </c>
      <c r="T26" s="49">
        <f t="shared" si="18"/>
        <v>117</v>
      </c>
      <c r="U26" s="49">
        <f t="shared" si="18"/>
        <v>1</v>
      </c>
      <c r="V26" s="116">
        <f t="shared" si="18"/>
        <v>1034</v>
      </c>
      <c r="W26" s="136">
        <f t="shared" si="18"/>
        <v>16655874.369999999</v>
      </c>
      <c r="X26" s="49">
        <f t="shared" si="18"/>
        <v>53</v>
      </c>
      <c r="Y26" s="49">
        <f t="shared" si="18"/>
        <v>2</v>
      </c>
      <c r="Z26" s="116">
        <f t="shared" si="18"/>
        <v>2107.59</v>
      </c>
      <c r="AA26" s="136">
        <f t="shared" si="18"/>
        <v>14137148.830000002</v>
      </c>
      <c r="AB26" s="48">
        <f t="shared" si="18"/>
        <v>20115350.560000002</v>
      </c>
      <c r="AC26" s="49">
        <f t="shared" si="18"/>
        <v>17</v>
      </c>
      <c r="AD26" s="49">
        <f t="shared" si="18"/>
        <v>8</v>
      </c>
      <c r="AE26" s="48">
        <f t="shared" si="18"/>
        <v>26979.7</v>
      </c>
      <c r="AF26" s="50">
        <f t="shared" si="18"/>
        <v>38388.659999999996</v>
      </c>
      <c r="AG26" s="48">
        <f t="shared" si="18"/>
        <v>13921731.079999998</v>
      </c>
      <c r="AH26" s="48">
        <f t="shared" si="18"/>
        <v>0</v>
      </c>
      <c r="AI26" s="49">
        <f>SUM(AI27:AI33)</f>
        <v>7</v>
      </c>
      <c r="AJ26" s="50">
        <f t="shared" si="18"/>
        <v>542098.17999999993</v>
      </c>
      <c r="AK26" s="52">
        <f t="shared" si="18"/>
        <v>0</v>
      </c>
      <c r="AL26" s="52">
        <f t="shared" si="18"/>
        <v>94809065.907373786</v>
      </c>
      <c r="AM26" s="48">
        <f t="shared" si="18"/>
        <v>89126815.137385637</v>
      </c>
      <c r="AN26" s="48">
        <f t="shared" si="18"/>
        <v>3627308.7208169564</v>
      </c>
      <c r="AO26" s="53">
        <f>SUM(AO27:AO33)</f>
        <v>392</v>
      </c>
      <c r="AP26" s="53">
        <f t="shared" si="18"/>
        <v>18</v>
      </c>
      <c r="AQ26" s="54">
        <f t="shared" si="9"/>
        <v>4.5918367346938778E-2</v>
      </c>
      <c r="AR26" s="55">
        <f t="shared" ref="AR26" si="19">SUM(AR27:AR33)</f>
        <v>584956.91985156608</v>
      </c>
      <c r="AS26" s="56">
        <f t="shared" si="2"/>
        <v>6.5631978316500706E-3</v>
      </c>
      <c r="AT26" s="141">
        <f>SUM(AT27:AT33)</f>
        <v>0</v>
      </c>
      <c r="AU26" s="58">
        <f>SUM(AU27:AU33)</f>
        <v>584956.91985156608</v>
      </c>
      <c r="AV26" s="58">
        <f>SUM(AV27:AV33)</f>
        <v>0</v>
      </c>
      <c r="AW26" s="58">
        <f t="shared" ref="AW26" si="20">SUM(AW27:AW33)</f>
        <v>584956.91985156608</v>
      </c>
      <c r="AX26" s="54">
        <f>AW26/AR26</f>
        <v>1</v>
      </c>
      <c r="AY26" s="59">
        <f>SUM(AY27:AY33)</f>
        <v>16</v>
      </c>
      <c r="AZ26" s="58">
        <f t="shared" ref="AZ26:BB26" si="21">SUM(AZ27:AZ33)</f>
        <v>0</v>
      </c>
      <c r="BA26" s="58">
        <f t="shared" si="21"/>
        <v>0</v>
      </c>
      <c r="BB26" s="60">
        <f t="shared" si="21"/>
        <v>0</v>
      </c>
    </row>
    <row r="27" spans="1:55" s="142" customFormat="1" ht="30" x14ac:dyDescent="0.25">
      <c r="A27" s="148" t="s">
        <v>67</v>
      </c>
      <c r="B27" s="159" t="s">
        <v>68</v>
      </c>
      <c r="C27" s="160"/>
      <c r="D27" s="161"/>
      <c r="E27" s="151"/>
      <c r="F27" s="131"/>
      <c r="G27" s="150"/>
      <c r="H27" s="151">
        <v>18</v>
      </c>
      <c r="I27" s="151"/>
      <c r="J27" s="131"/>
      <c r="K27" s="150">
        <v>217281.74</v>
      </c>
      <c r="L27" s="151">
        <v>25</v>
      </c>
      <c r="M27" s="151"/>
      <c r="N27" s="152"/>
      <c r="O27" s="150">
        <v>5031631.5</v>
      </c>
      <c r="P27" s="162">
        <v>30</v>
      </c>
      <c r="Q27" s="151"/>
      <c r="R27" s="131"/>
      <c r="S27" s="133">
        <v>6069319.7000000002</v>
      </c>
      <c r="T27" s="151">
        <v>42</v>
      </c>
      <c r="U27" s="130"/>
      <c r="V27" s="152"/>
      <c r="W27" s="150">
        <v>5568676.8899999997</v>
      </c>
      <c r="X27" s="130">
        <v>44</v>
      </c>
      <c r="Y27" s="130">
        <v>2</v>
      </c>
      <c r="Z27" s="152">
        <v>2107.59</v>
      </c>
      <c r="AA27" s="150">
        <v>5395533.1299999999</v>
      </c>
      <c r="AB27" s="129">
        <v>7677152</v>
      </c>
      <c r="AC27" s="130">
        <v>7</v>
      </c>
      <c r="AD27" s="130">
        <v>0</v>
      </c>
      <c r="AE27" s="129"/>
      <c r="AF27" s="131"/>
      <c r="AG27" s="129">
        <v>5639380.0499999998</v>
      </c>
      <c r="AH27" s="129"/>
      <c r="AI27" s="130">
        <v>4</v>
      </c>
      <c r="AJ27" s="131">
        <v>537619.4</v>
      </c>
      <c r="AK27" s="133"/>
      <c r="AL27" s="133">
        <v>40326251.472672328</v>
      </c>
      <c r="AM27" s="129">
        <f>31676601.7694834+5639380.05</f>
        <v>37315981.819483399</v>
      </c>
      <c r="AN27" s="154">
        <f>1590258.83/0.702804</f>
        <v>2262734.4608169561</v>
      </c>
      <c r="AO27" s="100">
        <v>166</v>
      </c>
      <c r="AP27" s="100">
        <f>2+AI27</f>
        <v>6</v>
      </c>
      <c r="AQ27" s="101">
        <f t="shared" si="9"/>
        <v>3.614457831325301E-2</v>
      </c>
      <c r="AR27" s="102">
        <f>2107.59/0.702804+537619.4</f>
        <v>540618.23039937171</v>
      </c>
      <c r="AS27" s="103">
        <f t="shared" si="2"/>
        <v>1.448757888817237E-2</v>
      </c>
      <c r="AT27" s="153"/>
      <c r="AU27" s="105">
        <f>AR27</f>
        <v>540618.23039937171</v>
      </c>
      <c r="AV27" s="105"/>
      <c r="AW27" s="163">
        <v>540618.23039937171</v>
      </c>
      <c r="AX27" s="164">
        <f t="shared" si="5"/>
        <v>1</v>
      </c>
      <c r="AY27" s="106">
        <v>6</v>
      </c>
      <c r="AZ27" s="105"/>
      <c r="BA27" s="105"/>
      <c r="BB27" s="107"/>
      <c r="BC27" s="165"/>
    </row>
    <row r="28" spans="1:55" s="142" customFormat="1" ht="30" x14ac:dyDescent="0.25">
      <c r="A28" s="148" t="s">
        <v>69</v>
      </c>
      <c r="B28" s="159" t="s">
        <v>70</v>
      </c>
      <c r="C28" s="160"/>
      <c r="D28" s="161"/>
      <c r="E28" s="151"/>
      <c r="F28" s="131"/>
      <c r="G28" s="150"/>
      <c r="H28" s="151">
        <v>8</v>
      </c>
      <c r="I28" s="151"/>
      <c r="J28" s="131"/>
      <c r="K28" s="150">
        <v>498726.23</v>
      </c>
      <c r="L28" s="151">
        <v>20</v>
      </c>
      <c r="M28" s="151"/>
      <c r="N28" s="152"/>
      <c r="O28" s="150">
        <v>2230814.1</v>
      </c>
      <c r="P28" s="162">
        <v>9</v>
      </c>
      <c r="Q28" s="151"/>
      <c r="R28" s="131"/>
      <c r="S28" s="133">
        <v>2393935.6</v>
      </c>
      <c r="T28" s="151">
        <v>20</v>
      </c>
      <c r="U28" s="130"/>
      <c r="V28" s="152"/>
      <c r="W28" s="150">
        <v>5014474.62</v>
      </c>
      <c r="X28" s="130">
        <v>6</v>
      </c>
      <c r="Y28" s="130"/>
      <c r="Z28" s="152"/>
      <c r="AA28" s="150">
        <v>2366218.7799999998</v>
      </c>
      <c r="AB28" s="129">
        <v>3366826</v>
      </c>
      <c r="AC28" s="130">
        <v>3</v>
      </c>
      <c r="AD28" s="130">
        <v>4</v>
      </c>
      <c r="AE28" s="129">
        <v>26497.27</v>
      </c>
      <c r="AF28" s="131">
        <v>37702.22</v>
      </c>
      <c r="AG28" s="129">
        <v>2416869.98</v>
      </c>
      <c r="AH28" s="129"/>
      <c r="AI28" s="130"/>
      <c r="AJ28" s="131"/>
      <c r="AK28" s="133"/>
      <c r="AL28" s="133">
        <v>19398089.48</v>
      </c>
      <c r="AM28" s="129">
        <f>17791830.0550367+2416869.98</f>
        <v>20208700.035036702</v>
      </c>
      <c r="AN28" s="129">
        <v>618438.44999999995</v>
      </c>
      <c r="AO28" s="100">
        <v>66</v>
      </c>
      <c r="AP28" s="100">
        <v>4</v>
      </c>
      <c r="AQ28" s="101">
        <f t="shared" si="9"/>
        <v>6.0606060606060608E-2</v>
      </c>
      <c r="AR28" s="102">
        <v>37702.22</v>
      </c>
      <c r="AS28" s="103">
        <f t="shared" si="2"/>
        <v>1.8656430119024987E-3</v>
      </c>
      <c r="AT28" s="153"/>
      <c r="AU28" s="105">
        <v>37702.22</v>
      </c>
      <c r="AV28" s="105"/>
      <c r="AW28" s="105">
        <v>37702.22</v>
      </c>
      <c r="AX28" s="101">
        <f t="shared" si="5"/>
        <v>1</v>
      </c>
      <c r="AY28" s="106">
        <v>4</v>
      </c>
      <c r="AZ28" s="105"/>
      <c r="BA28" s="105"/>
      <c r="BB28" s="107"/>
      <c r="BC28" s="165"/>
    </row>
    <row r="29" spans="1:55" s="142" customFormat="1" ht="27.6" customHeight="1" x14ac:dyDescent="0.25">
      <c r="A29" s="148" t="s">
        <v>71</v>
      </c>
      <c r="B29" s="159" t="s">
        <v>72</v>
      </c>
      <c r="C29" s="160"/>
      <c r="D29" s="161"/>
      <c r="E29" s="151"/>
      <c r="F29" s="131"/>
      <c r="G29" s="150"/>
      <c r="H29" s="151">
        <v>0</v>
      </c>
      <c r="I29" s="151"/>
      <c r="J29" s="131"/>
      <c r="K29" s="150">
        <v>94101.05</v>
      </c>
      <c r="L29" s="151">
        <v>13</v>
      </c>
      <c r="M29" s="151"/>
      <c r="N29" s="152"/>
      <c r="O29" s="150">
        <v>657155.4</v>
      </c>
      <c r="P29" s="162">
        <v>14</v>
      </c>
      <c r="Q29" s="151"/>
      <c r="R29" s="131"/>
      <c r="S29" s="133">
        <v>1050824.7</v>
      </c>
      <c r="T29" s="151">
        <v>19</v>
      </c>
      <c r="U29" s="130"/>
      <c r="V29" s="152"/>
      <c r="W29" s="150">
        <v>2218271.4900000002</v>
      </c>
      <c r="X29" s="130">
        <v>0</v>
      </c>
      <c r="Y29" s="130"/>
      <c r="Z29" s="152"/>
      <c r="AA29" s="150">
        <v>3606712.12</v>
      </c>
      <c r="AB29" s="129">
        <v>5131889</v>
      </c>
      <c r="AC29" s="130">
        <v>0</v>
      </c>
      <c r="AD29" s="130">
        <v>1</v>
      </c>
      <c r="AE29" s="129">
        <v>313.07</v>
      </c>
      <c r="AF29" s="131">
        <v>445.46</v>
      </c>
      <c r="AG29" s="129">
        <v>2512470.7599999998</v>
      </c>
      <c r="AH29" s="129"/>
      <c r="AI29" s="130">
        <v>2</v>
      </c>
      <c r="AJ29" s="131">
        <v>4420.45</v>
      </c>
      <c r="AK29" s="133"/>
      <c r="AL29" s="133">
        <v>14107293.996619258</v>
      </c>
      <c r="AM29" s="129">
        <f>10852335.4448751+2512470.76</f>
        <v>13364806.2048751</v>
      </c>
      <c r="AN29" s="129">
        <v>231319</v>
      </c>
      <c r="AO29" s="100">
        <v>46</v>
      </c>
      <c r="AP29" s="100">
        <f>1+AI29</f>
        <v>3</v>
      </c>
      <c r="AQ29" s="101">
        <f t="shared" si="9"/>
        <v>6.5217391304347824E-2</v>
      </c>
      <c r="AR29" s="102">
        <f>445.46+4420.45</f>
        <v>4865.91</v>
      </c>
      <c r="AS29" s="103">
        <f t="shared" si="2"/>
        <v>3.6408384269912231E-4</v>
      </c>
      <c r="AT29" s="153"/>
      <c r="AU29" s="105">
        <f>AR29</f>
        <v>4865.91</v>
      </c>
      <c r="AV29" s="105"/>
      <c r="AW29" s="105">
        <v>4865.91</v>
      </c>
      <c r="AX29" s="101">
        <f t="shared" si="5"/>
        <v>1</v>
      </c>
      <c r="AY29" s="106">
        <v>3</v>
      </c>
      <c r="AZ29" s="105"/>
      <c r="BA29" s="105"/>
      <c r="BB29" s="107"/>
      <c r="BC29" s="165"/>
    </row>
    <row r="30" spans="1:55" s="142" customFormat="1" ht="30" x14ac:dyDescent="0.25">
      <c r="A30" s="148" t="s">
        <v>73</v>
      </c>
      <c r="B30" s="159" t="s">
        <v>74</v>
      </c>
      <c r="C30" s="160"/>
      <c r="D30" s="161"/>
      <c r="E30" s="151"/>
      <c r="F30" s="131"/>
      <c r="G30" s="150"/>
      <c r="H30" s="151">
        <v>19</v>
      </c>
      <c r="I30" s="151"/>
      <c r="J30" s="131"/>
      <c r="K30" s="150">
        <v>260202.57</v>
      </c>
      <c r="L30" s="151">
        <v>17</v>
      </c>
      <c r="M30" s="151"/>
      <c r="N30" s="152"/>
      <c r="O30" s="150">
        <v>971324.88</v>
      </c>
      <c r="P30" s="162">
        <v>15</v>
      </c>
      <c r="Q30" s="151"/>
      <c r="R30" s="131"/>
      <c r="S30" s="133">
        <v>2013484.7</v>
      </c>
      <c r="T30" s="151">
        <v>12</v>
      </c>
      <c r="U30" s="130"/>
      <c r="V30" s="152"/>
      <c r="W30" s="150">
        <v>3252004.83</v>
      </c>
      <c r="X30" s="130">
        <v>3</v>
      </c>
      <c r="Y30" s="166"/>
      <c r="Z30" s="167"/>
      <c r="AA30" s="150">
        <v>1915380.56</v>
      </c>
      <c r="AB30" s="129">
        <v>2725341</v>
      </c>
      <c r="AC30" s="130">
        <v>0</v>
      </c>
      <c r="AD30" s="130">
        <v>2</v>
      </c>
      <c r="AE30" s="129">
        <v>122</v>
      </c>
      <c r="AF30" s="131">
        <v>173.59</v>
      </c>
      <c r="AG30" s="129">
        <v>2265223</v>
      </c>
      <c r="AH30" s="129"/>
      <c r="AI30" s="130">
        <v>1</v>
      </c>
      <c r="AJ30" s="131">
        <v>58.33</v>
      </c>
      <c r="AK30" s="133"/>
      <c r="AL30" s="133">
        <v>15636635.53423145</v>
      </c>
      <c r="AM30" s="129">
        <f>11969763.32+2265223</f>
        <v>14234986.32</v>
      </c>
      <c r="AN30" s="129">
        <v>505088.81</v>
      </c>
      <c r="AO30" s="100">
        <v>66</v>
      </c>
      <c r="AP30" s="100">
        <f>Y30+AD30+AI30</f>
        <v>3</v>
      </c>
      <c r="AQ30" s="101">
        <f t="shared" si="9"/>
        <v>4.5454545454545456E-2</v>
      </c>
      <c r="AR30" s="102">
        <f>173.59+58.33</f>
        <v>231.92000000000002</v>
      </c>
      <c r="AS30" s="103">
        <f t="shared" si="2"/>
        <v>1.629225309996645E-5</v>
      </c>
      <c r="AT30" s="153"/>
      <c r="AU30" s="105">
        <f>AR30</f>
        <v>231.92000000000002</v>
      </c>
      <c r="AV30" s="105"/>
      <c r="AW30" s="163">
        <v>231.92</v>
      </c>
      <c r="AX30" s="164">
        <f t="shared" si="5"/>
        <v>0.99999999999999989</v>
      </c>
      <c r="AY30" s="106">
        <v>1</v>
      </c>
      <c r="AZ30" s="105"/>
      <c r="BA30" s="105"/>
      <c r="BB30" s="107"/>
    </row>
    <row r="31" spans="1:55" s="142" customFormat="1" ht="30" x14ac:dyDescent="0.25">
      <c r="A31" s="148" t="s">
        <v>75</v>
      </c>
      <c r="B31" s="159" t="s">
        <v>76</v>
      </c>
      <c r="C31" s="160"/>
      <c r="D31" s="161"/>
      <c r="E31" s="151"/>
      <c r="F31" s="131"/>
      <c r="G31" s="150"/>
      <c r="H31" s="151">
        <v>4</v>
      </c>
      <c r="I31" s="151"/>
      <c r="J31" s="131"/>
      <c r="K31" s="150">
        <v>71521.41</v>
      </c>
      <c r="L31" s="151">
        <v>6</v>
      </c>
      <c r="M31" s="151"/>
      <c r="N31" s="152"/>
      <c r="O31" s="150">
        <v>182035.56</v>
      </c>
      <c r="P31" s="162">
        <v>1</v>
      </c>
      <c r="Q31" s="151"/>
      <c r="R31" s="131"/>
      <c r="S31" s="133">
        <v>275885.59000000003</v>
      </c>
      <c r="T31" s="151">
        <v>24</v>
      </c>
      <c r="U31" s="130">
        <v>1</v>
      </c>
      <c r="V31" s="152">
        <v>1034</v>
      </c>
      <c r="W31" s="150">
        <v>520298.82</v>
      </c>
      <c r="X31" s="130">
        <v>0</v>
      </c>
      <c r="Y31" s="130"/>
      <c r="Z31" s="152"/>
      <c r="AA31" s="150">
        <v>783511.9</v>
      </c>
      <c r="AB31" s="129">
        <v>1114837</v>
      </c>
      <c r="AC31" s="130">
        <v>0</v>
      </c>
      <c r="AD31" s="130">
        <v>0</v>
      </c>
      <c r="AE31" s="129"/>
      <c r="AF31" s="131"/>
      <c r="AG31" s="129">
        <v>989463.2</v>
      </c>
      <c r="AH31" s="129"/>
      <c r="AI31" s="130"/>
      <c r="AJ31" s="131"/>
      <c r="AK31" s="133"/>
      <c r="AL31" s="133">
        <v>4937729.4238507468</v>
      </c>
      <c r="AM31" s="129">
        <f>2608484.41+989463.2</f>
        <v>3597947.6100000003</v>
      </c>
      <c r="AN31" s="154" t="s">
        <v>77</v>
      </c>
      <c r="AO31" s="100">
        <v>35</v>
      </c>
      <c r="AP31" s="100">
        <f>U31</f>
        <v>1</v>
      </c>
      <c r="AQ31" s="101">
        <f t="shared" si="9"/>
        <v>2.8571428571428571E-2</v>
      </c>
      <c r="AR31" s="102">
        <f>V31/0.702804</f>
        <v>1471.2494521943529</v>
      </c>
      <c r="AS31" s="103">
        <f t="shared" si="2"/>
        <v>4.0891352839747232E-4</v>
      </c>
      <c r="AT31" s="153"/>
      <c r="AU31" s="105">
        <v>1471.2494521943529</v>
      </c>
      <c r="AV31" s="105"/>
      <c r="AW31" s="163">
        <v>1471.2494521943529</v>
      </c>
      <c r="AX31" s="164">
        <f>AW31/AR31</f>
        <v>1</v>
      </c>
      <c r="AY31" s="106">
        <v>1</v>
      </c>
      <c r="AZ31" s="105"/>
      <c r="BA31" s="105"/>
      <c r="BB31" s="107"/>
      <c r="BC31" s="165"/>
    </row>
    <row r="32" spans="1:55" s="142" customFormat="1" ht="30" x14ac:dyDescent="0.25">
      <c r="A32" s="148" t="s">
        <v>78</v>
      </c>
      <c r="B32" s="159" t="s">
        <v>79</v>
      </c>
      <c r="C32" s="160"/>
      <c r="D32" s="161"/>
      <c r="E32" s="151"/>
      <c r="F32" s="131"/>
      <c r="G32" s="150"/>
      <c r="H32" s="151">
        <v>1</v>
      </c>
      <c r="I32" s="151"/>
      <c r="J32" s="131"/>
      <c r="K32" s="150">
        <v>4922.25</v>
      </c>
      <c r="L32" s="151">
        <v>0</v>
      </c>
      <c r="M32" s="151"/>
      <c r="N32" s="152"/>
      <c r="O32" s="150">
        <v>13353.96</v>
      </c>
      <c r="P32" s="162">
        <v>2</v>
      </c>
      <c r="Q32" s="151"/>
      <c r="R32" s="131"/>
      <c r="S32" s="133">
        <v>22885.69</v>
      </c>
      <c r="T32" s="151">
        <v>0</v>
      </c>
      <c r="U32" s="130"/>
      <c r="V32" s="152"/>
      <c r="W32" s="150">
        <v>61353.61</v>
      </c>
      <c r="X32" s="130">
        <v>0</v>
      </c>
      <c r="Y32" s="130"/>
      <c r="Z32" s="152"/>
      <c r="AA32" s="150">
        <v>41925.39</v>
      </c>
      <c r="AB32" s="129">
        <v>59654.46</v>
      </c>
      <c r="AC32" s="130">
        <v>4</v>
      </c>
      <c r="AD32" s="130">
        <v>1</v>
      </c>
      <c r="AE32" s="129">
        <v>47.36</v>
      </c>
      <c r="AF32" s="131">
        <v>67.39</v>
      </c>
      <c r="AG32" s="129">
        <v>70351.98</v>
      </c>
      <c r="AH32" s="129"/>
      <c r="AI32" s="130"/>
      <c r="AJ32" s="131"/>
      <c r="AK32" s="133"/>
      <c r="AL32" s="133">
        <v>309292</v>
      </c>
      <c r="AM32" s="129">
        <f>205520.88+70351.98</f>
        <v>275872.86</v>
      </c>
      <c r="AN32" s="129">
        <v>9728</v>
      </c>
      <c r="AO32" s="100">
        <v>7</v>
      </c>
      <c r="AP32" s="100">
        <v>1</v>
      </c>
      <c r="AQ32" s="101">
        <f>AP32/AO32</f>
        <v>0.14285714285714285</v>
      </c>
      <c r="AR32" s="102">
        <v>67.39</v>
      </c>
      <c r="AS32" s="103">
        <f t="shared" si="2"/>
        <v>2.4427919440861271E-4</v>
      </c>
      <c r="AT32" s="153"/>
      <c r="AU32" s="105">
        <v>67.39</v>
      </c>
      <c r="AV32" s="105"/>
      <c r="AW32" s="105">
        <v>67.39</v>
      </c>
      <c r="AX32" s="101">
        <f>AW32/AR32</f>
        <v>1</v>
      </c>
      <c r="AY32" s="106">
        <v>1</v>
      </c>
      <c r="AZ32" s="105"/>
      <c r="BA32" s="105"/>
      <c r="BB32" s="107"/>
    </row>
    <row r="33" spans="1:54" s="142" customFormat="1" x14ac:dyDescent="0.25">
      <c r="A33" s="148" t="s">
        <v>80</v>
      </c>
      <c r="B33" s="159" t="s">
        <v>81</v>
      </c>
      <c r="C33" s="160"/>
      <c r="D33" s="161"/>
      <c r="E33" s="151"/>
      <c r="F33" s="131"/>
      <c r="G33" s="150"/>
      <c r="H33" s="151">
        <v>0</v>
      </c>
      <c r="I33" s="151"/>
      <c r="J33" s="131"/>
      <c r="K33" s="150">
        <v>0</v>
      </c>
      <c r="L33" s="151">
        <v>0</v>
      </c>
      <c r="M33" s="151"/>
      <c r="N33" s="152"/>
      <c r="O33" s="150">
        <v>2108.52</v>
      </c>
      <c r="P33" s="162">
        <v>3</v>
      </c>
      <c r="Q33" s="151"/>
      <c r="R33" s="131"/>
      <c r="S33" s="133">
        <v>19896.080000000002</v>
      </c>
      <c r="T33" s="151">
        <v>0</v>
      </c>
      <c r="U33" s="130"/>
      <c r="V33" s="152"/>
      <c r="W33" s="150">
        <v>20794.11</v>
      </c>
      <c r="X33" s="130">
        <v>0</v>
      </c>
      <c r="Y33" s="130"/>
      <c r="Z33" s="152"/>
      <c r="AA33" s="150">
        <v>27866.95</v>
      </c>
      <c r="AB33" s="129">
        <v>39651.1</v>
      </c>
      <c r="AC33" s="130">
        <v>3</v>
      </c>
      <c r="AD33" s="130">
        <v>0</v>
      </c>
      <c r="AE33" s="129">
        <v>0</v>
      </c>
      <c r="AF33" s="131">
        <v>0</v>
      </c>
      <c r="AG33" s="129">
        <v>27972.11</v>
      </c>
      <c r="AH33" s="129"/>
      <c r="AI33" s="130"/>
      <c r="AJ33" s="131"/>
      <c r="AK33" s="133"/>
      <c r="AL33" s="168">
        <v>93774</v>
      </c>
      <c r="AM33" s="154">
        <f>AG33+AB33+(W33/0.702804)+(S33/0.702804)+(O33/0.702804)</f>
        <v>128520.28799044968</v>
      </c>
      <c r="AN33" s="154">
        <v>0</v>
      </c>
      <c r="AO33" s="100">
        <v>6</v>
      </c>
      <c r="AP33" s="100">
        <v>0</v>
      </c>
      <c r="AQ33" s="101">
        <f t="shared" si="9"/>
        <v>0</v>
      </c>
      <c r="AR33" s="102">
        <v>0</v>
      </c>
      <c r="AS33" s="103">
        <f t="shared" si="2"/>
        <v>0</v>
      </c>
      <c r="AT33" s="153"/>
      <c r="AU33" s="105">
        <v>0</v>
      </c>
      <c r="AV33" s="105"/>
      <c r="AW33" s="105">
        <v>0</v>
      </c>
      <c r="AX33" s="101"/>
      <c r="AY33" s="106"/>
      <c r="AZ33" s="105"/>
      <c r="BA33" s="105"/>
      <c r="BB33" s="107"/>
    </row>
    <row r="34" spans="1:54" s="142" customFormat="1" x14ac:dyDescent="0.25">
      <c r="A34" s="169" t="s">
        <v>82</v>
      </c>
      <c r="B34" s="170" t="s">
        <v>83</v>
      </c>
      <c r="C34" s="171">
        <f t="shared" ref="C34:BB34" si="22">SUM(C35:C36)</f>
        <v>0</v>
      </c>
      <c r="D34" s="172">
        <f t="shared" si="22"/>
        <v>3</v>
      </c>
      <c r="E34" s="172">
        <f t="shared" si="22"/>
        <v>0</v>
      </c>
      <c r="F34" s="173">
        <f t="shared" si="22"/>
        <v>0</v>
      </c>
      <c r="G34" s="171">
        <f t="shared" si="22"/>
        <v>0</v>
      </c>
      <c r="H34" s="172">
        <f t="shared" si="22"/>
        <v>1</v>
      </c>
      <c r="I34" s="172">
        <f t="shared" si="22"/>
        <v>0</v>
      </c>
      <c r="J34" s="173">
        <f t="shared" si="22"/>
        <v>0</v>
      </c>
      <c r="K34" s="171">
        <f t="shared" si="22"/>
        <v>2584101.17</v>
      </c>
      <c r="L34" s="172">
        <f t="shared" si="22"/>
        <v>2</v>
      </c>
      <c r="M34" s="172">
        <f t="shared" si="22"/>
        <v>0</v>
      </c>
      <c r="N34" s="174">
        <f t="shared" si="22"/>
        <v>0</v>
      </c>
      <c r="O34" s="171">
        <f t="shared" si="22"/>
        <v>1202422.1599999999</v>
      </c>
      <c r="P34" s="175">
        <f t="shared" si="22"/>
        <v>0</v>
      </c>
      <c r="Q34" s="175">
        <f t="shared" si="22"/>
        <v>0</v>
      </c>
      <c r="R34" s="173">
        <f t="shared" si="22"/>
        <v>0</v>
      </c>
      <c r="S34" s="176">
        <f t="shared" si="22"/>
        <v>9881202</v>
      </c>
      <c r="T34" s="175">
        <f t="shared" si="22"/>
        <v>0</v>
      </c>
      <c r="U34" s="175">
        <f t="shared" si="22"/>
        <v>0</v>
      </c>
      <c r="V34" s="177">
        <f t="shared" si="22"/>
        <v>0</v>
      </c>
      <c r="W34" s="171">
        <f t="shared" si="22"/>
        <v>12541692</v>
      </c>
      <c r="X34" s="175">
        <f t="shared" si="22"/>
        <v>1</v>
      </c>
      <c r="Y34" s="175">
        <f t="shared" si="22"/>
        <v>0</v>
      </c>
      <c r="Z34" s="177">
        <f t="shared" si="22"/>
        <v>0</v>
      </c>
      <c r="AA34" s="171">
        <f t="shared" si="22"/>
        <v>5210138</v>
      </c>
      <c r="AB34" s="175">
        <f t="shared" si="22"/>
        <v>7413358.4897069456</v>
      </c>
      <c r="AC34" s="175">
        <f t="shared" si="22"/>
        <v>2</v>
      </c>
      <c r="AD34" s="175">
        <f t="shared" si="22"/>
        <v>0</v>
      </c>
      <c r="AE34" s="175">
        <f t="shared" si="22"/>
        <v>0</v>
      </c>
      <c r="AF34" s="178">
        <f t="shared" si="22"/>
        <v>0</v>
      </c>
      <c r="AG34" s="179">
        <f t="shared" si="22"/>
        <v>2036363</v>
      </c>
      <c r="AH34" s="175">
        <f t="shared" si="22"/>
        <v>1</v>
      </c>
      <c r="AI34" s="175">
        <f t="shared" si="22"/>
        <v>0</v>
      </c>
      <c r="AJ34" s="178">
        <f t="shared" si="22"/>
        <v>0</v>
      </c>
      <c r="AK34" s="180">
        <f t="shared" si="22"/>
        <v>0</v>
      </c>
      <c r="AL34" s="180">
        <f t="shared" si="22"/>
        <v>68129000</v>
      </c>
      <c r="AM34" s="179">
        <f t="shared" si="22"/>
        <v>46737277.419999994</v>
      </c>
      <c r="AN34" s="179">
        <f t="shared" si="22"/>
        <v>0</v>
      </c>
      <c r="AO34" s="175">
        <f t="shared" si="22"/>
        <v>10</v>
      </c>
      <c r="AP34" s="175">
        <f t="shared" si="22"/>
        <v>0</v>
      </c>
      <c r="AQ34" s="181">
        <v>0</v>
      </c>
      <c r="AR34" s="174">
        <f t="shared" si="22"/>
        <v>0</v>
      </c>
      <c r="AS34" s="182">
        <f t="shared" si="2"/>
        <v>0</v>
      </c>
      <c r="AT34" s="171">
        <f t="shared" si="22"/>
        <v>0</v>
      </c>
      <c r="AU34" s="179">
        <f t="shared" si="22"/>
        <v>0</v>
      </c>
      <c r="AV34" s="179">
        <f t="shared" si="22"/>
        <v>0</v>
      </c>
      <c r="AW34" s="179">
        <f t="shared" si="22"/>
        <v>0</v>
      </c>
      <c r="AX34" s="179">
        <v>0</v>
      </c>
      <c r="AY34" s="177">
        <f t="shared" si="22"/>
        <v>0</v>
      </c>
      <c r="AZ34" s="179">
        <f t="shared" si="22"/>
        <v>0</v>
      </c>
      <c r="BA34" s="179">
        <f t="shared" si="22"/>
        <v>0</v>
      </c>
      <c r="BB34" s="173">
        <f t="shared" si="22"/>
        <v>0</v>
      </c>
    </row>
    <row r="35" spans="1:54" s="142" customFormat="1" x14ac:dyDescent="0.25">
      <c r="A35" s="183" t="s">
        <v>84</v>
      </c>
      <c r="B35" s="184" t="s">
        <v>85</v>
      </c>
      <c r="C35" s="185">
        <v>0</v>
      </c>
      <c r="D35" s="186">
        <v>3</v>
      </c>
      <c r="E35" s="186">
        <v>0</v>
      </c>
      <c r="F35" s="97">
        <v>0</v>
      </c>
      <c r="G35" s="185">
        <v>0</v>
      </c>
      <c r="H35" s="186">
        <v>1</v>
      </c>
      <c r="I35" s="186">
        <v>0</v>
      </c>
      <c r="J35" s="97">
        <v>0</v>
      </c>
      <c r="K35" s="185">
        <v>2018576</v>
      </c>
      <c r="L35" s="186">
        <v>1</v>
      </c>
      <c r="M35" s="186"/>
      <c r="N35" s="187"/>
      <c r="O35" s="185">
        <v>679429</v>
      </c>
      <c r="P35" s="96">
        <v>0</v>
      </c>
      <c r="Q35" s="96">
        <v>0</v>
      </c>
      <c r="R35" s="97"/>
      <c r="S35" s="99">
        <v>9881202</v>
      </c>
      <c r="T35" s="96">
        <v>0</v>
      </c>
      <c r="U35" s="96">
        <v>0</v>
      </c>
      <c r="V35" s="187">
        <v>0</v>
      </c>
      <c r="W35" s="185">
        <v>12541692</v>
      </c>
      <c r="X35" s="96">
        <v>1</v>
      </c>
      <c r="Y35" s="96">
        <v>0</v>
      </c>
      <c r="Z35" s="187">
        <v>0</v>
      </c>
      <c r="AA35" s="185">
        <v>5210138</v>
      </c>
      <c r="AB35" s="95">
        <v>7413358.4897069456</v>
      </c>
      <c r="AC35" s="96">
        <v>2</v>
      </c>
      <c r="AD35" s="96">
        <v>0</v>
      </c>
      <c r="AE35" s="95">
        <v>0</v>
      </c>
      <c r="AF35" s="97">
        <v>0</v>
      </c>
      <c r="AG35" s="95">
        <v>2036363</v>
      </c>
      <c r="AH35" s="96">
        <v>1</v>
      </c>
      <c r="AI35" s="95"/>
      <c r="AJ35" s="97"/>
      <c r="AK35" s="99"/>
      <c r="AL35" s="99">
        <v>68129000</v>
      </c>
      <c r="AM35" s="95">
        <v>45188455.369999997</v>
      </c>
      <c r="AN35" s="95">
        <v>0</v>
      </c>
      <c r="AO35" s="100">
        <v>9</v>
      </c>
      <c r="AP35" s="100">
        <v>0</v>
      </c>
      <c r="AQ35" s="188">
        <v>0</v>
      </c>
      <c r="AR35" s="102">
        <v>0</v>
      </c>
      <c r="AS35" s="103">
        <f t="shared" si="2"/>
        <v>0</v>
      </c>
      <c r="AT35" s="153"/>
      <c r="AU35" s="105">
        <v>0</v>
      </c>
      <c r="AV35" s="105"/>
      <c r="AW35" s="105">
        <v>0</v>
      </c>
      <c r="AX35" s="101">
        <v>0</v>
      </c>
      <c r="AY35" s="106">
        <v>0</v>
      </c>
      <c r="AZ35" s="105"/>
      <c r="BA35" s="105">
        <v>0</v>
      </c>
      <c r="BB35" s="107">
        <v>0</v>
      </c>
    </row>
    <row r="36" spans="1:54" s="142" customFormat="1" ht="16.5" thickBot="1" x14ac:dyDescent="0.3">
      <c r="A36" s="189" t="s">
        <v>86</v>
      </c>
      <c r="B36" s="190" t="s">
        <v>87</v>
      </c>
      <c r="C36" s="185">
        <v>0</v>
      </c>
      <c r="D36" s="186">
        <v>0</v>
      </c>
      <c r="E36" s="186">
        <v>0</v>
      </c>
      <c r="F36" s="97">
        <v>0</v>
      </c>
      <c r="G36" s="185">
        <v>0</v>
      </c>
      <c r="H36" s="186">
        <v>0</v>
      </c>
      <c r="I36" s="186">
        <v>0</v>
      </c>
      <c r="J36" s="97">
        <v>0</v>
      </c>
      <c r="K36" s="185">
        <v>565525.17000000004</v>
      </c>
      <c r="L36" s="186">
        <v>1</v>
      </c>
      <c r="M36" s="186"/>
      <c r="N36" s="187"/>
      <c r="O36" s="185">
        <v>522993.16</v>
      </c>
      <c r="P36" s="96">
        <v>0</v>
      </c>
      <c r="Q36" s="96">
        <v>0</v>
      </c>
      <c r="R36" s="97"/>
      <c r="S36" s="99">
        <v>0</v>
      </c>
      <c r="T36" s="96">
        <v>0</v>
      </c>
      <c r="U36" s="96">
        <v>0</v>
      </c>
      <c r="V36" s="187">
        <v>0</v>
      </c>
      <c r="W36" s="185"/>
      <c r="X36" s="96"/>
      <c r="Y36" s="96"/>
      <c r="Z36" s="187"/>
      <c r="AA36" s="185"/>
      <c r="AB36" s="95"/>
      <c r="AC36" s="96"/>
      <c r="AD36" s="96"/>
      <c r="AE36" s="95"/>
      <c r="AF36" s="97"/>
      <c r="AG36" s="95"/>
      <c r="AH36" s="95"/>
      <c r="AI36" s="95"/>
      <c r="AJ36" s="97"/>
      <c r="AK36" s="99"/>
      <c r="AL36" s="99"/>
      <c r="AM36" s="95">
        <v>1548822.05</v>
      </c>
      <c r="AN36" s="95"/>
      <c r="AO36" s="100">
        <v>1</v>
      </c>
      <c r="AP36" s="100"/>
      <c r="AQ36" s="101"/>
      <c r="AR36" s="102"/>
      <c r="AS36" s="103"/>
      <c r="AT36" s="153"/>
      <c r="AU36" s="105"/>
      <c r="AV36" s="105"/>
      <c r="AW36" s="105"/>
      <c r="AX36" s="101"/>
      <c r="AY36" s="106"/>
      <c r="AZ36" s="105"/>
      <c r="BA36" s="105"/>
      <c r="BB36" s="107"/>
    </row>
    <row r="37" spans="1:54" ht="16.5" thickBot="1" x14ac:dyDescent="0.3">
      <c r="A37" s="230" t="s">
        <v>88</v>
      </c>
      <c r="B37" s="231"/>
      <c r="C37" s="191">
        <f t="shared" ref="C37:AN37" si="23">SUM(C7+C15+C18+C19+C26+C34)</f>
        <v>67977068</v>
      </c>
      <c r="D37" s="192">
        <f t="shared" si="23"/>
        <v>159299</v>
      </c>
      <c r="E37" s="193">
        <f t="shared" si="23"/>
        <v>55</v>
      </c>
      <c r="F37" s="194">
        <f t="shared" si="23"/>
        <v>30986.720000000001</v>
      </c>
      <c r="G37" s="191">
        <f t="shared" si="23"/>
        <v>286345960.56</v>
      </c>
      <c r="H37" s="192">
        <f t="shared" si="23"/>
        <v>312000</v>
      </c>
      <c r="I37" s="195">
        <f t="shared" si="23"/>
        <v>879</v>
      </c>
      <c r="J37" s="194">
        <f t="shared" si="23"/>
        <v>45925.36</v>
      </c>
      <c r="K37" s="191">
        <f t="shared" si="23"/>
        <v>698422966.55999994</v>
      </c>
      <c r="L37" s="192">
        <f t="shared" si="23"/>
        <v>281806</v>
      </c>
      <c r="M37" s="192">
        <f t="shared" si="23"/>
        <v>1831</v>
      </c>
      <c r="N37" s="196">
        <f t="shared" si="23"/>
        <v>1101170.17</v>
      </c>
      <c r="O37" s="191">
        <f t="shared" si="23"/>
        <v>832498934.78999996</v>
      </c>
      <c r="P37" s="192">
        <f t="shared" si="23"/>
        <v>364781</v>
      </c>
      <c r="Q37" s="192">
        <f t="shared" si="23"/>
        <v>2542</v>
      </c>
      <c r="R37" s="194">
        <f t="shared" si="23"/>
        <v>3664097.3899999997</v>
      </c>
      <c r="S37" s="197">
        <f t="shared" si="23"/>
        <v>966372525.94999993</v>
      </c>
      <c r="T37" s="192">
        <f t="shared" si="23"/>
        <v>233059</v>
      </c>
      <c r="U37" s="192">
        <f t="shared" si="23"/>
        <v>2816</v>
      </c>
      <c r="V37" s="196">
        <f t="shared" si="23"/>
        <v>9124510.5300000012</v>
      </c>
      <c r="W37" s="191">
        <f t="shared" si="23"/>
        <v>2091248371</v>
      </c>
      <c r="X37" s="192">
        <f t="shared" si="23"/>
        <v>261148</v>
      </c>
      <c r="Y37" s="192">
        <f t="shared" si="23"/>
        <v>4039</v>
      </c>
      <c r="Z37" s="196">
        <f t="shared" si="23"/>
        <v>17067801.320000008</v>
      </c>
      <c r="AA37" s="191">
        <f>SUM(AA7+AA15+AA18+AA19+AA26+AA34)</f>
        <v>1151055675.7800002</v>
      </c>
      <c r="AB37" s="198">
        <f t="shared" si="23"/>
        <v>1637804673.5397069</v>
      </c>
      <c r="AC37" s="192">
        <f t="shared" si="23"/>
        <v>229926</v>
      </c>
      <c r="AD37" s="192">
        <f t="shared" si="23"/>
        <v>3788</v>
      </c>
      <c r="AE37" s="198">
        <f t="shared" si="23"/>
        <v>34116449.645537108</v>
      </c>
      <c r="AF37" s="194">
        <f>SUM(AF7+AF15+AF18+AF19+AF26+AF34)</f>
        <v>48543334.490000002</v>
      </c>
      <c r="AG37" s="198">
        <f>SUM(AG7+AG15+AG18+AG19+AG26+AG34)</f>
        <v>1608568339.6599996</v>
      </c>
      <c r="AH37" s="192">
        <f>SUM(AH7+AH15+AH18+AH19+AH26+AH34)</f>
        <v>261719</v>
      </c>
      <c r="AI37" s="192">
        <f>SUM(AI7+AI15+AI18+AI19+AI26+AI34)</f>
        <v>2147</v>
      </c>
      <c r="AJ37" s="194">
        <f>SUM(AJ7+AJ15+AJ18+AJ19+AJ26+AJ34)</f>
        <v>26577408.230000015</v>
      </c>
      <c r="AK37" s="197">
        <f t="shared" si="23"/>
        <v>0</v>
      </c>
      <c r="AL37" s="197">
        <f t="shared" si="23"/>
        <v>7723302213.557373</v>
      </c>
      <c r="AM37" s="198">
        <f t="shared" si="23"/>
        <v>7594851335.367384</v>
      </c>
      <c r="AN37" s="198">
        <f t="shared" si="23"/>
        <v>1229873714.669991</v>
      </c>
      <c r="AO37" s="199">
        <f>SUM(AO7+AO15+AO18+AO19+AO26+AO34)</f>
        <v>2101643</v>
      </c>
      <c r="AP37" s="199">
        <f>SUM(AP7+AP15+AP18+AP19+AP26+AP34)</f>
        <v>18158</v>
      </c>
      <c r="AQ37" s="200">
        <f>AP37/AO37</f>
        <v>8.63990696802454E-3</v>
      </c>
      <c r="AR37" s="201">
        <f>SUM(AR7+AR15+AR18+AR19+AR26+AR34)</f>
        <v>119819636.72985145</v>
      </c>
      <c r="AS37" s="202">
        <f>AR37/AM37</f>
        <v>1.5776429509802306E-2</v>
      </c>
      <c r="AT37" s="203" t="e">
        <f>SUM(AT7+AT15+AT18+AT19+AT26+AT34)</f>
        <v>#REF!</v>
      </c>
      <c r="AU37" s="204">
        <f t="shared" ref="AU37:AW37" si="24">SUM(AU7+AU15+AU18+AU19+AU26+AU34)</f>
        <v>119819636.72985145</v>
      </c>
      <c r="AV37" s="204">
        <f>SUM(AV7+AV15+AV18+AV19+AV26+AV34)</f>
        <v>0</v>
      </c>
      <c r="AW37" s="204">
        <f t="shared" si="24"/>
        <v>96968327.499851555</v>
      </c>
      <c r="AX37" s="205">
        <f>AW37/AR37</f>
        <v>0.80928577440506622</v>
      </c>
      <c r="AY37" s="206">
        <f>SUM(AY7+AY15+AY18+AY19+AY26+AY34)</f>
        <v>16535</v>
      </c>
      <c r="AZ37" s="204">
        <f>SUM(AZ7+AZ15+AZ18+AZ19+AZ26+AZ34)</f>
        <v>0</v>
      </c>
      <c r="BA37" s="204">
        <f t="shared" ref="BA37" si="25">SUM(BA7+BA15+BA18+BA19+BA26+BA34)</f>
        <v>8360706.5500000007</v>
      </c>
      <c r="BB37" s="207">
        <f>SUM(BB7+BB15+BB18+BB19+BB26+BB34)</f>
        <v>57</v>
      </c>
    </row>
    <row r="38" spans="1:5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08"/>
      <c r="AN38" s="1"/>
      <c r="AO38" s="1"/>
      <c r="AP38" s="209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1"/>
      <c r="AK39" s="1"/>
      <c r="AL39" s="1"/>
      <c r="AM39" s="212"/>
      <c r="AN39" s="1"/>
      <c r="AO39" s="1"/>
      <c r="AP39" s="212"/>
      <c r="AQ39" s="1"/>
      <c r="AR39" s="212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38.450000000000003" customHeight="1" x14ac:dyDescent="0.25">
      <c r="A40" s="232" t="s">
        <v>89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213"/>
      <c r="AK40" s="1"/>
      <c r="AL40" s="1"/>
      <c r="AM40" s="1"/>
      <c r="AN40" s="1"/>
      <c r="AO40" s="1"/>
      <c r="AP40" s="1"/>
      <c r="AQ40" s="212"/>
      <c r="AR40" s="214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52.9" customHeight="1" x14ac:dyDescent="0.25">
      <c r="A41" s="232" t="s">
        <v>90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13"/>
      <c r="AK41" s="1"/>
      <c r="AL41" s="1"/>
      <c r="AM41" s="1"/>
      <c r="AN41" s="1"/>
      <c r="AO41" s="1"/>
      <c r="AP41" s="1"/>
      <c r="AQ41" s="1"/>
      <c r="AR41" s="215"/>
      <c r="AS41" s="1"/>
      <c r="AT41" s="1"/>
      <c r="AU41" s="1"/>
      <c r="AV41" s="1"/>
      <c r="AW41" s="213"/>
      <c r="AX41" s="1"/>
      <c r="AY41" s="212"/>
      <c r="AZ41" s="1"/>
      <c r="BA41" s="1"/>
      <c r="BB41" s="1"/>
    </row>
    <row r="42" spans="1:54" x14ac:dyDescent="0.25">
      <c r="AR42" s="216"/>
      <c r="AS42" s="217"/>
    </row>
    <row r="43" spans="1:54" x14ac:dyDescent="0.25">
      <c r="A43" s="218" t="s">
        <v>91</v>
      </c>
    </row>
    <row r="44" spans="1:54" x14ac:dyDescent="0.25">
      <c r="A44" s="218" t="s">
        <v>92</v>
      </c>
    </row>
    <row r="47" spans="1:54" ht="23.25" x14ac:dyDescent="0.35">
      <c r="A47" s="219" t="s">
        <v>94</v>
      </c>
      <c r="B47" s="219"/>
      <c r="C47" s="219"/>
      <c r="D47" s="219"/>
      <c r="E47" s="219" t="s">
        <v>95</v>
      </c>
    </row>
    <row r="48" spans="1:54" ht="23.25" x14ac:dyDescent="0.35">
      <c r="A48" s="219"/>
      <c r="B48" s="219"/>
      <c r="C48" s="219"/>
      <c r="D48" s="219"/>
      <c r="E48" s="219"/>
    </row>
    <row r="49" spans="1:5" ht="23.25" x14ac:dyDescent="0.35">
      <c r="A49" s="219"/>
      <c r="B49" s="219"/>
      <c r="C49" s="219"/>
      <c r="D49" s="219"/>
      <c r="E49" s="219"/>
    </row>
    <row r="50" spans="1:5" ht="23.25" x14ac:dyDescent="0.35">
      <c r="A50" s="219" t="s">
        <v>99</v>
      </c>
      <c r="B50" s="219"/>
      <c r="C50" s="219"/>
      <c r="D50" s="219"/>
      <c r="E50" s="219"/>
    </row>
    <row r="51" spans="1:5" ht="23.25" x14ac:dyDescent="0.35">
      <c r="A51" s="219" t="s">
        <v>96</v>
      </c>
      <c r="B51" s="219"/>
      <c r="C51" s="219"/>
      <c r="D51" s="219"/>
      <c r="E51" s="219"/>
    </row>
    <row r="52" spans="1:5" ht="23.25" x14ac:dyDescent="0.35">
      <c r="A52" s="219" t="s">
        <v>97</v>
      </c>
      <c r="B52" s="219"/>
      <c r="C52" s="219"/>
      <c r="D52" s="219"/>
      <c r="E52" s="219"/>
    </row>
    <row r="53" spans="1:5" ht="23.25" x14ac:dyDescent="0.35">
      <c r="A53" s="219"/>
      <c r="B53" s="219"/>
      <c r="C53" s="219"/>
      <c r="D53" s="219"/>
      <c r="E53" s="219"/>
    </row>
  </sheetData>
  <mergeCells count="43">
    <mergeCell ref="A1:AX1"/>
    <mergeCell ref="A3:A5"/>
    <mergeCell ref="B3:B5"/>
    <mergeCell ref="C3:F3"/>
    <mergeCell ref="G3:J3"/>
    <mergeCell ref="K3:N3"/>
    <mergeCell ref="O3:R3"/>
    <mergeCell ref="S3:V3"/>
    <mergeCell ref="W3:Z3"/>
    <mergeCell ref="AA3:AF3"/>
    <mergeCell ref="AG3:AJ3"/>
    <mergeCell ref="AK3:AS3"/>
    <mergeCell ref="AT3:AY3"/>
    <mergeCell ref="AP4:AP5"/>
    <mergeCell ref="AQ4:AQ5"/>
    <mergeCell ref="AS4:AS5"/>
    <mergeCell ref="AZ3:BB4"/>
    <mergeCell ref="D4:D5"/>
    <mergeCell ref="E4:E5"/>
    <mergeCell ref="H4:H5"/>
    <mergeCell ref="I4:I5"/>
    <mergeCell ref="L4:L5"/>
    <mergeCell ref="M4:M5"/>
    <mergeCell ref="AI4:AI5"/>
    <mergeCell ref="P4:P5"/>
    <mergeCell ref="Q4:Q5"/>
    <mergeCell ref="T4:T5"/>
    <mergeCell ref="U4:U5"/>
    <mergeCell ref="X4:X5"/>
    <mergeCell ref="Y4:Y5"/>
    <mergeCell ref="AV4:AX4"/>
    <mergeCell ref="AY4:AY5"/>
    <mergeCell ref="A37:B37"/>
    <mergeCell ref="A40:S40"/>
    <mergeCell ref="A41:S41"/>
    <mergeCell ref="AK4:AL4"/>
    <mergeCell ref="AO4:AO5"/>
    <mergeCell ref="AT4:AU4"/>
    <mergeCell ref="AA4:AB4"/>
    <mergeCell ref="AC4:AC5"/>
    <mergeCell ref="AD4:AD5"/>
    <mergeCell ref="AE4:AF4"/>
    <mergeCell ref="AH4:AH5"/>
  </mergeCells>
  <pageMargins left="0.7" right="0.7" top="0.75" bottom="0.75" header="0.3" footer="0.3"/>
  <pageSetup paperSize="8"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 informatīvo ziņojumu par konstatētajiemneatbilstoši veiktajiem izdevumiemEiropas Savienības politikas instrumentu,Eiropas Savienības iniciatīvu, Pirmsiestāšanās fonduun Pārejas perioda palīdzības ietvaros līdz 2014.gada 31.decembrim</dc:subject>
  <dc:creator>Aiva Avota</dc:creator>
  <cp:keywords>3.pielikums</cp:keywords>
  <dc:description>67083954, aiva.avota@fm.gov.lv</dc:description>
  <cp:lastModifiedBy>Aiva Avota</cp:lastModifiedBy>
  <cp:lastPrinted>2015-06-02T12:06:50Z</cp:lastPrinted>
  <dcterms:created xsi:type="dcterms:W3CDTF">2015-04-21T07:19:31Z</dcterms:created>
  <dcterms:modified xsi:type="dcterms:W3CDTF">2015-06-26T06:24:17Z</dcterms:modified>
</cp:coreProperties>
</file>