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S 2004.-2006.atbalsts 2.5.2." sheetId="1" r:id="rId1"/>
  </sheets>
  <calcPr calcId="152511"/>
</workbook>
</file>

<file path=xl/calcChain.xml><?xml version="1.0" encoding="utf-8"?>
<calcChain xmlns="http://schemas.openxmlformats.org/spreadsheetml/2006/main">
  <c r="F64" i="1" l="1"/>
  <c r="F66" i="1" s="1"/>
  <c r="F67" i="1" s="1"/>
  <c r="G67" i="1"/>
  <c r="H67" i="1"/>
  <c r="I67" i="1"/>
  <c r="J67" i="1"/>
  <c r="E67" i="1"/>
  <c r="G66" i="1"/>
  <c r="H66" i="1"/>
  <c r="I66" i="1"/>
  <c r="J66" i="1"/>
  <c r="F65" i="1"/>
  <c r="E65" i="1"/>
  <c r="E64" i="1"/>
  <c r="E66" i="1" s="1"/>
  <c r="G63" i="1"/>
  <c r="H63" i="1"/>
  <c r="I63" i="1"/>
  <c r="J63" i="1"/>
  <c r="F62" i="1"/>
  <c r="E62" i="1"/>
  <c r="F61" i="1"/>
  <c r="F63" i="1" s="1"/>
  <c r="E61" i="1"/>
  <c r="E63" i="1" s="1"/>
  <c r="F60" i="1"/>
  <c r="G60" i="1"/>
  <c r="H60" i="1"/>
  <c r="I60" i="1"/>
  <c r="J60" i="1"/>
  <c r="F59" i="1"/>
  <c r="E59" i="1"/>
  <c r="E60" i="1" s="1"/>
  <c r="G58" i="1"/>
  <c r="H58" i="1"/>
  <c r="I58" i="1"/>
  <c r="J58" i="1"/>
  <c r="F57" i="1"/>
  <c r="E57" i="1"/>
  <c r="F56" i="1"/>
  <c r="E56" i="1"/>
  <c r="F55" i="1"/>
  <c r="E55" i="1"/>
  <c r="G54" i="1"/>
  <c r="H54" i="1"/>
  <c r="I54" i="1"/>
  <c r="J54" i="1"/>
  <c r="F53" i="1"/>
  <c r="E53" i="1"/>
  <c r="F52" i="1"/>
  <c r="E52" i="1"/>
  <c r="F51" i="1"/>
  <c r="E51" i="1"/>
  <c r="G50" i="1"/>
  <c r="H50" i="1"/>
  <c r="I50" i="1"/>
  <c r="J50" i="1"/>
  <c r="F49" i="1"/>
  <c r="E49" i="1"/>
  <c r="F48" i="1"/>
  <c r="E48" i="1"/>
  <c r="F47" i="1"/>
  <c r="E47" i="1"/>
  <c r="F46" i="1"/>
  <c r="E46" i="1"/>
  <c r="G45" i="1"/>
  <c r="H45" i="1"/>
  <c r="I45" i="1"/>
  <c r="J45" i="1"/>
  <c r="F44" i="1"/>
  <c r="E44" i="1"/>
  <c r="F43" i="1"/>
  <c r="E43" i="1"/>
  <c r="G42" i="1"/>
  <c r="H42" i="1"/>
  <c r="I42" i="1"/>
  <c r="J42" i="1"/>
  <c r="G38" i="1"/>
  <c r="H38" i="1"/>
  <c r="I38" i="1"/>
  <c r="J38" i="1"/>
  <c r="G36" i="1"/>
  <c r="H36" i="1"/>
  <c r="I36" i="1"/>
  <c r="J36" i="1"/>
  <c r="G33" i="1"/>
  <c r="H33" i="1"/>
  <c r="I33" i="1"/>
  <c r="J33" i="1"/>
  <c r="G29" i="1"/>
  <c r="H29" i="1"/>
  <c r="I29" i="1"/>
  <c r="J29" i="1"/>
  <c r="G26" i="1"/>
  <c r="H26" i="1"/>
  <c r="I26" i="1"/>
  <c r="J26" i="1"/>
  <c r="G23" i="1"/>
  <c r="H23" i="1"/>
  <c r="I23" i="1"/>
  <c r="J23" i="1"/>
  <c r="G20" i="1"/>
  <c r="H20" i="1"/>
  <c r="I20" i="1"/>
  <c r="J20" i="1"/>
  <c r="G17" i="1"/>
  <c r="H17" i="1"/>
  <c r="I17" i="1"/>
  <c r="J17" i="1"/>
  <c r="G12" i="1"/>
  <c r="H12" i="1"/>
  <c r="I12" i="1"/>
  <c r="J12" i="1"/>
  <c r="G10" i="1"/>
  <c r="H10" i="1"/>
  <c r="I10" i="1"/>
  <c r="J10" i="1"/>
  <c r="G7" i="1"/>
  <c r="H7" i="1"/>
  <c r="I7" i="1"/>
  <c r="J7" i="1"/>
  <c r="F41" i="1"/>
  <c r="E41" i="1"/>
  <c r="F40" i="1"/>
  <c r="E40" i="1"/>
  <c r="F39" i="1"/>
  <c r="E39" i="1"/>
  <c r="E37" i="1"/>
  <c r="E38" i="1" s="1"/>
  <c r="F37" i="1"/>
  <c r="F38" i="1" s="1"/>
  <c r="F35" i="1"/>
  <c r="E35" i="1"/>
  <c r="F34" i="1"/>
  <c r="E34" i="1"/>
  <c r="F32" i="1"/>
  <c r="E32" i="1"/>
  <c r="F31" i="1"/>
  <c r="E31" i="1"/>
  <c r="F30" i="1"/>
  <c r="E30" i="1"/>
  <c r="F28" i="1"/>
  <c r="E28" i="1"/>
  <c r="F27" i="1"/>
  <c r="E27" i="1"/>
  <c r="F25" i="1"/>
  <c r="E25" i="1"/>
  <c r="F24" i="1"/>
  <c r="E24" i="1"/>
  <c r="F22" i="1"/>
  <c r="E22" i="1"/>
  <c r="F21" i="1"/>
  <c r="E21" i="1"/>
  <c r="F18" i="1"/>
  <c r="F19" i="1"/>
  <c r="E19" i="1"/>
  <c r="E18" i="1"/>
  <c r="F15" i="1"/>
  <c r="E15" i="1"/>
  <c r="F16" i="1"/>
  <c r="E16" i="1"/>
  <c r="F14" i="1"/>
  <c r="E14" i="1"/>
  <c r="F13" i="1"/>
  <c r="E13" i="1"/>
  <c r="F11" i="1"/>
  <c r="F12" i="1" s="1"/>
  <c r="E11" i="1"/>
  <c r="E12" i="1" s="1"/>
  <c r="F9" i="1"/>
  <c r="F8" i="1"/>
  <c r="E9" i="1"/>
  <c r="E8" i="1"/>
  <c r="F6" i="1"/>
  <c r="F5" i="1"/>
  <c r="E6" i="1"/>
  <c r="E5" i="1"/>
  <c r="F58" i="1" l="1"/>
  <c r="E58" i="1"/>
  <c r="E54" i="1"/>
  <c r="E45" i="1"/>
  <c r="E50" i="1"/>
  <c r="F42" i="1"/>
  <c r="F45" i="1"/>
  <c r="F50" i="1"/>
  <c r="F54" i="1"/>
  <c r="E23" i="1"/>
  <c r="E26" i="1"/>
  <c r="E29" i="1"/>
  <c r="E33" i="1"/>
  <c r="E42" i="1"/>
  <c r="F33" i="1"/>
  <c r="E36" i="1"/>
  <c r="F36" i="1"/>
  <c r="E20" i="1"/>
  <c r="F23" i="1"/>
  <c r="F26" i="1"/>
  <c r="F29" i="1"/>
  <c r="F20" i="1"/>
  <c r="E7" i="1"/>
  <c r="E10" i="1"/>
  <c r="E17" i="1"/>
  <c r="F17" i="1"/>
  <c r="F7" i="1"/>
  <c r="F10" i="1"/>
</calcChain>
</file>

<file path=xl/sharedStrings.xml><?xml version="1.0" encoding="utf-8"?>
<sst xmlns="http://schemas.openxmlformats.org/spreadsheetml/2006/main" count="115" uniqueCount="87">
  <si>
    <t>Nr.p.k.</t>
  </si>
  <si>
    <t>Zinātniskā institūcija</t>
  </si>
  <si>
    <t>ES fondu 2004.-2006.gada plānošanas periods 2.5.2.aktivitātes ietvaros sasniegtie rezultāti</t>
  </si>
  <si>
    <t>ERAF finansējums, EUR</t>
  </si>
  <si>
    <t>Iegādātais pētniecības aprīkojums (vienību skaits)</t>
  </si>
  <si>
    <t>Renovētās telpas (skaits)</t>
  </si>
  <si>
    <t>Apmācītais personāls (skaits)</t>
  </si>
  <si>
    <t>Elektronikas un datorzinātņu institūts</t>
  </si>
  <si>
    <t>informācijas tehnoloģijas</t>
  </si>
  <si>
    <t>Fizikālās enerģētikas institūts</t>
  </si>
  <si>
    <t>inženierzinātnes (enerģētika un mehānika)</t>
  </si>
  <si>
    <t>Nacionālais botāniskais dārzs</t>
  </si>
  <si>
    <t>vides zinātnes, bioloģija un ekoloģijas nozare</t>
  </si>
  <si>
    <t>Latvijas Biomedicīnas pētījumu un studiju centrs</t>
  </si>
  <si>
    <t>organiskā sintēze un biomedicīna</t>
  </si>
  <si>
    <t>Latvijas Organiskās sintēzes institūts</t>
  </si>
  <si>
    <t>Latvijas Valsts augļkopības institūts</t>
  </si>
  <si>
    <t>Latvijas Valsts koksnes ķīmijas institūts</t>
  </si>
  <si>
    <t>koksnes pārstrādes tehnoloģijas un mežzinātne</t>
  </si>
  <si>
    <t>Latvijas valsts Mežzinātnes institūts "Silava"</t>
  </si>
  <si>
    <t>Daugavpils Universitāte</t>
  </si>
  <si>
    <t>Latvijas Lauksaimniecības universitāte</t>
  </si>
  <si>
    <t xml:space="preserve">Biotehnoloģijas un veterinārmedicīnas zinātniskais institūts "Sigra" </t>
  </si>
  <si>
    <t>Latvijas Universitāte</t>
  </si>
  <si>
    <t>organiskā sintēze un biomedicīna;
astronomija;
materiālzinātes;
vides zinātnes, bioloģija un ekoloģijas nozare</t>
  </si>
  <si>
    <t>Rīgas Stradiņa universitāte</t>
  </si>
  <si>
    <t>Rīgas Tehniskā universitāte</t>
  </si>
  <si>
    <t>koksnes pārstrādes tehnoloģijas un mežzinātne, 
inženierzinātnes (enerģētika un mehānika);
materiālzinātes;
vides zinātnes, bioloģija un ekoloģijas nozare;
organiskā sintēze un biomedicīna;
informācijas tehnoloģijas</t>
  </si>
  <si>
    <t>Ventspils augstskola</t>
  </si>
  <si>
    <t>astronomija</t>
  </si>
  <si>
    <t>Latvijas Universitātes Cietvielu fizikas institūts</t>
  </si>
  <si>
    <t>materiālzinātnes</t>
  </si>
  <si>
    <t>Latvijas Universitātes Fizikas institūts</t>
  </si>
  <si>
    <t>Latvijas Universitātes Matemātikas un informātikas institūts</t>
  </si>
  <si>
    <t>Rīgas Tehniskās universitātes Neorganiskās ķīmijas institūts</t>
  </si>
  <si>
    <t>ES fondu atbalsts zinātniskās infrastruktūras modernizēšanai 2004.-2006.gada plānošanas periodā</t>
  </si>
  <si>
    <t>Finansējuma saņēmēja projektu ietvaros piesaistītais kopējais attiecināmais finansējums, EUR</t>
  </si>
  <si>
    <t>Modernās signālapstrādes pētījumu efektivitātes un zinātniski pētniecisko rezultātu komercializācijas potenciāla paaugstināšana</t>
  </si>
  <si>
    <t>Elektronikas un datorzinātņu institūta infrastruktūras attīstība un konkurētspējīgu elektronisko tehnoloģiju izstrāde</t>
  </si>
  <si>
    <t>Zinātnes joma, kurā tika īstenoti projekti</t>
  </si>
  <si>
    <t>KOPĀ:</t>
  </si>
  <si>
    <t xml:space="preserve"> 2.5.2.aktivitātes "Moderna aprīkojuma un infrastruktūras nodrošināšana pētniecības iestādēs" ietvaros finansējuma saņēmēja kopējais piesaistītais projektu finansējums</t>
  </si>
  <si>
    <t>ES fondu 2004.-2006.perioda 2.5.2.aktivitātes "Moderna aprīkojuma un infrastruktūras nodrošināšana pētniecības iestādēs" projekti</t>
  </si>
  <si>
    <t>Latvijas Zinātņu akadēmijas Fizikālās enerģētikas institūta (LZA FEI) zinātniskās infrastruktūras uzlabošana</t>
  </si>
  <si>
    <t>Nanostruktūru sintēzes un izpētes kompleksa pilnveidošana atjaunojamo energoresursu attīstībai</t>
  </si>
  <si>
    <t>Zinātniskās infrastruktūras uzlabošana augu bioloģijā un dendroloģijā</t>
  </si>
  <si>
    <t>Biomedicīnas un proteomikas attīstības infrastruktūras nodrošinājums</t>
  </si>
  <si>
    <t>Latvijas iedzīvotāju genoma datubāzes izveides un darbības materiāli tehniskais nodrošinājums</t>
  </si>
  <si>
    <t>Biotehnoloģisko procesu mērogošanas un pārneses kompleksa izveides otrais posms</t>
  </si>
  <si>
    <t>Biotehnoloģisko procesu mērogošanas un pārneses kompleksa izveides pirmais posms</t>
  </si>
  <si>
    <t xml:space="preserve">Latvijas Organiskās Sintēzes Institūta zinātniskās infrastruktūras uzlabošana </t>
  </si>
  <si>
    <t>Augļu un ogu eksperimentālā pārstrādes centra un glabātavas modernizācija</t>
  </si>
  <si>
    <t>Augļu, ogu un augļaugu stādmateriāla audzēšanas un realizācijas risku samazinošu tehnoloģiju ieviešanai nepieciešamo iekārtu iegāde</t>
  </si>
  <si>
    <t>LV Koksnes ķīmijas institūta zinātniskās infrastruktūras sakārtošana integrācijai Eiropas zinātniskajā vidē</t>
  </si>
  <si>
    <t>Latvijas Valsts koksnes ķīmijas institūta zinātniskās infrastruktūras uzlabošana</t>
  </si>
  <si>
    <t>Latvijas Valsts Mežzinātnes institūta „Silava” infrastruktūras modernizācija</t>
  </si>
  <si>
    <t>Latvijas Valsts mežzinātnes institūta „ Silava” iekšējās infrastruktūras uzlabošana</t>
  </si>
  <si>
    <t>Daugavpils Universitātes Bioloģisko resursu izpētes centrs</t>
  </si>
  <si>
    <t>Daugavpils Universitātes Inovatīvās mikroskopijas centra un Sistemātiskās bioloģijas institūta zinātniskās bāzes modernizēšana</t>
  </si>
  <si>
    <t>Eksperimentālās difrakcijas elementu tiražēšanas līnijas izveide un rentgendifraktometrijas iegāde</t>
  </si>
  <si>
    <t>LLU pētniecības bāzes uzlabošana lauksaimniecības un meža zinātnēs</t>
  </si>
  <si>
    <t>Zinātniskās infrastruktūras uzlabošana Latvijas Lauksaimniecības universitātē</t>
  </si>
  <si>
    <t>koksnes pārstrādes tehnoloģijas un mežzinātne;
vides zinātnes, bioloģija un ekoloģijas nozare</t>
  </si>
  <si>
    <t>Zinātniskās aparatūras iegāde un infrastruktūras nostiprināšana Zinātniskajā institūtā “Sigra”</t>
  </si>
  <si>
    <t>Biotehnoloģijas, biomedicīnas, organiskās sintēzes, vides zinātnes un ekoloģijas nozaru zinātniskās infrastruktūras modernizēšana Latvijas Universitātē</t>
  </si>
  <si>
    <t>Materiālzinātņu un astronomijas nozaru zinātniskās infrastruktūras modernizēšana Latvijas Universitātē</t>
  </si>
  <si>
    <t>Latvijas Universitātes dabas zinātņu pētījumu centru zinātniskās infrastruktūras attīstība</t>
  </si>
  <si>
    <t>Rīgas Stradiņa universitātes zinātniskās infrastruktūras modernizēšana</t>
  </si>
  <si>
    <t>Rīgas Stradiņa Universitātes A.Kirhenšteina Mikrobioloģijas un virusoloģijas institūta infrastruktūras pilnveidošana</t>
  </si>
  <si>
    <t>RTU pētniecības aprīkojuma un infrastruktūras atbalsta projekts materiālzinātnes, vides zinātnes un ekoloģijas, organiskās ķīmijas un farmācijas nozarēs.</t>
  </si>
  <si>
    <t>Rīgas Tehniskās universitātes inženierzinātņu pētniecības centru aprīkojuma un infrastruktūras atbalsta projekts</t>
  </si>
  <si>
    <t>Rīgas Tehniskās universitātes informācijas tehnoloģiju, datorzinātņu, elektronikas un telekomunikāciju pētniecības aprīkojuma un infrastruktūras pilnveidošana</t>
  </si>
  <si>
    <t>Zinātniskās infrastruktūras attīstība Rīgas Tehniskajā universitātē</t>
  </si>
  <si>
    <t>Moderna zinātniski tehniskā aprīkojuma un infrastruktūras nodrošinājums VSRC antenām starptautisku zinātnisku un komerciālu projektu realizēšanai</t>
  </si>
  <si>
    <t>Zinātniskās aparatūras iepirkšana datu pārraides procesu izpētei garās optiskās sakaru līnijā</t>
  </si>
  <si>
    <t>Laboratoriju iegāde un zinātnes infrastruktūras attīstība Ventspils Augstskolā un Ventspils Augstskolas Starptautiskā Radioastronomijas centrā</t>
  </si>
  <si>
    <t>Moderna aprīkojuma un infrastruktūras atbalsts LU Cietvielu fizikas institūtam</t>
  </si>
  <si>
    <t>Tehnoloģiskās un pētnieciskās aparatūras modernizācija Valsts pētījumu programmas materiālzinātnēs izpildei</t>
  </si>
  <si>
    <t>Latvijas Universitātes Cietvielu fizikas institūta ēku un telpu renovācija, tīro telpu (clean room) iekārtošana un aparatūras iegāde pētījumiem materiālzinātnēs</t>
  </si>
  <si>
    <t>Latvijas Universitātes Fizikas institūta ēkas iekštelpu renovācija</t>
  </si>
  <si>
    <t>Latvijas Universitātes Matemātikas un informātikas institūta programminženierijas pētniecības centra modernizācija</t>
  </si>
  <si>
    <t>Liela mēroga zinātnisko datu glabātuves izveide un GRID paralēlo aprēķinu infrastruktūras attīstīšana</t>
  </si>
  <si>
    <t>Zinātniskās infrastruktūras modernizācija materiālzinātnēs Rīgas Tehniskās universitātes Neorganiskās ķīmijas institūtā</t>
  </si>
  <si>
    <t>Rentgenstaru difraktometra, programmatūras un kataloga iegāde nanostrukturālu kompozītu izpētei</t>
  </si>
  <si>
    <t>Renovētā platība (m2)</t>
  </si>
  <si>
    <t xml:space="preserve">Informatīvā ziņojuma “Par pētniecības un inovācijas infrastruktūras un pētnieciskās 
darbības koncentrācijas teritoriālo kartējumu” 4. pielikums </t>
  </si>
  <si>
    <t>2.5.2. aktivitātē 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</si>
</sst>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43" fontId="3" fillId="2" borderId="2" xfId="1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2" xfId="0" applyNumberFormat="1" applyFont="1" applyFill="1" applyBorder="1" applyAlignment="1">
      <alignment vertical="center" wrapText="1"/>
    </xf>
    <xf numFmtId="43" fontId="2" fillId="0" borderId="2" xfId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3" fontId="5" fillId="3" borderId="7" xfId="1" applyFont="1" applyFill="1" applyBorder="1" applyAlignment="1">
      <alignment horizontal="center" vertical="center"/>
    </xf>
    <xf numFmtId="164" fontId="5" fillId="3" borderId="7" xfId="1" applyNumberFormat="1" applyFont="1" applyFill="1" applyBorder="1" applyAlignment="1">
      <alignment horizontal="center" vertical="center"/>
    </xf>
    <xf numFmtId="43" fontId="2" fillId="0" borderId="0" xfId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3" fontId="2" fillId="0" borderId="7" xfId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right" vertical="center" wrapText="1"/>
    </xf>
    <xf numFmtId="43" fontId="3" fillId="3" borderId="2" xfId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3" fontId="4" fillId="3" borderId="2" xfId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61" zoomScaleNormal="100" workbookViewId="0">
      <selection activeCell="F65" sqref="F65"/>
    </sheetView>
  </sheetViews>
  <sheetFormatPr defaultColWidth="17" defaultRowHeight="26.25" customHeight="1" x14ac:dyDescent="0.25"/>
  <cols>
    <col min="1" max="1" width="4.7109375" style="1" customWidth="1"/>
    <col min="2" max="2" width="31.28515625" style="1" customWidth="1"/>
    <col min="3" max="3" width="20.7109375" style="1" customWidth="1"/>
    <col min="4" max="4" width="63.7109375" style="1" customWidth="1"/>
    <col min="5" max="5" width="21.5703125" style="12" customWidth="1"/>
    <col min="6" max="6" width="19" style="12" customWidth="1"/>
    <col min="7" max="7" width="15.5703125" style="13" bestFit="1" customWidth="1"/>
    <col min="8" max="8" width="14.28515625" style="14" customWidth="1"/>
    <col min="9" max="9" width="12" style="14" bestFit="1" customWidth="1"/>
    <col min="10" max="10" width="11.85546875" style="14" bestFit="1" customWidth="1"/>
    <col min="11" max="16384" width="17" style="1"/>
  </cols>
  <sheetData>
    <row r="1" spans="1:10" ht="40.5" customHeight="1" x14ac:dyDescent="0.25">
      <c r="A1" s="31" t="s">
        <v>85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4.5" customHeight="1" x14ac:dyDescent="0.25">
      <c r="A2" s="28" t="s">
        <v>35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66.75" customHeight="1" x14ac:dyDescent="0.25">
      <c r="A3" s="33" t="s">
        <v>0</v>
      </c>
      <c r="B3" s="33" t="s">
        <v>1</v>
      </c>
      <c r="C3" s="34" t="s">
        <v>39</v>
      </c>
      <c r="D3" s="34" t="s">
        <v>42</v>
      </c>
      <c r="E3" s="36" t="s">
        <v>41</v>
      </c>
      <c r="F3" s="36"/>
      <c r="G3" s="37" t="s">
        <v>2</v>
      </c>
      <c r="H3" s="38"/>
      <c r="I3" s="38"/>
      <c r="J3" s="39"/>
    </row>
    <row r="4" spans="1:10" s="5" customFormat="1" ht="70.5" customHeight="1" x14ac:dyDescent="0.25">
      <c r="A4" s="33"/>
      <c r="B4" s="33"/>
      <c r="C4" s="35"/>
      <c r="D4" s="35"/>
      <c r="E4" s="2" t="s">
        <v>36</v>
      </c>
      <c r="F4" s="3" t="s">
        <v>3</v>
      </c>
      <c r="G4" s="4" t="s">
        <v>4</v>
      </c>
      <c r="H4" s="4" t="s">
        <v>5</v>
      </c>
      <c r="I4" s="4" t="s">
        <v>84</v>
      </c>
      <c r="J4" s="4" t="s">
        <v>6</v>
      </c>
    </row>
    <row r="5" spans="1:10" ht="30" customHeight="1" x14ac:dyDescent="0.25">
      <c r="A5" s="21">
        <v>1</v>
      </c>
      <c r="B5" s="24" t="s">
        <v>7</v>
      </c>
      <c r="C5" s="24" t="s">
        <v>8</v>
      </c>
      <c r="D5" s="6" t="s">
        <v>37</v>
      </c>
      <c r="E5" s="7">
        <f>240000/0.702804</f>
        <v>341489.23455188074</v>
      </c>
      <c r="F5" s="7">
        <f>180000/0.702804</f>
        <v>256116.92591391056</v>
      </c>
      <c r="G5" s="8">
        <v>33</v>
      </c>
      <c r="H5" s="9">
        <v>8</v>
      </c>
      <c r="I5" s="9">
        <v>272</v>
      </c>
      <c r="J5" s="9">
        <v>5</v>
      </c>
    </row>
    <row r="6" spans="1:10" ht="30.75" customHeight="1" x14ac:dyDescent="0.25">
      <c r="A6" s="22"/>
      <c r="B6" s="25"/>
      <c r="C6" s="25"/>
      <c r="D6" s="6" t="s">
        <v>38</v>
      </c>
      <c r="E6" s="7">
        <f>336000/0.702804</f>
        <v>478084.92837263306</v>
      </c>
      <c r="F6" s="7">
        <f>252000/0.702804</f>
        <v>358563.69627947483</v>
      </c>
      <c r="G6" s="8">
        <v>23</v>
      </c>
      <c r="H6" s="9">
        <v>18</v>
      </c>
      <c r="I6" s="9">
        <v>488</v>
      </c>
      <c r="J6" s="9">
        <v>0</v>
      </c>
    </row>
    <row r="7" spans="1:10" ht="15" x14ac:dyDescent="0.25">
      <c r="A7" s="23"/>
      <c r="B7" s="26"/>
      <c r="C7" s="26"/>
      <c r="D7" s="16" t="s">
        <v>40</v>
      </c>
      <c r="E7" s="17">
        <f>E5+E6</f>
        <v>819574.1629245138</v>
      </c>
      <c r="F7" s="17">
        <f t="shared" ref="F7:J7" si="0">F5+F6</f>
        <v>614680.62219338538</v>
      </c>
      <c r="G7" s="18">
        <f t="shared" si="0"/>
        <v>56</v>
      </c>
      <c r="H7" s="18">
        <f t="shared" si="0"/>
        <v>26</v>
      </c>
      <c r="I7" s="18">
        <f t="shared" si="0"/>
        <v>760</v>
      </c>
      <c r="J7" s="18">
        <f t="shared" si="0"/>
        <v>5</v>
      </c>
    </row>
    <row r="8" spans="1:10" ht="29.25" customHeight="1" x14ac:dyDescent="0.25">
      <c r="A8" s="21">
        <v>2</v>
      </c>
      <c r="B8" s="24" t="s">
        <v>9</v>
      </c>
      <c r="C8" s="24" t="s">
        <v>10</v>
      </c>
      <c r="D8" s="6" t="s">
        <v>43</v>
      </c>
      <c r="E8" s="7">
        <f>285000/0.702804</f>
        <v>405518.4660303584</v>
      </c>
      <c r="F8" s="7">
        <f>213750/0.702804</f>
        <v>304138.84952276881</v>
      </c>
      <c r="G8" s="8">
        <v>8</v>
      </c>
      <c r="H8" s="9">
        <v>4</v>
      </c>
      <c r="I8" s="9">
        <v>0</v>
      </c>
      <c r="J8" s="9">
        <v>0</v>
      </c>
    </row>
    <row r="9" spans="1:10" ht="28.5" customHeight="1" x14ac:dyDescent="0.25">
      <c r="A9" s="22"/>
      <c r="B9" s="25"/>
      <c r="C9" s="25"/>
      <c r="D9" s="6" t="s">
        <v>44</v>
      </c>
      <c r="E9" s="7">
        <f>181860/0.702804</f>
        <v>258763.46748168764</v>
      </c>
      <c r="F9" s="7">
        <f>136395/0.702804</f>
        <v>194072.60061126575</v>
      </c>
      <c r="G9" s="8">
        <v>2</v>
      </c>
      <c r="H9" s="9">
        <v>1</v>
      </c>
      <c r="I9" s="9">
        <v>43.08</v>
      </c>
      <c r="J9" s="9">
        <v>0</v>
      </c>
    </row>
    <row r="10" spans="1:10" ht="15" x14ac:dyDescent="0.25">
      <c r="A10" s="23"/>
      <c r="B10" s="26"/>
      <c r="C10" s="26"/>
      <c r="D10" s="16" t="s">
        <v>40</v>
      </c>
      <c r="E10" s="17">
        <f>E8+E9</f>
        <v>664281.933512046</v>
      </c>
      <c r="F10" s="17">
        <f t="shared" ref="F10:J10" si="1">F8+F9</f>
        <v>498211.45013403456</v>
      </c>
      <c r="G10" s="18">
        <f t="shared" si="1"/>
        <v>10</v>
      </c>
      <c r="H10" s="18">
        <f t="shared" si="1"/>
        <v>5</v>
      </c>
      <c r="I10" s="18">
        <f t="shared" si="1"/>
        <v>43.08</v>
      </c>
      <c r="J10" s="18">
        <f t="shared" si="1"/>
        <v>0</v>
      </c>
    </row>
    <row r="11" spans="1:10" ht="22.5" customHeight="1" x14ac:dyDescent="0.25">
      <c r="A11" s="21">
        <v>3</v>
      </c>
      <c r="B11" s="24" t="s">
        <v>11</v>
      </c>
      <c r="C11" s="24" t="s">
        <v>12</v>
      </c>
      <c r="D11" s="6" t="s">
        <v>45</v>
      </c>
      <c r="E11" s="7">
        <f>44564/0.702804</f>
        <v>63408.859369041726</v>
      </c>
      <c r="F11" s="7">
        <f>33423/0.702804</f>
        <v>47556.644526781296</v>
      </c>
      <c r="G11" s="8">
        <v>5</v>
      </c>
      <c r="H11" s="9">
        <v>0</v>
      </c>
      <c r="I11" s="9">
        <v>0</v>
      </c>
      <c r="J11" s="9">
        <v>0</v>
      </c>
    </row>
    <row r="12" spans="1:10" ht="15" x14ac:dyDescent="0.25">
      <c r="A12" s="23"/>
      <c r="B12" s="26"/>
      <c r="C12" s="26"/>
      <c r="D12" s="16" t="s">
        <v>40</v>
      </c>
      <c r="E12" s="17">
        <f>E11</f>
        <v>63408.859369041726</v>
      </c>
      <c r="F12" s="17">
        <f t="shared" ref="F12:J12" si="2">F11</f>
        <v>47556.644526781296</v>
      </c>
      <c r="G12" s="18">
        <f t="shared" si="2"/>
        <v>5</v>
      </c>
      <c r="H12" s="18">
        <f t="shared" si="2"/>
        <v>0</v>
      </c>
      <c r="I12" s="18">
        <f t="shared" si="2"/>
        <v>0</v>
      </c>
      <c r="J12" s="18">
        <f t="shared" si="2"/>
        <v>0</v>
      </c>
    </row>
    <row r="13" spans="1:10" ht="24" customHeight="1" x14ac:dyDescent="0.25">
      <c r="A13" s="21">
        <v>4</v>
      </c>
      <c r="B13" s="24" t="s">
        <v>13</v>
      </c>
      <c r="C13" s="24" t="s">
        <v>14</v>
      </c>
      <c r="D13" s="6" t="s">
        <v>46</v>
      </c>
      <c r="E13" s="7">
        <f>614646.62/0.702804</f>
        <v>874563.34909875295</v>
      </c>
      <c r="F13" s="7">
        <f>460984.97/0.702804</f>
        <v>655922.51893842372</v>
      </c>
      <c r="G13" s="8">
        <v>8</v>
      </c>
      <c r="H13" s="9">
        <v>0</v>
      </c>
      <c r="I13" s="9">
        <v>0</v>
      </c>
      <c r="J13" s="9">
        <v>4</v>
      </c>
    </row>
    <row r="14" spans="1:10" ht="30" customHeight="1" x14ac:dyDescent="0.25">
      <c r="A14" s="22"/>
      <c r="B14" s="25"/>
      <c r="C14" s="25"/>
      <c r="D14" s="6" t="s">
        <v>47</v>
      </c>
      <c r="E14" s="7">
        <f>422500/0.702804</f>
        <v>601163.33999237337</v>
      </c>
      <c r="F14" s="7">
        <f>316875/0.702804</f>
        <v>450872.50499428005</v>
      </c>
      <c r="G14" s="8">
        <v>6</v>
      </c>
      <c r="H14" s="9">
        <v>0</v>
      </c>
      <c r="I14" s="9">
        <v>0</v>
      </c>
      <c r="J14" s="9">
        <v>0</v>
      </c>
    </row>
    <row r="15" spans="1:10" ht="29.25" customHeight="1" x14ac:dyDescent="0.25">
      <c r="A15" s="22"/>
      <c r="B15" s="25"/>
      <c r="C15" s="25"/>
      <c r="D15" s="6" t="s">
        <v>49</v>
      </c>
      <c r="E15" s="7">
        <f>990000/0.702804</f>
        <v>1408643.092526508</v>
      </c>
      <c r="F15" s="7">
        <f>742500/0.702804</f>
        <v>1056482.3193948811</v>
      </c>
      <c r="G15" s="8">
        <v>0</v>
      </c>
      <c r="H15" s="9">
        <v>0</v>
      </c>
      <c r="I15" s="9">
        <v>0</v>
      </c>
      <c r="J15" s="9">
        <v>0</v>
      </c>
    </row>
    <row r="16" spans="1:10" ht="29.25" customHeight="1" x14ac:dyDescent="0.25">
      <c r="A16" s="22"/>
      <c r="B16" s="25"/>
      <c r="C16" s="25"/>
      <c r="D16" s="6" t="s">
        <v>48</v>
      </c>
      <c r="E16" s="7">
        <f>1500000/0.702804</f>
        <v>2134307.7159492546</v>
      </c>
      <c r="F16" s="7">
        <f>1125000/0.702804</f>
        <v>1600730.786961941</v>
      </c>
      <c r="G16" s="8">
        <v>0</v>
      </c>
      <c r="H16" s="9">
        <v>0</v>
      </c>
      <c r="I16" s="9">
        <v>2932.5</v>
      </c>
      <c r="J16" s="9">
        <v>0</v>
      </c>
    </row>
    <row r="17" spans="1:10" ht="15" x14ac:dyDescent="0.25">
      <c r="A17" s="23"/>
      <c r="B17" s="26"/>
      <c r="C17" s="26"/>
      <c r="D17" s="16" t="s">
        <v>40</v>
      </c>
      <c r="E17" s="17">
        <f>E13+E14+E15+E16</f>
        <v>5018677.497566889</v>
      </c>
      <c r="F17" s="17">
        <f t="shared" ref="F17:J17" si="3">F13+F14+F15+F16</f>
        <v>3764008.1302895257</v>
      </c>
      <c r="G17" s="18">
        <f t="shared" si="3"/>
        <v>14</v>
      </c>
      <c r="H17" s="18">
        <f t="shared" si="3"/>
        <v>0</v>
      </c>
      <c r="I17" s="18">
        <f t="shared" si="3"/>
        <v>2932.5</v>
      </c>
      <c r="J17" s="18">
        <f t="shared" si="3"/>
        <v>4</v>
      </c>
    </row>
    <row r="18" spans="1:10" ht="30" customHeight="1" x14ac:dyDescent="0.25">
      <c r="A18" s="21">
        <v>5</v>
      </c>
      <c r="B18" s="24" t="s">
        <v>15</v>
      </c>
      <c r="C18" s="24" t="s">
        <v>14</v>
      </c>
      <c r="D18" s="6" t="s">
        <v>50</v>
      </c>
      <c r="E18" s="7">
        <f>828500/0.702804</f>
        <v>1178849.2951093051</v>
      </c>
      <c r="F18" s="7">
        <f>621375/0.702804</f>
        <v>884136.9713319788</v>
      </c>
      <c r="G18" s="8">
        <v>2</v>
      </c>
      <c r="H18" s="9">
        <v>3</v>
      </c>
      <c r="I18" s="9">
        <v>0</v>
      </c>
      <c r="J18" s="9">
        <v>0</v>
      </c>
    </row>
    <row r="19" spans="1:10" ht="29.25" customHeight="1" x14ac:dyDescent="0.25">
      <c r="A19" s="22"/>
      <c r="B19" s="25"/>
      <c r="C19" s="25"/>
      <c r="D19" s="6" t="s">
        <v>50</v>
      </c>
      <c r="E19" s="7">
        <f>2428857/0.702804</f>
        <v>3455952.1573582394</v>
      </c>
      <c r="F19" s="7">
        <f>1821643/0.702804</f>
        <v>2591964.4737366321</v>
      </c>
      <c r="G19" s="8">
        <v>5</v>
      </c>
      <c r="H19" s="9">
        <v>0</v>
      </c>
      <c r="I19" s="9">
        <v>0</v>
      </c>
      <c r="J19" s="9">
        <v>0</v>
      </c>
    </row>
    <row r="20" spans="1:10" ht="15" x14ac:dyDescent="0.25">
      <c r="A20" s="23"/>
      <c r="B20" s="26"/>
      <c r="C20" s="26"/>
      <c r="D20" s="16" t="s">
        <v>40</v>
      </c>
      <c r="E20" s="17">
        <f>E18+E19</f>
        <v>4634801.452467544</v>
      </c>
      <c r="F20" s="17">
        <f t="shared" ref="F20:J20" si="4">F18+F19</f>
        <v>3476101.4450686108</v>
      </c>
      <c r="G20" s="18">
        <f t="shared" si="4"/>
        <v>7</v>
      </c>
      <c r="H20" s="18">
        <f t="shared" si="4"/>
        <v>3</v>
      </c>
      <c r="I20" s="18">
        <f t="shared" si="4"/>
        <v>0</v>
      </c>
      <c r="J20" s="18">
        <f t="shared" si="4"/>
        <v>0</v>
      </c>
    </row>
    <row r="21" spans="1:10" ht="29.25" customHeight="1" x14ac:dyDescent="0.25">
      <c r="A21" s="21">
        <v>6</v>
      </c>
      <c r="B21" s="24" t="s">
        <v>16</v>
      </c>
      <c r="C21" s="24" t="s">
        <v>12</v>
      </c>
      <c r="D21" s="6" t="s">
        <v>51</v>
      </c>
      <c r="E21" s="7">
        <f>91000/0.702804</f>
        <v>129481.33476758812</v>
      </c>
      <c r="F21" s="7">
        <f>68250/0.702804</f>
        <v>97111.001075691092</v>
      </c>
      <c r="G21" s="8">
        <v>5</v>
      </c>
      <c r="H21" s="9">
        <v>3</v>
      </c>
      <c r="I21" s="9">
        <v>133</v>
      </c>
      <c r="J21" s="9">
        <v>4</v>
      </c>
    </row>
    <row r="22" spans="1:10" ht="32.25" customHeight="1" x14ac:dyDescent="0.25">
      <c r="A22" s="22"/>
      <c r="B22" s="25"/>
      <c r="C22" s="25"/>
      <c r="D22" s="6" t="s">
        <v>52</v>
      </c>
      <c r="E22" s="7">
        <f>200000/0.702804</f>
        <v>284574.36212656728</v>
      </c>
      <c r="F22" s="7">
        <f>150000/0.702804</f>
        <v>213430.77159492546</v>
      </c>
      <c r="G22" s="8">
        <v>12</v>
      </c>
      <c r="H22" s="9">
        <v>0</v>
      </c>
      <c r="I22" s="9">
        <v>0</v>
      </c>
      <c r="J22" s="9">
        <v>0</v>
      </c>
    </row>
    <row r="23" spans="1:10" ht="15" x14ac:dyDescent="0.25">
      <c r="A23" s="23"/>
      <c r="B23" s="26"/>
      <c r="C23" s="26"/>
      <c r="D23" s="16" t="s">
        <v>40</v>
      </c>
      <c r="E23" s="17">
        <f>E21+E22</f>
        <v>414055.69689415541</v>
      </c>
      <c r="F23" s="17">
        <f t="shared" ref="F23:J23" si="5">F21+F22</f>
        <v>310541.77267061657</v>
      </c>
      <c r="G23" s="18">
        <f t="shared" si="5"/>
        <v>17</v>
      </c>
      <c r="H23" s="18">
        <f t="shared" si="5"/>
        <v>3</v>
      </c>
      <c r="I23" s="18">
        <f t="shared" si="5"/>
        <v>133</v>
      </c>
      <c r="J23" s="18">
        <f t="shared" si="5"/>
        <v>4</v>
      </c>
    </row>
    <row r="24" spans="1:10" ht="30" customHeight="1" x14ac:dyDescent="0.25">
      <c r="A24" s="21">
        <v>7</v>
      </c>
      <c r="B24" s="24" t="s">
        <v>17</v>
      </c>
      <c r="C24" s="24" t="s">
        <v>18</v>
      </c>
      <c r="D24" s="6" t="s">
        <v>53</v>
      </c>
      <c r="E24" s="7">
        <f>954000/0.702804</f>
        <v>1357419.707343726</v>
      </c>
      <c r="F24" s="7">
        <f>715500/0.702804</f>
        <v>1018064.7805077945</v>
      </c>
      <c r="G24" s="8">
        <v>16</v>
      </c>
      <c r="H24" s="9">
        <v>15</v>
      </c>
      <c r="I24" s="9">
        <v>0</v>
      </c>
      <c r="J24" s="9">
        <v>0</v>
      </c>
    </row>
    <row r="25" spans="1:10" ht="30.75" customHeight="1" x14ac:dyDescent="0.25">
      <c r="A25" s="22"/>
      <c r="B25" s="25"/>
      <c r="C25" s="25"/>
      <c r="D25" s="6" t="s">
        <v>54</v>
      </c>
      <c r="E25" s="7">
        <f>123000/0.702804</f>
        <v>175013.23270783888</v>
      </c>
      <c r="F25" s="7">
        <f>92250/0.702804</f>
        <v>131259.92453087916</v>
      </c>
      <c r="G25" s="8">
        <v>3</v>
      </c>
      <c r="H25" s="9">
        <v>4</v>
      </c>
      <c r="I25" s="9">
        <v>103</v>
      </c>
      <c r="J25" s="9">
        <v>0</v>
      </c>
    </row>
    <row r="26" spans="1:10" ht="15" x14ac:dyDescent="0.25">
      <c r="A26" s="23"/>
      <c r="B26" s="26"/>
      <c r="C26" s="26"/>
      <c r="D26" s="16" t="s">
        <v>40</v>
      </c>
      <c r="E26" s="17">
        <f>E24+E25</f>
        <v>1532432.9400515649</v>
      </c>
      <c r="F26" s="17">
        <f t="shared" ref="F26:J26" si="6">F24+F25</f>
        <v>1149324.7050386737</v>
      </c>
      <c r="G26" s="18">
        <f t="shared" si="6"/>
        <v>19</v>
      </c>
      <c r="H26" s="18">
        <f t="shared" si="6"/>
        <v>19</v>
      </c>
      <c r="I26" s="18">
        <f t="shared" si="6"/>
        <v>103</v>
      </c>
      <c r="J26" s="18">
        <f t="shared" si="6"/>
        <v>0</v>
      </c>
    </row>
    <row r="27" spans="1:10" ht="23.25" customHeight="1" x14ac:dyDescent="0.25">
      <c r="A27" s="21">
        <v>8</v>
      </c>
      <c r="B27" s="24" t="s">
        <v>19</v>
      </c>
      <c r="C27" s="24" t="s">
        <v>18</v>
      </c>
      <c r="D27" s="6" t="s">
        <v>55</v>
      </c>
      <c r="E27" s="7">
        <f>350400/0.702804</f>
        <v>498574.28244574589</v>
      </c>
      <c r="F27" s="7">
        <f>262800/0.702804</f>
        <v>373930.71183430945</v>
      </c>
      <c r="G27" s="8">
        <v>11</v>
      </c>
      <c r="H27" s="9">
        <v>24</v>
      </c>
      <c r="I27" s="9">
        <v>631.79999999999995</v>
      </c>
      <c r="J27" s="9">
        <v>0</v>
      </c>
    </row>
    <row r="28" spans="1:10" ht="30.75" customHeight="1" x14ac:dyDescent="0.25">
      <c r="A28" s="22"/>
      <c r="B28" s="25"/>
      <c r="C28" s="25"/>
      <c r="D28" s="6" t="s">
        <v>56</v>
      </c>
      <c r="E28" s="7">
        <f>200000/0.702804</f>
        <v>284574.36212656728</v>
      </c>
      <c r="F28" s="7">
        <f>150000/0.702804</f>
        <v>213430.77159492546</v>
      </c>
      <c r="G28" s="8">
        <v>8</v>
      </c>
      <c r="H28" s="9">
        <v>0</v>
      </c>
      <c r="I28" s="9">
        <v>4623</v>
      </c>
      <c r="J28" s="9">
        <v>0</v>
      </c>
    </row>
    <row r="29" spans="1:10" ht="15" x14ac:dyDescent="0.25">
      <c r="A29" s="23"/>
      <c r="B29" s="26"/>
      <c r="C29" s="26"/>
      <c r="D29" s="16" t="s">
        <v>40</v>
      </c>
      <c r="E29" s="17">
        <f>E27+E28</f>
        <v>783148.64457231318</v>
      </c>
      <c r="F29" s="17">
        <f t="shared" ref="F29:J29" si="7">F27+F28</f>
        <v>587361.48342923494</v>
      </c>
      <c r="G29" s="18">
        <f t="shared" si="7"/>
        <v>19</v>
      </c>
      <c r="H29" s="18">
        <f t="shared" si="7"/>
        <v>24</v>
      </c>
      <c r="I29" s="18">
        <f t="shared" si="7"/>
        <v>5254.8</v>
      </c>
      <c r="J29" s="18">
        <f t="shared" si="7"/>
        <v>0</v>
      </c>
    </row>
    <row r="30" spans="1:10" ht="19.5" customHeight="1" x14ac:dyDescent="0.25">
      <c r="A30" s="21">
        <v>9</v>
      </c>
      <c r="B30" s="24" t="s">
        <v>20</v>
      </c>
      <c r="C30" s="24" t="s">
        <v>12</v>
      </c>
      <c r="D30" s="6" t="s">
        <v>57</v>
      </c>
      <c r="E30" s="7">
        <f>178200/0.702804</f>
        <v>253555.75665477145</v>
      </c>
      <c r="F30" s="7">
        <f>133650/0.702804</f>
        <v>190166.8174910786</v>
      </c>
      <c r="G30" s="8">
        <v>7</v>
      </c>
      <c r="H30" s="9">
        <v>2</v>
      </c>
      <c r="I30" s="9">
        <v>140</v>
      </c>
      <c r="J30" s="9">
        <v>6</v>
      </c>
    </row>
    <row r="31" spans="1:10" ht="35.25" customHeight="1" x14ac:dyDescent="0.25">
      <c r="A31" s="22"/>
      <c r="B31" s="25"/>
      <c r="C31" s="25"/>
      <c r="D31" s="6" t="s">
        <v>58</v>
      </c>
      <c r="E31" s="7">
        <f>496200/0.702804</f>
        <v>706028.99243601342</v>
      </c>
      <c r="F31" s="7">
        <f>372150/0.702804</f>
        <v>529521.74432701012</v>
      </c>
      <c r="G31" s="8">
        <v>11</v>
      </c>
      <c r="H31" s="9">
        <v>0</v>
      </c>
      <c r="I31" s="9">
        <v>0</v>
      </c>
      <c r="J31" s="9">
        <v>0</v>
      </c>
    </row>
    <row r="32" spans="1:10" ht="33" customHeight="1" x14ac:dyDescent="0.25">
      <c r="A32" s="22"/>
      <c r="B32" s="25"/>
      <c r="C32" s="25"/>
      <c r="D32" s="6" t="s">
        <v>59</v>
      </c>
      <c r="E32" s="7">
        <f>499401/0.702804</f>
        <v>710583.60510184919</v>
      </c>
      <c r="F32" s="7">
        <f>374551/0.702804</f>
        <v>532938.05954433954</v>
      </c>
      <c r="G32" s="8">
        <v>2</v>
      </c>
      <c r="H32" s="9">
        <v>0</v>
      </c>
      <c r="I32" s="9">
        <v>0</v>
      </c>
      <c r="J32" s="9">
        <v>0</v>
      </c>
    </row>
    <row r="33" spans="1:10" ht="15" x14ac:dyDescent="0.25">
      <c r="A33" s="23"/>
      <c r="B33" s="26"/>
      <c r="C33" s="26"/>
      <c r="D33" s="16" t="s">
        <v>40</v>
      </c>
      <c r="E33" s="17">
        <f>E30+E31+E32</f>
        <v>1670168.3541926341</v>
      </c>
      <c r="F33" s="17">
        <f t="shared" ref="F33:J33" si="8">F30+F31+F32</f>
        <v>1252626.6213624282</v>
      </c>
      <c r="G33" s="18">
        <f t="shared" si="8"/>
        <v>20</v>
      </c>
      <c r="H33" s="18">
        <f t="shared" si="8"/>
        <v>2</v>
      </c>
      <c r="I33" s="18">
        <f t="shared" si="8"/>
        <v>140</v>
      </c>
      <c r="J33" s="18">
        <f t="shared" si="8"/>
        <v>6</v>
      </c>
    </row>
    <row r="34" spans="1:10" ht="21" customHeight="1" x14ac:dyDescent="0.25">
      <c r="A34" s="21">
        <v>10</v>
      </c>
      <c r="B34" s="24" t="s">
        <v>21</v>
      </c>
      <c r="C34" s="24" t="s">
        <v>62</v>
      </c>
      <c r="D34" s="6" t="s">
        <v>60</v>
      </c>
      <c r="E34" s="7">
        <f>310000/0.702804</f>
        <v>441090.26129617932</v>
      </c>
      <c r="F34" s="7">
        <f>232500/0.702804</f>
        <v>330817.69597213448</v>
      </c>
      <c r="G34" s="8">
        <v>3</v>
      </c>
      <c r="H34" s="9">
        <v>0</v>
      </c>
      <c r="I34" s="9">
        <v>0</v>
      </c>
      <c r="J34" s="9">
        <v>14</v>
      </c>
    </row>
    <row r="35" spans="1:10" ht="28.5" customHeight="1" x14ac:dyDescent="0.25">
      <c r="A35" s="22"/>
      <c r="B35" s="25"/>
      <c r="C35" s="25"/>
      <c r="D35" s="6" t="s">
        <v>61</v>
      </c>
      <c r="E35" s="7">
        <f>804000/0.702804</f>
        <v>1143988.9357488006</v>
      </c>
      <c r="F35" s="7">
        <f>603000/0.702804</f>
        <v>857991.70181160036</v>
      </c>
      <c r="G35" s="8">
        <v>20</v>
      </c>
      <c r="H35" s="9">
        <v>0</v>
      </c>
      <c r="I35" s="9">
        <v>0</v>
      </c>
      <c r="J35" s="9">
        <v>0</v>
      </c>
    </row>
    <row r="36" spans="1:10" ht="30" customHeight="1" x14ac:dyDescent="0.25">
      <c r="A36" s="23"/>
      <c r="B36" s="26"/>
      <c r="C36" s="26"/>
      <c r="D36" s="16" t="s">
        <v>40</v>
      </c>
      <c r="E36" s="17">
        <f>E34+E35</f>
        <v>1585079.19704498</v>
      </c>
      <c r="F36" s="17">
        <f t="shared" ref="F36:J36" si="9">F34+F35</f>
        <v>1188809.3977837348</v>
      </c>
      <c r="G36" s="18">
        <f t="shared" si="9"/>
        <v>23</v>
      </c>
      <c r="H36" s="18">
        <f t="shared" si="9"/>
        <v>0</v>
      </c>
      <c r="I36" s="18">
        <f t="shared" si="9"/>
        <v>0</v>
      </c>
      <c r="J36" s="18">
        <f t="shared" si="9"/>
        <v>14</v>
      </c>
    </row>
    <row r="37" spans="1:10" ht="39.75" customHeight="1" x14ac:dyDescent="0.25">
      <c r="A37" s="21">
        <v>11</v>
      </c>
      <c r="B37" s="24" t="s">
        <v>22</v>
      </c>
      <c r="C37" s="24" t="s">
        <v>12</v>
      </c>
      <c r="D37" s="6" t="s">
        <v>63</v>
      </c>
      <c r="E37" s="7">
        <f>127000/0.702804</f>
        <v>180704.71995037023</v>
      </c>
      <c r="F37" s="7">
        <f>95250/0.702804</f>
        <v>135528.53996277766</v>
      </c>
      <c r="G37" s="8">
        <v>8</v>
      </c>
      <c r="H37" s="9">
        <v>0</v>
      </c>
      <c r="I37" s="9">
        <v>60</v>
      </c>
      <c r="J37" s="9">
        <v>5</v>
      </c>
    </row>
    <row r="38" spans="1:10" ht="21.75" customHeight="1" x14ac:dyDescent="0.25">
      <c r="A38" s="23"/>
      <c r="B38" s="26"/>
      <c r="C38" s="26"/>
      <c r="D38" s="16" t="s">
        <v>40</v>
      </c>
      <c r="E38" s="17">
        <f>E37</f>
        <v>180704.71995037023</v>
      </c>
      <c r="F38" s="17">
        <f t="shared" ref="F38:J38" si="10">F37</f>
        <v>135528.53996277766</v>
      </c>
      <c r="G38" s="18">
        <f t="shared" si="10"/>
        <v>8</v>
      </c>
      <c r="H38" s="18">
        <f t="shared" si="10"/>
        <v>0</v>
      </c>
      <c r="I38" s="18">
        <f t="shared" si="10"/>
        <v>60</v>
      </c>
      <c r="J38" s="18">
        <f t="shared" si="10"/>
        <v>5</v>
      </c>
    </row>
    <row r="39" spans="1:10" ht="42" customHeight="1" x14ac:dyDescent="0.25">
      <c r="A39" s="21">
        <v>12</v>
      </c>
      <c r="B39" s="24" t="s">
        <v>23</v>
      </c>
      <c r="C39" s="24" t="s">
        <v>24</v>
      </c>
      <c r="D39" s="6" t="s">
        <v>64</v>
      </c>
      <c r="E39" s="7">
        <f>1022180/0.702804</f>
        <v>1454431.1073926729</v>
      </c>
      <c r="F39" s="7">
        <f>766635/0.702804</f>
        <v>1090823.3305445046</v>
      </c>
      <c r="G39" s="8">
        <v>25</v>
      </c>
      <c r="H39" s="9">
        <v>0</v>
      </c>
      <c r="I39" s="9">
        <v>0</v>
      </c>
      <c r="J39" s="9">
        <v>0</v>
      </c>
    </row>
    <row r="40" spans="1:10" ht="31.5" customHeight="1" x14ac:dyDescent="0.25">
      <c r="A40" s="22"/>
      <c r="B40" s="25"/>
      <c r="C40" s="25"/>
      <c r="D40" s="6" t="s">
        <v>65</v>
      </c>
      <c r="E40" s="7">
        <f>885300/0.702804</f>
        <v>1259668.41395325</v>
      </c>
      <c r="F40" s="7">
        <f>663975/0.702804</f>
        <v>944751.31046493759</v>
      </c>
      <c r="G40" s="8">
        <v>21</v>
      </c>
      <c r="H40" s="9">
        <v>0</v>
      </c>
      <c r="I40" s="9">
        <v>0</v>
      </c>
      <c r="J40" s="9">
        <v>0</v>
      </c>
    </row>
    <row r="41" spans="1:10" ht="32.25" customHeight="1" x14ac:dyDescent="0.25">
      <c r="A41" s="22"/>
      <c r="B41" s="25"/>
      <c r="C41" s="25"/>
      <c r="D41" s="6" t="s">
        <v>66</v>
      </c>
      <c r="E41" s="7">
        <f>1000000/0.702804</f>
        <v>1422871.8106328365</v>
      </c>
      <c r="F41" s="7">
        <f>750000/0.702804</f>
        <v>1067153.8579746273</v>
      </c>
      <c r="G41" s="8">
        <v>49</v>
      </c>
      <c r="H41" s="9">
        <v>0</v>
      </c>
      <c r="I41" s="9">
        <v>40</v>
      </c>
      <c r="J41" s="9">
        <v>0</v>
      </c>
    </row>
    <row r="42" spans="1:10" ht="15" x14ac:dyDescent="0.25">
      <c r="A42" s="23"/>
      <c r="B42" s="26"/>
      <c r="C42" s="26"/>
      <c r="D42" s="16" t="s">
        <v>40</v>
      </c>
      <c r="E42" s="17">
        <f>E39+E40+E41</f>
        <v>4136971.3319787593</v>
      </c>
      <c r="F42" s="17">
        <f t="shared" ref="F42:J42" si="11">F39+F40+F41</f>
        <v>3102728.4989840696</v>
      </c>
      <c r="G42" s="18">
        <f t="shared" si="11"/>
        <v>95</v>
      </c>
      <c r="H42" s="18">
        <f t="shared" si="11"/>
        <v>0</v>
      </c>
      <c r="I42" s="18">
        <f t="shared" si="11"/>
        <v>40</v>
      </c>
      <c r="J42" s="18">
        <f t="shared" si="11"/>
        <v>0</v>
      </c>
    </row>
    <row r="43" spans="1:10" ht="17.25" customHeight="1" x14ac:dyDescent="0.25">
      <c r="A43" s="21">
        <v>13</v>
      </c>
      <c r="B43" s="24" t="s">
        <v>25</v>
      </c>
      <c r="C43" s="24" t="s">
        <v>14</v>
      </c>
      <c r="D43" s="6" t="s">
        <v>67</v>
      </c>
      <c r="E43" s="7">
        <f>224520/0.702804</f>
        <v>319463.17892328446</v>
      </c>
      <c r="F43" s="7">
        <f>168390/0.702804</f>
        <v>239597.38419246333</v>
      </c>
      <c r="G43" s="8">
        <v>3</v>
      </c>
      <c r="H43" s="9">
        <v>3</v>
      </c>
      <c r="I43" s="9">
        <v>82</v>
      </c>
      <c r="J43" s="9">
        <v>11</v>
      </c>
    </row>
    <row r="44" spans="1:10" ht="29.25" customHeight="1" x14ac:dyDescent="0.25">
      <c r="A44" s="22"/>
      <c r="B44" s="25"/>
      <c r="C44" s="25"/>
      <c r="D44" s="6" t="s">
        <v>68</v>
      </c>
      <c r="E44" s="7">
        <f>302500/0.702804</f>
        <v>430418.72271643305</v>
      </c>
      <c r="F44" s="7">
        <f>226875/0.702804</f>
        <v>322814.04203732481</v>
      </c>
      <c r="G44" s="8">
        <v>1</v>
      </c>
      <c r="H44" s="9">
        <v>0</v>
      </c>
      <c r="I44" s="9">
        <v>0</v>
      </c>
      <c r="J44" s="9">
        <v>5</v>
      </c>
    </row>
    <row r="45" spans="1:10" ht="15" x14ac:dyDescent="0.25">
      <c r="A45" s="23"/>
      <c r="B45" s="26"/>
      <c r="C45" s="26"/>
      <c r="D45" s="16" t="s">
        <v>40</v>
      </c>
      <c r="E45" s="17">
        <f>E43+E44</f>
        <v>749881.90163971751</v>
      </c>
      <c r="F45" s="17">
        <f t="shared" ref="F45:J45" si="12">F43+F44</f>
        <v>562411.42622978811</v>
      </c>
      <c r="G45" s="18">
        <f t="shared" si="12"/>
        <v>4</v>
      </c>
      <c r="H45" s="18">
        <f t="shared" si="12"/>
        <v>3</v>
      </c>
      <c r="I45" s="18">
        <f t="shared" si="12"/>
        <v>82</v>
      </c>
      <c r="J45" s="18">
        <f t="shared" si="12"/>
        <v>16</v>
      </c>
    </row>
    <row r="46" spans="1:10" ht="48.75" customHeight="1" x14ac:dyDescent="0.25">
      <c r="A46" s="21">
        <v>14</v>
      </c>
      <c r="B46" s="24" t="s">
        <v>26</v>
      </c>
      <c r="C46" s="24" t="s">
        <v>27</v>
      </c>
      <c r="D46" s="6" t="s">
        <v>69</v>
      </c>
      <c r="E46" s="7">
        <f>901600/0.702804</f>
        <v>1282861.2244665653</v>
      </c>
      <c r="F46" s="7">
        <f>676200/0.702804</f>
        <v>962145.91834992403</v>
      </c>
      <c r="G46" s="8">
        <v>8</v>
      </c>
      <c r="H46" s="9">
        <v>0</v>
      </c>
      <c r="I46" s="9">
        <v>0</v>
      </c>
      <c r="J46" s="9">
        <v>8</v>
      </c>
    </row>
    <row r="47" spans="1:10" ht="37.5" customHeight="1" x14ac:dyDescent="0.25">
      <c r="A47" s="22"/>
      <c r="B47" s="25"/>
      <c r="C47" s="25"/>
      <c r="D47" s="6" t="s">
        <v>70</v>
      </c>
      <c r="E47" s="7">
        <f>708100/0.702804</f>
        <v>1007535.5291091115</v>
      </c>
      <c r="F47" s="7">
        <f>531075/0.702804</f>
        <v>755651.64683183364</v>
      </c>
      <c r="G47" s="8">
        <v>25</v>
      </c>
      <c r="H47" s="9">
        <v>0</v>
      </c>
      <c r="I47" s="9">
        <v>0</v>
      </c>
      <c r="J47" s="9">
        <v>0</v>
      </c>
    </row>
    <row r="48" spans="1:10" ht="48.75" customHeight="1" x14ac:dyDescent="0.25">
      <c r="A48" s="22"/>
      <c r="B48" s="25"/>
      <c r="C48" s="25"/>
      <c r="D48" s="6" t="s">
        <v>71</v>
      </c>
      <c r="E48" s="7">
        <f>506180/0.702804</f>
        <v>720229.25310612912</v>
      </c>
      <c r="F48" s="7">
        <f>379635/0.702804</f>
        <v>540171.9398295969</v>
      </c>
      <c r="G48" s="8">
        <v>128</v>
      </c>
      <c r="H48" s="9">
        <v>0</v>
      </c>
      <c r="I48" s="9">
        <v>0</v>
      </c>
      <c r="J48" s="9">
        <v>0</v>
      </c>
    </row>
    <row r="49" spans="1:10" ht="31.5" customHeight="1" x14ac:dyDescent="0.25">
      <c r="A49" s="22"/>
      <c r="B49" s="25"/>
      <c r="C49" s="25"/>
      <c r="D49" s="6" t="s">
        <v>72</v>
      </c>
      <c r="E49" s="7">
        <f>880000/0.702804</f>
        <v>1252127.1933568961</v>
      </c>
      <c r="F49" s="7">
        <f>660000/0.702804</f>
        <v>939095.3950176721</v>
      </c>
      <c r="G49" s="8">
        <v>21</v>
      </c>
      <c r="H49" s="9">
        <v>0</v>
      </c>
      <c r="I49" s="9">
        <v>0</v>
      </c>
      <c r="J49" s="9">
        <v>0</v>
      </c>
    </row>
    <row r="50" spans="1:10" ht="24.75" customHeight="1" x14ac:dyDescent="0.25">
      <c r="A50" s="23"/>
      <c r="B50" s="26"/>
      <c r="C50" s="26"/>
      <c r="D50" s="16" t="s">
        <v>40</v>
      </c>
      <c r="E50" s="17">
        <f>E46+E47+E48+E49</f>
        <v>4262753.2000387022</v>
      </c>
      <c r="F50" s="17">
        <f t="shared" ref="F50:J50" si="13">F46+F47+F48+F49</f>
        <v>3197064.9000290269</v>
      </c>
      <c r="G50" s="18">
        <f t="shared" si="13"/>
        <v>182</v>
      </c>
      <c r="H50" s="18">
        <f t="shared" si="13"/>
        <v>0</v>
      </c>
      <c r="I50" s="18">
        <f t="shared" si="13"/>
        <v>0</v>
      </c>
      <c r="J50" s="18">
        <f t="shared" si="13"/>
        <v>8</v>
      </c>
    </row>
    <row r="51" spans="1:10" ht="34.5" customHeight="1" x14ac:dyDescent="0.25">
      <c r="A51" s="21">
        <v>15</v>
      </c>
      <c r="B51" s="24" t="s">
        <v>28</v>
      </c>
      <c r="C51" s="24" t="s">
        <v>29</v>
      </c>
      <c r="D51" s="6" t="s">
        <v>73</v>
      </c>
      <c r="E51" s="7">
        <f>460000/0.702804</f>
        <v>654521.03289110481</v>
      </c>
      <c r="F51" s="7">
        <f>345000/0.702804</f>
        <v>490890.77466832858</v>
      </c>
      <c r="G51" s="8">
        <v>13</v>
      </c>
      <c r="H51" s="9">
        <v>0</v>
      </c>
      <c r="I51" s="9">
        <v>489.5</v>
      </c>
      <c r="J51" s="9">
        <v>0</v>
      </c>
    </row>
    <row r="52" spans="1:10" ht="32.25" customHeight="1" x14ac:dyDescent="0.25">
      <c r="A52" s="22"/>
      <c r="B52" s="25"/>
      <c r="C52" s="25"/>
      <c r="D52" s="6" t="s">
        <v>74</v>
      </c>
      <c r="E52" s="7">
        <f>195000/0.702804</f>
        <v>277460.00307340315</v>
      </c>
      <c r="F52" s="7">
        <f>146250/0.702804</f>
        <v>208095.00230505233</v>
      </c>
      <c r="G52" s="8">
        <v>3</v>
      </c>
      <c r="H52" s="9">
        <v>0</v>
      </c>
      <c r="I52" s="9">
        <v>0</v>
      </c>
      <c r="J52" s="9">
        <v>0</v>
      </c>
    </row>
    <row r="53" spans="1:10" ht="40.5" customHeight="1" x14ac:dyDescent="0.25">
      <c r="A53" s="22"/>
      <c r="B53" s="25"/>
      <c r="C53" s="25"/>
      <c r="D53" s="6" t="s">
        <v>75</v>
      </c>
      <c r="E53" s="7">
        <f>520245.75/0.702804</f>
        <v>740243.01227653795</v>
      </c>
      <c r="F53" s="7">
        <f>390184.31/0.702804</f>
        <v>555182.25565022393</v>
      </c>
      <c r="G53" s="8">
        <v>5</v>
      </c>
      <c r="H53" s="9">
        <v>0</v>
      </c>
      <c r="I53" s="9">
        <v>988</v>
      </c>
      <c r="J53" s="9">
        <v>0</v>
      </c>
    </row>
    <row r="54" spans="1:10" ht="15" x14ac:dyDescent="0.25">
      <c r="A54" s="23"/>
      <c r="B54" s="26"/>
      <c r="C54" s="26"/>
      <c r="D54" s="16" t="s">
        <v>40</v>
      </c>
      <c r="E54" s="17">
        <f>E51+E52+E53</f>
        <v>1672224.0482410458</v>
      </c>
      <c r="F54" s="17">
        <f t="shared" ref="F54:J54" si="14">F51+F52+F53</f>
        <v>1254168.0326236049</v>
      </c>
      <c r="G54" s="18">
        <f t="shared" si="14"/>
        <v>21</v>
      </c>
      <c r="H54" s="18">
        <f t="shared" si="14"/>
        <v>0</v>
      </c>
      <c r="I54" s="18">
        <f t="shared" si="14"/>
        <v>1477.5</v>
      </c>
      <c r="J54" s="18">
        <f t="shared" si="14"/>
        <v>0</v>
      </c>
    </row>
    <row r="55" spans="1:10" ht="30" customHeight="1" x14ac:dyDescent="0.25">
      <c r="A55" s="21">
        <v>16</v>
      </c>
      <c r="B55" s="24" t="s">
        <v>30</v>
      </c>
      <c r="C55" s="24" t="s">
        <v>31</v>
      </c>
      <c r="D55" s="6" t="s">
        <v>76</v>
      </c>
      <c r="E55" s="7">
        <f>1193640/0.702804</f>
        <v>1698396.708043779</v>
      </c>
      <c r="F55" s="7">
        <f>856895/0.702804</f>
        <v>1219251.7401722244</v>
      </c>
      <c r="G55" s="8">
        <v>18</v>
      </c>
      <c r="H55" s="9">
        <v>5</v>
      </c>
      <c r="I55" s="9">
        <v>0</v>
      </c>
      <c r="J55" s="9">
        <v>0</v>
      </c>
    </row>
    <row r="56" spans="1:10" ht="33" customHeight="1" x14ac:dyDescent="0.25">
      <c r="A56" s="22"/>
      <c r="B56" s="25"/>
      <c r="C56" s="25"/>
      <c r="D56" s="6" t="s">
        <v>77</v>
      </c>
      <c r="E56" s="7">
        <f>1010000/0.702804</f>
        <v>1437100.5287391648</v>
      </c>
      <c r="F56" s="7">
        <f>757500/0.702804</f>
        <v>1077825.3965543737</v>
      </c>
      <c r="G56" s="8">
        <v>8</v>
      </c>
      <c r="H56" s="9">
        <v>0</v>
      </c>
      <c r="I56" s="9">
        <v>0</v>
      </c>
      <c r="J56" s="9">
        <v>0</v>
      </c>
    </row>
    <row r="57" spans="1:10" ht="45" customHeight="1" x14ac:dyDescent="0.25">
      <c r="A57" s="22"/>
      <c r="B57" s="25"/>
      <c r="C57" s="25"/>
      <c r="D57" s="6" t="s">
        <v>78</v>
      </c>
      <c r="E57" s="7">
        <f>985000/0.702804</f>
        <v>1401528.733473344</v>
      </c>
      <c r="F57" s="7">
        <f>738750/0.702804</f>
        <v>1051146.5501050081</v>
      </c>
      <c r="G57" s="8">
        <v>2</v>
      </c>
      <c r="H57" s="9">
        <v>0</v>
      </c>
      <c r="I57" s="9">
        <v>958</v>
      </c>
      <c r="J57" s="9">
        <v>0</v>
      </c>
    </row>
    <row r="58" spans="1:10" ht="15" x14ac:dyDescent="0.25">
      <c r="A58" s="23"/>
      <c r="B58" s="26"/>
      <c r="C58" s="26"/>
      <c r="D58" s="16" t="s">
        <v>40</v>
      </c>
      <c r="E58" s="17">
        <f>E55+E56+E57</f>
        <v>4537025.9702562876</v>
      </c>
      <c r="F58" s="17">
        <f t="shared" ref="F58:J58" si="15">F55+F56+F57</f>
        <v>3348223.6868316066</v>
      </c>
      <c r="G58" s="18">
        <f t="shared" si="15"/>
        <v>28</v>
      </c>
      <c r="H58" s="18">
        <f t="shared" si="15"/>
        <v>5</v>
      </c>
      <c r="I58" s="18">
        <f t="shared" si="15"/>
        <v>958</v>
      </c>
      <c r="J58" s="18">
        <f t="shared" si="15"/>
        <v>0</v>
      </c>
    </row>
    <row r="59" spans="1:10" ht="21.75" customHeight="1" x14ac:dyDescent="0.25">
      <c r="A59" s="21">
        <v>17</v>
      </c>
      <c r="B59" s="24" t="s">
        <v>32</v>
      </c>
      <c r="C59" s="24" t="s">
        <v>31</v>
      </c>
      <c r="D59" s="6" t="s">
        <v>79</v>
      </c>
      <c r="E59" s="7">
        <f>819124/0.702804</f>
        <v>1165508.4490128115</v>
      </c>
      <c r="F59" s="7">
        <f>614343/0.702804</f>
        <v>874131.3367596087</v>
      </c>
      <c r="G59" s="8">
        <v>3</v>
      </c>
      <c r="H59" s="9">
        <v>0</v>
      </c>
      <c r="I59" s="9">
        <v>1032.5</v>
      </c>
      <c r="J59" s="9">
        <v>0</v>
      </c>
    </row>
    <row r="60" spans="1:10" ht="15" x14ac:dyDescent="0.25">
      <c r="A60" s="23"/>
      <c r="B60" s="26"/>
      <c r="C60" s="26"/>
      <c r="D60" s="16" t="s">
        <v>40</v>
      </c>
      <c r="E60" s="17">
        <f>E59</f>
        <v>1165508.4490128115</v>
      </c>
      <c r="F60" s="17">
        <f t="shared" ref="F60:J60" si="16">F59</f>
        <v>874131.3367596087</v>
      </c>
      <c r="G60" s="18">
        <f t="shared" si="16"/>
        <v>3</v>
      </c>
      <c r="H60" s="18">
        <f t="shared" si="16"/>
        <v>0</v>
      </c>
      <c r="I60" s="18">
        <f t="shared" si="16"/>
        <v>1032.5</v>
      </c>
      <c r="J60" s="18">
        <f t="shared" si="16"/>
        <v>0</v>
      </c>
    </row>
    <row r="61" spans="1:10" ht="30.75" customHeight="1" x14ac:dyDescent="0.25">
      <c r="A61" s="21">
        <v>18</v>
      </c>
      <c r="B61" s="24" t="s">
        <v>33</v>
      </c>
      <c r="C61" s="24" t="s">
        <v>8</v>
      </c>
      <c r="D61" s="6" t="s">
        <v>80</v>
      </c>
      <c r="E61" s="7">
        <f>294900/0.702804</f>
        <v>419604.89695562347</v>
      </c>
      <c r="F61" s="7">
        <f>221175/0.702804</f>
        <v>314703.67271671758</v>
      </c>
      <c r="G61" s="8">
        <v>8</v>
      </c>
      <c r="H61" s="9">
        <v>6</v>
      </c>
      <c r="I61" s="9">
        <v>175.9</v>
      </c>
      <c r="J61" s="9">
        <v>0</v>
      </c>
    </row>
    <row r="62" spans="1:10" ht="30.75" customHeight="1" x14ac:dyDescent="0.25">
      <c r="A62" s="22"/>
      <c r="B62" s="25"/>
      <c r="C62" s="25"/>
      <c r="D62" s="6" t="s">
        <v>81</v>
      </c>
      <c r="E62" s="7">
        <f>612000/0.702804</f>
        <v>870797.54810729588</v>
      </c>
      <c r="F62" s="7">
        <f>459000/0.702804</f>
        <v>653098.16108047194</v>
      </c>
      <c r="G62" s="8">
        <v>11</v>
      </c>
      <c r="H62" s="9">
        <v>0</v>
      </c>
      <c r="I62" s="9">
        <v>0</v>
      </c>
      <c r="J62" s="9">
        <v>0</v>
      </c>
    </row>
    <row r="63" spans="1:10" ht="15" x14ac:dyDescent="0.25">
      <c r="A63" s="23"/>
      <c r="B63" s="26"/>
      <c r="C63" s="26"/>
      <c r="D63" s="16" t="s">
        <v>40</v>
      </c>
      <c r="E63" s="17">
        <f>E61+E62</f>
        <v>1290402.4450629193</v>
      </c>
      <c r="F63" s="17">
        <f t="shared" ref="F63:J63" si="17">F61+F62</f>
        <v>967801.83379718952</v>
      </c>
      <c r="G63" s="18">
        <f t="shared" si="17"/>
        <v>19</v>
      </c>
      <c r="H63" s="18">
        <f t="shared" si="17"/>
        <v>6</v>
      </c>
      <c r="I63" s="18">
        <f t="shared" si="17"/>
        <v>175.9</v>
      </c>
      <c r="J63" s="18">
        <f t="shared" si="17"/>
        <v>0</v>
      </c>
    </row>
    <row r="64" spans="1:10" ht="30" customHeight="1" x14ac:dyDescent="0.25">
      <c r="A64" s="21">
        <v>19</v>
      </c>
      <c r="B64" s="24" t="s">
        <v>34</v>
      </c>
      <c r="C64" s="24" t="s">
        <v>31</v>
      </c>
      <c r="D64" s="6" t="s">
        <v>82</v>
      </c>
      <c r="E64" s="15">
        <f>377530/0.702804</f>
        <v>537176.79466821474</v>
      </c>
      <c r="F64" s="15">
        <f>283147.5/0.702804</f>
        <v>402882.59600116109</v>
      </c>
      <c r="G64" s="19">
        <v>1</v>
      </c>
      <c r="H64" s="20">
        <v>2</v>
      </c>
      <c r="I64" s="20">
        <v>0</v>
      </c>
      <c r="J64" s="20">
        <v>0</v>
      </c>
    </row>
    <row r="65" spans="1:10" ht="30" x14ac:dyDescent="0.25">
      <c r="A65" s="22"/>
      <c r="B65" s="25"/>
      <c r="C65" s="25"/>
      <c r="D65" s="6" t="s">
        <v>83</v>
      </c>
      <c r="E65" s="15">
        <f>259650/0.702804</f>
        <v>369448.66563081602</v>
      </c>
      <c r="F65" s="15">
        <f>194738/0.702804</f>
        <v>277087.21065901732</v>
      </c>
      <c r="G65" s="19">
        <v>1</v>
      </c>
      <c r="H65" s="20">
        <v>0</v>
      </c>
      <c r="I65" s="20">
        <v>0</v>
      </c>
      <c r="J65" s="20">
        <v>0</v>
      </c>
    </row>
    <row r="66" spans="1:10" ht="15" x14ac:dyDescent="0.25">
      <c r="A66" s="23"/>
      <c r="B66" s="26"/>
      <c r="C66" s="26"/>
      <c r="D66" s="16" t="s">
        <v>40</v>
      </c>
      <c r="E66" s="17">
        <f>E64+E65</f>
        <v>906625.46029903076</v>
      </c>
      <c r="F66" s="17">
        <f t="shared" ref="F66:J66" si="18">F64+F65</f>
        <v>679969.80666017835</v>
      </c>
      <c r="G66" s="18">
        <f t="shared" si="18"/>
        <v>2</v>
      </c>
      <c r="H66" s="18">
        <f t="shared" si="18"/>
        <v>2</v>
      </c>
      <c r="I66" s="18">
        <f t="shared" si="18"/>
        <v>0</v>
      </c>
      <c r="J66" s="18">
        <f t="shared" si="18"/>
        <v>0</v>
      </c>
    </row>
    <row r="67" spans="1:10" ht="30" customHeight="1" x14ac:dyDescent="0.25">
      <c r="A67" s="27" t="s">
        <v>86</v>
      </c>
      <c r="B67" s="27"/>
      <c r="C67" s="27"/>
      <c r="D67" s="27"/>
      <c r="E67" s="10">
        <f>E7+E10+E12+E17+E20+E23+E26+E29+E33+E36+E38+E42+E45+E50+E54+E58+E60+E63+E66</f>
        <v>36087726.265075326</v>
      </c>
      <c r="F67" s="10">
        <f t="shared" ref="F67:J67" si="19">F7+F10+F12+F17+F20+F23+F26+F29+F33+F36+F38+F42+F45+F50+F54+F58+F60+F63+F66</f>
        <v>27011250.334374879</v>
      </c>
      <c r="G67" s="11">
        <f t="shared" si="19"/>
        <v>552</v>
      </c>
      <c r="H67" s="11">
        <f t="shared" si="19"/>
        <v>98</v>
      </c>
      <c r="I67" s="11">
        <f t="shared" si="19"/>
        <v>13192.28</v>
      </c>
      <c r="J67" s="11">
        <f t="shared" si="19"/>
        <v>62</v>
      </c>
    </row>
  </sheetData>
  <mergeCells count="66">
    <mergeCell ref="A1:J1"/>
    <mergeCell ref="A3:A4"/>
    <mergeCell ref="B3:B4"/>
    <mergeCell ref="D3:D4"/>
    <mergeCell ref="E3:F3"/>
    <mergeCell ref="G3:J3"/>
    <mergeCell ref="C3:C4"/>
    <mergeCell ref="A11:A12"/>
    <mergeCell ref="B11:B12"/>
    <mergeCell ref="C11:C12"/>
    <mergeCell ref="A67:D67"/>
    <mergeCell ref="A2:J2"/>
    <mergeCell ref="B5:B7"/>
    <mergeCell ref="A5:A7"/>
    <mergeCell ref="C5:C7"/>
    <mergeCell ref="A8:A10"/>
    <mergeCell ref="B8:B10"/>
    <mergeCell ref="C8:C10"/>
    <mergeCell ref="A13:A17"/>
    <mergeCell ref="B13:B17"/>
    <mergeCell ref="C13:C17"/>
    <mergeCell ref="A37:A38"/>
    <mergeCell ref="B37:B38"/>
    <mergeCell ref="C37:C38"/>
    <mergeCell ref="C30:C33"/>
    <mergeCell ref="B30:B33"/>
    <mergeCell ref="A30:A33"/>
    <mergeCell ref="A24:A26"/>
    <mergeCell ref="B24:B26"/>
    <mergeCell ref="C24:C26"/>
    <mergeCell ref="A34:A36"/>
    <mergeCell ref="B34:B36"/>
    <mergeCell ref="C34:C36"/>
    <mergeCell ref="A27:A29"/>
    <mergeCell ref="B27:B29"/>
    <mergeCell ref="C27:C29"/>
    <mergeCell ref="B18:B20"/>
    <mergeCell ref="A18:A20"/>
    <mergeCell ref="C18:C20"/>
    <mergeCell ref="A21:A23"/>
    <mergeCell ref="B21:B23"/>
    <mergeCell ref="C21:C23"/>
    <mergeCell ref="A59:A60"/>
    <mergeCell ref="B59:B60"/>
    <mergeCell ref="C59:C60"/>
    <mergeCell ref="A46:A50"/>
    <mergeCell ref="B46:B50"/>
    <mergeCell ref="C46:C50"/>
    <mergeCell ref="A51:A54"/>
    <mergeCell ref="B51:B54"/>
    <mergeCell ref="C51:C54"/>
    <mergeCell ref="A55:A58"/>
    <mergeCell ref="B55:B58"/>
    <mergeCell ref="C55:C58"/>
    <mergeCell ref="A39:A42"/>
    <mergeCell ref="B39:B42"/>
    <mergeCell ref="C39:C42"/>
    <mergeCell ref="A43:A45"/>
    <mergeCell ref="B43:B45"/>
    <mergeCell ref="C43:C45"/>
    <mergeCell ref="A64:A66"/>
    <mergeCell ref="B64:B66"/>
    <mergeCell ref="C64:C66"/>
    <mergeCell ref="A61:A63"/>
    <mergeCell ref="B61:B63"/>
    <mergeCell ref="C61:C63"/>
  </mergeCells>
  <pageMargins left="0.39370078740157483" right="0.39370078740157483" top="0.39370078740157483" bottom="0.3937007874015748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 2004.-2006.atbalsts 2.5.2.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"Par pētniecības un inovācijas infrastruktūras un pētnieciskās darbības koncentrācijas teritoriālo kartējumu" 4.pielikums</dc:title>
  <dc:creator/>
  <cp:lastModifiedBy/>
  <dcterms:created xsi:type="dcterms:W3CDTF">2006-09-16T00:00:00Z</dcterms:created>
  <dcterms:modified xsi:type="dcterms:W3CDTF">2016-07-01T07:57:20Z</dcterms:modified>
</cp:coreProperties>
</file>