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80" windowWidth="20730" windowHeight="11760"/>
  </bookViews>
  <sheets>
    <sheet name="septembris" sheetId="3" r:id="rId1"/>
  </sheets>
  <calcPr calcId="125725"/>
</workbook>
</file>

<file path=xl/calcChain.xml><?xml version="1.0" encoding="utf-8"?>
<calcChain xmlns="http://schemas.openxmlformats.org/spreadsheetml/2006/main">
  <c r="J35" i="3"/>
  <c r="F9"/>
  <c r="M13"/>
  <c r="L18"/>
  <c r="F23" l="1"/>
  <c r="F10"/>
  <c r="E29"/>
  <c r="F29" s="1"/>
  <c r="E28"/>
  <c r="F28" s="1"/>
  <c r="E27"/>
  <c r="F27" s="1"/>
  <c r="E26"/>
  <c r="F26" s="1"/>
  <c r="E25"/>
  <c r="F25" s="1"/>
  <c r="E24"/>
  <c r="F24" s="1"/>
  <c r="E21"/>
  <c r="F21" s="1"/>
  <c r="E18"/>
  <c r="E17"/>
  <c r="F17" s="1"/>
  <c r="E16"/>
  <c r="F16" s="1"/>
  <c r="E15"/>
  <c r="F15" s="1"/>
  <c r="E14"/>
  <c r="F14" s="1"/>
  <c r="E13"/>
  <c r="F13" s="1"/>
  <c r="E12"/>
  <c r="F12" s="1"/>
  <c r="E11"/>
  <c r="F11" s="1"/>
  <c r="E9"/>
  <c r="E33" l="1"/>
  <c r="E32"/>
  <c r="F32" s="1"/>
  <c r="F33" l="1"/>
  <c r="M33" s="1"/>
  <c r="E35"/>
  <c r="H42"/>
  <c r="L35"/>
  <c r="K35"/>
  <c r="M35" s="1"/>
  <c r="I35"/>
  <c r="H35"/>
  <c r="D35"/>
  <c r="D46" s="1"/>
  <c r="I33"/>
  <c r="I32"/>
  <c r="H32"/>
  <c r="M32"/>
  <c r="F31"/>
  <c r="M31" s="1"/>
  <c r="F30"/>
  <c r="M30" s="1"/>
  <c r="I29"/>
  <c r="H29"/>
  <c r="M29"/>
  <c r="C29"/>
  <c r="I28"/>
  <c r="M28"/>
  <c r="C28"/>
  <c r="I27"/>
  <c r="H27"/>
  <c r="M27"/>
  <c r="C27"/>
  <c r="I26"/>
  <c r="H26"/>
  <c r="M26"/>
  <c r="C26"/>
  <c r="I25"/>
  <c r="M25"/>
  <c r="C25"/>
  <c r="I24"/>
  <c r="M24"/>
  <c r="C24"/>
  <c r="I23"/>
  <c r="H23"/>
  <c r="M23"/>
  <c r="C23"/>
  <c r="F22"/>
  <c r="M22" s="1"/>
  <c r="I21"/>
  <c r="H21"/>
  <c r="M21"/>
  <c r="C21"/>
  <c r="I20"/>
  <c r="F20"/>
  <c r="M20" s="1"/>
  <c r="M19"/>
  <c r="J19"/>
  <c r="I19"/>
  <c r="I18"/>
  <c r="H18"/>
  <c r="C18"/>
  <c r="I17"/>
  <c r="H17"/>
  <c r="M17"/>
  <c r="C17"/>
  <c r="I16"/>
  <c r="H16"/>
  <c r="M16"/>
  <c r="C16"/>
  <c r="I15"/>
  <c r="H15"/>
  <c r="M15"/>
  <c r="C15"/>
  <c r="I14"/>
  <c r="H14"/>
  <c r="M14"/>
  <c r="C14"/>
  <c r="I13"/>
  <c r="H13"/>
  <c r="C13"/>
  <c r="I12"/>
  <c r="H12"/>
  <c r="M12"/>
  <c r="C12"/>
  <c r="I11"/>
  <c r="H11"/>
  <c r="M11"/>
  <c r="C11"/>
  <c r="I10"/>
  <c r="H10"/>
  <c r="M10"/>
  <c r="C10"/>
  <c r="I9"/>
  <c r="H9"/>
  <c r="C9"/>
  <c r="J18" l="1"/>
  <c r="F35"/>
  <c r="C35"/>
  <c r="M9"/>
</calcChain>
</file>

<file path=xl/sharedStrings.xml><?xml version="1.0" encoding="utf-8"?>
<sst xmlns="http://schemas.openxmlformats.org/spreadsheetml/2006/main" count="53" uniqueCount="52">
  <si>
    <t>Ambulatorajai ārstēšanai paredzēto kompensējamo zāļu izdevumi diagnožu grupās, EUR</t>
  </si>
  <si>
    <t>Diagnožu grupa</t>
  </si>
  <si>
    <t>12.Noteikti perinatālā perioda stāvokļi</t>
  </si>
  <si>
    <t>Izdevumu atjaunošana ( atmaksas maksājumi)</t>
  </si>
  <si>
    <t>M saraksts</t>
  </si>
  <si>
    <t>Bērni līdz 2 gadu vecumam</t>
  </si>
  <si>
    <t>Grūtnieces un sievietes pēcdzemdību periodā</t>
  </si>
  <si>
    <t>Izdevumu kompensācija individuālajiem pacientiem</t>
  </si>
  <si>
    <t>Atgriezti līdzekļi fiziskām personām</t>
  </si>
  <si>
    <t>Medikamenta Fluoruracilum 250mg/5ml apmaksa</t>
  </si>
  <si>
    <t>Atmaksātas ieskaitītās un ieturētās soda naudas no 2012.gada</t>
  </si>
  <si>
    <t>*Atbalsta maksājums individuālām aptiekām</t>
  </si>
  <si>
    <t>Kredītrēķins par 2014.gadu</t>
  </si>
  <si>
    <t>Viss kopā</t>
  </si>
  <si>
    <t>Recepšu skaits</t>
  </si>
  <si>
    <t>C hepatīts</t>
  </si>
  <si>
    <t>HIV</t>
  </si>
  <si>
    <t>kopā</t>
  </si>
  <si>
    <t xml:space="preserve">Izdevumu pieaugums/ samazinājums pret 2015.gadu </t>
  </si>
  <si>
    <t>individuālie pacienti</t>
  </si>
  <si>
    <t>Izdevumu prognoze 2016 (ar ražotāju līdzdalību)</t>
  </si>
  <si>
    <t>2016.gada janvāris -jūnijs faktiskie izdevumi, euro</t>
  </si>
  <si>
    <t>1.pielikums</t>
  </si>
  <si>
    <t xml:space="preserve">finansējums </t>
  </si>
  <si>
    <t>2016.gadam</t>
  </si>
  <si>
    <t>Kopā  izdevumi</t>
  </si>
  <si>
    <t>Prognozētais rēķinu apjoms par 2016.gadu (ar ražotāju līdzalību) KOPÄ</t>
  </si>
  <si>
    <t>2016.gada janvāris -septembris faktiskie izdevumi, euro</t>
  </si>
  <si>
    <t>N.p.k.</t>
  </si>
  <si>
    <t>Acu un to palīgorgānu slimības</t>
  </si>
  <si>
    <t>Ausu un aizsauss paugura slimības</t>
  </si>
  <si>
    <t xml:space="preserve"> Asins un asinsrades orgānu slimības un imūnsistēmas traucējumi</t>
  </si>
  <si>
    <t>Asinsrites sistēmas slimības</t>
  </si>
  <si>
    <t>Audzēji</t>
  </si>
  <si>
    <t>Ādas un zemādas slimības</t>
  </si>
  <si>
    <t>Elpošanas sistēmas slimības</t>
  </si>
  <si>
    <t>Endokrīnās, uztura un vielmaiņas slimības</t>
  </si>
  <si>
    <t>Gremošanas sistēmas slimības</t>
  </si>
  <si>
    <t>Muskuļu, skeleta un saistaudu slimības</t>
  </si>
  <si>
    <t>Iedzimtas kroplības, deformācijas un hromosomu anomālijas</t>
  </si>
  <si>
    <t>Nervu sistēmas slimības</t>
  </si>
  <si>
    <t>Psihiski un uzvedības traucējumi</t>
  </si>
  <si>
    <t>Uroģenetālās slimības</t>
  </si>
  <si>
    <t>Ievainojumi, saindēšanās</t>
  </si>
  <si>
    <t>Grūtniecība, dzemdības un pēcdzemdību periods</t>
  </si>
  <si>
    <t xml:space="preserve">Plānotais </t>
  </si>
  <si>
    <t>Zaļu ražotāju līdzdalības -  atmaksas maksājumi (prognoze)</t>
  </si>
  <si>
    <r>
      <t xml:space="preserve">Infekcijas un parazitārās slimības , </t>
    </r>
    <r>
      <rPr>
        <i/>
        <sz val="9"/>
        <rFont val="Times New Roman"/>
        <family val="1"/>
        <charset val="186"/>
      </rPr>
      <t>t.sk., C hepatīts un HIV</t>
    </r>
  </si>
  <si>
    <t xml:space="preserve">Pēc 9 mēnešu izpildes rezultātiem kopējie izdevumi (2016.gada rēķinu summa) ambulatorai ārstēšanai paredzēto zāļu izdevumu kompensācijai par 2016.gadu prognozēti 145 359 583 euro apmērā, ko veido zāļu ražotāju līdzdalības maksājumi 7 200 000 eiro un  no valsts budžeta sedzamais rēķinu apjoms 138 159 583 euro.
 Gada izdevumu prognozes aprēķinā ņemts  vērā pieprasījums pašu ieņēmumu palielinājumam par 5 591 622 euro. </t>
  </si>
  <si>
    <t>zāļu ražotāju līdzdalība</t>
  </si>
  <si>
    <t>Kopā</t>
  </si>
  <si>
    <t>Faktori, kas ietekmē veselību un saskari ar veselības aprūpes darbiniekiem</t>
  </si>
</sst>
</file>

<file path=xl/styles.xml><?xml version="1.0" encoding="utf-8"?>
<styleSheet xmlns="http://schemas.openxmlformats.org/spreadsheetml/2006/main">
  <fonts count="17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0" tint="-0.249977111117893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00">
    <xf numFmtId="0" fontId="0" fillId="0" borderId="0" xfId="0"/>
    <xf numFmtId="4" fontId="4" fillId="0" borderId="1" xfId="0" applyNumberFormat="1" applyFont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7" fillId="4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12" fillId="0" borderId="1" xfId="3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4" borderId="0" xfId="0" applyFont="1" applyFill="1"/>
    <xf numFmtId="1" fontId="13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3" fontId="4" fillId="0" borderId="0" xfId="0" applyNumberFormat="1" applyFont="1"/>
    <xf numFmtId="1" fontId="4" fillId="0" borderId="0" xfId="0" applyNumberFormat="1" applyFont="1"/>
    <xf numFmtId="0" fontId="10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3" xfId="0" applyFont="1" applyBorder="1"/>
    <xf numFmtId="0" fontId="11" fillId="3" borderId="4" xfId="0" applyFont="1" applyFill="1" applyBorder="1" applyAlignment="1">
      <alignment horizontal="left" vertical="center" wrapText="1"/>
    </xf>
    <xf numFmtId="4" fontId="11" fillId="4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/>
    <xf numFmtId="0" fontId="4" fillId="0" borderId="8" xfId="0" applyFont="1" applyBorder="1"/>
    <xf numFmtId="3" fontId="4" fillId="4" borderId="0" xfId="0" applyNumberFormat="1" applyFont="1" applyFill="1"/>
    <xf numFmtId="4" fontId="11" fillId="0" borderId="4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/>
    <xf numFmtId="3" fontId="11" fillId="0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0" xfId="0" applyFont="1" applyAlignment="1">
      <alignment horizontal="left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>
      <selection activeCell="B27" sqref="B27"/>
    </sheetView>
  </sheetViews>
  <sheetFormatPr defaultRowHeight="12"/>
  <cols>
    <col min="1" max="1" width="3.75" style="45" customWidth="1"/>
    <col min="2" max="2" width="21.375" style="45" customWidth="1"/>
    <col min="3" max="3" width="31.375" style="46" hidden="1" customWidth="1"/>
    <col min="4" max="4" width="9.625" style="46" customWidth="1"/>
    <col min="5" max="5" width="9.75" style="46" customWidth="1"/>
    <col min="6" max="6" width="10.5" style="46" customWidth="1"/>
    <col min="7" max="7" width="14.75" style="45" hidden="1" customWidth="1"/>
    <col min="8" max="8" width="9" style="45" hidden="1" customWidth="1"/>
    <col min="9" max="9" width="13.125" style="45" hidden="1" customWidth="1"/>
    <col min="10" max="10" width="7.75" style="45" customWidth="1"/>
    <col min="11" max="11" width="9.625" style="45" customWidth="1"/>
    <col min="12" max="12" width="9.375" style="45" customWidth="1"/>
    <col min="13" max="13" width="12" style="45" customWidth="1"/>
    <col min="14" max="14" width="9" style="45" customWidth="1"/>
    <col min="15" max="15" width="9" style="45"/>
    <col min="16" max="16" width="9.5" style="45" bestFit="1" customWidth="1"/>
    <col min="17" max="17" width="9" style="45"/>
    <col min="18" max="18" width="15.875" style="45" customWidth="1"/>
    <col min="19" max="16384" width="9" style="45"/>
  </cols>
  <sheetData>
    <row r="1" spans="1:13">
      <c r="M1" s="45" t="s">
        <v>22</v>
      </c>
    </row>
    <row r="2" spans="1:13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15.75" customHeight="1">
      <c r="A3" s="75" t="s">
        <v>28</v>
      </c>
      <c r="B3" s="85" t="s">
        <v>1</v>
      </c>
      <c r="C3" s="85" t="s">
        <v>21</v>
      </c>
      <c r="D3" s="66" t="s">
        <v>45</v>
      </c>
      <c r="E3" s="85" t="s">
        <v>27</v>
      </c>
      <c r="F3" s="78" t="s">
        <v>20</v>
      </c>
      <c r="G3" s="88" t="s">
        <v>20</v>
      </c>
      <c r="H3" s="67"/>
      <c r="I3" s="67"/>
      <c r="J3" s="91" t="s">
        <v>46</v>
      </c>
      <c r="K3" s="92"/>
      <c r="L3" s="93"/>
      <c r="M3" s="78" t="s">
        <v>26</v>
      </c>
    </row>
    <row r="4" spans="1:13" ht="15.75" customHeight="1">
      <c r="A4" s="76"/>
      <c r="B4" s="86"/>
      <c r="C4" s="86"/>
      <c r="D4" s="68" t="s">
        <v>23</v>
      </c>
      <c r="E4" s="86"/>
      <c r="F4" s="79"/>
      <c r="G4" s="89"/>
      <c r="H4" s="81" t="s">
        <v>14</v>
      </c>
      <c r="I4" s="78" t="s">
        <v>18</v>
      </c>
      <c r="J4" s="94"/>
      <c r="K4" s="95"/>
      <c r="L4" s="96"/>
      <c r="M4" s="79"/>
    </row>
    <row r="5" spans="1:13" ht="11.25" customHeight="1">
      <c r="A5" s="76"/>
      <c r="B5" s="86"/>
      <c r="C5" s="86"/>
      <c r="D5" s="68" t="s">
        <v>24</v>
      </c>
      <c r="E5" s="86"/>
      <c r="F5" s="79"/>
      <c r="G5" s="89"/>
      <c r="H5" s="82"/>
      <c r="I5" s="79"/>
      <c r="J5" s="94"/>
      <c r="K5" s="95"/>
      <c r="L5" s="96"/>
      <c r="M5" s="79"/>
    </row>
    <row r="6" spans="1:13" ht="5.25" customHeight="1">
      <c r="A6" s="76"/>
      <c r="B6" s="86"/>
      <c r="C6" s="86"/>
      <c r="D6" s="68"/>
      <c r="E6" s="86"/>
      <c r="F6" s="79"/>
      <c r="G6" s="89"/>
      <c r="H6" s="82"/>
      <c r="I6" s="79"/>
      <c r="J6" s="97"/>
      <c r="K6" s="98"/>
      <c r="L6" s="99"/>
      <c r="M6" s="79"/>
    </row>
    <row r="7" spans="1:13" ht="28.5" customHeight="1">
      <c r="A7" s="76"/>
      <c r="B7" s="87"/>
      <c r="C7" s="87"/>
      <c r="D7" s="69"/>
      <c r="E7" s="87"/>
      <c r="F7" s="80"/>
      <c r="G7" s="90"/>
      <c r="H7" s="83"/>
      <c r="I7" s="80"/>
      <c r="J7" s="70" t="s">
        <v>17</v>
      </c>
      <c r="K7" s="71">
        <v>2016</v>
      </c>
      <c r="L7" s="71">
        <v>2017</v>
      </c>
      <c r="M7" s="80"/>
    </row>
    <row r="8" spans="1:13" ht="18.75" customHeight="1">
      <c r="A8" s="47">
        <v>1</v>
      </c>
      <c r="B8" s="41">
        <v>2</v>
      </c>
      <c r="C8" s="41"/>
      <c r="D8" s="41">
        <v>3</v>
      </c>
      <c r="E8" s="41">
        <v>4</v>
      </c>
      <c r="F8" s="42">
        <v>5</v>
      </c>
      <c r="G8" s="43"/>
      <c r="H8" s="44"/>
      <c r="I8" s="43"/>
      <c r="J8" s="48">
        <v>6</v>
      </c>
      <c r="K8" s="49">
        <v>7</v>
      </c>
      <c r="L8" s="49">
        <v>8</v>
      </c>
      <c r="M8" s="42">
        <v>9</v>
      </c>
    </row>
    <row r="9" spans="1:13" ht="33" customHeight="1">
      <c r="A9" s="50">
        <v>1</v>
      </c>
      <c r="B9" s="1" t="s">
        <v>29</v>
      </c>
      <c r="C9" s="2">
        <f>2.68+1621966.49</f>
        <v>1621969.17</v>
      </c>
      <c r="D9" s="14">
        <v>3072791.5694702351</v>
      </c>
      <c r="E9" s="15">
        <f>2.68+2407850.93</f>
        <v>2407853.6100000003</v>
      </c>
      <c r="F9" s="15">
        <f>E9/9*12</f>
        <v>3210471.4800000004</v>
      </c>
      <c r="G9" s="16">
        <v>3243938.34</v>
      </c>
      <c r="H9" s="16" t="e">
        <f>#REF!*4</f>
        <v>#REF!</v>
      </c>
      <c r="I9" s="17" t="e">
        <f>#REF!-G9</f>
        <v>#REF!</v>
      </c>
      <c r="J9" s="16"/>
      <c r="K9" s="16"/>
      <c r="L9" s="16"/>
      <c r="M9" s="16">
        <f>F9-K9</f>
        <v>3210471.4800000004</v>
      </c>
    </row>
    <row r="10" spans="1:13" ht="33" customHeight="1">
      <c r="A10" s="50">
        <v>2</v>
      </c>
      <c r="B10" s="1" t="s">
        <v>30</v>
      </c>
      <c r="C10" s="2">
        <f>24101.66</f>
        <v>24101.66</v>
      </c>
      <c r="D10" s="14">
        <v>16935.1001359568</v>
      </c>
      <c r="E10" s="15">
        <v>28628.06</v>
      </c>
      <c r="F10" s="15">
        <f t="shared" ref="F10:F17" si="0">E10/9*12</f>
        <v>38170.746666666673</v>
      </c>
      <c r="G10" s="16">
        <v>48203.32</v>
      </c>
      <c r="H10" s="16" t="e">
        <f>#REF!*4</f>
        <v>#REF!</v>
      </c>
      <c r="I10" s="17" t="e">
        <f>G10-#REF!</f>
        <v>#REF!</v>
      </c>
      <c r="J10" s="16"/>
      <c r="K10" s="16"/>
      <c r="L10" s="16"/>
      <c r="M10" s="16">
        <f t="shared" ref="M10:M33" si="1">F10-K10</f>
        <v>38170.746666666673</v>
      </c>
    </row>
    <row r="11" spans="1:13" ht="42" customHeight="1">
      <c r="A11" s="50">
        <v>3</v>
      </c>
      <c r="B11" s="1" t="s">
        <v>31</v>
      </c>
      <c r="C11" s="2">
        <f>1718.62+1081242.15</f>
        <v>1082960.77</v>
      </c>
      <c r="D11" s="14">
        <v>2044221.7816000001</v>
      </c>
      <c r="E11" s="15">
        <f>2539.13+1556190.63</f>
        <v>1558729.7599999998</v>
      </c>
      <c r="F11" s="15">
        <f t="shared" si="0"/>
        <v>2078306.3466666662</v>
      </c>
      <c r="G11" s="16">
        <v>2165921.54</v>
      </c>
      <c r="H11" s="16" t="e">
        <f>#REF!*4</f>
        <v>#REF!</v>
      </c>
      <c r="I11" s="17" t="e">
        <f>G11-#REF!</f>
        <v>#REF!</v>
      </c>
      <c r="J11" s="16"/>
      <c r="K11" s="16"/>
      <c r="L11" s="16"/>
      <c r="M11" s="16">
        <f t="shared" si="1"/>
        <v>2078306.3466666662</v>
      </c>
    </row>
    <row r="12" spans="1:13" ht="33" customHeight="1">
      <c r="A12" s="50">
        <v>4</v>
      </c>
      <c r="B12" s="1" t="s">
        <v>32</v>
      </c>
      <c r="C12" s="2">
        <f>631360.84+9768592.78+5659.47</f>
        <v>10405613.09</v>
      </c>
      <c r="D12" s="14">
        <v>18922741.503190931</v>
      </c>
      <c r="E12" s="15">
        <f>948011.53+14368008.4+8249.71</f>
        <v>15324269.640000001</v>
      </c>
      <c r="F12" s="15">
        <f t="shared" si="0"/>
        <v>20432359.52</v>
      </c>
      <c r="G12" s="16">
        <v>20811226.18</v>
      </c>
      <c r="H12" s="16" t="e">
        <f>#REF!*4</f>
        <v>#REF!</v>
      </c>
      <c r="I12" s="17" t="e">
        <f>G12-#REF!</f>
        <v>#REF!</v>
      </c>
      <c r="J12" s="16"/>
      <c r="K12" s="16"/>
      <c r="L12" s="16"/>
      <c r="M12" s="16">
        <f t="shared" si="1"/>
        <v>20432359.52</v>
      </c>
    </row>
    <row r="13" spans="1:13" ht="33" customHeight="1">
      <c r="A13" s="50">
        <v>5</v>
      </c>
      <c r="B13" s="3" t="s">
        <v>33</v>
      </c>
      <c r="C13" s="4">
        <f>77889.44+10733371.23</f>
        <v>10811260.67</v>
      </c>
      <c r="D13" s="18">
        <v>20078996</v>
      </c>
      <c r="E13" s="15">
        <f>119129.52+16284787.72</f>
        <v>16403917.24</v>
      </c>
      <c r="F13" s="15">
        <f t="shared" si="0"/>
        <v>21871889.653333332</v>
      </c>
      <c r="G13" s="16">
        <v>21622521.34</v>
      </c>
      <c r="H13" s="19" t="e">
        <f>#REF!*4</f>
        <v>#REF!</v>
      </c>
      <c r="I13" s="17" t="e">
        <f>G13-#REF!</f>
        <v>#REF!</v>
      </c>
      <c r="J13" s="16">
        <v>3000000</v>
      </c>
      <c r="K13" s="16">
        <v>1200000</v>
      </c>
      <c r="L13" s="16">
        <v>1800000</v>
      </c>
      <c r="M13" s="16">
        <f>F13-K13</f>
        <v>20671889.653333332</v>
      </c>
    </row>
    <row r="14" spans="1:13" ht="33" customHeight="1">
      <c r="A14" s="50">
        <v>6</v>
      </c>
      <c r="B14" s="3" t="s">
        <v>34</v>
      </c>
      <c r="C14" s="4">
        <f>437.03+240699.63+60174.39</f>
        <v>301311.05</v>
      </c>
      <c r="D14" s="18">
        <v>435270.05003474717</v>
      </c>
      <c r="E14" s="15">
        <f>578.06+360913.61+84975.33</f>
        <v>446467</v>
      </c>
      <c r="F14" s="15">
        <f t="shared" si="0"/>
        <v>595289.33333333337</v>
      </c>
      <c r="G14" s="16">
        <v>602622.1</v>
      </c>
      <c r="H14" s="19" t="e">
        <f>#REF!*4</f>
        <v>#REF!</v>
      </c>
      <c r="I14" s="17" t="e">
        <f>G14-#REF!</f>
        <v>#REF!</v>
      </c>
      <c r="J14" s="16"/>
      <c r="K14" s="16"/>
      <c r="L14" s="16"/>
      <c r="M14" s="16">
        <f t="shared" si="1"/>
        <v>595289.33333333337</v>
      </c>
    </row>
    <row r="15" spans="1:13" ht="33" customHeight="1">
      <c r="A15" s="50">
        <v>7</v>
      </c>
      <c r="B15" s="3" t="s">
        <v>35</v>
      </c>
      <c r="C15" s="4">
        <f>415008.62+2223081.76+1162819.59</f>
        <v>3800909.9699999997</v>
      </c>
      <c r="D15" s="18">
        <v>6628193.1888000006</v>
      </c>
      <c r="E15" s="15">
        <f>619945.32+3287140.66+1541944.43</f>
        <v>5449030.4100000001</v>
      </c>
      <c r="F15" s="15">
        <f t="shared" si="0"/>
        <v>7265373.8800000008</v>
      </c>
      <c r="G15" s="16">
        <v>7601819.9399999995</v>
      </c>
      <c r="H15" s="19" t="e">
        <f>#REF!*4</f>
        <v>#REF!</v>
      </c>
      <c r="I15" s="17" t="e">
        <f>G15-#REF!</f>
        <v>#REF!</v>
      </c>
      <c r="J15" s="16"/>
      <c r="K15" s="16"/>
      <c r="L15" s="16"/>
      <c r="M15" s="16">
        <f t="shared" si="1"/>
        <v>7265373.8800000008</v>
      </c>
    </row>
    <row r="16" spans="1:13" ht="33" customHeight="1">
      <c r="A16" s="50">
        <v>8</v>
      </c>
      <c r="B16" s="3" t="s">
        <v>36</v>
      </c>
      <c r="C16" s="4">
        <f>483877.11+744119.51+12424558.17</f>
        <v>13652554.789999999</v>
      </c>
      <c r="D16" s="18">
        <v>25108193.917328559</v>
      </c>
      <c r="E16" s="15">
        <f>718298.5+1117552.65+18438022.11</f>
        <v>20273873.259999998</v>
      </c>
      <c r="F16" s="15">
        <f t="shared" si="0"/>
        <v>27031831.013333328</v>
      </c>
      <c r="G16" s="16">
        <v>27305109.579999998</v>
      </c>
      <c r="H16" s="19" t="e">
        <f>#REF!*4</f>
        <v>#REF!</v>
      </c>
      <c r="I16" s="17" t="e">
        <f>G16-#REF!</f>
        <v>#REF!</v>
      </c>
      <c r="J16" s="16"/>
      <c r="K16" s="16"/>
      <c r="L16" s="16"/>
      <c r="M16" s="16">
        <f t="shared" si="1"/>
        <v>27031831.013333328</v>
      </c>
    </row>
    <row r="17" spans="1:17" ht="33" customHeight="1">
      <c r="A17" s="50">
        <v>9</v>
      </c>
      <c r="B17" s="3" t="s">
        <v>37</v>
      </c>
      <c r="C17" s="4">
        <f>79861.45+238102.06+45579.49</f>
        <v>363543</v>
      </c>
      <c r="D17" s="18">
        <v>536328.26480456151</v>
      </c>
      <c r="E17" s="15">
        <f>121839.68+362583.08+77595.39</f>
        <v>562018.15</v>
      </c>
      <c r="F17" s="15">
        <f t="shared" si="0"/>
        <v>749357.53333333344</v>
      </c>
      <c r="G17" s="16">
        <v>727086</v>
      </c>
      <c r="H17" s="19" t="e">
        <f>#REF!*4</f>
        <v>#REF!</v>
      </c>
      <c r="I17" s="17" t="e">
        <f>G17-#REF!</f>
        <v>#REF!</v>
      </c>
      <c r="J17" s="16"/>
      <c r="K17" s="16"/>
      <c r="L17" s="16"/>
      <c r="M17" s="16">
        <f t="shared" si="1"/>
        <v>749357.53333333344</v>
      </c>
    </row>
    <row r="18" spans="1:17" ht="33" customHeight="1">
      <c r="A18" s="50">
        <v>10</v>
      </c>
      <c r="B18" s="3" t="s">
        <v>47</v>
      </c>
      <c r="C18" s="4">
        <f>1219.89+185.96+C19+C20</f>
        <v>15519473.84</v>
      </c>
      <c r="D18" s="18">
        <v>15218943.309893664</v>
      </c>
      <c r="E18" s="15">
        <f>1905.62+185.96+20330899.56</f>
        <v>20332991.139999997</v>
      </c>
      <c r="F18" s="74">
        <v>23330460</v>
      </c>
      <c r="G18" s="16">
        <v>22872135.98</v>
      </c>
      <c r="H18" s="19" t="e">
        <f>#REF!*4</f>
        <v>#REF!</v>
      </c>
      <c r="I18" s="17" t="e">
        <f>G18-#REF!</f>
        <v>#REF!</v>
      </c>
      <c r="J18" s="16">
        <f>J19</f>
        <v>6400000</v>
      </c>
      <c r="K18" s="21">
        <v>4900000</v>
      </c>
      <c r="L18" s="20">
        <f>L19</f>
        <v>1500000</v>
      </c>
      <c r="M18" s="16">
        <v>18430460</v>
      </c>
    </row>
    <row r="19" spans="1:17" s="7" customFormat="1" ht="33" hidden="1" customHeight="1">
      <c r="A19" s="50"/>
      <c r="B19" s="5" t="s">
        <v>15</v>
      </c>
      <c r="C19" s="6">
        <v>10564000</v>
      </c>
      <c r="D19" s="22">
        <v>0</v>
      </c>
      <c r="E19" s="35">
        <v>12387353.23</v>
      </c>
      <c r="F19" s="36">
        <v>13000000</v>
      </c>
      <c r="G19" s="37">
        <v>12964000</v>
      </c>
      <c r="H19" s="37"/>
      <c r="I19" s="38" t="e">
        <f>#REF!+4200000-G19</f>
        <v>#REF!</v>
      </c>
      <c r="J19" s="37">
        <f>K19+L19</f>
        <v>6400000</v>
      </c>
      <c r="K19" s="37">
        <v>4900000</v>
      </c>
      <c r="L19" s="37">
        <v>1500000</v>
      </c>
      <c r="M19" s="37">
        <f>F19-K19</f>
        <v>8100000</v>
      </c>
    </row>
    <row r="20" spans="1:17" s="7" customFormat="1" ht="33" hidden="1" customHeight="1">
      <c r="A20" s="50"/>
      <c r="B20" s="5" t="s">
        <v>16</v>
      </c>
      <c r="C20" s="8">
        <v>4954067.99</v>
      </c>
      <c r="D20" s="23">
        <v>0</v>
      </c>
      <c r="E20" s="35">
        <v>7868238.9000000004</v>
      </c>
      <c r="F20" s="36">
        <f>E20/8*12</f>
        <v>11802358.350000001</v>
      </c>
      <c r="G20" s="39">
        <v>9908135.9800000004</v>
      </c>
      <c r="H20" s="39"/>
      <c r="I20" s="40" t="e">
        <f>#REF!+600000-G20</f>
        <v>#REF!</v>
      </c>
      <c r="J20" s="39"/>
      <c r="K20" s="39"/>
      <c r="L20" s="39"/>
      <c r="M20" s="37">
        <f>F20-K20</f>
        <v>11802358.350000001</v>
      </c>
    </row>
    <row r="21" spans="1:17" ht="24">
      <c r="A21" s="50">
        <v>11</v>
      </c>
      <c r="B21" s="3" t="s">
        <v>38</v>
      </c>
      <c r="C21" s="4">
        <f>493019.67+4189411.79</f>
        <v>4682431.46</v>
      </c>
      <c r="D21" s="18">
        <v>7904661.5792707196</v>
      </c>
      <c r="E21" s="15">
        <f>742858.76+6393194.83</f>
        <v>7136053.5899999999</v>
      </c>
      <c r="F21" s="15">
        <f>E21/9*12</f>
        <v>9514738.1199999992</v>
      </c>
      <c r="G21" s="19">
        <v>9364862.9199999999</v>
      </c>
      <c r="H21" s="19" t="e">
        <f>#REF!*4</f>
        <v>#REF!</v>
      </c>
      <c r="I21" s="17" t="e">
        <f>G21-#REF!</f>
        <v>#REF!</v>
      </c>
      <c r="J21" s="16">
        <v>2000000</v>
      </c>
      <c r="K21" s="16">
        <v>1100000</v>
      </c>
      <c r="L21" s="16">
        <v>900000</v>
      </c>
      <c r="M21" s="16">
        <f t="shared" si="1"/>
        <v>8414738.1199999992</v>
      </c>
      <c r="P21" s="51"/>
    </row>
    <row r="22" spans="1:17" ht="24" hidden="1">
      <c r="A22" s="50">
        <v>14</v>
      </c>
      <c r="B22" s="1" t="s">
        <v>2</v>
      </c>
      <c r="C22" s="2"/>
      <c r="D22" s="14">
        <v>0</v>
      </c>
      <c r="E22" s="15"/>
      <c r="F22" s="15">
        <f>E22/7*12</f>
        <v>0</v>
      </c>
      <c r="G22" s="19">
        <v>0</v>
      </c>
      <c r="H22" s="16"/>
      <c r="I22" s="24"/>
      <c r="J22" s="16"/>
      <c r="K22" s="16"/>
      <c r="L22" s="16"/>
      <c r="M22" s="16">
        <f t="shared" si="1"/>
        <v>0</v>
      </c>
    </row>
    <row r="23" spans="1:17" ht="24">
      <c r="A23" s="50">
        <v>12</v>
      </c>
      <c r="B23" s="1" t="s">
        <v>39</v>
      </c>
      <c r="C23" s="2">
        <f>129261.28</f>
        <v>129261.28</v>
      </c>
      <c r="D23" s="14">
        <v>227916.10721407359</v>
      </c>
      <c r="E23" s="15">
        <v>197731.29</v>
      </c>
      <c r="F23" s="15">
        <f t="shared" ref="F23:F29" si="2">E23/9*12</f>
        <v>263641.71999999997</v>
      </c>
      <c r="G23" s="19">
        <v>258522.56</v>
      </c>
      <c r="H23" s="16" t="e">
        <f>#REF!*4</f>
        <v>#REF!</v>
      </c>
      <c r="I23" s="17" t="e">
        <f>G23-#REF!</f>
        <v>#REF!</v>
      </c>
      <c r="J23" s="16"/>
      <c r="K23" s="16"/>
      <c r="L23" s="16"/>
      <c r="M23" s="16">
        <f t="shared" si="1"/>
        <v>263641.71999999997</v>
      </c>
    </row>
    <row r="24" spans="1:17" ht="33" customHeight="1">
      <c r="A24" s="50">
        <v>13</v>
      </c>
      <c r="B24" s="1" t="s">
        <v>40</v>
      </c>
      <c r="C24" s="2">
        <f>220608.46+389997.41+4275694.2</f>
        <v>4886300.07</v>
      </c>
      <c r="D24" s="14">
        <v>8790675.5965348314</v>
      </c>
      <c r="E24" s="15">
        <f>332945.21+586429.43+6166105.14</f>
        <v>7085479.7799999993</v>
      </c>
      <c r="F24" s="15">
        <f t="shared" si="2"/>
        <v>9447306.3733333331</v>
      </c>
      <c r="G24" s="19">
        <v>9772600.1400000006</v>
      </c>
      <c r="H24" s="16"/>
      <c r="I24" s="17" t="e">
        <f>G24-#REF!</f>
        <v>#REF!</v>
      </c>
      <c r="J24" s="16"/>
      <c r="K24" s="16"/>
      <c r="L24" s="16"/>
      <c r="M24" s="16">
        <f t="shared" si="1"/>
        <v>9447306.3733333331</v>
      </c>
    </row>
    <row r="25" spans="1:17" ht="33" customHeight="1">
      <c r="A25" s="50">
        <v>14</v>
      </c>
      <c r="B25" s="1" t="s">
        <v>41</v>
      </c>
      <c r="C25" s="2">
        <f>279243.77+1580976.18</f>
        <v>1860219.95</v>
      </c>
      <c r="D25" s="14">
        <v>3633966.2652000003</v>
      </c>
      <c r="E25" s="15">
        <f>422661.55+2348256.27</f>
        <v>2770917.82</v>
      </c>
      <c r="F25" s="15">
        <f t="shared" si="2"/>
        <v>3694557.0933333328</v>
      </c>
      <c r="G25" s="19">
        <v>3720439.9</v>
      </c>
      <c r="H25" s="16"/>
      <c r="I25" s="17" t="e">
        <f>G25-#REF!</f>
        <v>#REF!</v>
      </c>
      <c r="J25" s="16"/>
      <c r="K25" s="16"/>
      <c r="L25" s="16"/>
      <c r="M25" s="16">
        <f t="shared" si="1"/>
        <v>3694557.0933333328</v>
      </c>
      <c r="P25" s="52"/>
      <c r="Q25" s="51"/>
    </row>
    <row r="26" spans="1:17" ht="33" customHeight="1">
      <c r="A26" s="50">
        <v>15</v>
      </c>
      <c r="B26" s="1" t="s">
        <v>51</v>
      </c>
      <c r="C26" s="2">
        <f>3064.81+2973434.54</f>
        <v>2976499.35</v>
      </c>
      <c r="D26" s="14">
        <v>5252414.1639999999</v>
      </c>
      <c r="E26" s="15">
        <f>5411.16+4367282.13</f>
        <v>4372693.29</v>
      </c>
      <c r="F26" s="15">
        <f t="shared" si="2"/>
        <v>5830257.7199999997</v>
      </c>
      <c r="G26" s="19">
        <v>5952998.7000000002</v>
      </c>
      <c r="H26" s="19" t="e">
        <f>#REF!*4</f>
        <v>#REF!</v>
      </c>
      <c r="I26" s="17" t="e">
        <f>G26-#REF!</f>
        <v>#REF!</v>
      </c>
      <c r="J26" s="16"/>
      <c r="K26" s="16"/>
      <c r="L26" s="16"/>
      <c r="M26" s="16">
        <f t="shared" si="1"/>
        <v>5830257.7199999997</v>
      </c>
    </row>
    <row r="27" spans="1:17" ht="33" customHeight="1">
      <c r="A27" s="50">
        <v>16</v>
      </c>
      <c r="B27" s="1" t="s">
        <v>42</v>
      </c>
      <c r="C27" s="2">
        <f>729645.26+2546773.4</f>
        <v>3276418.66</v>
      </c>
      <c r="D27" s="14">
        <v>6093924.8894910961</v>
      </c>
      <c r="E27" s="15">
        <f>1090420.52+3950198.59</f>
        <v>5040619.1099999994</v>
      </c>
      <c r="F27" s="15">
        <f t="shared" si="2"/>
        <v>6720825.4799999986</v>
      </c>
      <c r="G27" s="19">
        <v>6552837.3200000003</v>
      </c>
      <c r="H27" s="19" t="e">
        <f>#REF!*4</f>
        <v>#REF!</v>
      </c>
      <c r="I27" s="17" t="e">
        <f>G27-#REF!</f>
        <v>#REF!</v>
      </c>
      <c r="J27" s="16"/>
      <c r="K27" s="16"/>
      <c r="L27" s="16"/>
      <c r="M27" s="16">
        <f t="shared" si="1"/>
        <v>6720825.4799999986</v>
      </c>
    </row>
    <row r="28" spans="1:17" ht="33" customHeight="1">
      <c r="A28" s="50">
        <v>17</v>
      </c>
      <c r="B28" s="1" t="s">
        <v>43</v>
      </c>
      <c r="C28" s="2">
        <f>44325.51+6543.72+3534.31</f>
        <v>54403.54</v>
      </c>
      <c r="D28" s="14">
        <v>108805.83523014239</v>
      </c>
      <c r="E28" s="15">
        <f>68010.88+9961.44+5451.4</f>
        <v>83423.72</v>
      </c>
      <c r="F28" s="15">
        <f t="shared" si="2"/>
        <v>111231.62666666668</v>
      </c>
      <c r="G28" s="19">
        <v>108807.07999999999</v>
      </c>
      <c r="H28" s="16"/>
      <c r="I28" s="17" t="e">
        <f>G28-#REF!</f>
        <v>#REF!</v>
      </c>
      <c r="J28" s="16"/>
      <c r="K28" s="16"/>
      <c r="L28" s="16"/>
      <c r="M28" s="16">
        <f t="shared" si="1"/>
        <v>111231.62666666668</v>
      </c>
    </row>
    <row r="29" spans="1:17" ht="33" customHeight="1">
      <c r="A29" s="50">
        <v>18</v>
      </c>
      <c r="B29" s="1" t="s">
        <v>44</v>
      </c>
      <c r="C29" s="2">
        <f>23557.36+12483.91</f>
        <v>36041.270000000004</v>
      </c>
      <c r="D29" s="14">
        <v>56437.810328373598</v>
      </c>
      <c r="E29" s="15">
        <f>35327.49+18915.29</f>
        <v>54242.78</v>
      </c>
      <c r="F29" s="15">
        <f t="shared" si="2"/>
        <v>72323.706666666665</v>
      </c>
      <c r="G29" s="19">
        <v>72082.540000000008</v>
      </c>
      <c r="H29" s="16" t="e">
        <f>#REF!*4</f>
        <v>#REF!</v>
      </c>
      <c r="I29" s="17" t="e">
        <f>G29-#REF!</f>
        <v>#REF!</v>
      </c>
      <c r="J29" s="16"/>
      <c r="K29" s="16"/>
      <c r="L29" s="16"/>
      <c r="M29" s="16">
        <f t="shared" si="1"/>
        <v>72323.706666666665</v>
      </c>
    </row>
    <row r="30" spans="1:17" ht="33" hidden="1" customHeight="1">
      <c r="A30" s="50">
        <v>15.5</v>
      </c>
      <c r="B30" s="9" t="s">
        <v>3</v>
      </c>
      <c r="C30" s="2"/>
      <c r="D30" s="14">
        <v>0</v>
      </c>
      <c r="E30" s="14"/>
      <c r="F30" s="15">
        <f>E30/7*12</f>
        <v>0</v>
      </c>
      <c r="G30" s="19">
        <v>0</v>
      </c>
      <c r="H30" s="16"/>
      <c r="I30" s="24"/>
      <c r="J30" s="16"/>
      <c r="K30" s="16"/>
      <c r="L30" s="16"/>
      <c r="M30" s="16">
        <f t="shared" si="1"/>
        <v>0</v>
      </c>
    </row>
    <row r="31" spans="1:17" s="53" customFormat="1" ht="33" hidden="1" customHeight="1">
      <c r="A31" s="50">
        <v>15.9</v>
      </c>
      <c r="B31" s="10" t="s">
        <v>4</v>
      </c>
      <c r="C31" s="11"/>
      <c r="D31" s="25">
        <v>0</v>
      </c>
      <c r="E31" s="25"/>
      <c r="F31" s="15">
        <f>E31/7*12</f>
        <v>0</v>
      </c>
      <c r="G31" s="19">
        <v>0</v>
      </c>
      <c r="H31" s="26"/>
      <c r="I31" s="27"/>
      <c r="J31" s="26"/>
      <c r="K31" s="26"/>
      <c r="L31" s="26"/>
      <c r="M31" s="16">
        <f t="shared" si="1"/>
        <v>0</v>
      </c>
    </row>
    <row r="32" spans="1:17" ht="33" customHeight="1">
      <c r="A32" s="50">
        <v>19</v>
      </c>
      <c r="B32" s="1" t="s">
        <v>5</v>
      </c>
      <c r="C32" s="2">
        <v>233024.18</v>
      </c>
      <c r="D32" s="14">
        <v>202231</v>
      </c>
      <c r="E32" s="28">
        <f>266834.58+18753.22</f>
        <v>285587.80000000005</v>
      </c>
      <c r="F32" s="15">
        <f>E32/9*12</f>
        <v>380783.7333333334</v>
      </c>
      <c r="G32" s="19">
        <v>466048.36</v>
      </c>
      <c r="H32" s="16" t="e">
        <f>#REF!*4</f>
        <v>#REF!</v>
      </c>
      <c r="I32" s="29" t="e">
        <f>G32-#REF!</f>
        <v>#REF!</v>
      </c>
      <c r="J32" s="16"/>
      <c r="K32" s="16"/>
      <c r="L32" s="16"/>
      <c r="M32" s="16">
        <f t="shared" si="1"/>
        <v>380783.7333333334</v>
      </c>
    </row>
    <row r="33" spans="1:16" ht="33" customHeight="1">
      <c r="A33" s="50">
        <v>20</v>
      </c>
      <c r="B33" s="1" t="s">
        <v>6</v>
      </c>
      <c r="C33" s="2">
        <v>14593.7</v>
      </c>
      <c r="D33" s="14">
        <v>20723</v>
      </c>
      <c r="E33" s="28">
        <f>19453.71+2197.47</f>
        <v>21651.18</v>
      </c>
      <c r="F33" s="15">
        <f>E33/9*12</f>
        <v>28868.239999999998</v>
      </c>
      <c r="G33" s="19">
        <v>29187.4</v>
      </c>
      <c r="H33" s="16"/>
      <c r="I33" s="17" t="e">
        <f>G33-#REF!</f>
        <v>#REF!</v>
      </c>
      <c r="J33" s="16"/>
      <c r="K33" s="16"/>
      <c r="L33" s="16"/>
      <c r="M33" s="16">
        <f t="shared" si="1"/>
        <v>28868.239999999998</v>
      </c>
    </row>
    <row r="34" spans="1:16" ht="33" customHeight="1">
      <c r="A34" s="50">
        <v>21</v>
      </c>
      <c r="B34" s="1" t="s">
        <v>19</v>
      </c>
      <c r="C34" s="2">
        <v>1282344</v>
      </c>
      <c r="D34" s="14">
        <v>2691540</v>
      </c>
      <c r="E34" s="30">
        <v>2158700</v>
      </c>
      <c r="F34" s="15">
        <v>2691540</v>
      </c>
      <c r="G34" s="19">
        <v>2564688</v>
      </c>
      <c r="H34" s="16"/>
      <c r="I34" s="17"/>
      <c r="J34" s="16"/>
      <c r="K34" s="16"/>
      <c r="L34" s="16"/>
      <c r="M34" s="16">
        <v>2691540</v>
      </c>
    </row>
    <row r="35" spans="1:16" s="55" customFormat="1" ht="19.5" customHeight="1">
      <c r="A35" s="54"/>
      <c r="B35" s="12" t="s">
        <v>25</v>
      </c>
      <c r="C35" s="13">
        <f>C9+C10+C11+C12+C13+C14+C15+C16+C17+C18+C21+C23+C24+C25+C26+C27+C28+C29+C32+C33+C34</f>
        <v>77015235.470000014</v>
      </c>
      <c r="D35" s="31">
        <f>SUM(D9:D34)</f>
        <v>127045910.93252791</v>
      </c>
      <c r="E35" s="31">
        <f>E34+E33+E32+E29+E28+E27+E26+E25+E24+E23+E21+E18+E17+E16+E15+E14+E13+E12+E11+E10+E9</f>
        <v>111994878.63</v>
      </c>
      <c r="F35" s="32">
        <f>F9+F10+F11+F12+F13+F14+F15+F16+F17+F18+F21+F23+F24+F25+F26+F27+F28+F29+F32+F33+F34</f>
        <v>145359583.31999999</v>
      </c>
      <c r="G35" s="31">
        <v>145863659.24000004</v>
      </c>
      <c r="H35" s="33" t="e">
        <f>#REF!*4</f>
        <v>#REF!</v>
      </c>
      <c r="I35" s="34" t="e">
        <f>G35-#REF!</f>
        <v>#REF!</v>
      </c>
      <c r="J35" s="33">
        <f>J21+J13+J19</f>
        <v>11400000</v>
      </c>
      <c r="K35" s="33">
        <f t="shared" ref="K35:L35" si="3">K21+K13+K19</f>
        <v>7200000</v>
      </c>
      <c r="L35" s="33">
        <f t="shared" si="3"/>
        <v>4200000</v>
      </c>
      <c r="M35" s="33">
        <f>F35-K35</f>
        <v>138159583.31999999</v>
      </c>
      <c r="O35" s="56"/>
    </row>
    <row r="36" spans="1:16" ht="24" hidden="1">
      <c r="B36" s="57" t="s">
        <v>7</v>
      </c>
      <c r="C36" s="58"/>
      <c r="D36" s="58"/>
      <c r="E36" s="58"/>
      <c r="F36" s="58"/>
      <c r="G36" s="59" t="e">
        <v>#REF!</v>
      </c>
      <c r="H36" s="50"/>
      <c r="I36" s="60"/>
      <c r="J36" s="50"/>
      <c r="K36" s="50"/>
      <c r="L36" s="50"/>
      <c r="M36" s="50"/>
    </row>
    <row r="37" spans="1:16" ht="24" hidden="1">
      <c r="B37" s="57" t="s">
        <v>8</v>
      </c>
      <c r="C37" s="58"/>
      <c r="D37" s="58"/>
      <c r="E37" s="58"/>
      <c r="F37" s="58"/>
      <c r="G37" s="50"/>
      <c r="H37" s="50"/>
      <c r="I37" s="60"/>
      <c r="J37" s="50"/>
      <c r="K37" s="50"/>
      <c r="L37" s="50"/>
      <c r="M37" s="50"/>
    </row>
    <row r="38" spans="1:16" ht="24" hidden="1">
      <c r="B38" s="57" t="s">
        <v>9</v>
      </c>
      <c r="C38" s="58"/>
      <c r="D38" s="58"/>
      <c r="E38" s="58"/>
      <c r="F38" s="58"/>
      <c r="G38" s="50"/>
      <c r="H38" s="50"/>
      <c r="I38" s="60"/>
      <c r="J38" s="50"/>
      <c r="K38" s="50"/>
      <c r="L38" s="50"/>
      <c r="M38" s="50"/>
    </row>
    <row r="39" spans="1:16" ht="36" hidden="1">
      <c r="B39" s="57" t="s">
        <v>10</v>
      </c>
      <c r="C39" s="58"/>
      <c r="D39" s="58"/>
      <c r="E39" s="58"/>
      <c r="F39" s="58"/>
      <c r="G39" s="50"/>
      <c r="H39" s="50"/>
      <c r="I39" s="60"/>
      <c r="J39" s="50"/>
      <c r="K39" s="50"/>
      <c r="L39" s="50"/>
      <c r="M39" s="50"/>
    </row>
    <row r="40" spans="1:16" ht="24" hidden="1">
      <c r="B40" s="57" t="s">
        <v>11</v>
      </c>
      <c r="C40" s="58"/>
      <c r="D40" s="58"/>
      <c r="E40" s="58"/>
      <c r="F40" s="58"/>
      <c r="G40" s="50"/>
      <c r="H40" s="50"/>
      <c r="I40" s="60"/>
      <c r="J40" s="50"/>
      <c r="K40" s="50"/>
      <c r="L40" s="50"/>
      <c r="M40" s="50"/>
    </row>
    <row r="41" spans="1:16" hidden="1">
      <c r="B41" s="57" t="s">
        <v>12</v>
      </c>
      <c r="C41" s="58"/>
      <c r="D41" s="58"/>
      <c r="E41" s="58"/>
      <c r="F41" s="58"/>
      <c r="G41" s="50"/>
      <c r="H41" s="50"/>
      <c r="I41" s="60"/>
      <c r="J41" s="50"/>
      <c r="K41" s="50"/>
      <c r="L41" s="50"/>
      <c r="M41" s="50"/>
    </row>
    <row r="42" spans="1:16" hidden="1">
      <c r="B42" s="61" t="s">
        <v>13</v>
      </c>
      <c r="C42" s="62"/>
      <c r="D42" s="62"/>
      <c r="E42" s="62"/>
      <c r="F42" s="62"/>
      <c r="G42" s="63"/>
      <c r="H42" s="63" t="e">
        <f>#REF!*4</f>
        <v>#REF!</v>
      </c>
      <c r="I42" s="64"/>
      <c r="J42" s="50"/>
      <c r="K42" s="50"/>
      <c r="L42" s="50"/>
      <c r="M42" s="50"/>
    </row>
    <row r="43" spans="1:16" hidden="1">
      <c r="E43" s="65"/>
    </row>
    <row r="44" spans="1:16" hidden="1">
      <c r="E44" s="65"/>
      <c r="O44" s="51"/>
      <c r="P44" s="51"/>
    </row>
    <row r="45" spans="1:16" ht="15.75" customHeight="1">
      <c r="A45" s="50"/>
      <c r="B45" s="50" t="s">
        <v>49</v>
      </c>
      <c r="C45" s="72"/>
      <c r="D45" s="14">
        <v>7656594</v>
      </c>
      <c r="E45" s="73"/>
      <c r="F45" s="72"/>
      <c r="G45" s="50"/>
      <c r="H45" s="50"/>
      <c r="I45" s="50"/>
      <c r="J45" s="50"/>
      <c r="K45" s="50"/>
      <c r="L45" s="50"/>
      <c r="M45" s="50"/>
    </row>
    <row r="46" spans="1:16" ht="15.75" customHeight="1">
      <c r="A46" s="50"/>
      <c r="B46" s="50" t="s">
        <v>50</v>
      </c>
      <c r="C46" s="72"/>
      <c r="D46" s="14">
        <f>D35+D45</f>
        <v>134702504.9325279</v>
      </c>
      <c r="E46" s="73"/>
      <c r="F46" s="72"/>
      <c r="G46" s="50"/>
      <c r="H46" s="50"/>
      <c r="I46" s="50"/>
      <c r="J46" s="50"/>
      <c r="K46" s="50"/>
      <c r="L46" s="50"/>
      <c r="M46" s="50"/>
    </row>
    <row r="48" spans="1:16" ht="62.25" customHeight="1">
      <c r="B48" s="77" t="s">
        <v>48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2:2">
      <c r="B49" s="51"/>
    </row>
  </sheetData>
  <mergeCells count="12">
    <mergeCell ref="B2:L2"/>
    <mergeCell ref="B3:B7"/>
    <mergeCell ref="C3:C7"/>
    <mergeCell ref="E3:E7"/>
    <mergeCell ref="F3:F7"/>
    <mergeCell ref="G3:G7"/>
    <mergeCell ref="J3:L6"/>
    <mergeCell ref="A3:A7"/>
    <mergeCell ref="B48:M48"/>
    <mergeCell ref="M3:M7"/>
    <mergeCell ref="H4:H7"/>
    <mergeCell ref="I4:I7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septembris</vt:lpstr>
    </vt:vector>
  </TitlesOfParts>
  <Company>NVD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Zilberte</dc:creator>
  <cp:lastModifiedBy>astrazdina</cp:lastModifiedBy>
  <cp:lastPrinted>2016-10-12T06:25:24Z</cp:lastPrinted>
  <dcterms:created xsi:type="dcterms:W3CDTF">2016-05-02T11:14:34Z</dcterms:created>
  <dcterms:modified xsi:type="dcterms:W3CDTF">2016-10-21T07:22:25Z</dcterms:modified>
</cp:coreProperties>
</file>