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25395" windowHeight="9150" tabRatio="882" activeTab="6"/>
  </bookViews>
  <sheets>
    <sheet name="1.pielik_kopsavilkums" sheetId="1" r:id="rId1"/>
    <sheet name="1.1.pielik_grozs_n_gads" sheetId="2" r:id="rId2"/>
    <sheet name="1.2.pielik_grozs_n+1_+2_...gads" sheetId="3" r:id="rId3"/>
    <sheet name="1.3..pielik__transp" sheetId="4" r:id="rId4"/>
    <sheet name="1.4.pielik_supervizija_" sheetId="5" r:id="rId5"/>
    <sheet name="1.5.pielik_pāraudzība" sheetId="6" r:id="rId6"/>
    <sheet name="rez_rād" sheetId="7" r:id="rId7"/>
  </sheets>
  <definedNames>
    <definedName name="_xlfn.AGGREGATE" hidden="1">#NAME?</definedName>
  </definedNames>
  <calcPr fullCalcOnLoad="1"/>
</workbook>
</file>

<file path=xl/sharedStrings.xml><?xml version="1.0" encoding="utf-8"?>
<sst xmlns="http://schemas.openxmlformats.org/spreadsheetml/2006/main" count="664" uniqueCount="225">
  <si>
    <t>Kopējās izmaksas</t>
  </si>
  <si>
    <t>Pakalpojumi/speciālisti</t>
  </si>
  <si>
    <t>X</t>
  </si>
  <si>
    <t>euro</t>
  </si>
  <si>
    <t>Mēnesis</t>
  </si>
  <si>
    <t>Maršruts</t>
  </si>
  <si>
    <t>Mobilās brigādes viena brauciena transporta izmaksas</t>
  </si>
  <si>
    <t>stundas</t>
  </si>
  <si>
    <t>Medmāsa (mobilā brigāde)</t>
  </si>
  <si>
    <t>Šoferis (mobilā brigāde)</t>
  </si>
  <si>
    <t xml:space="preserve">Klientu skaits kam plānots sniegt pakalpojumu </t>
  </si>
  <si>
    <t>Pakalpojumu sniegto stundu skaits  uz                   1 klientu             mēnesī</t>
  </si>
  <si>
    <t>Pakalpojumu kopējais stundu skaits mēnesī</t>
  </si>
  <si>
    <t>Kopējās kvalifikācijas celšanas izmaksas  gadā, euro</t>
  </si>
  <si>
    <t>Supervīziju izmaksas  gadā, euro</t>
  </si>
  <si>
    <t xml:space="preserve">sociālais darbinieks </t>
  </si>
  <si>
    <t>psihologs</t>
  </si>
  <si>
    <t>sociālais mentors</t>
  </si>
  <si>
    <t>grupu nodarbības</t>
  </si>
  <si>
    <t>Ar pakalpojuma organizēšanu un normatīvajos aktos noteikto prasību nodrošināšanu saistītās izmaksas</t>
  </si>
  <si>
    <t>Degvielas patēriņš 10 litri /100km</t>
  </si>
  <si>
    <t>Aprēķina paskaidrojums</t>
  </si>
  <si>
    <t>Sociālā mentora atbalsts</t>
  </si>
  <si>
    <t>1.1.Tiešās pakalpojuma aktivitātes un izmaksas</t>
  </si>
  <si>
    <t xml:space="preserve">1.2. Ar pakalpojuma organizēšanu un  normatīvajos aktos noteikto prasību nodrošināšanu saistītās aktivitātes un izmaksas </t>
  </si>
  <si>
    <t>1.3.Administrēšanas izmaksas kopā</t>
  </si>
  <si>
    <t>Darba devēja apmaksātie veselības apdrošināšanas izdevumi/ individuālās konsultācijas</t>
  </si>
  <si>
    <t>Degvielas cena euro/litrs**</t>
  </si>
  <si>
    <t>2=1/10 litri</t>
  </si>
  <si>
    <t>Vienā braucienā nobrauktie kilometri*</t>
  </si>
  <si>
    <t>4=2*3</t>
  </si>
  <si>
    <t>Viena brauciena kopējās izmaksas, euro</t>
  </si>
  <si>
    <t>Viena brauciena degvielas iegādes izmaksas, euro</t>
  </si>
  <si>
    <t xml:space="preserve">Automašīnas amortizācija *** </t>
  </si>
  <si>
    <t>Automašīnas apdrošināšana un autostāvvietas pakalpojumi ****</t>
  </si>
  <si>
    <t>** 1 litra degvielas cena  - aprēķinam par pamatu ņemta pakalpojuma sniedzēja sniegtā informācija - 1. 2015.gadā iegādāti 1566 litri/12 mēneši=131 litrs mēnesī  2. 2015.gadā izmaksas par degvielu sastādīja 1644 euro/12 mēneši = 137 euro mēnesī 3. 137 euro/131 litri = 1.05 euro litrā.</t>
  </si>
  <si>
    <t>8=4+5+6+7</t>
  </si>
  <si>
    <t>Automašīnas noma             *****</t>
  </si>
  <si>
    <t xml:space="preserve">Transporta izmaksas mobilai brigādei </t>
  </si>
  <si>
    <t>**** Automašīnas apdrošināšana un autostāvvietas pakalpojumi  - aprēķinam par pamatu ņemta pakalpojuma sniedzēja sniegtā informācija - 1. 2015.gadā izlietotais finansējums par autostāvvietas pakalpojumiem 360 euro/12 mēneši = 30 euro mēnesī; 2. 2015.gadā izlietotais finansējums par automašīnas apdrošināšanu, tehnisko apskati 529 euro/12 mēneši = 44.08 euro mēnesī; 3.Kopā 30 euro+44.08 euro=74.08 euro mēnsī/8 braucieni (4 nedēļas* 2 braucieni) =9.26 euro braucienā.</t>
  </si>
  <si>
    <t xml:space="preserve">Sociālais darbinieks </t>
  </si>
  <si>
    <t>slodze</t>
  </si>
  <si>
    <t>Psihologs</t>
  </si>
  <si>
    <t>izmaksas mēnesī</t>
  </si>
  <si>
    <t>9=8*9 braucieni</t>
  </si>
  <si>
    <t>Izmaksas mēnesī ******</t>
  </si>
  <si>
    <t>Higiēnas un citas preces, kas nepieciešamas klientam mobilās brigādes izbraukumos</t>
  </si>
  <si>
    <t>Informatīvā pasākuma organizēšanas izmaksas                  (kancelejas preces, materiāli u.c.)</t>
  </si>
  <si>
    <t>medmāsa</t>
  </si>
  <si>
    <t>šoferis</t>
  </si>
  <si>
    <t>Atbalsta grupu organizēšanas izmaksas (izdales materiālu kopēšana, kancelejas preces)</t>
  </si>
  <si>
    <t>Aktivitātes apraksts</t>
  </si>
  <si>
    <t>Reklāmas pasākumu izmaksas</t>
  </si>
  <si>
    <t>Izglītības izdevumi</t>
  </si>
  <si>
    <t>* vienā braucienā vidēji nobrauktie kilometri - aprēķinam par pamatu ņemta pakalpojuma sniedzēja sniegtā informācija - 2015.gadā nobraukti 15046 km/12 mēneši = 1253 km mēnesī/21 darba diena (2015.gadā braucieni pie klientiem notika katru darba dienu) =60 km vidēji vienā braucienā pa Rīgu. Kā arī vēl vienā braucienā 40 km braukšanai ārpus Rīgas, kopā 100 km.</t>
  </si>
  <si>
    <t>*** Automašīnas amortizācija - aprēķinam par pamatu ņemta pakalpojuma sniedzēja sniegtā informācija - 2015.gadā automašīnas uzturēšanas izmaksas sastādīja 2112 euro/12 mēneši/21 darba diena=8.40 euro dienā/100km=0.08 euro uz 1 km.</t>
  </si>
  <si>
    <t>5=1*0.08 euro</t>
  </si>
  <si>
    <t>Speciālistu (slodžu) skaits mēnesī, lai nodrošinātu kopējo stundu skaitu</t>
  </si>
  <si>
    <t>Speciālistu (slodžu) noapaļotais skaits, lai nodrošinātu kopējo stundu skaitu mēnesī*</t>
  </si>
  <si>
    <t>*Aprēķinot darbinieku (slodžu) skaitu, kas nodrošina pakalpojumu ieviešanu tiek apaļots uz augšu, jo visiem darbiniekiem neatkarīgi no slodzes apmēra ir jānodrošina kvalifikācijas celšana un veselības apdrošināšana.</t>
  </si>
  <si>
    <t>Kvalifikācijas celšanas izmaksas uz speciālistu gadā, euro**</t>
  </si>
  <si>
    <t>**Veicot pakalpojumu sniedzēju, kas organizē kvalifikācijas celšanas kursus, kursu cenu aptauju  tika konstatēts, ka viena 8 stundas gara semināra vidējā cena ir 39 euro, tad vienas stundas izmaksas ir 4.875 euro (39 euro/8 h). Kvalifikācijas celšana tiek nodrošināta personālam, kas tieši strādā ar klientu. Darbinieku kvalifikācijas celšanas apjomi (sociālais darbinieks, psihologs 24 h/gadā; sociālais rehabilitētājs, sociālais audzinātājs 16h/gadā; aprūpētājs, medicīnas māsa 8 h/gadā) noteikti saskaņā ar izstrādāto MK noteikumu projektu "Prasības sociālo pakalpojumu sniedzējiem" 10.1. apakšpunktu. soc.darbinieks, psihologs 4.875 euro * 24 h = 117 euro/gadā; soc.rehabilitētājs, surdotulks 4.875 euro * 16 h/gadā = 78 euro/gadā; aprūpētājs, medicīnas māsa 4.875 euro * 8 h/gadā = 39 euro/gadā.</t>
  </si>
  <si>
    <t>Kopējās veselības apdrošināšanas izmaksas gadā, euro***</t>
  </si>
  <si>
    <t>*** Likuma par iedzīvotāju ienākuma nodokli 8.panta 5 daļa nosaka, ka " No maksātāja ienākumiem, par kuriem maksā algas nodokli .....veselības vai nelaimes gadījumu apdrošināšanas prēmiju summas, kas nepārsniedz 10 procentus no maksātājam aprēķinātās bruto darba samaksas taksācijas gadā, bet ne vairāk kā 426,86 euro gadā....." un savukārt  Valsts un pašvaldību institūciju amatpersonu un darbinieku atlīdzības likumā paredzētās normas (37.pants 1.;2.daļa)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</si>
  <si>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5=3*4</t>
  </si>
  <si>
    <t>6=3*213.43 euro</t>
  </si>
  <si>
    <t>Supervīziju izmaksas uz speciālistu gadā, euro   ****</t>
  </si>
  <si>
    <t>8=3*7</t>
  </si>
  <si>
    <r>
      <t xml:space="preserve">Izmaksas kopā </t>
    </r>
    <r>
      <rPr>
        <b/>
        <sz val="12"/>
        <rFont val="Times New Roman"/>
        <family val="1"/>
      </rPr>
      <t>gadā,</t>
    </r>
    <r>
      <rPr>
        <sz val="12"/>
        <rFont val="Times New Roman"/>
        <family val="1"/>
      </rPr>
      <t xml:space="preserve"> euro</t>
    </r>
  </si>
  <si>
    <t>9=5+6+8</t>
  </si>
  <si>
    <t>10=9/12 mēneši</t>
  </si>
  <si>
    <r>
      <t xml:space="preserve">Kvalifikācijas celšanas, supervīziju un veselības apdrošināšanas izmaksas </t>
    </r>
    <r>
      <rPr>
        <b/>
        <sz val="12"/>
        <rFont val="Times New Roman"/>
        <family val="1"/>
      </rPr>
      <t>mēnesī</t>
    </r>
  </si>
  <si>
    <t>Sociālās rehabilitācijas pakalpojuma prostitūcijā iesaistītām personām (1.posms)                                                                                                                                                            mobilās brigādes viena brauciena transporta izmaksu aprēķins</t>
  </si>
  <si>
    <t>***** Automāšīnas noma - aprēķinam par pamatu ņemta pakalpojuma sniedzēja sniegtā informācija - vidēji mēnesī 440 euro/9 braucieni=48.89 euro braucienā</t>
  </si>
  <si>
    <t>****** Izmaksas mēnesī- 1 nedēļā 2 braucieni * 52 nedēļas gadā = 104 braucieni gadā/12 mēneši=8.7=9 braucieni mēnesī/ 76.65 euro *9 braucieni = 689.85 euro mēnesī</t>
  </si>
  <si>
    <t>Nr.p.k.</t>
  </si>
  <si>
    <t>x</t>
  </si>
  <si>
    <t>Klienti izglītības pakalpojumu saņem NVA, bet gadījumos, kad NVA piedāvāto kursu  klāsts neatbilsts personas vajadzībām, statusam vai izglītības līmenim pakalpojuma sniedzējs var nodrošināt kvalifikācijas celšanu izmantojot maksas apmācību kursus.</t>
  </si>
  <si>
    <r>
      <t xml:space="preserve">Atbalsta </t>
    </r>
    <r>
      <rPr>
        <b/>
        <sz val="12"/>
        <rFont val="Times New Roman"/>
        <family val="1"/>
      </rPr>
      <t>grupu</t>
    </r>
    <r>
      <rPr>
        <sz val="12"/>
        <rFont val="Times New Roman"/>
        <family val="1"/>
      </rPr>
      <t xml:space="preserve"> vadītāju atlīdzība par grupu nodarbību vadīšanu </t>
    </r>
  </si>
  <si>
    <r>
      <t xml:space="preserve">Atbalsta </t>
    </r>
    <r>
      <rPr>
        <b/>
        <sz val="12"/>
        <rFont val="Times New Roman"/>
        <family val="1"/>
      </rPr>
      <t>grupu</t>
    </r>
    <r>
      <rPr>
        <sz val="12"/>
        <rFont val="Times New Roman"/>
        <family val="1"/>
      </rPr>
      <t xml:space="preserve"> vadītāju atlīdzība par sagatavošanos grupu nodarbībai, izdales materiālu un atskaišu sagatavošana</t>
    </r>
  </si>
  <si>
    <t>KOPĀ</t>
  </si>
  <si>
    <r>
      <t xml:space="preserve">****Supervīziju izmaksas uz speciālistu gadā tiek aprēķinātas ņemot vērā, ka vienam sociālā darba speciālistam (sociālajam darbiniekam, sociālajam rehabilitētājam un sociālajam aprūpētājam) gadā jāsaņem  15 stundas supervīzijas un pārējiem pēc nepieciešamības - aprūpētājiem 6 stundas supervīzijas gadā (saskaņā ar izstrādāto MK noteikumu projektu "Prasības sociālo pakalpojumu sniedzējiem"). Supervīzija notiek grupā, kas sastāv no 7 cilvēkiem, vienas supervīzijas sesijas ilgums ir 3 stundas un viena speciālista vienas supervīzijas sesijas cena ir 20 euro. </t>
    </r>
    <r>
      <rPr>
        <b/>
        <u val="single"/>
        <sz val="12"/>
        <rFont val="Times New Roman"/>
        <family val="1"/>
      </rPr>
      <t>Supervīziju izmaksas uz sociālā darba speciālistu gadā aprēķins</t>
    </r>
    <r>
      <rPr>
        <sz val="12"/>
        <rFont val="Times New Roman"/>
        <family val="1"/>
      </rPr>
      <t xml:space="preserve"> - 1) 20 euro*7 personas=140 euro (vienas grupas supervīzijas sesijas izmaksas), 2) 15 stundas : 3 stundas (vienas sesijas ilgums) = 5 supervīziju sesijas gadā vienam speciālistam, 3) 140 euro *5 supervīziju sesijas = 700 euro : 7 speciālisti = 100 euro gadā uz vienu speciālistu.  </t>
    </r>
    <r>
      <rPr>
        <b/>
        <u val="single"/>
        <sz val="12"/>
        <rFont val="Times New Roman"/>
        <family val="1"/>
      </rPr>
      <t>Supervīziju izmaksas uz aprūpētāju gadā aprēķins</t>
    </r>
    <r>
      <rPr>
        <u val="single"/>
        <sz val="12"/>
        <rFont val="Times New Roman"/>
        <family val="1"/>
      </rPr>
      <t xml:space="preserve"> </t>
    </r>
    <r>
      <rPr>
        <sz val="12"/>
        <rFont val="Times New Roman"/>
        <family val="1"/>
      </rPr>
      <t>- 1) 20 euro*7 personas=140 euro (vienas grupas supervīzijas sesijas izmaksas), 2) 6 stundas : 3 stundas (vienas sesijas ilgums) = 2 supervīziju sesijas gadā vienam speciālistam, 3) 140 euro *2 supervīziju sesijas = 280 euro : 7 speciālisti = 40 euro gadā uz vienu speciālistu.</t>
    </r>
  </si>
  <si>
    <t>1.gads</t>
  </si>
  <si>
    <t>2.gads</t>
  </si>
  <si>
    <t>3.gads</t>
  </si>
  <si>
    <t>Aukle/ bērnu pieskatītājs</t>
  </si>
  <si>
    <t xml:space="preserve">Darba samaksa Labklājības ministrijas speciālistiem par pakalpojuma ieviešanas uzraudzību, finansējuma plānošanu un izpildes uzraudzību, kā arī rezultatīvo rādītāju snieguma izvērtēšanu </t>
  </si>
  <si>
    <t>SR posms</t>
  </si>
  <si>
    <t>ir saņēmušas</t>
  </si>
  <si>
    <t>Atbalstu saņēmušo personu skaits</t>
  </si>
  <si>
    <t>pakalpojumu uzsākušas saņemt</t>
  </si>
  <si>
    <t>KOPĀ 3 GADOS</t>
  </si>
  <si>
    <t>Pakalpojums "Sociālās rehabilitācijas pakalpojums prostitūcijā iesaistītām personām"</t>
  </si>
  <si>
    <t>Izdevumu pozīcija</t>
  </si>
  <si>
    <t>vienības/               slodzes/ izdevumi konkrētam laika periodam</t>
  </si>
  <si>
    <t>cena par vienību,slodzi, izdevumi konkrētam laika periodam euro</t>
  </si>
  <si>
    <t>konsultāciju / slodzes /skaits mēnesī</t>
  </si>
  <si>
    <t>Pakalpojuma "Sociālās rehabilitācijas pakalpojums prostitūcijā iesaistītām personām"</t>
  </si>
  <si>
    <t>Mobilās brigādes  darba samaksa par naktsdarbu</t>
  </si>
  <si>
    <t>slodzes /stundu/ konsultāciju / skaits mēnesī</t>
  </si>
  <si>
    <t>Speciālists (informatīvais pasākums - sagatavošanās un vadīšana)</t>
  </si>
  <si>
    <t>konsultācijas</t>
  </si>
  <si>
    <t>Speciālistu individuālās konsultācijas (narkologs, jurists, finanšu konsultants  u.c.)</t>
  </si>
  <si>
    <t xml:space="preserve">1 nedēļā 2 braucieni * 52 nedēļas gadā = 104 braucieni gadā/12 mēneši=8.7= vidēji 9 braucieni mēnesī. 9 braucieni * 15 euro = 135 euro mēnesī. </t>
  </si>
  <si>
    <t>izbraukums</t>
  </si>
  <si>
    <t>Sabiedriskā transporta izmaksas sociālajam darbiniekam, braucot pie klientiem</t>
  </si>
  <si>
    <t>mēnešbiļete</t>
  </si>
  <si>
    <r>
      <rPr>
        <b/>
        <u val="single"/>
        <sz val="12"/>
        <rFont val="Times New Roman"/>
        <family val="1"/>
      </rPr>
      <t>1.Posms:</t>
    </r>
    <r>
      <rPr>
        <sz val="12"/>
        <rFont val="Times New Roman"/>
        <family val="1"/>
      </rPr>
      <t xml:space="preserve">  1 informatīvais pasākums notiek 1 reizi mēnesī, ilgst 2 stundas. Pasākumā piedalās  līdz 12 personām (minimāli 3 personas pasākumā).</t>
    </r>
  </si>
  <si>
    <t>Kancelajas preces, materiāli 3 euro uz personu *12 personas pasākumā = 36 euro</t>
  </si>
  <si>
    <t xml:space="preserve">Reklāmas pasākumu izmaksas, lai informētu prostitūcijā iesaistītas personas par pakalpojumiem, piemēram, informatīvu bukletu sagatavošanu un pieejamību vietās, kur uzturas prostitūcijā iesaistītās personas (piemēram, pie ģimenes ārsta, narkologa, ginekologa, kā arī šādus informatīvus materiālus iespējams varētu piedāvāt policisti, kuri ikdienas darbā sastopas ar prostitūcijā iesaistītajām personām). Informācijai par to, kur personai jāvēršas pēc palīdzības, ja tā vēlas pārtraukt nodarboties ar prostitūciju vai ja ir notikusi vardarbība, kā arī informācijai par medicīnisko un sociāli rehabilitējošo pakalpojumu pieejamību vajadzētu būt pieejamai arī internetā. Būtiski ir pārdomāt informācijas kanālus, caur kuriem prostitūcijā iesaistītās personas tiek uzrunātas un veidu, kādā viņas tiek uzrunātas. </t>
  </si>
  <si>
    <t>Sabiedriskā transporta izmaksas sociālajam mentoram, braucot pie klientiem</t>
  </si>
  <si>
    <t>mēnesis</t>
  </si>
  <si>
    <t>Sociālā mentora sakaru pakalpojumi (telefons)</t>
  </si>
  <si>
    <t>Sociālā darbinieka sakaru pakalpojumi (telefons)</t>
  </si>
  <si>
    <t>persona</t>
  </si>
  <si>
    <t>Veicot tirgus aptauju dažādi apmācību kursi maksāja no 300 euro līdz 1450 euro. Līdz ar to vidējās apmācību kursu izmaksas tiek pieņemtas 875 euro uz 1 klientu 180 dienās, vidēji 145.83 euro mēnesī. 2.posmā (pakalpojuma ieviešanas gadā) plānots, ka pakalpojuma 2.posmu saņems 5 personas.</t>
  </si>
  <si>
    <t>izmaksas gadā</t>
  </si>
  <si>
    <t>3 euro uz klientu *5 klienti = 15euro nodarbība. 15 euro * 26 nodarbības = 390 euro.  Vidēji uz vienu klientu kursā 78.00 euro (26 nodarbības x 3 euro)</t>
  </si>
  <si>
    <t xml:space="preserve">Pakalpojuma nodrošināšanas izmaksas kopā </t>
  </si>
  <si>
    <t>Pakalpojuma izmaksas kopā</t>
  </si>
  <si>
    <t>ar izmitināšanu</t>
  </si>
  <si>
    <t>bez izmitināšanas</t>
  </si>
  <si>
    <t xml:space="preserve">Atbilstoši Ministru kabineta noteikumiem "Sociālās rehabilitācijas pakalpojumu sniegšanas kārtība prostitūcijā iesaistītām personām" pakalpojumu sniedzējs nodrošina bērnu pieskatīšanu pakalpojumu sniegšanas pasākumu laikā. Pieskatīšanu pakalpojuma sniedzējs nodrošina bērniem līdz 7 gadu vecumam. Vidēji vienlaicīgi  tiek pieskatīti 2 bērni ne ilgāk kā 4 h dienā. </t>
  </si>
  <si>
    <t>Darbinieku kvalifikācijas celšanas, supervīziju un veselības apdrošināšanas izmaksu aprēķins                                                                                                                                                                                                                      pakalpojuma "Sociālās rehabilitācijas pakalpojums prostitūcijā iesaistītām personām"</t>
  </si>
  <si>
    <t>atbalsta grupu vadītāji</t>
  </si>
  <si>
    <t>1.posms</t>
  </si>
  <si>
    <t>2.posms</t>
  </si>
  <si>
    <t>3.posms</t>
  </si>
  <si>
    <t>izdevumi gadā</t>
  </si>
  <si>
    <t xml:space="preserve"> </t>
  </si>
  <si>
    <t>Pārbaude:                                                                jābūt 0 vai TRUE</t>
  </si>
  <si>
    <t>Rezulatatīvie rādītāji (pakalpojumu saņēmušo personu skits vidēji gadā):</t>
  </si>
  <si>
    <t xml:space="preserve">Rīgas sabiedriskā transporta mēnešbiļetes cena visām mēneša dienām visos tramvaju, trolejbusu un autobusu maršrutos ir 50 euro. Līdz ar to tiek pieņemts, ka mēnesī vidēji 50 euro nepieciešami transporta izmaksām/degvielai. </t>
  </si>
  <si>
    <t xml:space="preserve">Izpētot dažādu operatoru priekšapmaksas karšu cenas tika konstatēts, ka to vidējās izmaksas ir 5 euro mēnesī. </t>
  </si>
  <si>
    <r>
      <t>Pakalpojuma "Sociālās rehabilitācijas pakalpojums prostitūcijā iesaistītām personām" groza aprēķins</t>
    </r>
    <r>
      <rPr>
        <b/>
        <sz val="20"/>
        <color indexed="10"/>
        <rFont val="Times New Roman"/>
        <family val="1"/>
      </rPr>
      <t xml:space="preserve">  n gads</t>
    </r>
  </si>
  <si>
    <t>Pakalpojuma izmaksas UZ 1 PERSONU</t>
  </si>
  <si>
    <t>mēnesī</t>
  </si>
  <si>
    <t>gadā</t>
  </si>
  <si>
    <t>dienā</t>
  </si>
  <si>
    <r>
      <rPr>
        <b/>
        <u val="single"/>
        <sz val="14"/>
        <rFont val="Times New Roman"/>
        <family val="1"/>
      </rPr>
      <t xml:space="preserve">  </t>
    </r>
    <r>
      <rPr>
        <b/>
        <u val="single"/>
        <sz val="18"/>
        <rFont val="Times New Roman"/>
        <family val="1"/>
      </rPr>
      <t>1 posms</t>
    </r>
    <r>
      <rPr>
        <b/>
        <u val="single"/>
        <sz val="11"/>
        <rFont val="Times New Roman"/>
        <family val="1"/>
      </rPr>
      <t xml:space="preserve"> </t>
    </r>
    <r>
      <rPr>
        <sz val="11"/>
        <rFont val="Times New Roman"/>
        <family val="1"/>
      </rPr>
      <t>- prostitūcijā iesaistīto personu identificēšana un motivēšana pirms sociālās rehabilitācijas pakalpojuma kursa uzsākšanas</t>
    </r>
  </si>
  <si>
    <r>
      <rPr>
        <b/>
        <u val="single"/>
        <sz val="18"/>
        <rFont val="Times New Roman"/>
        <family val="1"/>
      </rPr>
      <t>2 posms</t>
    </r>
    <r>
      <rPr>
        <sz val="11"/>
        <rFont val="Times New Roman"/>
        <family val="1"/>
      </rPr>
      <t>- sociālās rehabilitācijas pakalpojuma kurss</t>
    </r>
  </si>
  <si>
    <r>
      <rPr>
        <b/>
        <u val="single"/>
        <sz val="18"/>
        <rFont val="Times New Roman"/>
        <family val="1"/>
      </rPr>
      <t>3.posms</t>
    </r>
    <r>
      <rPr>
        <sz val="18"/>
        <rFont val="Times New Roman"/>
        <family val="1"/>
      </rPr>
      <t xml:space="preserve"> </t>
    </r>
    <r>
      <rPr>
        <sz val="11"/>
        <rFont val="Times New Roman"/>
        <family val="1"/>
      </rPr>
      <t>- atbalsts pēc sociālās rehabilitācijas pakalpojuma kursa pabeigšanas - reintegrācija sabiedrībā</t>
    </r>
  </si>
  <si>
    <r>
      <rPr>
        <b/>
        <u val="single"/>
        <sz val="12"/>
        <rFont val="Times New Roman"/>
        <family val="1"/>
      </rPr>
      <t>1. Posms:</t>
    </r>
    <r>
      <rPr>
        <u val="single"/>
        <sz val="12"/>
        <rFont val="Times New Roman"/>
        <family val="1"/>
      </rPr>
      <t xml:space="preserve"> </t>
    </r>
    <r>
      <rPr>
        <sz val="12"/>
        <rFont val="Times New Roman"/>
        <family val="1"/>
      </rPr>
      <t xml:space="preserve">1)darbs mobilās brigādes sastāvā; 2) Informatīvo pasākumu sagatavošana, vadīšana un speciālistu piesaistīšana.  Vienu reizi mēnesī notiek ne mazāk kā viens informatīvais pasākums, ilgst 2 stundas. Pasākumā piedalās  līdz 12 personām (minimāli 3 personas pasākumā); 3) individuālās konsultācijas; 4) klientu piesaistīšana, kontaktu nodibināšana un uzturēšana; 5) sociālā gadījuma vadīšana. </t>
    </r>
    <r>
      <rPr>
        <b/>
        <u val="single"/>
        <sz val="12"/>
        <rFont val="Times New Roman"/>
        <family val="1"/>
      </rPr>
      <t xml:space="preserve">2.Posms: </t>
    </r>
    <r>
      <rPr>
        <sz val="12"/>
        <rFont val="Times New Roman"/>
        <family val="1"/>
      </rPr>
      <t xml:space="preserve"> mēnesī  vienam klientam nodrošina vidēji 6 individuālās konsultācijas (1 konsultācijas ilgums 45 min ).</t>
    </r>
    <r>
      <rPr>
        <b/>
        <sz val="12"/>
        <rFont val="Times New Roman"/>
        <family val="1"/>
      </rPr>
      <t xml:space="preserve"> </t>
    </r>
    <r>
      <rPr>
        <b/>
        <u val="single"/>
        <sz val="12"/>
        <rFont val="Times New Roman"/>
        <family val="1"/>
      </rPr>
      <t xml:space="preserve">3.Posms: </t>
    </r>
    <r>
      <rPr>
        <u val="single"/>
        <sz val="12"/>
        <rFont val="Times New Roman"/>
        <family val="1"/>
      </rPr>
      <t xml:space="preserve"> </t>
    </r>
    <r>
      <rPr>
        <sz val="12"/>
        <rFont val="Times New Roman"/>
        <family val="1"/>
      </rPr>
      <t>mēnesī  nodrošina ne mazāk kā 3 individuālās konsultācijas (1 konsultācijas ilgums 45 min ).</t>
    </r>
  </si>
  <si>
    <r>
      <rPr>
        <b/>
        <u val="single"/>
        <sz val="12"/>
        <rFont val="Times New Roman"/>
        <family val="1"/>
      </rPr>
      <t>1. Posms:</t>
    </r>
    <r>
      <rPr>
        <u val="single"/>
        <sz val="12"/>
        <rFont val="Times New Roman"/>
        <family val="1"/>
      </rPr>
      <t xml:space="preserve"> </t>
    </r>
    <r>
      <rPr>
        <sz val="12"/>
        <rFont val="Times New Roman"/>
        <family val="1"/>
      </rPr>
      <t xml:space="preserve">1) darbs mobilās brigādes sastāvā;  2) individuālās konsultācijas. </t>
    </r>
    <r>
      <rPr>
        <u val="single"/>
        <sz val="12"/>
        <rFont val="Times New Roman"/>
        <family val="1"/>
      </rPr>
      <t xml:space="preserve"> </t>
    </r>
    <r>
      <rPr>
        <b/>
        <u val="single"/>
        <sz val="12"/>
        <rFont val="Times New Roman"/>
        <family val="1"/>
      </rPr>
      <t xml:space="preserve">2.Posms: </t>
    </r>
    <r>
      <rPr>
        <sz val="12"/>
        <rFont val="Times New Roman"/>
        <family val="1"/>
      </rPr>
      <t xml:space="preserve"> Psihologs mēnesī (vidēji 30 dienās) nodrošina ne mazāk kā 4 individuālās konsultācijas (1 konsultācijas ilgums 45 min). </t>
    </r>
    <r>
      <rPr>
        <b/>
        <u val="single"/>
        <sz val="12"/>
        <rFont val="Times New Roman"/>
        <family val="1"/>
      </rPr>
      <t xml:space="preserve">3.Posms: </t>
    </r>
    <r>
      <rPr>
        <sz val="12"/>
        <rFont val="Times New Roman"/>
        <family val="1"/>
      </rPr>
      <t>Vidēji mēnesī tiek nodrošinātas 2 individuālās konsultācijas atbilstoši klienta vajadzībām un rehabilitācijas plānam.(1 konsultācijas ilgums = 45 min).</t>
    </r>
  </si>
  <si>
    <r>
      <rPr>
        <b/>
        <u val="single"/>
        <sz val="12"/>
        <rFont val="Times New Roman"/>
        <family val="1"/>
      </rPr>
      <t>1.Posms:</t>
    </r>
    <r>
      <rPr>
        <b/>
        <sz val="12"/>
        <rFont val="Times New Roman"/>
        <family val="1"/>
      </rPr>
      <t xml:space="preserve"> </t>
    </r>
    <r>
      <rPr>
        <sz val="12"/>
        <rFont val="Times New Roman"/>
        <family val="1"/>
      </rPr>
      <t>Mobilā brigāde (t.sk. sociālais darbinieks un psihologs) strādā ar mērķa grupu, uzklausot viņu vajadzības, lai motivētu piedalīties informatīvajos pasākumos un pēc nepieciešamības apmeklētu individuālās speciālistu konsultācijas. Mobilā brigāde divas reizes nedēļā (vidēji 9 reizes mēnesī) no 20:00 - 24:00 (4 stundas) izbrauc pie klientiem uz vietām, kur viņi strādā (prostitūtu uzturēšanās vietām (ielās, sabiedriskās telpās, ieslodzījuma vietās pie personām, kas bijušas iesaistītas prostitūcijā, organizācijās, kas strādā ar personām u.c.) ).</t>
    </r>
  </si>
  <si>
    <r>
      <rPr>
        <b/>
        <u val="single"/>
        <sz val="12"/>
        <rFont val="Times New Roman"/>
        <family val="1"/>
      </rPr>
      <t>1.Posms:</t>
    </r>
    <r>
      <rPr>
        <b/>
        <sz val="12"/>
        <rFont val="Times New Roman"/>
        <family val="1"/>
      </rPr>
      <t xml:space="preserve"> </t>
    </r>
    <r>
      <rPr>
        <sz val="12"/>
        <rFont val="Times New Roman"/>
        <family val="1"/>
      </rPr>
      <t>Informatīvo pasākumu sagatavošana, vadīšana. 1 informatīvais pasākums notiek 1 reizi mēnesī, ilgst 2 stundas, 1 stunda sagatavošanās pasākumam. Pasākumā piedalās  līdz 12 personām (minimāli 3 personas pasākumā).</t>
    </r>
  </si>
  <si>
    <r>
      <rPr>
        <b/>
        <u val="single"/>
        <sz val="12"/>
        <rFont val="Times New Roman"/>
        <family val="1"/>
      </rPr>
      <t xml:space="preserve">1.Posms: </t>
    </r>
    <r>
      <rPr>
        <sz val="12"/>
        <rFont val="Times New Roman"/>
        <family val="1"/>
      </rPr>
      <t xml:space="preserve">1 konsultācijas ilgums 1 h = 45 minūtes konsultācija un 15 minūtes dokumentu kārtošana. Ne vairāk kā 30 konsultācijas mēnesī. </t>
    </r>
    <r>
      <rPr>
        <b/>
        <u val="single"/>
        <sz val="12"/>
        <rFont val="Times New Roman"/>
        <family val="1"/>
      </rPr>
      <t xml:space="preserve">2.Posms: </t>
    </r>
    <r>
      <rPr>
        <sz val="12"/>
        <rFont val="Times New Roman"/>
        <family val="1"/>
      </rPr>
      <t xml:space="preserve">Vidēji mēnesī (30 dienās) vienam klientam tiek nodrošinātas 2 individuālās psihologa, jurista, finanšu konsultanta  un citu speciālistu konsultācijas atbilstoši klienta vajadzībām un rehabilitācijas plānam.(1 konsultācijas ilgums 1 h = 45 minūtes konsultācija un 15 minūtes dokumentu kārtošana). </t>
    </r>
    <r>
      <rPr>
        <b/>
        <u val="single"/>
        <sz val="12"/>
        <rFont val="Times New Roman"/>
        <family val="1"/>
      </rPr>
      <t xml:space="preserve">3.posms: </t>
    </r>
    <r>
      <rPr>
        <sz val="12"/>
        <rFont val="Times New Roman"/>
        <family val="1"/>
      </rPr>
      <t xml:space="preserve">Vidēji mēnesī tiek nodrošinātas 2 individuālās psihologa, jurista, finanšu konsultanta  un citu speciālistu konsultācijas atbilstoši klienta vajadzībām un rehabilitācijas plānam.(1 konsultācijas ilgums 1 h = 45 minūtes konsultācija un 15 minūtes dokumentu kārtošana)    </t>
    </r>
  </si>
  <si>
    <r>
      <t>Sociālais mentors ir atbalstu sniedzoša persona, kurš sadarbībā ar sociālo darbinieku sastāda individuālus sociālās rhabilitācijas plānus, noskaidro peronas vajadzības, sastāda nepieciešamo speciālistu konsultāciju sarakstus, iepazīstina ar perosnas pienākumiem un tiesībām pakalpojuma laikā, sniedz atbalstu sociālās rehabilitācijas plānā noteiktopasākumu īstenošanās (darbavietas atrašanā, dzīves vietas meklēšanā utml.). 2.posmā plānotas kopā 5 personas.</t>
    </r>
    <r>
      <rPr>
        <u val="single"/>
        <sz val="12"/>
        <rFont val="Times New Roman"/>
        <family val="1"/>
      </rPr>
      <t>3.posmā 1 persona.</t>
    </r>
  </si>
  <si>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Pakalpojuma ieviešanas gadā 2.posmā plānotas 5 personas (3 personas ar izmitināšanu, 2 - bez izmitināšanas), 3 posmā 1 persona bez izmitināšanas.</t>
  </si>
  <si>
    <t>2. un 3.posms: Atbalsta grupas nodarbība notiek 1 reizi nedēļā. Kursā 26 nodarbības, mēnesī vidēji 4.33 nedēļas. Nodarbību vada 2 speciālisti (viens no tiem psihologs). Nodarbībā piedalās no 3-8 personām. Pakalpojuma ieviešanas gadā 3.posmā plānota 1 persona, atbalsta grupas netiek organizētas.</t>
  </si>
  <si>
    <r>
      <rPr>
        <b/>
        <u val="single"/>
        <sz val="12"/>
        <rFont val="Times New Roman"/>
        <family val="1"/>
      </rPr>
      <t xml:space="preserve">2. un 3.posms: </t>
    </r>
    <r>
      <rPr>
        <sz val="12"/>
        <rFont val="Times New Roman"/>
        <family val="1"/>
      </rPr>
      <t>Atbalsta grupas nodarbība notiek 1 reizi nedēļā. Vienas nodarbības ilgums 2 stundas un 1 stunda (gatavošanās nodarbībai, atskaišu un izdales materiālu sagatavošana). Kursā 26 nodarbības (gadā 52 nedēļas/2) (katra 2 h = 52 stundas kursā/180 dienās). un 26 stundas gatavošanās nodarbībām. Nodarbību vada 2 speciālisti (viens no tiem psihologs). Nodarbībā piedalās no 3-8 personām. 2.posmā plānotas kopā 5 personas.3.posmā 1 persona. Atbalsta grupas 3.posma netiek organizētas, jo ir 1 persona.</t>
    </r>
  </si>
  <si>
    <t>Rīgas sabiedriskā transporta mēnešbiļetes cena visām mēneša dienām visos tramvaju, trolejbusu un autobusu maršrutos ir 50 euro. Līdz ar to tiek pieņemts, ka mēnesī vidēji 50 euro nepieciešami transporta izmaksām/degvielai. . Plānots vidēji 1.00 slodze uz 6 klientiem.</t>
  </si>
  <si>
    <t>Izpētot dažādu operatoru priekšapmaksas karšu cenas tika konstatēts, ka to vidējās izmaksas ir 5 euro mēnesī. Plānots vidēji 1.00 slodze uz 6 klientiem.</t>
  </si>
  <si>
    <t>Sociālais mentors ir atbalstu sniedzoša persona, kurš sadarbībā ar sociālo darbinieku sastāda individuālus sociālās rhabilitācijas plānus, noskaidro peronas vajadzības, sastāda nepieciešamo speciālistu konsultāciju sarakstus, iepazīstina ar perosnas pienākumiem un tiesībām pakalpojuma laikā, sniedz atbalstu sociālās rehabilitācijas plānā noteiktopasākumu īstenošanās (darbavietas atrašanā, dzīves vietas meklēšanā utml.). 2.posmā plānotas kopā 10 personas.3.posmā 8 personas.</t>
  </si>
  <si>
    <r>
      <rPr>
        <b/>
        <u val="single"/>
        <sz val="12"/>
        <rFont val="Times New Roman"/>
        <family val="1"/>
      </rPr>
      <t xml:space="preserve">2. un 3.posms: </t>
    </r>
    <r>
      <rPr>
        <sz val="12"/>
        <rFont val="Times New Roman"/>
        <family val="1"/>
      </rPr>
      <t xml:space="preserve">Atbalsta grupas nodarbība notiek 1 reizi nedēļā. Vienas nodarbības ilgums 2 stundas un 1 stunda (gatavošanās nodarbībai, atskaišu un izdales materiālu sagatavošana). Kursā 26 nodarbības (gadā 52 nedēļas/2) (katra 2 h = 52 stundas kursā/180 dienās). un 26 stundas gatavošanās nodarbībām. Nodarbību vada 2 speciālisti (viens no tiem psihologs). Nodarbībā piedalās no 3-8 personām. 2.posmā plānotas kopā 10 personas.3.posmā 8 persona. </t>
    </r>
  </si>
  <si>
    <t xml:space="preserve">2. un 3.posms: Atbalsta grupas nodarbība notiek 1 reizi nedēļā. Kursā 26 nodarbības, mēnesī vidēji 4.33 nedēļas. Nodarbību vada 2 speciālisti (viens no tiem psihologs). Nodarbībā piedalās no 3-8 personām. </t>
  </si>
  <si>
    <r>
      <t>Pakalpojuma "Sociālās rehabilitācijas pakalpojums prostitūcijā iesaistītām personām" groza aprēķins</t>
    </r>
    <r>
      <rPr>
        <b/>
        <sz val="20"/>
        <color indexed="10"/>
        <rFont val="Times New Roman"/>
        <family val="1"/>
      </rPr>
      <t xml:space="preserve">  n +1; +2; +3..... gads</t>
    </r>
  </si>
  <si>
    <t>Transports mobilai brigādei  - degviela, noma, apkope, apdrošināšana, amortizācija. Aprēķinu skatīt 1.3..pielikumā.</t>
  </si>
  <si>
    <t>3 euro uz klientu *5 klienti = 15euro nodarbība. 15 euro * 26 nodarbības = 390 euro.  Vidēji uz vienu klientu kursā 78.00 euro (26 nodarbības x 3 euro). 2.posmā plānots organizēt 2 atbalsta grupas, 3.posmā  - 1 grupu.</t>
  </si>
  <si>
    <t>Veicot tirgus aptauju dažādi apmācību kursi maksāja no 300 euro līdz 1450 euro. Līdz ar to vidējās apmācību kursu izmaksas tiek pieņemtas 875 euro uz 1 klientu 180 dienās, vidēji 145.83 euro mēnesī. 2.posmāplānots, ka pakalpojuma 2.posmu saņems 10 personas.</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</si>
  <si>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2.posmā plānotas 10 personas (7 personas ar izmitināšanu, 3 - bez izmitināšanas), 3 posmā 8 personas bez izmitināšanas.</t>
  </si>
  <si>
    <t>Skat. pielikumu Nr.1.4.</t>
  </si>
  <si>
    <t>Transports mobilai brigādei  - degviela, noma, apkope, apdrošināšana, amortizācija. Aprēķinu skatīt 1.3.pielikumā.</t>
  </si>
  <si>
    <t>personu skaits, kas saņems atbalstu turmākajos gados</t>
  </si>
  <si>
    <t>Apakšprogramma uz kuru attiecināmi izdevumi</t>
  </si>
  <si>
    <t>izdevumu paskaidrojums</t>
  </si>
  <si>
    <t>2019.gads</t>
  </si>
  <si>
    <t>2020.gads</t>
  </si>
  <si>
    <t>05.01.00.</t>
  </si>
  <si>
    <t>97.01.00</t>
  </si>
  <si>
    <t>Pakalpojuma "Sociālās rehabilitācijas pakalpojums prostitūcijā iesaistītām personām"                                                                                                         plānotais nepieciešamais finansējums pirmajā ieviešanas gadā un turpmākajos gados</t>
  </si>
  <si>
    <r>
      <rPr>
        <b/>
        <sz val="12"/>
        <rFont val="Times New Roman"/>
        <family val="1"/>
      </rPr>
      <t>Pakalpojuma</t>
    </r>
    <r>
      <rPr>
        <sz val="12"/>
        <rFont val="Times New Roman"/>
        <family val="1"/>
      </rPr>
      <t xml:space="preserve"> "Sociālās rehabilitācijas pakalpojums prostitūcijā iesaistītām personām"</t>
    </r>
    <r>
      <rPr>
        <b/>
        <sz val="12"/>
        <rFont val="Times New Roman"/>
        <family val="1"/>
      </rPr>
      <t xml:space="preserve"> groza izmaksas </t>
    </r>
    <r>
      <rPr>
        <i/>
        <sz val="12"/>
        <rFont val="Times New Roman"/>
        <family val="1"/>
      </rPr>
      <t>(pielikums 1.1. un 1.2.)</t>
    </r>
  </si>
  <si>
    <r>
      <t xml:space="preserve">Darba samaksa Labklājības ministrijas speciālistiem par pakalpojuma ieviešanas uzraudzību, finansējuma plānošanu un izpildes uzraudzību, kā arī rezultatīvo rādītāju snieguma izvērtēšanu. </t>
    </r>
    <r>
      <rPr>
        <sz val="12"/>
        <rFont val="Times New Roman"/>
        <family val="1"/>
      </rPr>
      <t xml:space="preserve">Draba samaksa 1.0 slodzei </t>
    </r>
    <r>
      <rPr>
        <i/>
        <sz val="12"/>
        <rFont val="Times New Roman"/>
        <family val="1"/>
      </rPr>
      <t>(pielikums 1.5.)</t>
    </r>
  </si>
  <si>
    <r>
      <t xml:space="preserve">Informācijas sistēmā SPOLIS modulis. </t>
    </r>
    <r>
      <rPr>
        <sz val="12"/>
        <rFont val="Times New Roman"/>
        <family val="1"/>
      </rPr>
      <t>Pēc priekšizpētes vidējiem rādītājiem sistēmu projektēšanas un programmēšanas darbu izmaksas uz 01.02.2014. ir 42,50 euro stundā (ar PVN). Apzinot darbu apjomu, programmēšanas darbi pēc provizoriskiem aprēķiniem var sastādīt 1200 stundas. Kopējās programmēšanas izmaksas  42,50euro x 1200h = 51 000 euro.</t>
    </r>
  </si>
  <si>
    <t>Sociālajam darbiniekam un psihologam alga mēnesī 1093 euro + 263.30 euro (23.59% DD soc.nod)=1356.30 euro /168 stundas=8.07 euro stundā (MK 29.01.2013. noteikumi Nr.66 (8 mēnešalgu grupa 3 kategorija max). Vidēji uz vienu posmu 0.33 slodzes (1 slodze/3 posmi), 452.10 euro mēnesī (1 356.30 euro / 3 posmi). Pakalpojumam plānota 1 slodze sociālais darbinieks un 1 slodze psihologs x 12 mēnešu darba samaksa.</t>
  </si>
  <si>
    <t xml:space="preserve">Māsai algas apmērs noteikts saskaņā ar MK 29.01.2013. noteikumiem Nr.66  - 7 mēnešalgu grupa 3 kategorija max.  Māsai alga mēnesī  996 euro +  DD soc.nod. 239.94 euro = 1235.94 euro*0.25 slodzes=308.98 euro mēnesī. </t>
  </si>
  <si>
    <t xml:space="preserve">Šoferim alga mēnesī 899 euro + 216.57 euro (23.59% DD soc.nod).=1115.57 euro *0.25 slodzes =278.89 euro mēnesī (MK 29.01.2013. noteikumi Nr.66 (6 mēnešalgu grupa 3 kategorija max). </t>
  </si>
  <si>
    <r>
      <t>Atbilstoši Darba likumam nakts darbs  no 22</t>
    </r>
    <r>
      <rPr>
        <vertAlign val="superscript"/>
        <sz val="12"/>
        <rFont val="Times New Roman"/>
        <family val="1"/>
      </rPr>
      <t>00</t>
    </r>
    <r>
      <rPr>
        <sz val="12"/>
        <rFont val="Times New Roman"/>
        <family val="1"/>
      </rPr>
      <t xml:space="preserve"> līdz 6</t>
    </r>
    <r>
      <rPr>
        <vertAlign val="superscript"/>
        <sz val="12"/>
        <rFont val="Times New Roman"/>
        <family val="1"/>
      </rPr>
      <t>00</t>
    </r>
    <r>
      <rPr>
        <sz val="12"/>
        <rFont val="Times New Roman"/>
        <family val="1"/>
      </rPr>
      <t xml:space="preserve">. Mobilā brigāde divas reizes nedēļā (vidēji 9 reizes mēnesī) no 20:00 - 24:00 (4 stundas, t.sk. 2 nakts stundas) izbrauc pie klientiem uz vietām, kur viņi strādā (prostitūtu uzturēšanās vietām).  2h x 9 izbraukumi mēnesī = vidēji 18 h/mēn. Darbinieku darba samaksa 30.14 euro/h (sociālā darbinieka, psihologa, māsas un šofera stundu likmes kopsumma).  30.14 euro/h x 50% x 18h = 271.29 euro/mēn.                                                                                                                                                                                                                                                                                                                                                                                                  </t>
    </r>
  </si>
  <si>
    <t>1 konsultācijas cena 23.40 euro veidojas no 18.86 euro (bruto alga) + 4.54 euro (24.09% darba devēja sociālais nodoklis). Informatīvo pasākumu vada viens pieaicināts speciālists. 2.posmā plānotas kopā 5 personas. 3.posmā 1 persona.</t>
  </si>
  <si>
    <t>Sociālā mentora atalgojums tiek pielīdzināts sociālā rehabilitētāja atalgojumam max.alga mēnesī 802 euro +193.20  euro (24.09% DD soc.nod.)=995.20 euro /mēn atbilstoši 23.01.2013. MK noteikumi Nr.66  - 5 mēnešalgu grupa 3.kategorija max. Sociālais mentors  -  vidēji 8 stundas nedēļā uz vienu klientu. Plānots vidēji 1.00 slodze uz 6 klientiem.</t>
  </si>
  <si>
    <t xml:space="preserve"> Viena speciālista stundas izmaksas 23.40 euro veidojas no 18.86 euro (bruto alga) + 4.54 euro (24.09% darba devēja sociālais nodoklis). 2 speciālistu 1 stundas izmaksas = 23.40 euro *2 speciālisti = 46.80 euro. Kursā vidēji 26 nedēļas, mēnesī vidēji 4.33 nedēļas.</t>
  </si>
  <si>
    <t>Bērnu pieskatīšana sociālā darbinieka, psihologa un citu speciālistu individuālo konsultāciju, sociālā mentora atbalsta un grupu nodarbību laikā. Auklei algas apmērs noteikts saskaņā ar MK 29.01.2013. noteikumiem Nr.66  - 5. mēnešalgu grupa 3 kategorija max alga mēnesī 802 euro + DD soc.nod. 995.20 euro / 168 stundas =5.92 euro stundā. Plānoti vidēji 2 bērni vienai personai, kas saņem pakalpojumu. Uz vienu personu, kas saņem pakalpojuma 2.posmu plānotas vidēji 60h mēnesī, 3.posmā - 30h mēnesī.</t>
  </si>
  <si>
    <t>Rīgas sabiedriskā transporta mēnešbiļetes cena visām mēneša dienām visos tramvaju, trolejbusu un autobusu maršrutos ir 50 euro. Līdz ar to tiek pieņemts, ka mēnesī vidēji 50 euro nepieciešami transporta izmaksām/degvielai.</t>
  </si>
  <si>
    <t>Sabiedriskā transporta izmaksas pakalpojuma saņēmējiem</t>
  </si>
  <si>
    <t xml:space="preserve">Darba samaksa un sociālās garantijas Labklājības ministrijas speciālistiem par pakalpojuma ieviešanas uzraudzību, finansējuma plānošanu un izpildes uzraudzību, kā arī rezultatīvo rādītāju snieguma izvērtēšanu </t>
  </si>
  <si>
    <t>Amata nosaukums</t>
  </si>
  <si>
    <t>Saime, līmenis</t>
  </si>
  <si>
    <t>Amata vietu skaits</t>
  </si>
  <si>
    <t>Mēnešalgu grupa</t>
  </si>
  <si>
    <t>Kategorija</t>
  </si>
  <si>
    <t>Pamatalga mēnesī</t>
  </si>
  <si>
    <t>Pamatalga gadā</t>
  </si>
  <si>
    <t>Darba devēja VSAOI (24.09%) EKK 1210</t>
  </si>
  <si>
    <t>Atlīdzība kopā</t>
  </si>
  <si>
    <t>Sociālās garantijas</t>
  </si>
  <si>
    <t>Algojuma izmaksas kopā EKK1100</t>
  </si>
  <si>
    <t>Alīdzības izmaksas kopā EKK1000</t>
  </si>
  <si>
    <t>Prēmijas un naudas balvas (t.sk. prēmija par ikgadējo darbības un tās rezultātu novērtējumu (atbilstoši MK 15.12.2009. instrukcijas nr.19 52.1.4. apakšpunktam 10%) EKK1148*</t>
  </si>
  <si>
    <t>darba devēja pabalsti un kompensācijas 
(atbilstoši MK 15.12.2009. instrukcijas Nr.19  52.1.5.1. apakšpunktam 5%)
  EKK 1220**</t>
  </si>
  <si>
    <t>Darba devēja VSAOI par soc.garantijām EKK1210</t>
  </si>
  <si>
    <t>Sociālo garantiju izmaksas kopā</t>
  </si>
  <si>
    <t>Kopā darba devēja pabalsti un kompensācijas (EKK1220)
5%</t>
  </si>
  <si>
    <t>atvaļinājuma pabalsts 
(EKK1220)</t>
  </si>
  <si>
    <t>Darba devēja izdevumi veselības, dzīvības un nelaimes gadījumu apdrošināšanai (213.43 EUR) 
EKK 1220</t>
  </si>
  <si>
    <t>7=6*12mēn.</t>
  </si>
  <si>
    <t>8=7*23.59%</t>
  </si>
  <si>
    <t>9=7+8</t>
  </si>
  <si>
    <t>10=7*10%</t>
  </si>
  <si>
    <t>11=7*5%</t>
  </si>
  <si>
    <t>12=13-11</t>
  </si>
  <si>
    <t>13=213.43euro*3</t>
  </si>
  <si>
    <t>14=(10+12)*23.59%</t>
  </si>
  <si>
    <t>15=10+11+14</t>
  </si>
  <si>
    <t>16=7+10</t>
  </si>
  <si>
    <t>17=9+15</t>
  </si>
  <si>
    <t>Vecākais referents/ finansists</t>
  </si>
  <si>
    <t>*atbilstoši MK 15.12.2009.  instrukcijas Nr.19   52.1.4. apakšpunktam prēmijas un naudas balvas plāno 10 % apmērā no plānoto amata vietu (slodžu) skaitam plānotās mēnešalgu kopsummas attiecīgajā kalendāra gadā;</t>
  </si>
  <si>
    <t>**atbilstoši MK 15.12.2009.  instrukcijas Nr.19  52.1.5.1. ja ārējos normatīvajos aktos nav noteikts obligāts pienākums izmaksāt sociālās garantijas, tās plāno 5 % apmērā no plānoto amata vietu (slodžu) skaitam plānotās mēnešalgu kopsummas attiecīgajā kalendāra gadā.</t>
  </si>
  <si>
    <t>2021.gads</t>
  </si>
  <si>
    <t>1.pielikums                                                                                                                                                                                                                                                                                                                                      likumprojekta "Prostitucijas ierobežošanas likums" sākotnējās ietekmes novērtējumam ziņojumam (anotācija)</t>
  </si>
  <si>
    <t>1.1. pielikums                                                                                                                                                                                                                                                                                                                                                                                                                                                                                                                                                                        likumprojeka "Prostitūcijas ierobežošanas likums" sākotnējās ietekmes novērtējumam ziņojumam (anotācija)</t>
  </si>
  <si>
    <t>1.2. pielikums                                                                                                                                                                                                                                                                                                                                                                                                                                                                                                                                                                        likumprojekta "Prostitūcijas ierobežošanas likums" sākotnējās ietekmes novērtējumam ziņojumam (anotācija)</t>
  </si>
  <si>
    <t>1.3. pielikums                                                                                                                                                                                                                                                                                                                                                                                                                                                                                                                                                                        likumprojekta "Prostitūcijas ierobežošanas likums" sākotnējās ietekmes novērtējumam ziņojumam (anotācija)</t>
  </si>
  <si>
    <t>1.4. pielikums                                                                                                                                                                                                                                                                                                                                                                                                                                                                                                                                                                        likumprojekta "Prostitūcijas ierobežošanas likums" sākotnējās ietekmes novērtējumam ziņojumam (anotācija)</t>
  </si>
  <si>
    <t>1.5. pielikums                                                                                                                                                                                                                                                                                                                                                                                                                                                                                                                                                                        likumprojekta "Prostitūcijas ierobežošanas likums" sākotnējās ietekmes novērtējumam ziņojumam (anotācija)</t>
  </si>
</sst>
</file>

<file path=xl/styles.xml><?xml version="1.0" encoding="utf-8"?>
<styleSheet xmlns="http://schemas.openxmlformats.org/spreadsheetml/2006/main">
  <numFmts count="3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
    <numFmt numFmtId="176" formatCode="0.000"/>
    <numFmt numFmtId="177" formatCode="0.00000"/>
    <numFmt numFmtId="178" formatCode="#,##0.0"/>
    <numFmt numFmtId="179" formatCode="#,##0.000"/>
    <numFmt numFmtId="180" formatCode="0.000000"/>
    <numFmt numFmtId="181" formatCode="0.0000000"/>
    <numFmt numFmtId="182" formatCode="0.00000000"/>
    <numFmt numFmtId="183" formatCode="0.000000000"/>
    <numFmt numFmtId="184" formatCode="[$-426]dddd\,\ yyyy&quot;. gada &quot;d\.\ mmmm"/>
    <numFmt numFmtId="185" formatCode="0.0%"/>
    <numFmt numFmtId="186" formatCode="#,##0.0000000000000"/>
    <numFmt numFmtId="187" formatCode="&quot;€&quot;\ #,##0.00"/>
  </numFmts>
  <fonts count="84">
    <font>
      <sz val="10"/>
      <name val="Arial"/>
      <family val="0"/>
    </font>
    <font>
      <b/>
      <sz val="14"/>
      <name val="Times New Roman"/>
      <family val="1"/>
    </font>
    <font>
      <sz val="12"/>
      <name val="Times New Roman"/>
      <family val="1"/>
    </font>
    <font>
      <b/>
      <sz val="12"/>
      <name val="Times New Roman"/>
      <family val="1"/>
    </font>
    <font>
      <sz val="14"/>
      <name val="Times New Roman"/>
      <family val="1"/>
    </font>
    <font>
      <sz val="10"/>
      <name val="Times New Roman"/>
      <family val="1"/>
    </font>
    <font>
      <b/>
      <sz val="11"/>
      <name val="Times New Roman"/>
      <family val="1"/>
    </font>
    <font>
      <sz val="11"/>
      <name val="Times New Roman"/>
      <family val="1"/>
    </font>
    <font>
      <u val="single"/>
      <sz val="12"/>
      <name val="Times New Roman"/>
      <family val="1"/>
    </font>
    <font>
      <b/>
      <sz val="16"/>
      <name val="Times New Roman"/>
      <family val="1"/>
    </font>
    <font>
      <b/>
      <sz val="10"/>
      <name val="Times New Roman"/>
      <family val="1"/>
    </font>
    <font>
      <sz val="8"/>
      <name val="Times New Roman"/>
      <family val="1"/>
    </font>
    <font>
      <b/>
      <i/>
      <sz val="10"/>
      <name val="Times New Roman"/>
      <family val="1"/>
    </font>
    <font>
      <b/>
      <u val="single"/>
      <sz val="12"/>
      <name val="Times New Roman"/>
      <family val="1"/>
    </font>
    <font>
      <b/>
      <i/>
      <sz val="14"/>
      <color indexed="10"/>
      <name val="Times New Roman"/>
      <family val="1"/>
    </font>
    <font>
      <sz val="16"/>
      <name val="Times New Roman"/>
      <family val="1"/>
    </font>
    <font>
      <b/>
      <u val="single"/>
      <sz val="14"/>
      <name val="Times New Roman"/>
      <family val="1"/>
    </font>
    <font>
      <b/>
      <u val="single"/>
      <sz val="11"/>
      <name val="Times New Roman"/>
      <family val="1"/>
    </font>
    <font>
      <b/>
      <i/>
      <sz val="14"/>
      <name val="Times New Roman"/>
      <family val="1"/>
    </font>
    <font>
      <u val="single"/>
      <sz val="14"/>
      <name val="Times New Roman"/>
      <family val="1"/>
    </font>
    <font>
      <i/>
      <sz val="10"/>
      <name val="Times New Roman"/>
      <family val="1"/>
    </font>
    <font>
      <b/>
      <sz val="20"/>
      <color indexed="10"/>
      <name val="Times New Roman"/>
      <family val="1"/>
    </font>
    <font>
      <b/>
      <sz val="20"/>
      <name val="Times New Roman"/>
      <family val="1"/>
    </font>
    <font>
      <b/>
      <i/>
      <sz val="16"/>
      <name val="Times New Roman"/>
      <family val="1"/>
    </font>
    <font>
      <sz val="18"/>
      <name val="Times New Roman"/>
      <family val="1"/>
    </font>
    <font>
      <b/>
      <u val="single"/>
      <sz val="18"/>
      <name val="Times New Roman"/>
      <family val="1"/>
    </font>
    <font>
      <vertAlign val="superscript"/>
      <sz val="12"/>
      <name val="Times New Roman"/>
      <family val="1"/>
    </font>
    <font>
      <i/>
      <sz val="12"/>
      <name val="Times New Roman"/>
      <family val="1"/>
    </font>
    <font>
      <i/>
      <sz val="16"/>
      <name val="Times New Roman"/>
      <family val="1"/>
    </font>
    <font>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2"/>
      <color indexed="10"/>
      <name val="Times New Roman"/>
      <family val="1"/>
    </font>
    <font>
      <b/>
      <sz val="12"/>
      <color indexed="10"/>
      <name val="Times New Roman"/>
      <family val="1"/>
    </font>
    <font>
      <sz val="10"/>
      <color indexed="10"/>
      <name val="Times New Roman"/>
      <family val="1"/>
    </font>
    <font>
      <b/>
      <sz val="10"/>
      <color indexed="10"/>
      <name val="Times New Roman"/>
      <family val="1"/>
    </font>
    <font>
      <i/>
      <sz val="10"/>
      <color indexed="10"/>
      <name val="Times New Roman"/>
      <family val="1"/>
    </font>
    <font>
      <i/>
      <sz val="16"/>
      <color indexed="10"/>
      <name val="Times New Roman"/>
      <family val="1"/>
    </font>
    <font>
      <b/>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2"/>
      <color rgb="FFFF0000"/>
      <name val="Times New Roman"/>
      <family val="1"/>
    </font>
    <font>
      <b/>
      <sz val="12"/>
      <color rgb="FFFF0000"/>
      <name val="Times New Roman"/>
      <family val="1"/>
    </font>
    <font>
      <sz val="10"/>
      <color rgb="FFFF0000"/>
      <name val="Times New Roman"/>
      <family val="1"/>
    </font>
    <font>
      <b/>
      <sz val="10"/>
      <color rgb="FFFF0000"/>
      <name val="Times New Roman"/>
      <family val="1"/>
    </font>
    <font>
      <i/>
      <sz val="10"/>
      <color rgb="FFFF0000"/>
      <name val="Times New Roman"/>
      <family val="1"/>
    </font>
    <font>
      <i/>
      <sz val="16"/>
      <color rgb="FFFF0000"/>
      <name val="Times New Roman"/>
      <family val="1"/>
    </font>
    <font>
      <b/>
      <sz val="14"/>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5" tint="-0.24997000396251678"/>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rgb="FF92D050"/>
        <bgColor indexed="64"/>
      </patternFill>
    </fill>
    <fill>
      <patternFill patternType="solid">
        <fgColor theme="9" tint="-0.24997000396251678"/>
        <bgColor indexed="64"/>
      </patternFill>
    </fill>
    <fill>
      <patternFill patternType="solid">
        <fgColor indexed="4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style="thin"/>
      <right style="medium"/>
      <top style="thin"/>
      <bottom style="thin"/>
    </border>
    <border>
      <left style="medium"/>
      <right style="thin"/>
      <top style="medium"/>
      <bottom style="thin"/>
    </border>
    <border>
      <left style="medium"/>
      <right>
        <color indexed="63"/>
      </right>
      <top>
        <color indexed="63"/>
      </top>
      <bottom style="thin"/>
    </border>
    <border>
      <left style="medium"/>
      <right>
        <color indexed="63"/>
      </right>
      <top style="thin"/>
      <bottom style="thin"/>
    </border>
    <border>
      <left style="thin"/>
      <right style="medium"/>
      <top style="medium"/>
      <bottom style="thin"/>
    </border>
    <border>
      <left style="medium"/>
      <right>
        <color indexed="63"/>
      </right>
      <top style="medium"/>
      <bottom style="thin"/>
    </border>
    <border>
      <left style="thin"/>
      <right>
        <color indexed="63"/>
      </right>
      <top>
        <color indexed="63"/>
      </top>
      <bottom style="thin"/>
    </border>
    <border>
      <left style="thin"/>
      <right>
        <color indexed="63"/>
      </right>
      <top style="medium"/>
      <bottom style="thin"/>
    </border>
    <border>
      <left style="thin"/>
      <right/>
      <top style="thin"/>
      <bottom style="thin"/>
    </border>
    <border>
      <left style="medium"/>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thin"/>
      <right style="medium"/>
      <top>
        <color indexed="63"/>
      </top>
      <bottom style="thin"/>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thin"/>
      <bottom style="medium"/>
    </border>
    <border>
      <left style="medium"/>
      <right style="thin"/>
      <top>
        <color indexed="63"/>
      </top>
      <bottom style="medium"/>
    </border>
    <border>
      <left style="thin"/>
      <right style="medium"/>
      <top>
        <color indexed="63"/>
      </top>
      <bottom style="medium"/>
    </border>
    <border>
      <left style="thin"/>
      <right style="thin"/>
      <top style="thin"/>
      <bottom style="medium"/>
    </border>
    <border>
      <left style="thin"/>
      <right>
        <color indexed="63"/>
      </right>
      <top>
        <color indexed="63"/>
      </top>
      <bottom style="medium"/>
    </border>
    <border>
      <left>
        <color indexed="63"/>
      </left>
      <right>
        <color indexed="63"/>
      </right>
      <top style="thin"/>
      <bottom style="thin"/>
    </border>
    <border>
      <left style="thin"/>
      <right>
        <color indexed="63"/>
      </right>
      <top style="thin"/>
      <bottom style="medium"/>
    </border>
    <border>
      <left style="medium"/>
      <right>
        <color indexed="63"/>
      </right>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style="medium"/>
      <bottom>
        <color indexed="63"/>
      </botto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thin"/>
      <bottom style="medium"/>
    </border>
    <border>
      <left style="thin"/>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32" borderId="7" applyNumberFormat="0" applyFont="0" applyAlignment="0" applyProtection="0"/>
    <xf numFmtId="0" fontId="72" fillId="27" borderId="8" applyNumberFormat="0" applyAlignment="0" applyProtection="0"/>
    <xf numFmtId="0" fontId="0" fillId="0" borderId="0">
      <alignment/>
      <protection/>
    </xf>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75">
    <xf numFmtId="0" fontId="0" fillId="0" borderId="0" xfId="0" applyAlignment="1">
      <alignment/>
    </xf>
    <xf numFmtId="4" fontId="2" fillId="0" borderId="10" xfId="0" applyNumberFormat="1"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wrapText="1"/>
    </xf>
    <xf numFmtId="1" fontId="5" fillId="33" borderId="10" xfId="0" applyNumberFormat="1" applyFont="1" applyFill="1" applyBorder="1" applyAlignment="1">
      <alignment horizontal="center"/>
    </xf>
    <xf numFmtId="1" fontId="5" fillId="33" borderId="10" xfId="0" applyNumberFormat="1" applyFont="1" applyFill="1" applyBorder="1" applyAlignment="1">
      <alignment horizontal="center" wrapText="1"/>
    </xf>
    <xf numFmtId="3" fontId="3" fillId="0" borderId="10" xfId="0" applyNumberFormat="1" applyFont="1" applyBorder="1" applyAlignment="1">
      <alignment horizontal="center"/>
    </xf>
    <xf numFmtId="1" fontId="3" fillId="0" borderId="10" xfId="0" applyNumberFormat="1" applyFont="1" applyBorder="1" applyAlignment="1">
      <alignment horizontal="center"/>
    </xf>
    <xf numFmtId="2" fontId="3" fillId="0" borderId="10" xfId="0" applyNumberFormat="1" applyFont="1" applyBorder="1" applyAlignment="1">
      <alignment horizontal="center"/>
    </xf>
    <xf numFmtId="0" fontId="2" fillId="0" borderId="10" xfId="0" applyFont="1" applyBorder="1" applyAlignment="1">
      <alignment horizontal="left" vertical="center" wrapText="1"/>
    </xf>
    <xf numFmtId="0" fontId="5" fillId="0" borderId="10" xfId="0" applyFont="1" applyBorder="1" applyAlignment="1">
      <alignment horizontal="center" wrapText="1"/>
    </xf>
    <xf numFmtId="0" fontId="76" fillId="0" borderId="0" xfId="0" applyFont="1" applyAlignment="1">
      <alignment/>
    </xf>
    <xf numFmtId="3" fontId="77" fillId="0" borderId="10" xfId="0" applyNumberFormat="1" applyFont="1" applyBorder="1" applyAlignment="1">
      <alignment horizontal="center"/>
    </xf>
    <xf numFmtId="0" fontId="78" fillId="0" borderId="0" xfId="0" applyFont="1" applyAlignment="1">
      <alignment/>
    </xf>
    <xf numFmtId="0" fontId="77" fillId="0" borderId="0" xfId="0" applyFont="1" applyBorder="1" applyAlignment="1">
      <alignment horizontal="center" wrapText="1"/>
    </xf>
    <xf numFmtId="1" fontId="79" fillId="33" borderId="0" xfId="0" applyNumberFormat="1" applyFont="1" applyFill="1" applyBorder="1" applyAlignment="1">
      <alignment horizontal="center" wrapText="1"/>
    </xf>
    <xf numFmtId="4" fontId="77" fillId="0" borderId="0" xfId="0" applyNumberFormat="1" applyFont="1" applyBorder="1" applyAlignment="1">
      <alignment horizontal="center"/>
    </xf>
    <xf numFmtId="3" fontId="78" fillId="0" borderId="10" xfId="0" applyNumberFormat="1" applyFont="1" applyBorder="1" applyAlignment="1">
      <alignment horizontal="center"/>
    </xf>
    <xf numFmtId="0" fontId="79" fillId="0" borderId="0" xfId="0" applyFont="1" applyAlignment="1">
      <alignment/>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Fill="1" applyBorder="1" applyAlignment="1">
      <alignment wrapText="1"/>
    </xf>
    <xf numFmtId="1" fontId="2" fillId="0" borderId="10" xfId="0" applyNumberFormat="1" applyFont="1" applyFill="1" applyBorder="1" applyAlignment="1">
      <alignment horizontal="center"/>
    </xf>
    <xf numFmtId="2" fontId="2" fillId="0" borderId="10" xfId="0" applyNumberFormat="1" applyFont="1" applyFill="1" applyBorder="1" applyAlignment="1">
      <alignment horizontal="center"/>
    </xf>
    <xf numFmtId="0" fontId="2" fillId="0" borderId="10" xfId="0" applyFont="1" applyFill="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right" vertical="center" wrapText="1"/>
    </xf>
    <xf numFmtId="0" fontId="3" fillId="0" borderId="10" xfId="0" applyFont="1" applyBorder="1" applyAlignment="1">
      <alignment horizontal="right" vertical="center" wrapText="1"/>
    </xf>
    <xf numFmtId="4" fontId="3" fillId="0" borderId="10" xfId="0" applyNumberFormat="1" applyFont="1" applyBorder="1" applyAlignment="1">
      <alignment horizontal="right"/>
    </xf>
    <xf numFmtId="0" fontId="0" fillId="0" borderId="0" xfId="0" applyFont="1" applyAlignment="1">
      <alignment/>
    </xf>
    <xf numFmtId="0" fontId="2" fillId="0" borderId="13" xfId="0" applyFont="1" applyBorder="1" applyAlignment="1">
      <alignment horizontal="left" vertical="center" wrapText="1"/>
    </xf>
    <xf numFmtId="0" fontId="2" fillId="33" borderId="13" xfId="0" applyFont="1" applyFill="1" applyBorder="1" applyAlignment="1">
      <alignment horizontal="left" vertical="center" wrapText="1"/>
    </xf>
    <xf numFmtId="1" fontId="10" fillId="33" borderId="10" xfId="0" applyNumberFormat="1" applyFont="1" applyFill="1" applyBorder="1" applyAlignment="1">
      <alignment horizontal="center"/>
    </xf>
    <xf numFmtId="0" fontId="5" fillId="0" borderId="10" xfId="0" applyFont="1" applyBorder="1" applyAlignment="1">
      <alignment horizontal="center"/>
    </xf>
    <xf numFmtId="0" fontId="2" fillId="0" borderId="10" xfId="0" applyFont="1" applyBorder="1" applyAlignment="1">
      <alignment/>
    </xf>
    <xf numFmtId="0" fontId="5" fillId="0" borderId="0" xfId="0" applyFont="1" applyAlignment="1">
      <alignment wrapText="1"/>
    </xf>
    <xf numFmtId="0" fontId="5" fillId="0" borderId="0" xfId="0" applyFont="1" applyAlignment="1">
      <alignment/>
    </xf>
    <xf numFmtId="0" fontId="80" fillId="0" borderId="0" xfId="0" applyFont="1" applyAlignment="1">
      <alignment/>
    </xf>
    <xf numFmtId="0" fontId="5" fillId="0" borderId="0" xfId="0" applyFont="1" applyAlignment="1">
      <alignment horizontal="right"/>
    </xf>
    <xf numFmtId="0" fontId="0" fillId="0" borderId="0" xfId="0" applyFont="1" applyAlignment="1">
      <alignment vertical="center"/>
    </xf>
    <xf numFmtId="0" fontId="4" fillId="0" borderId="0" xfId="0" applyFont="1" applyAlignment="1">
      <alignment/>
    </xf>
    <xf numFmtId="0" fontId="5" fillId="0" borderId="14" xfId="0" applyFont="1" applyBorder="1" applyAlignment="1">
      <alignment horizontal="center"/>
    </xf>
    <xf numFmtId="0" fontId="5" fillId="0" borderId="14" xfId="0" applyFont="1" applyBorder="1" applyAlignment="1">
      <alignment horizontal="center" wrapText="1"/>
    </xf>
    <xf numFmtId="0" fontId="5" fillId="34" borderId="10" xfId="0" applyFont="1" applyFill="1" applyBorder="1" applyAlignment="1">
      <alignment horizontal="center"/>
    </xf>
    <xf numFmtId="0" fontId="5" fillId="0" borderId="10" xfId="0" applyFont="1" applyFill="1" applyBorder="1" applyAlignment="1">
      <alignment horizontal="center"/>
    </xf>
    <xf numFmtId="0" fontId="5" fillId="22" borderId="10" xfId="0" applyFont="1" applyFill="1" applyBorder="1" applyAlignment="1">
      <alignment horizontal="center"/>
    </xf>
    <xf numFmtId="0" fontId="5" fillId="20" borderId="10" xfId="0" applyFont="1" applyFill="1" applyBorder="1" applyAlignment="1">
      <alignment horizontal="center"/>
    </xf>
    <xf numFmtId="0" fontId="10" fillId="0" borderId="0" xfId="0" applyFont="1" applyFill="1" applyAlignment="1">
      <alignment horizontal="center"/>
    </xf>
    <xf numFmtId="0" fontId="5" fillId="19" borderId="10" xfId="0" applyFont="1" applyFill="1" applyBorder="1" applyAlignment="1">
      <alignment horizontal="center"/>
    </xf>
    <xf numFmtId="0" fontId="9" fillId="0" borderId="0" xfId="0" applyFont="1" applyAlignment="1">
      <alignment/>
    </xf>
    <xf numFmtId="0" fontId="9" fillId="0" borderId="0" xfId="0" applyFont="1" applyAlignment="1">
      <alignment horizontal="center"/>
    </xf>
    <xf numFmtId="0" fontId="5" fillId="35" borderId="10" xfId="0" applyFont="1" applyFill="1" applyBorder="1" applyAlignment="1">
      <alignment horizontal="center"/>
    </xf>
    <xf numFmtId="0" fontId="9" fillId="0" borderId="0" xfId="0" applyFont="1" applyAlignment="1">
      <alignment horizontal="right"/>
    </xf>
    <xf numFmtId="0" fontId="7" fillId="0" borderId="15" xfId="0" applyFont="1" applyBorder="1" applyAlignment="1">
      <alignment horizont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4" fontId="4" fillId="0" borderId="19" xfId="0" applyNumberFormat="1" applyFont="1" applyBorder="1" applyAlignment="1">
      <alignment horizontal="right" vertical="center"/>
    </xf>
    <xf numFmtId="0" fontId="4" fillId="0" borderId="20" xfId="0" applyFont="1" applyBorder="1" applyAlignment="1">
      <alignment horizontal="left" vertical="center" wrapText="1"/>
    </xf>
    <xf numFmtId="2" fontId="4" fillId="0" borderId="16"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4" fontId="4" fillId="0" borderId="16" xfId="0" applyNumberFormat="1" applyFont="1" applyBorder="1" applyAlignment="1">
      <alignment horizontal="center" vertical="center"/>
    </xf>
    <xf numFmtId="4" fontId="4" fillId="0" borderId="12" xfId="0" applyNumberFormat="1" applyFont="1" applyBorder="1" applyAlignment="1">
      <alignment horizontal="center" vertical="center"/>
    </xf>
    <xf numFmtId="4" fontId="1" fillId="34" borderId="16" xfId="0" applyNumberFormat="1" applyFont="1" applyFill="1" applyBorder="1" applyAlignment="1">
      <alignment horizontal="center" vertical="center"/>
    </xf>
    <xf numFmtId="4" fontId="1" fillId="34" borderId="12" xfId="0" applyNumberFormat="1" applyFont="1" applyFill="1" applyBorder="1" applyAlignment="1">
      <alignment horizontal="center" vertical="center"/>
    </xf>
    <xf numFmtId="2" fontId="4" fillId="0" borderId="13"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3" fontId="1" fillId="34" borderId="12" xfId="0" applyNumberFormat="1" applyFont="1" applyFill="1" applyBorder="1" applyAlignment="1">
      <alignment horizontal="center" vertical="center"/>
    </xf>
    <xf numFmtId="1" fontId="4" fillId="0" borderId="12" xfId="0" applyNumberFormat="1" applyFont="1" applyBorder="1" applyAlignment="1">
      <alignment horizontal="center" vertical="center" wrapText="1"/>
    </xf>
    <xf numFmtId="0" fontId="4" fillId="0" borderId="13" xfId="0" applyFont="1" applyBorder="1" applyAlignment="1">
      <alignment horizontal="center" vertical="center" wrapText="1"/>
    </xf>
    <xf numFmtId="4" fontId="1" fillId="34" borderId="13" xfId="0" applyNumberFormat="1" applyFont="1" applyFill="1" applyBorder="1" applyAlignment="1">
      <alignment horizontal="center" vertical="center"/>
    </xf>
    <xf numFmtId="4" fontId="1" fillId="34" borderId="21" xfId="0" applyNumberFormat="1" applyFont="1" applyFill="1" applyBorder="1" applyAlignment="1">
      <alignment vertical="center"/>
    </xf>
    <xf numFmtId="4" fontId="1" fillId="34" borderId="22" xfId="0" applyNumberFormat="1" applyFont="1" applyFill="1" applyBorder="1" applyAlignment="1">
      <alignment vertical="center"/>
    </xf>
    <xf numFmtId="4" fontId="1" fillId="34" borderId="23" xfId="0" applyNumberFormat="1" applyFont="1" applyFill="1" applyBorder="1" applyAlignment="1">
      <alignment vertical="center"/>
    </xf>
    <xf numFmtId="3" fontId="1" fillId="34" borderId="24" xfId="0" applyNumberFormat="1" applyFont="1" applyFill="1" applyBorder="1" applyAlignment="1">
      <alignment horizontal="center" vertical="center"/>
    </xf>
    <xf numFmtId="4" fontId="1" fillId="34" borderId="25" xfId="0" applyNumberFormat="1" applyFont="1" applyFill="1" applyBorder="1" applyAlignment="1">
      <alignment vertical="center"/>
    </xf>
    <xf numFmtId="3" fontId="1" fillId="34" borderId="13" xfId="0" applyNumberFormat="1" applyFont="1" applyFill="1" applyBorder="1" applyAlignment="1">
      <alignment horizontal="center" vertical="center"/>
    </xf>
    <xf numFmtId="0" fontId="2" fillId="0" borderId="26" xfId="0" applyFont="1" applyBorder="1" applyAlignment="1">
      <alignment horizontal="center" vertical="center" wrapText="1"/>
    </xf>
    <xf numFmtId="4" fontId="4" fillId="0" borderId="15" xfId="0" applyNumberFormat="1" applyFont="1" applyBorder="1" applyAlignment="1">
      <alignment horizontal="right" vertical="center"/>
    </xf>
    <xf numFmtId="4" fontId="4" fillId="0" borderId="13" xfId="0" applyNumberFormat="1" applyFont="1" applyBorder="1" applyAlignment="1">
      <alignment horizontal="center" vertical="center"/>
    </xf>
    <xf numFmtId="4" fontId="4" fillId="0" borderId="27" xfId="0" applyNumberFormat="1" applyFont="1" applyBorder="1" applyAlignment="1">
      <alignment horizontal="right" vertical="center"/>
    </xf>
    <xf numFmtId="2" fontId="4" fillId="0" borderId="12" xfId="0" applyNumberFormat="1" applyFont="1" applyFill="1" applyBorder="1" applyAlignment="1">
      <alignment horizontal="center" vertical="center" wrapText="1"/>
    </xf>
    <xf numFmtId="4" fontId="4" fillId="0" borderId="27" xfId="0" applyNumberFormat="1" applyFont="1" applyFill="1" applyBorder="1" applyAlignment="1">
      <alignment horizontal="right" vertical="center"/>
    </xf>
    <xf numFmtId="0" fontId="4" fillId="0" borderId="28" xfId="0" applyFont="1" applyFill="1" applyBorder="1" applyAlignment="1">
      <alignment horizontal="left" vertical="center" wrapText="1"/>
    </xf>
    <xf numFmtId="0" fontId="4" fillId="0" borderId="12" xfId="0" applyFont="1" applyFill="1" applyBorder="1" applyAlignment="1">
      <alignment horizontal="center" vertical="center" wrapText="1"/>
    </xf>
    <xf numFmtId="4" fontId="4" fillId="0" borderId="15" xfId="0" applyNumberFormat="1" applyFont="1" applyFill="1" applyBorder="1" applyAlignment="1">
      <alignment horizontal="right" vertical="center"/>
    </xf>
    <xf numFmtId="0" fontId="1" fillId="0" borderId="0" xfId="0" applyFont="1" applyBorder="1" applyAlignment="1">
      <alignment horizontal="center" vertical="center" wrapText="1"/>
    </xf>
    <xf numFmtId="4" fontId="15" fillId="0" borderId="10" xfId="0" applyNumberFormat="1" applyFont="1" applyBorder="1" applyAlignment="1">
      <alignment horizontal="right" vertical="center"/>
    </xf>
    <xf numFmtId="4" fontId="1" fillId="34" borderId="10" xfId="0" applyNumberFormat="1" applyFont="1" applyFill="1" applyBorder="1" applyAlignment="1">
      <alignment vertical="center"/>
    </xf>
    <xf numFmtId="4" fontId="2" fillId="0" borderId="15" xfId="0" applyNumberFormat="1" applyFont="1" applyFill="1" applyBorder="1" applyAlignment="1">
      <alignment horizontal="right" vertical="center"/>
    </xf>
    <xf numFmtId="0" fontId="6" fillId="34" borderId="21" xfId="0" applyFont="1" applyFill="1" applyBorder="1" applyAlignment="1">
      <alignment horizontal="center" wrapText="1"/>
    </xf>
    <xf numFmtId="0" fontId="4" fillId="0" borderId="18"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29" xfId="0" applyFont="1" applyFill="1" applyBorder="1" applyAlignment="1">
      <alignment horizontal="left" vertical="center"/>
    </xf>
    <xf numFmtId="4" fontId="2" fillId="0" borderId="30" xfId="0" applyNumberFormat="1" applyFont="1" applyFill="1" applyBorder="1" applyAlignment="1">
      <alignment horizontal="right" vertical="center"/>
    </xf>
    <xf numFmtId="0" fontId="2" fillId="0" borderId="18" xfId="0" applyFont="1" applyFill="1" applyBorder="1" applyAlignment="1">
      <alignment horizontal="left" vertical="center" wrapText="1"/>
    </xf>
    <xf numFmtId="0" fontId="2" fillId="0" borderId="31" xfId="0" applyFont="1" applyFill="1" applyBorder="1" applyAlignment="1">
      <alignment horizontal="left" vertical="center" wrapText="1"/>
    </xf>
    <xf numFmtId="2" fontId="4" fillId="0" borderId="32" xfId="0" applyNumberFormat="1" applyFont="1" applyFill="1" applyBorder="1" applyAlignment="1">
      <alignment horizontal="center" vertical="center" wrapText="1"/>
    </xf>
    <xf numFmtId="4" fontId="4" fillId="0" borderId="33" xfId="0" applyNumberFormat="1" applyFont="1" applyFill="1" applyBorder="1" applyAlignment="1">
      <alignment horizontal="right" vertical="center"/>
    </xf>
    <xf numFmtId="4" fontId="15" fillId="0" borderId="34" xfId="0" applyNumberFormat="1" applyFont="1" applyBorder="1" applyAlignment="1">
      <alignment horizontal="right" vertical="center"/>
    </xf>
    <xf numFmtId="4" fontId="2" fillId="0" borderId="11" xfId="0" applyNumberFormat="1" applyFont="1" applyBorder="1" applyAlignment="1">
      <alignment horizontal="center" vertical="center"/>
    </xf>
    <xf numFmtId="0" fontId="2" fillId="0" borderId="10" xfId="0"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26" xfId="0" applyNumberFormat="1" applyFont="1" applyBorder="1" applyAlignment="1">
      <alignment horizontal="center" vertical="center"/>
    </xf>
    <xf numFmtId="3" fontId="1" fillId="34" borderId="16" xfId="0" applyNumberFormat="1" applyFont="1" applyFill="1" applyBorder="1" applyAlignment="1">
      <alignment horizontal="center" vertical="center"/>
    </xf>
    <xf numFmtId="4" fontId="1" fillId="34" borderId="26" xfId="0" applyNumberFormat="1" applyFont="1" applyFill="1" applyBorder="1" applyAlignment="1">
      <alignment vertical="center"/>
    </xf>
    <xf numFmtId="4" fontId="80" fillId="0" borderId="0" xfId="0" applyNumberFormat="1" applyFont="1" applyAlignment="1">
      <alignment/>
    </xf>
    <xf numFmtId="0" fontId="80" fillId="0" borderId="10" xfId="0" applyFont="1" applyBorder="1" applyAlignment="1">
      <alignment/>
    </xf>
    <xf numFmtId="4" fontId="80" fillId="0" borderId="10" xfId="0" applyNumberFormat="1" applyFont="1" applyBorder="1" applyAlignment="1">
      <alignment horizontal="center"/>
    </xf>
    <xf numFmtId="3" fontId="1" fillId="34" borderId="32" xfId="0" applyNumberFormat="1" applyFont="1" applyFill="1" applyBorder="1" applyAlignment="1">
      <alignment horizontal="center" vertical="center"/>
    </xf>
    <xf numFmtId="4" fontId="1" fillId="34" borderId="35" xfId="0" applyNumberFormat="1" applyFont="1" applyFill="1" applyBorder="1" applyAlignment="1">
      <alignment vertical="center"/>
    </xf>
    <xf numFmtId="2" fontId="80" fillId="0" borderId="10" xfId="0" applyNumberFormat="1" applyFont="1" applyBorder="1" applyAlignment="1">
      <alignment horizontal="center"/>
    </xf>
    <xf numFmtId="2" fontId="2" fillId="0" borderId="10" xfId="0" applyNumberFormat="1" applyFont="1" applyBorder="1" applyAlignment="1">
      <alignment/>
    </xf>
    <xf numFmtId="4" fontId="2" fillId="0" borderId="10" xfId="0" applyNumberFormat="1" applyFont="1" applyBorder="1" applyAlignment="1">
      <alignment/>
    </xf>
    <xf numFmtId="0" fontId="3" fillId="0" borderId="23" xfId="0" applyFont="1" applyBorder="1" applyAlignment="1">
      <alignment horizontal="right" vertical="center" wrapText="1"/>
    </xf>
    <xf numFmtId="3" fontId="78" fillId="0" borderId="36" xfId="0" applyNumberFormat="1" applyFont="1" applyBorder="1" applyAlignment="1">
      <alignment horizontal="center"/>
    </xf>
    <xf numFmtId="3" fontId="3" fillId="0" borderId="36" xfId="0" applyNumberFormat="1" applyFont="1" applyBorder="1" applyAlignment="1">
      <alignment horizontal="center"/>
    </xf>
    <xf numFmtId="1" fontId="3" fillId="0" borderId="36" xfId="0" applyNumberFormat="1" applyFont="1" applyBorder="1" applyAlignment="1">
      <alignment horizontal="center"/>
    </xf>
    <xf numFmtId="2" fontId="3" fillId="0" borderId="36" xfId="0" applyNumberFormat="1" applyFont="1" applyBorder="1" applyAlignment="1">
      <alignment horizontal="center"/>
    </xf>
    <xf numFmtId="4" fontId="3" fillId="0" borderId="36" xfId="0" applyNumberFormat="1" applyFont="1" applyBorder="1" applyAlignment="1">
      <alignment horizontal="right"/>
    </xf>
    <xf numFmtId="0" fontId="2" fillId="36" borderId="10" xfId="0" applyFont="1" applyFill="1" applyBorder="1" applyAlignment="1">
      <alignment horizontal="right" vertical="center" wrapText="1"/>
    </xf>
    <xf numFmtId="3" fontId="77" fillId="36" borderId="10" xfId="0" applyNumberFormat="1" applyFont="1" applyFill="1" applyBorder="1" applyAlignment="1">
      <alignment horizontal="center"/>
    </xf>
    <xf numFmtId="4" fontId="2" fillId="36" borderId="10" xfId="0" applyNumberFormat="1" applyFont="1" applyFill="1" applyBorder="1" applyAlignment="1">
      <alignment horizontal="center"/>
    </xf>
    <xf numFmtId="0" fontId="2" fillId="36" borderId="10" xfId="0" applyFont="1" applyFill="1" applyBorder="1" applyAlignment="1">
      <alignment horizontal="center"/>
    </xf>
    <xf numFmtId="2" fontId="2" fillId="36" borderId="10" xfId="0" applyNumberFormat="1" applyFont="1" applyFill="1" applyBorder="1" applyAlignment="1">
      <alignment/>
    </xf>
    <xf numFmtId="4" fontId="2" fillId="36" borderId="10" xfId="0" applyNumberFormat="1" applyFont="1" applyFill="1" applyBorder="1" applyAlignment="1">
      <alignment/>
    </xf>
    <xf numFmtId="0" fontId="2" fillId="37" borderId="10" xfId="0" applyFont="1" applyFill="1" applyBorder="1" applyAlignment="1">
      <alignment horizontal="right" vertical="center" wrapText="1"/>
    </xf>
    <xf numFmtId="3" fontId="77" fillId="37" borderId="10" xfId="0" applyNumberFormat="1" applyFont="1" applyFill="1" applyBorder="1" applyAlignment="1">
      <alignment horizontal="center"/>
    </xf>
    <xf numFmtId="4" fontId="2" fillId="37" borderId="10" xfId="0" applyNumberFormat="1" applyFont="1" applyFill="1" applyBorder="1" applyAlignment="1">
      <alignment horizontal="center"/>
    </xf>
    <xf numFmtId="0" fontId="2" fillId="37" borderId="10" xfId="0" applyFont="1" applyFill="1" applyBorder="1" applyAlignment="1">
      <alignment horizontal="center"/>
    </xf>
    <xf numFmtId="2" fontId="2" fillId="37" borderId="10" xfId="0" applyNumberFormat="1" applyFont="1" applyFill="1" applyBorder="1" applyAlignment="1">
      <alignment/>
    </xf>
    <xf numFmtId="4" fontId="2" fillId="37" borderId="10" xfId="0" applyNumberFormat="1" applyFont="1" applyFill="1" applyBorder="1" applyAlignment="1">
      <alignment/>
    </xf>
    <xf numFmtId="0" fontId="2" fillId="38" borderId="10" xfId="0" applyFont="1" applyFill="1" applyBorder="1" applyAlignment="1">
      <alignment horizontal="right" vertical="center" wrapText="1"/>
    </xf>
    <xf numFmtId="3" fontId="77" fillId="38" borderId="10" xfId="0" applyNumberFormat="1" applyFont="1" applyFill="1" applyBorder="1" applyAlignment="1">
      <alignment horizontal="center"/>
    </xf>
    <xf numFmtId="4" fontId="2" fillId="38" borderId="10" xfId="0" applyNumberFormat="1" applyFont="1" applyFill="1" applyBorder="1" applyAlignment="1">
      <alignment horizontal="center"/>
    </xf>
    <xf numFmtId="0" fontId="2" fillId="38" borderId="10" xfId="0" applyFont="1" applyFill="1" applyBorder="1" applyAlignment="1">
      <alignment horizontal="center"/>
    </xf>
    <xf numFmtId="2" fontId="2" fillId="38" borderId="10" xfId="0" applyNumberFormat="1" applyFont="1" applyFill="1" applyBorder="1" applyAlignment="1">
      <alignment/>
    </xf>
    <xf numFmtId="4" fontId="2" fillId="38" borderId="10" xfId="0" applyNumberFormat="1" applyFont="1" applyFill="1" applyBorder="1" applyAlignment="1">
      <alignment/>
    </xf>
    <xf numFmtId="0" fontId="2" fillId="0" borderId="16" xfId="0" applyFont="1" applyBorder="1" applyAlignment="1">
      <alignment horizontal="left" vertical="center" wrapText="1"/>
    </xf>
    <xf numFmtId="0" fontId="2" fillId="0" borderId="32" xfId="0" applyFont="1" applyBorder="1" applyAlignment="1">
      <alignment horizontal="left" vertical="center" wrapText="1"/>
    </xf>
    <xf numFmtId="2" fontId="4" fillId="0" borderId="29" xfId="0" applyNumberFormat="1" applyFont="1" applyBorder="1" applyAlignment="1">
      <alignment horizontal="center" vertical="center" wrapText="1"/>
    </xf>
    <xf numFmtId="4" fontId="4" fillId="0" borderId="30" xfId="0" applyNumberFormat="1" applyFont="1" applyBorder="1" applyAlignment="1">
      <alignment horizontal="right" vertical="center"/>
    </xf>
    <xf numFmtId="4" fontId="4" fillId="0" borderId="29" xfId="0" applyNumberFormat="1" applyFont="1" applyBorder="1" applyAlignment="1">
      <alignment horizontal="center" vertical="center"/>
    </xf>
    <xf numFmtId="3" fontId="1" fillId="34" borderId="29" xfId="0" applyNumberFormat="1" applyFont="1" applyFill="1" applyBorder="1" applyAlignment="1">
      <alignment horizontal="center" vertical="center"/>
    </xf>
    <xf numFmtId="4" fontId="1" fillId="34" borderId="37" xfId="0" applyNumberFormat="1" applyFont="1" applyFill="1" applyBorder="1" applyAlignment="1">
      <alignment vertical="center"/>
    </xf>
    <xf numFmtId="4" fontId="3" fillId="34" borderId="38" xfId="0" applyNumberFormat="1" applyFont="1" applyFill="1" applyBorder="1" applyAlignment="1">
      <alignment horizontal="center"/>
    </xf>
    <xf numFmtId="4" fontId="3" fillId="34" borderId="39" xfId="0" applyNumberFormat="1" applyFont="1" applyFill="1" applyBorder="1" applyAlignment="1">
      <alignment horizontal="right"/>
    </xf>
    <xf numFmtId="4" fontId="1" fillId="34" borderId="38" xfId="0" applyNumberFormat="1" applyFont="1" applyFill="1" applyBorder="1" applyAlignment="1">
      <alignment horizontal="center"/>
    </xf>
    <xf numFmtId="4" fontId="1" fillId="34" borderId="40" xfId="0" applyNumberFormat="1" applyFont="1" applyFill="1" applyBorder="1" applyAlignment="1">
      <alignment horizontal="right"/>
    </xf>
    <xf numFmtId="0" fontId="9" fillId="0" borderId="0" xfId="0" applyFont="1" applyAlignment="1">
      <alignment horizontal="left" vertical="center" wrapText="1"/>
    </xf>
    <xf numFmtId="0" fontId="18" fillId="0" borderId="0" xfId="0" applyFont="1" applyBorder="1" applyAlignment="1">
      <alignment horizontal="center" vertical="center" wrapText="1"/>
    </xf>
    <xf numFmtId="0" fontId="81" fillId="0" borderId="0" xfId="0" applyFont="1" applyAlignment="1">
      <alignment/>
    </xf>
    <xf numFmtId="4" fontId="19" fillId="0" borderId="27" xfId="0" applyNumberFormat="1" applyFont="1" applyFill="1" applyBorder="1" applyAlignment="1">
      <alignment vertical="center"/>
    </xf>
    <xf numFmtId="178" fontId="19" fillId="0" borderId="12" xfId="0" applyNumberFormat="1" applyFont="1" applyFill="1" applyBorder="1" applyAlignment="1">
      <alignment horizontal="center" vertical="center"/>
    </xf>
    <xf numFmtId="4" fontId="19" fillId="0" borderId="27" xfId="0" applyNumberFormat="1" applyFont="1" applyFill="1" applyBorder="1" applyAlignment="1">
      <alignment horizontal="right" vertical="center"/>
    </xf>
    <xf numFmtId="1" fontId="19" fillId="0" borderId="12"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xf>
    <xf numFmtId="3" fontId="19" fillId="0" borderId="32" xfId="0" applyNumberFormat="1" applyFont="1" applyFill="1" applyBorder="1" applyAlignment="1">
      <alignment horizontal="center" vertical="center"/>
    </xf>
    <xf numFmtId="4" fontId="19" fillId="0" borderId="33" xfId="0" applyNumberFormat="1" applyFont="1" applyFill="1" applyBorder="1" applyAlignment="1">
      <alignment horizontal="right" vertical="center"/>
    </xf>
    <xf numFmtId="2" fontId="19" fillId="0" borderId="13" xfId="0" applyNumberFormat="1" applyFont="1" applyBorder="1" applyAlignment="1">
      <alignment horizontal="center" vertical="center" wrapText="1"/>
    </xf>
    <xf numFmtId="2" fontId="19" fillId="0" borderId="13" xfId="0" applyNumberFormat="1" applyFont="1" applyFill="1" applyBorder="1" applyAlignment="1">
      <alignment horizontal="center" vertical="center" wrapText="1"/>
    </xf>
    <xf numFmtId="1" fontId="19" fillId="0" borderId="13" xfId="0" applyNumberFormat="1" applyFont="1" applyBorder="1" applyAlignment="1">
      <alignment horizontal="center" vertical="center" wrapText="1"/>
    </xf>
    <xf numFmtId="1" fontId="19" fillId="0" borderId="13" xfId="0" applyNumberFormat="1" applyFont="1" applyFill="1" applyBorder="1" applyAlignment="1">
      <alignment horizontal="center" vertical="center" wrapText="1"/>
    </xf>
    <xf numFmtId="4" fontId="19" fillId="0" borderId="15" xfId="0" applyNumberFormat="1" applyFont="1" applyFill="1" applyBorder="1" applyAlignment="1">
      <alignment horizontal="right" vertical="center"/>
    </xf>
    <xf numFmtId="4" fontId="19" fillId="0" borderId="13" xfId="0" applyNumberFormat="1" applyFont="1" applyFill="1" applyBorder="1" applyAlignment="1">
      <alignment horizontal="center" vertical="center"/>
    </xf>
    <xf numFmtId="4" fontId="79" fillId="0" borderId="0" xfId="0" applyNumberFormat="1" applyFont="1" applyAlignment="1">
      <alignment/>
    </xf>
    <xf numFmtId="0" fontId="3" fillId="34" borderId="38" xfId="0" applyFont="1" applyFill="1" applyBorder="1" applyAlignment="1">
      <alignment horizontal="center" wrapText="1"/>
    </xf>
    <xf numFmtId="0" fontId="1" fillId="38" borderId="38" xfId="0" applyFont="1" applyFill="1" applyBorder="1" applyAlignment="1">
      <alignment horizontal="center" wrapText="1"/>
    </xf>
    <xf numFmtId="4" fontId="1" fillId="34" borderId="41" xfId="0" applyNumberFormat="1" applyFont="1" applyFill="1" applyBorder="1" applyAlignment="1">
      <alignment horizontal="right"/>
    </xf>
    <xf numFmtId="4" fontId="1" fillId="38" borderId="39" xfId="0" applyNumberFormat="1" applyFont="1" applyFill="1" applyBorder="1" applyAlignment="1">
      <alignment wrapText="1"/>
    </xf>
    <xf numFmtId="4" fontId="3" fillId="34" borderId="39" xfId="0" applyNumberFormat="1" applyFont="1" applyFill="1" applyBorder="1" applyAlignment="1">
      <alignment wrapText="1"/>
    </xf>
    <xf numFmtId="4" fontId="4" fillId="0" borderId="21" xfId="0" applyNumberFormat="1" applyFont="1" applyFill="1" applyBorder="1" applyAlignment="1">
      <alignment horizontal="right" vertical="center"/>
    </xf>
    <xf numFmtId="4" fontId="4" fillId="0" borderId="35" xfId="0" applyNumberFormat="1" applyFont="1" applyFill="1" applyBorder="1" applyAlignment="1">
      <alignment horizontal="right" vertical="center"/>
    </xf>
    <xf numFmtId="4" fontId="4" fillId="0" borderId="36" xfId="0" applyNumberFormat="1" applyFont="1" applyBorder="1" applyAlignment="1">
      <alignment horizontal="right" vertical="center"/>
    </xf>
    <xf numFmtId="0" fontId="7" fillId="0" borderId="23" xfId="0" applyFont="1" applyBorder="1" applyAlignment="1">
      <alignment horizontal="center" wrapText="1"/>
    </xf>
    <xf numFmtId="4" fontId="3" fillId="34" borderId="40" xfId="0" applyNumberFormat="1" applyFont="1" applyFill="1" applyBorder="1" applyAlignment="1">
      <alignment horizontal="right"/>
    </xf>
    <xf numFmtId="2" fontId="4" fillId="0" borderId="22" xfId="0" applyNumberFormat="1" applyFont="1" applyBorder="1" applyAlignment="1">
      <alignment vertical="center" wrapText="1"/>
    </xf>
    <xf numFmtId="2" fontId="4" fillId="0" borderId="21" xfId="0" applyNumberFormat="1" applyFont="1" applyBorder="1" applyAlignment="1">
      <alignment vertical="center" wrapText="1"/>
    </xf>
    <xf numFmtId="2" fontId="4" fillId="0" borderId="23" xfId="0" applyNumberFormat="1" applyFont="1" applyBorder="1" applyAlignment="1">
      <alignment vertical="center" wrapText="1"/>
    </xf>
    <xf numFmtId="2" fontId="19" fillId="0" borderId="21" xfId="0" applyNumberFormat="1" applyFont="1" applyFill="1" applyBorder="1" applyAlignment="1">
      <alignment vertical="center" wrapText="1"/>
    </xf>
    <xf numFmtId="4" fontId="4" fillId="0" borderId="23" xfId="0" applyNumberFormat="1" applyFont="1" applyBorder="1" applyAlignment="1">
      <alignment horizontal="right" vertical="center"/>
    </xf>
    <xf numFmtId="4" fontId="3" fillId="34" borderId="40" xfId="0" applyNumberFormat="1" applyFont="1" applyFill="1" applyBorder="1" applyAlignment="1">
      <alignment wrapText="1"/>
    </xf>
    <xf numFmtId="4" fontId="1" fillId="38" borderId="40" xfId="0" applyNumberFormat="1" applyFont="1" applyFill="1" applyBorder="1" applyAlignment="1">
      <alignment wrapText="1"/>
    </xf>
    <xf numFmtId="4" fontId="4" fillId="0" borderId="15" xfId="0" applyNumberFormat="1" applyFont="1" applyBorder="1" applyAlignment="1">
      <alignment vertical="center" wrapText="1"/>
    </xf>
    <xf numFmtId="2" fontId="4" fillId="0" borderId="42" xfId="0" applyNumberFormat="1" applyFont="1" applyBorder="1" applyAlignment="1">
      <alignment horizontal="center" vertical="center" wrapText="1"/>
    </xf>
    <xf numFmtId="2" fontId="4" fillId="0" borderId="43" xfId="0" applyNumberFormat="1" applyFont="1" applyBorder="1" applyAlignment="1">
      <alignment horizontal="center" vertical="center" wrapText="1"/>
    </xf>
    <xf numFmtId="2" fontId="4" fillId="0" borderId="44" xfId="0" applyNumberFormat="1" applyFont="1" applyBorder="1" applyAlignment="1">
      <alignment horizontal="center" vertical="center" wrapText="1"/>
    </xf>
    <xf numFmtId="1" fontId="19" fillId="0" borderId="43" xfId="0" applyNumberFormat="1" applyFont="1" applyFill="1" applyBorder="1" applyAlignment="1">
      <alignment horizontal="center" vertical="center" wrapText="1"/>
    </xf>
    <xf numFmtId="174" fontId="19" fillId="0" borderId="43" xfId="0" applyNumberFormat="1" applyFont="1" applyFill="1" applyBorder="1" applyAlignment="1">
      <alignment horizontal="center" vertical="center" wrapText="1"/>
    </xf>
    <xf numFmtId="1" fontId="15" fillId="0" borderId="44" xfId="0" applyNumberFormat="1" applyFont="1" applyBorder="1" applyAlignment="1">
      <alignment horizontal="center" vertical="center" wrapText="1"/>
    </xf>
    <xf numFmtId="1" fontId="15" fillId="0" borderId="45" xfId="0" applyNumberFormat="1" applyFont="1" applyBorder="1" applyAlignment="1">
      <alignment horizontal="center" vertical="center" wrapText="1"/>
    </xf>
    <xf numFmtId="4" fontId="4" fillId="0" borderId="46" xfId="0" applyNumberFormat="1" applyFont="1" applyBorder="1" applyAlignment="1">
      <alignment vertical="center" wrapText="1"/>
    </xf>
    <xf numFmtId="4" fontId="4" fillId="0" borderId="27" xfId="0" applyNumberFormat="1" applyFont="1" applyBorder="1" applyAlignment="1">
      <alignment vertical="center" wrapText="1"/>
    </xf>
    <xf numFmtId="4" fontId="4" fillId="0" borderId="15" xfId="0" applyNumberFormat="1" applyFont="1" applyBorder="1" applyAlignment="1">
      <alignment horizontal="right" vertical="center" wrapText="1"/>
    </xf>
    <xf numFmtId="1" fontId="4" fillId="0" borderId="47" xfId="0" applyNumberFormat="1" applyFont="1" applyBorder="1" applyAlignment="1">
      <alignment horizontal="center" vertical="center" wrapText="1"/>
    </xf>
    <xf numFmtId="2" fontId="4" fillId="0" borderId="48" xfId="0" applyNumberFormat="1" applyFont="1" applyBorder="1" applyAlignment="1">
      <alignment vertical="center" wrapText="1"/>
    </xf>
    <xf numFmtId="4" fontId="4" fillId="0" borderId="49" xfId="0" applyNumberFormat="1" applyFont="1" applyBorder="1" applyAlignment="1">
      <alignment vertical="center" wrapText="1"/>
    </xf>
    <xf numFmtId="4" fontId="19" fillId="0" borderId="50" xfId="0" applyNumberFormat="1" applyFont="1" applyFill="1" applyBorder="1" applyAlignment="1">
      <alignment horizontal="right" vertical="center"/>
    </xf>
    <xf numFmtId="4" fontId="19" fillId="0" borderId="50" xfId="0" applyNumberFormat="1" applyFont="1" applyFill="1" applyBorder="1" applyAlignment="1">
      <alignment vertical="center"/>
    </xf>
    <xf numFmtId="4" fontId="4" fillId="0" borderId="51" xfId="0" applyNumberFormat="1" applyFont="1" applyBorder="1" applyAlignment="1">
      <alignment horizontal="right" vertical="center"/>
    </xf>
    <xf numFmtId="4" fontId="19" fillId="0" borderId="36" xfId="0" applyNumberFormat="1" applyFont="1" applyFill="1" applyBorder="1" applyAlignment="1">
      <alignment horizontal="right" vertical="center"/>
    </xf>
    <xf numFmtId="4" fontId="4" fillId="0" borderId="52" xfId="0" applyNumberFormat="1" applyFont="1" applyBorder="1" applyAlignment="1">
      <alignment horizontal="right" vertical="center"/>
    </xf>
    <xf numFmtId="4" fontId="4" fillId="0" borderId="53" xfId="0" applyNumberFormat="1" applyFont="1" applyBorder="1" applyAlignment="1">
      <alignment vertical="center" wrapText="1"/>
    </xf>
    <xf numFmtId="4" fontId="4" fillId="0" borderId="54" xfId="0" applyNumberFormat="1" applyFont="1" applyBorder="1" applyAlignment="1">
      <alignment vertical="center" wrapText="1"/>
    </xf>
    <xf numFmtId="4" fontId="4" fillId="0" borderId="55" xfId="0" applyNumberFormat="1" applyFont="1" applyFill="1" applyBorder="1" applyAlignment="1">
      <alignment horizontal="right" vertical="center"/>
    </xf>
    <xf numFmtId="4" fontId="4" fillId="0" borderId="56" xfId="0" applyNumberFormat="1" applyFont="1" applyFill="1" applyBorder="1" applyAlignment="1">
      <alignment horizontal="right" vertical="center"/>
    </xf>
    <xf numFmtId="4" fontId="4" fillId="0" borderId="26" xfId="0" applyNumberFormat="1" applyFont="1" applyBorder="1" applyAlignment="1">
      <alignment vertical="center"/>
    </xf>
    <xf numFmtId="4" fontId="4" fillId="0" borderId="11" xfId="0" applyNumberFormat="1" applyFont="1" applyBorder="1" applyAlignment="1">
      <alignment vertical="center"/>
    </xf>
    <xf numFmtId="4" fontId="4" fillId="0" borderId="10" xfId="0" applyNumberFormat="1" applyFont="1" applyBorder="1" applyAlignment="1">
      <alignment horizontal="right" vertical="center"/>
    </xf>
    <xf numFmtId="4" fontId="4" fillId="0" borderId="11" xfId="0" applyNumberFormat="1" applyFont="1" applyBorder="1" applyAlignment="1">
      <alignment horizontal="right" vertical="center"/>
    </xf>
    <xf numFmtId="4" fontId="19" fillId="0" borderId="11" xfId="0" applyNumberFormat="1" applyFont="1" applyFill="1" applyBorder="1" applyAlignment="1">
      <alignment horizontal="right" vertical="center"/>
    </xf>
    <xf numFmtId="4" fontId="19" fillId="0" borderId="11" xfId="0" applyNumberFormat="1" applyFont="1" applyFill="1" applyBorder="1" applyAlignment="1">
      <alignment vertical="center"/>
    </xf>
    <xf numFmtId="4" fontId="4" fillId="0" borderId="26" xfId="0" applyNumberFormat="1" applyFont="1" applyBorder="1" applyAlignment="1">
      <alignment horizontal="right" vertical="center"/>
    </xf>
    <xf numFmtId="4" fontId="19" fillId="0" borderId="10" xfId="0" applyNumberFormat="1" applyFont="1" applyFill="1" applyBorder="1" applyAlignment="1">
      <alignment horizontal="right" vertical="center"/>
    </xf>
    <xf numFmtId="4" fontId="19" fillId="0" borderId="10" xfId="0" applyNumberFormat="1" applyFont="1" applyBorder="1" applyAlignment="1">
      <alignment horizontal="right" vertical="center"/>
    </xf>
    <xf numFmtId="4" fontId="4" fillId="0" borderId="34" xfId="0" applyNumberFormat="1" applyFont="1" applyBorder="1" applyAlignment="1">
      <alignment horizontal="right" vertical="center"/>
    </xf>
    <xf numFmtId="4" fontId="19" fillId="0" borderId="21" xfId="0" applyNumberFormat="1" applyFont="1" applyFill="1" applyBorder="1" applyAlignment="1">
      <alignment horizontal="right" vertical="center"/>
    </xf>
    <xf numFmtId="4" fontId="19" fillId="0" borderId="57" xfId="0" applyNumberFormat="1" applyFont="1" applyFill="1" applyBorder="1" applyAlignment="1">
      <alignment horizontal="right" vertical="center"/>
    </xf>
    <xf numFmtId="4" fontId="4" fillId="0" borderId="46" xfId="0" applyNumberFormat="1" applyFont="1" applyBorder="1" applyAlignment="1">
      <alignment vertical="center"/>
    </xf>
    <xf numFmtId="4" fontId="4" fillId="0" borderId="15" xfId="0" applyNumberFormat="1" applyFont="1" applyBorder="1" applyAlignment="1">
      <alignment vertical="center"/>
    </xf>
    <xf numFmtId="4" fontId="4" fillId="0" borderId="22" xfId="0" applyNumberFormat="1" applyFont="1" applyBorder="1" applyAlignment="1">
      <alignment horizontal="right" vertical="center"/>
    </xf>
    <xf numFmtId="4" fontId="19" fillId="0" borderId="21" xfId="0" applyNumberFormat="1" applyFont="1" applyFill="1" applyBorder="1" applyAlignment="1">
      <alignment vertical="center"/>
    </xf>
    <xf numFmtId="4" fontId="19" fillId="0" borderId="23" xfId="0" applyNumberFormat="1" applyFont="1" applyFill="1" applyBorder="1" applyAlignment="1">
      <alignment horizontal="right" vertical="center"/>
    </xf>
    <xf numFmtId="4" fontId="4" fillId="0" borderId="37" xfId="0" applyNumberFormat="1" applyFont="1" applyBorder="1" applyAlignment="1">
      <alignment horizontal="right" vertical="center"/>
    </xf>
    <xf numFmtId="0" fontId="2" fillId="0" borderId="44" xfId="0" applyFont="1" applyBorder="1" applyAlignment="1">
      <alignment horizontal="left" vertical="center" wrapText="1"/>
    </xf>
    <xf numFmtId="0" fontId="2" fillId="0" borderId="43" xfId="0" applyFont="1" applyFill="1" applyBorder="1" applyAlignment="1">
      <alignment horizontal="left" vertical="center" wrapText="1"/>
    </xf>
    <xf numFmtId="4" fontId="1" fillId="34" borderId="19" xfId="0" applyNumberFormat="1" applyFont="1" applyFill="1" applyBorder="1" applyAlignment="1">
      <alignment vertical="center"/>
    </xf>
    <xf numFmtId="4" fontId="1" fillId="34" borderId="15" xfId="0" applyNumberFormat="1" applyFont="1" applyFill="1" applyBorder="1" applyAlignment="1">
      <alignment vertical="center"/>
    </xf>
    <xf numFmtId="4" fontId="1" fillId="34" borderId="27" xfId="0" applyNumberFormat="1" applyFont="1" applyFill="1" applyBorder="1" applyAlignment="1">
      <alignment vertical="center"/>
    </xf>
    <xf numFmtId="4" fontId="1" fillId="34" borderId="30" xfId="0" applyNumberFormat="1" applyFont="1" applyFill="1" applyBorder="1" applyAlignment="1">
      <alignment vertical="center"/>
    </xf>
    <xf numFmtId="0" fontId="5" fillId="0" borderId="0" xfId="0" applyFont="1" applyAlignment="1">
      <alignment horizontal="left"/>
    </xf>
    <xf numFmtId="0" fontId="20" fillId="0" borderId="0" xfId="0" applyFont="1" applyAlignment="1">
      <alignment horizontal="left"/>
    </xf>
    <xf numFmtId="4" fontId="5" fillId="0" borderId="0" xfId="0" applyNumberFormat="1" applyFont="1" applyAlignment="1">
      <alignment horizontal="left"/>
    </xf>
    <xf numFmtId="4" fontId="5" fillId="0" borderId="0" xfId="0" applyNumberFormat="1" applyFont="1" applyAlignment="1">
      <alignment/>
    </xf>
    <xf numFmtId="0" fontId="82" fillId="0" borderId="0" xfId="0" applyFont="1" applyAlignment="1">
      <alignment/>
    </xf>
    <xf numFmtId="0" fontId="23" fillId="0" borderId="0" xfId="0" applyFont="1" applyBorder="1" applyAlignment="1">
      <alignment horizontal="center" vertical="center" wrapText="1"/>
    </xf>
    <xf numFmtId="0" fontId="23" fillId="0" borderId="0" xfId="0" applyFont="1" applyBorder="1" applyAlignment="1">
      <alignment horizontal="right" vertical="center" wrapText="1"/>
    </xf>
    <xf numFmtId="0" fontId="1" fillId="36" borderId="20" xfId="0" applyFont="1" applyFill="1" applyBorder="1" applyAlignment="1">
      <alignment horizontal="center" wrapText="1"/>
    </xf>
    <xf numFmtId="4" fontId="1" fillId="36" borderId="22" xfId="0" applyNumberFormat="1" applyFont="1" applyFill="1" applyBorder="1" applyAlignment="1">
      <alignment horizontal="center" wrapText="1"/>
    </xf>
    <xf numFmtId="4" fontId="1" fillId="36" borderId="19" xfId="0" applyNumberFormat="1" applyFont="1" applyFill="1" applyBorder="1" applyAlignment="1">
      <alignment horizontal="center" wrapText="1"/>
    </xf>
    <xf numFmtId="4" fontId="1" fillId="36" borderId="35" xfId="0" applyNumberFormat="1" applyFont="1" applyFill="1" applyBorder="1" applyAlignment="1">
      <alignment wrapText="1"/>
    </xf>
    <xf numFmtId="4" fontId="1" fillId="36" borderId="33" xfId="0" applyNumberFormat="1" applyFont="1" applyFill="1" applyBorder="1" applyAlignment="1">
      <alignment wrapText="1"/>
    </xf>
    <xf numFmtId="2" fontId="1" fillId="36" borderId="58" xfId="0" applyNumberFormat="1" applyFont="1" applyFill="1" applyBorder="1" applyAlignment="1">
      <alignment horizontal="center" wrapText="1"/>
    </xf>
    <xf numFmtId="0" fontId="80" fillId="0" borderId="0" xfId="0" applyFont="1" applyFill="1" applyAlignment="1">
      <alignment/>
    </xf>
    <xf numFmtId="0" fontId="2" fillId="0" borderId="18" xfId="0" applyFont="1" applyBorder="1" applyAlignment="1">
      <alignment vertical="center" wrapText="1"/>
    </xf>
    <xf numFmtId="0" fontId="2" fillId="0" borderId="18" xfId="0" applyFont="1" applyFill="1" applyBorder="1" applyAlignment="1">
      <alignment vertical="center" wrapText="1"/>
    </xf>
    <xf numFmtId="0" fontId="9" fillId="0" borderId="0" xfId="0" applyFont="1" applyBorder="1" applyAlignment="1">
      <alignment horizontal="left" vertical="center" wrapText="1"/>
    </xf>
    <xf numFmtId="2" fontId="19" fillId="0" borderId="10" xfId="0" applyNumberFormat="1" applyFont="1" applyFill="1" applyBorder="1" applyAlignment="1">
      <alignment vertical="center" wrapText="1"/>
    </xf>
    <xf numFmtId="2" fontId="19" fillId="0" borderId="11" xfId="0" applyNumberFormat="1" applyFont="1" applyFill="1" applyBorder="1" applyAlignment="1">
      <alignment vertical="center" wrapText="1"/>
    </xf>
    <xf numFmtId="4" fontId="1" fillId="39" borderId="41" xfId="0" applyNumberFormat="1" applyFont="1" applyFill="1" applyBorder="1" applyAlignment="1">
      <alignment horizontal="right"/>
    </xf>
    <xf numFmtId="0" fontId="9" fillId="0" borderId="59" xfId="0" applyFont="1" applyBorder="1" applyAlignment="1">
      <alignment horizontal="center"/>
    </xf>
    <xf numFmtId="0" fontId="5" fillId="0" borderId="0" xfId="0" applyFont="1" applyAlignment="1">
      <alignment/>
    </xf>
    <xf numFmtId="0" fontId="2"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1" fillId="0" borderId="0" xfId="0" applyFont="1" applyAlignment="1">
      <alignment horizontal="center"/>
    </xf>
    <xf numFmtId="0" fontId="5" fillId="0" borderId="59" xfId="0" applyFont="1" applyBorder="1" applyAlignment="1">
      <alignment horizontal="center" vertical="top" wrapText="1"/>
    </xf>
    <xf numFmtId="0" fontId="5" fillId="0" borderId="38" xfId="0" applyFont="1" applyBorder="1" applyAlignment="1">
      <alignment horizontal="center" vertical="top" wrapText="1"/>
    </xf>
    <xf numFmtId="4" fontId="2" fillId="0" borderId="60" xfId="0" applyNumberFormat="1" applyFont="1" applyBorder="1" applyAlignment="1">
      <alignment horizontal="center"/>
    </xf>
    <xf numFmtId="4" fontId="2" fillId="0" borderId="39" xfId="0" applyNumberFormat="1" applyFont="1" applyBorder="1" applyAlignment="1">
      <alignment horizontal="center"/>
    </xf>
    <xf numFmtId="0" fontId="5" fillId="0" borderId="61" xfId="0" applyFont="1" applyBorder="1" applyAlignment="1">
      <alignment horizontal="center" vertical="top"/>
    </xf>
    <xf numFmtId="4" fontId="2" fillId="0" borderId="26" xfId="0" applyNumberFormat="1" applyFont="1" applyFill="1" applyBorder="1" applyAlignment="1">
      <alignment horizontal="right"/>
    </xf>
    <xf numFmtId="4" fontId="2" fillId="0" borderId="19" xfId="0" applyNumberFormat="1" applyFont="1" applyFill="1" applyBorder="1" applyAlignment="1">
      <alignment horizontal="right"/>
    </xf>
    <xf numFmtId="0" fontId="5" fillId="0" borderId="62" xfId="0" applyFont="1" applyBorder="1" applyAlignment="1">
      <alignment horizontal="center" vertical="top"/>
    </xf>
    <xf numFmtId="0" fontId="5" fillId="0" borderId="63" xfId="0" applyFont="1" applyBorder="1" applyAlignment="1">
      <alignment horizontal="center" vertical="top"/>
    </xf>
    <xf numFmtId="4" fontId="2" fillId="0" borderId="34" xfId="0" applyNumberFormat="1" applyFont="1" applyBorder="1" applyAlignment="1">
      <alignment horizontal="right"/>
    </xf>
    <xf numFmtId="4" fontId="2" fillId="0" borderId="34" xfId="0" applyNumberFormat="1" applyFont="1" applyBorder="1" applyAlignment="1">
      <alignment/>
    </xf>
    <xf numFmtId="4" fontId="2" fillId="0" borderId="30" xfId="0" applyNumberFormat="1" applyFont="1" applyBorder="1" applyAlignment="1">
      <alignment/>
    </xf>
    <xf numFmtId="0" fontId="80" fillId="0" borderId="0" xfId="0" applyFont="1" applyAlignment="1">
      <alignment vertical="center" wrapText="1"/>
    </xf>
    <xf numFmtId="0" fontId="5" fillId="0" borderId="59" xfId="0" applyFont="1" applyBorder="1" applyAlignment="1">
      <alignment horizontal="center" vertical="top"/>
    </xf>
    <xf numFmtId="3" fontId="1" fillId="0" borderId="40" xfId="0" applyNumberFormat="1" applyFont="1" applyFill="1" applyBorder="1" applyAlignment="1">
      <alignment horizontal="right"/>
    </xf>
    <xf numFmtId="3" fontId="1" fillId="0" borderId="39" xfId="0" applyNumberFormat="1" applyFont="1" applyFill="1" applyBorder="1" applyAlignment="1">
      <alignment horizontal="right"/>
    </xf>
    <xf numFmtId="0" fontId="83" fillId="0" borderId="0" xfId="0" applyFont="1" applyAlignment="1">
      <alignment horizontal="right" vertical="top"/>
    </xf>
    <xf numFmtId="0" fontId="5" fillId="0" borderId="20" xfId="0" applyFont="1" applyBorder="1" applyAlignment="1">
      <alignment horizontal="center"/>
    </xf>
    <xf numFmtId="0" fontId="5" fillId="0" borderId="18" xfId="0" applyFont="1" applyBorder="1" applyAlignment="1">
      <alignment horizontal="center"/>
    </xf>
    <xf numFmtId="0" fontId="5" fillId="0" borderId="31" xfId="0" applyFont="1" applyBorder="1" applyAlignment="1">
      <alignment horizontal="center"/>
    </xf>
    <xf numFmtId="0" fontId="3" fillId="0" borderId="0" xfId="0" applyFont="1" applyAlignment="1">
      <alignment/>
    </xf>
    <xf numFmtId="4" fontId="2" fillId="0" borderId="10" xfId="0" applyNumberFormat="1" applyFont="1" applyBorder="1" applyAlignment="1">
      <alignment horizontal="right"/>
    </xf>
    <xf numFmtId="4" fontId="2" fillId="0" borderId="10" xfId="0" applyNumberFormat="1" applyFont="1" applyBorder="1" applyAlignment="1">
      <alignment/>
    </xf>
    <xf numFmtId="4" fontId="2" fillId="0" borderId="15" xfId="0" applyNumberFormat="1" applyFont="1" applyBorder="1" applyAlignment="1">
      <alignment/>
    </xf>
    <xf numFmtId="4" fontId="79" fillId="0" borderId="0" xfId="0" applyNumberFormat="1" applyFont="1" applyAlignment="1">
      <alignment horizontal="left"/>
    </xf>
    <xf numFmtId="0" fontId="28" fillId="0" borderId="0" xfId="0" applyFont="1" applyAlignment="1">
      <alignment/>
    </xf>
    <xf numFmtId="0" fontId="10" fillId="0" borderId="0" xfId="0" applyFont="1" applyAlignment="1">
      <alignment/>
    </xf>
    <xf numFmtId="4" fontId="10" fillId="0" borderId="10" xfId="0" applyNumberFormat="1" applyFont="1" applyBorder="1" applyAlignment="1">
      <alignment horizontal="center"/>
    </xf>
    <xf numFmtId="4" fontId="10" fillId="0" borderId="0" xfId="0" applyNumberFormat="1" applyFont="1" applyAlignment="1">
      <alignment/>
    </xf>
    <xf numFmtId="0" fontId="10" fillId="0" borderId="10" xfId="0" applyFont="1" applyBorder="1" applyAlignment="1">
      <alignment/>
    </xf>
    <xf numFmtId="2" fontId="10" fillId="0" borderId="10" xfId="0" applyNumberFormat="1" applyFont="1" applyBorder="1" applyAlignment="1">
      <alignment horizontal="center"/>
    </xf>
    <xf numFmtId="0" fontId="10" fillId="0" borderId="0" xfId="0" applyFont="1" applyFill="1" applyAlignment="1">
      <alignment/>
    </xf>
    <xf numFmtId="0" fontId="5" fillId="0" borderId="0" xfId="57" applyFont="1">
      <alignment/>
      <protection/>
    </xf>
    <xf numFmtId="0" fontId="11" fillId="0" borderId="10" xfId="57" applyFont="1" applyBorder="1" applyAlignment="1">
      <alignment horizontal="center" vertical="top" wrapText="1"/>
      <protection/>
    </xf>
    <xf numFmtId="0" fontId="29" fillId="0" borderId="10" xfId="57" applyFont="1" applyBorder="1" applyAlignment="1">
      <alignment horizontal="center" vertical="top" wrapText="1"/>
      <protection/>
    </xf>
    <xf numFmtId="0" fontId="11" fillId="7" borderId="23" xfId="57" applyFont="1" applyFill="1" applyBorder="1" applyAlignment="1">
      <alignment horizontal="center" vertical="top" wrapText="1"/>
      <protection/>
    </xf>
    <xf numFmtId="0" fontId="11" fillId="0" borderId="13" xfId="57" applyFont="1" applyBorder="1" applyAlignment="1">
      <alignment horizontal="center" vertical="top" wrapText="1"/>
      <protection/>
    </xf>
    <xf numFmtId="0" fontId="11" fillId="7" borderId="15" xfId="57" applyFont="1" applyFill="1" applyBorder="1" applyAlignment="1">
      <alignment horizontal="center" vertical="top" wrapText="1"/>
      <protection/>
    </xf>
    <xf numFmtId="0" fontId="11" fillId="7" borderId="44" xfId="57" applyFont="1" applyFill="1" applyBorder="1" applyAlignment="1">
      <alignment horizontal="center" vertical="top" wrapText="1"/>
      <protection/>
    </xf>
    <xf numFmtId="0" fontId="5" fillId="0" borderId="13" xfId="57" applyFont="1" applyBorder="1" applyAlignment="1">
      <alignment wrapText="1"/>
      <protection/>
    </xf>
    <xf numFmtId="0" fontId="5" fillId="40" borderId="10" xfId="57" applyFont="1" applyFill="1" applyBorder="1">
      <alignment/>
      <protection/>
    </xf>
    <xf numFmtId="1" fontId="5" fillId="40" borderId="10" xfId="57" applyNumberFormat="1" applyFont="1" applyFill="1" applyBorder="1">
      <alignment/>
      <protection/>
    </xf>
    <xf numFmtId="4" fontId="5" fillId="0" borderId="10" xfId="57" applyNumberFormat="1" applyFont="1" applyBorder="1">
      <alignment/>
      <protection/>
    </xf>
    <xf numFmtId="4" fontId="10" fillId="7" borderId="23" xfId="57" applyNumberFormat="1" applyFont="1" applyFill="1" applyBorder="1">
      <alignment/>
      <protection/>
    </xf>
    <xf numFmtId="4" fontId="5" fillId="0" borderId="13" xfId="57" applyNumberFormat="1" applyFont="1" applyBorder="1">
      <alignment/>
      <protection/>
    </xf>
    <xf numFmtId="4" fontId="20" fillId="0" borderId="10" xfId="57" applyNumberFormat="1" applyFont="1" applyBorder="1">
      <alignment/>
      <protection/>
    </xf>
    <xf numFmtId="4" fontId="10" fillId="7" borderId="15" xfId="57" applyNumberFormat="1" applyFont="1" applyFill="1" applyBorder="1">
      <alignment/>
      <protection/>
    </xf>
    <xf numFmtId="4" fontId="10" fillId="7" borderId="44" xfId="57" applyNumberFormat="1" applyFont="1" applyFill="1" applyBorder="1">
      <alignment/>
      <protection/>
    </xf>
    <xf numFmtId="0" fontId="12" fillId="12" borderId="34" xfId="57" applyFont="1" applyFill="1" applyBorder="1" applyAlignment="1">
      <alignment horizontal="right"/>
      <protection/>
    </xf>
    <xf numFmtId="4" fontId="10" fillId="12" borderId="34" xfId="57" applyNumberFormat="1" applyFont="1" applyFill="1" applyBorder="1">
      <alignment/>
      <protection/>
    </xf>
    <xf numFmtId="4" fontId="10" fillId="12" borderId="37" xfId="57" applyNumberFormat="1" applyFont="1" applyFill="1" applyBorder="1">
      <alignment/>
      <protection/>
    </xf>
    <xf numFmtId="4" fontId="10" fillId="12" borderId="29" xfId="57" applyNumberFormat="1" applyFont="1" applyFill="1" applyBorder="1">
      <alignment/>
      <protection/>
    </xf>
    <xf numFmtId="4" fontId="10" fillId="12" borderId="30" xfId="57" applyNumberFormat="1" applyFont="1" applyFill="1" applyBorder="1">
      <alignment/>
      <protection/>
    </xf>
    <xf numFmtId="4" fontId="10" fillId="12" borderId="45" xfId="57" applyNumberFormat="1" applyFont="1" applyFill="1" applyBorder="1">
      <alignment/>
      <protection/>
    </xf>
    <xf numFmtId="0" fontId="11" fillId="0" borderId="10" xfId="57" applyFont="1" applyBorder="1" applyAlignment="1">
      <alignment horizontal="center" wrapText="1"/>
      <protection/>
    </xf>
    <xf numFmtId="0" fontId="29" fillId="0" borderId="10" xfId="57" applyFont="1" applyBorder="1" applyAlignment="1">
      <alignment horizontal="center" wrapText="1"/>
      <protection/>
    </xf>
    <xf numFmtId="3" fontId="11" fillId="0" borderId="13" xfId="57" applyNumberFormat="1" applyFont="1" applyBorder="1" applyAlignment="1">
      <alignment horizontal="center" vertical="top"/>
      <protection/>
    </xf>
    <xf numFmtId="0" fontId="11" fillId="40" borderId="10" xfId="57" applyFont="1" applyFill="1" applyBorder="1" applyAlignment="1">
      <alignment horizontal="center" vertical="top" wrapText="1"/>
      <protection/>
    </xf>
    <xf numFmtId="0" fontId="83" fillId="0" borderId="58" xfId="0" applyFont="1" applyBorder="1" applyAlignment="1">
      <alignment horizontal="center" vertical="top"/>
    </xf>
    <xf numFmtId="0" fontId="83" fillId="0" borderId="64" xfId="0" applyFont="1" applyBorder="1" applyAlignment="1">
      <alignment horizontal="center" vertical="top"/>
    </xf>
    <xf numFmtId="0" fontId="1" fillId="0" borderId="38" xfId="0" applyFont="1" applyFill="1" applyBorder="1" applyAlignment="1">
      <alignment horizontal="center"/>
    </xf>
    <xf numFmtId="0" fontId="1" fillId="0" borderId="65" xfId="0" applyFont="1" applyFill="1" applyBorder="1" applyAlignment="1">
      <alignment horizontal="center"/>
    </xf>
    <xf numFmtId="0" fontId="1" fillId="0" borderId="66" xfId="0" applyFont="1" applyFill="1" applyBorder="1" applyAlignment="1">
      <alignment horizontal="center"/>
    </xf>
    <xf numFmtId="0" fontId="4" fillId="0" borderId="0" xfId="0" applyFont="1" applyAlignment="1">
      <alignment horizontal="right" vertical="top" wrapText="1"/>
    </xf>
    <xf numFmtId="0" fontId="1" fillId="0" borderId="0" xfId="0" applyFont="1" applyAlignment="1">
      <alignment horizontal="center" vertical="center" wrapText="1"/>
    </xf>
    <xf numFmtId="0" fontId="2" fillId="0" borderId="60" xfId="0" applyFont="1" applyBorder="1" applyAlignment="1">
      <alignment horizontal="center" wrapText="1"/>
    </xf>
    <xf numFmtId="0" fontId="2" fillId="0" borderId="26" xfId="0" applyFont="1" applyFill="1" applyBorder="1" applyAlignment="1">
      <alignment horizontal="left" wrapText="1"/>
    </xf>
    <xf numFmtId="0" fontId="3" fillId="0" borderId="10" xfId="0" applyFont="1" applyBorder="1" applyAlignment="1">
      <alignment horizontal="left" wrapText="1"/>
    </xf>
    <xf numFmtId="0" fontId="3" fillId="0" borderId="34" xfId="0" applyFont="1" applyBorder="1" applyAlignment="1">
      <alignment horizontal="left" wrapText="1"/>
    </xf>
    <xf numFmtId="0" fontId="6" fillId="34" borderId="20" xfId="0" applyFont="1" applyFill="1" applyBorder="1" applyAlignment="1">
      <alignment horizontal="center" wrapText="1"/>
    </xf>
    <xf numFmtId="0" fontId="6" fillId="34" borderId="51" xfId="0" applyFont="1" applyFill="1" applyBorder="1" applyAlignment="1">
      <alignment horizontal="center" wrapText="1"/>
    </xf>
    <xf numFmtId="0" fontId="6" fillId="34" borderId="37" xfId="0" applyFont="1" applyFill="1" applyBorder="1" applyAlignment="1">
      <alignment horizontal="center"/>
    </xf>
    <xf numFmtId="0" fontId="6" fillId="34" borderId="52" xfId="0" applyFont="1" applyFill="1" applyBorder="1" applyAlignment="1">
      <alignment horizontal="center"/>
    </xf>
    <xf numFmtId="0" fontId="5" fillId="34" borderId="38" xfId="0" applyFont="1" applyFill="1" applyBorder="1" applyAlignment="1">
      <alignment horizontal="center"/>
    </xf>
    <xf numFmtId="0" fontId="5" fillId="34" borderId="65" xfId="0" applyFont="1" applyFill="1" applyBorder="1" applyAlignment="1">
      <alignment horizontal="center"/>
    </xf>
    <xf numFmtId="0" fontId="5" fillId="34" borderId="41" xfId="0" applyFont="1" applyFill="1" applyBorder="1" applyAlignment="1">
      <alignment horizontal="center"/>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7" fillId="0" borderId="67" xfId="0" applyFont="1" applyBorder="1" applyAlignment="1">
      <alignment horizontal="center" wrapText="1"/>
    </xf>
    <xf numFmtId="0" fontId="7" fillId="0" borderId="24" xfId="0" applyFont="1" applyBorder="1" applyAlignment="1">
      <alignment horizontal="center" wrapText="1"/>
    </xf>
    <xf numFmtId="0" fontId="7" fillId="0" borderId="32" xfId="0" applyFont="1" applyBorder="1" applyAlignment="1">
      <alignment horizontal="center" wrapText="1"/>
    </xf>
    <xf numFmtId="0" fontId="7" fillId="0" borderId="68" xfId="0" applyFont="1" applyFill="1" applyBorder="1" applyAlignment="1">
      <alignment horizontal="center" wrapText="1"/>
    </xf>
    <xf numFmtId="0" fontId="7" fillId="0" borderId="25" xfId="0" applyFont="1" applyFill="1" applyBorder="1" applyAlignment="1">
      <alignment horizontal="center" wrapText="1"/>
    </xf>
    <xf numFmtId="0" fontId="7" fillId="0" borderId="35" xfId="0" applyFont="1" applyFill="1" applyBorder="1" applyAlignment="1">
      <alignment horizontal="center" wrapText="1"/>
    </xf>
    <xf numFmtId="0" fontId="3" fillId="34" borderId="38" xfId="0" applyFont="1" applyFill="1" applyBorder="1" applyAlignment="1">
      <alignment horizontal="left" wrapText="1"/>
    </xf>
    <xf numFmtId="0" fontId="3" fillId="34" borderId="65" xfId="0" applyFont="1" applyFill="1" applyBorder="1" applyAlignment="1">
      <alignment horizontal="left" wrapText="1"/>
    </xf>
    <xf numFmtId="0" fontId="4" fillId="0" borderId="69" xfId="0" applyFont="1" applyBorder="1" applyAlignment="1">
      <alignment horizontal="center" wrapText="1"/>
    </xf>
    <xf numFmtId="0" fontId="4" fillId="0" borderId="28" xfId="0" applyFont="1" applyBorder="1" applyAlignment="1">
      <alignment horizontal="center" wrapText="1"/>
    </xf>
    <xf numFmtId="0" fontId="4" fillId="0" borderId="58" xfId="0" applyFont="1" applyBorder="1" applyAlignment="1">
      <alignment horizontal="center" wrapText="1"/>
    </xf>
    <xf numFmtId="0" fontId="4" fillId="0" borderId="68" xfId="0" applyFont="1" applyBorder="1" applyAlignment="1">
      <alignment horizontal="center"/>
    </xf>
    <xf numFmtId="0" fontId="4" fillId="0" borderId="53" xfId="0" applyFont="1" applyBorder="1" applyAlignment="1">
      <alignment horizontal="center"/>
    </xf>
    <xf numFmtId="0" fontId="4" fillId="0" borderId="25" xfId="0" applyFont="1" applyBorder="1" applyAlignment="1">
      <alignment horizontal="center"/>
    </xf>
    <xf numFmtId="0" fontId="4" fillId="0" borderId="70" xfId="0" applyFont="1" applyBorder="1" applyAlignment="1">
      <alignment horizontal="center"/>
    </xf>
    <xf numFmtId="0" fontId="4" fillId="0" borderId="35" xfId="0" applyFont="1" applyBorder="1" applyAlignment="1">
      <alignment horizontal="center"/>
    </xf>
    <xf numFmtId="0" fontId="4" fillId="0" borderId="56" xfId="0" applyFont="1" applyBorder="1" applyAlignment="1">
      <alignment horizontal="center"/>
    </xf>
    <xf numFmtId="0" fontId="2" fillId="0" borderId="23" xfId="0" applyFont="1" applyBorder="1" applyAlignment="1">
      <alignment vertical="center" wrapText="1"/>
    </xf>
    <xf numFmtId="0" fontId="2" fillId="0" borderId="54" xfId="0" applyFont="1" applyBorder="1" applyAlignment="1">
      <alignment vertical="center" wrapText="1"/>
    </xf>
    <xf numFmtId="0" fontId="7" fillId="0" borderId="20" xfId="0" applyFont="1" applyFill="1" applyBorder="1" applyAlignment="1">
      <alignment horizontal="center" wrapText="1"/>
    </xf>
    <xf numFmtId="0" fontId="7" fillId="0" borderId="51" xfId="0" applyFont="1" applyFill="1" applyBorder="1" applyAlignment="1">
      <alignment horizontal="center" wrapText="1"/>
    </xf>
    <xf numFmtId="0" fontId="7" fillId="0" borderId="71" xfId="0" applyFont="1" applyFill="1" applyBorder="1" applyAlignment="1">
      <alignment horizontal="center" wrapText="1"/>
    </xf>
    <xf numFmtId="0" fontId="7" fillId="0" borderId="13" xfId="0" applyFont="1" applyFill="1" applyBorder="1" applyAlignment="1">
      <alignment horizontal="center" wrapText="1"/>
    </xf>
    <xf numFmtId="0" fontId="7" fillId="0" borderId="29" xfId="0" applyFont="1" applyFill="1" applyBorder="1" applyAlignment="1">
      <alignment horizontal="center" wrapText="1"/>
    </xf>
    <xf numFmtId="0" fontId="6" fillId="34" borderId="17" xfId="0" applyFont="1" applyFill="1" applyBorder="1" applyAlignment="1">
      <alignment horizontal="center" wrapText="1"/>
    </xf>
    <xf numFmtId="0" fontId="6" fillId="34" borderId="31" xfId="0" applyFont="1" applyFill="1" applyBorder="1" applyAlignment="1">
      <alignment horizontal="center" wrapText="1"/>
    </xf>
    <xf numFmtId="0" fontId="2" fillId="0" borderId="4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2" fillId="0" borderId="0" xfId="0" applyFont="1" applyBorder="1" applyAlignment="1">
      <alignment horizontal="center" vertical="center" wrapText="1"/>
    </xf>
    <xf numFmtId="0" fontId="2" fillId="33" borderId="48" xfId="0" applyFont="1" applyFill="1" applyBorder="1" applyAlignment="1">
      <alignment horizontal="left" vertical="center" wrapText="1"/>
    </xf>
    <xf numFmtId="0" fontId="2" fillId="33" borderId="72"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7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0" borderId="44"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Fill="1" applyBorder="1" applyAlignment="1">
      <alignment horizontal="left" vertical="center" wrapText="1"/>
    </xf>
    <xf numFmtId="0" fontId="23" fillId="0" borderId="0" xfId="0" applyFont="1" applyBorder="1" applyAlignment="1">
      <alignment horizontal="left" vertical="center" wrapText="1"/>
    </xf>
    <xf numFmtId="0" fontId="7" fillId="0" borderId="69" xfId="0" applyFont="1" applyBorder="1" applyAlignment="1">
      <alignment horizontal="center" wrapText="1"/>
    </xf>
    <xf numFmtId="0" fontId="7" fillId="0" borderId="28" xfId="0" applyFont="1" applyBorder="1" applyAlignment="1">
      <alignment horizontal="center" wrapText="1"/>
    </xf>
    <xf numFmtId="0" fontId="7" fillId="0" borderId="58" xfId="0" applyFont="1" applyBorder="1" applyAlignment="1">
      <alignment horizontal="center" wrapText="1"/>
    </xf>
    <xf numFmtId="0" fontId="2" fillId="0" borderId="47"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42" xfId="0" applyFont="1" applyBorder="1" applyAlignment="1">
      <alignment horizontal="left" vertical="center" wrapText="1"/>
    </xf>
    <xf numFmtId="0" fontId="2" fillId="0" borderId="26" xfId="0" applyFont="1" applyBorder="1" applyAlignment="1">
      <alignment horizontal="left" vertical="center" wrapText="1"/>
    </xf>
    <xf numFmtId="0" fontId="2" fillId="0" borderId="19" xfId="0" applyFont="1" applyBorder="1" applyAlignment="1">
      <alignment horizontal="left" vertical="center" wrapText="1"/>
    </xf>
    <xf numFmtId="0" fontId="2" fillId="34" borderId="38" xfId="0" applyFont="1" applyFill="1" applyBorder="1" applyAlignment="1">
      <alignment horizontal="center"/>
    </xf>
    <xf numFmtId="0" fontId="2" fillId="34" borderId="65" xfId="0" applyFont="1" applyFill="1" applyBorder="1" applyAlignment="1">
      <alignment horizontal="center"/>
    </xf>
    <xf numFmtId="0" fontId="2" fillId="34" borderId="41" xfId="0" applyFont="1" applyFill="1" applyBorder="1" applyAlignment="1">
      <alignment horizontal="center"/>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22" xfId="0" applyFont="1" applyBorder="1" applyAlignment="1">
      <alignment vertical="center" wrapText="1"/>
    </xf>
    <xf numFmtId="0" fontId="2" fillId="0" borderId="71" xfId="0" applyFont="1" applyBorder="1" applyAlignment="1">
      <alignment vertical="center" wrapText="1"/>
    </xf>
    <xf numFmtId="0" fontId="2" fillId="0" borderId="43" xfId="0" applyFont="1" applyBorder="1" applyAlignment="1">
      <alignment horizontal="left" vertical="center" wrapText="1"/>
    </xf>
    <xf numFmtId="0" fontId="2" fillId="0" borderId="11" xfId="0" applyFont="1" applyBorder="1" applyAlignment="1">
      <alignment horizontal="left" vertical="center" wrapText="1"/>
    </xf>
    <xf numFmtId="0" fontId="2" fillId="0" borderId="27" xfId="0" applyFont="1" applyBorder="1" applyAlignment="1">
      <alignment horizontal="left" vertical="center" wrapText="1"/>
    </xf>
    <xf numFmtId="0" fontId="3" fillId="34" borderId="66" xfId="0" applyFont="1" applyFill="1" applyBorder="1" applyAlignment="1">
      <alignment horizontal="left" wrapText="1"/>
    </xf>
    <xf numFmtId="0" fontId="2" fillId="0" borderId="36" xfId="0" applyFont="1" applyBorder="1" applyAlignment="1">
      <alignment horizontal="left" vertical="center" wrapText="1"/>
    </xf>
    <xf numFmtId="0" fontId="2" fillId="0" borderId="54" xfId="0" applyFont="1" applyBorder="1" applyAlignment="1">
      <alignment horizontal="left" vertical="center" wrapText="1"/>
    </xf>
    <xf numFmtId="4" fontId="1" fillId="36" borderId="46" xfId="0" applyNumberFormat="1" applyFont="1" applyFill="1" applyBorder="1" applyAlignment="1">
      <alignment horizontal="center" wrapText="1"/>
    </xf>
    <xf numFmtId="4" fontId="1" fillId="36" borderId="33" xfId="0" applyNumberFormat="1" applyFont="1" applyFill="1" applyBorder="1" applyAlignment="1">
      <alignment horizontal="center" wrapText="1"/>
    </xf>
    <xf numFmtId="0" fontId="2" fillId="0" borderId="23" xfId="0" applyFont="1" applyBorder="1" applyAlignment="1">
      <alignment horizontal="left" vertical="center" wrapText="1"/>
    </xf>
    <xf numFmtId="0" fontId="3" fillId="34" borderId="38" xfId="0" applyFont="1" applyFill="1" applyBorder="1" applyAlignment="1">
      <alignment horizontal="right" wrapText="1"/>
    </xf>
    <xf numFmtId="0" fontId="3" fillId="34" borderId="65" xfId="0" applyFont="1" applyFill="1" applyBorder="1" applyAlignment="1">
      <alignment horizontal="right" wrapText="1"/>
    </xf>
    <xf numFmtId="0" fontId="3" fillId="34" borderId="41" xfId="0" applyFont="1" applyFill="1" applyBorder="1" applyAlignment="1">
      <alignment horizontal="right" wrapText="1"/>
    </xf>
    <xf numFmtId="0" fontId="1" fillId="38" borderId="38" xfId="0" applyFont="1" applyFill="1" applyBorder="1" applyAlignment="1">
      <alignment horizontal="right" wrapText="1"/>
    </xf>
    <xf numFmtId="0" fontId="1" fillId="38" borderId="65" xfId="0" applyFont="1" applyFill="1" applyBorder="1" applyAlignment="1">
      <alignment horizontal="right" wrapText="1"/>
    </xf>
    <xf numFmtId="0" fontId="1" fillId="38" borderId="41" xfId="0" applyFont="1" applyFill="1" applyBorder="1" applyAlignment="1">
      <alignment horizontal="right" wrapText="1"/>
    </xf>
    <xf numFmtId="0" fontId="1" fillId="36" borderId="69" xfId="0" applyFont="1" applyFill="1" applyBorder="1" applyAlignment="1">
      <alignment horizontal="right" wrapText="1"/>
    </xf>
    <xf numFmtId="0" fontId="1" fillId="36" borderId="73" xfId="0" applyFont="1" applyFill="1" applyBorder="1" applyAlignment="1">
      <alignment horizontal="right" wrapText="1"/>
    </xf>
    <xf numFmtId="0" fontId="1" fillId="36" borderId="53" xfId="0" applyFont="1" applyFill="1" applyBorder="1" applyAlignment="1">
      <alignment horizontal="right" wrapText="1"/>
    </xf>
    <xf numFmtId="0" fontId="1" fillId="36" borderId="58" xfId="0" applyFont="1" applyFill="1" applyBorder="1" applyAlignment="1">
      <alignment horizontal="right" wrapText="1"/>
    </xf>
    <xf numFmtId="0" fontId="1" fillId="36" borderId="64" xfId="0" applyFont="1" applyFill="1" applyBorder="1" applyAlignment="1">
      <alignment horizontal="right" wrapText="1"/>
    </xf>
    <xf numFmtId="0" fontId="1" fillId="36" borderId="56" xfId="0" applyFont="1" applyFill="1" applyBorder="1" applyAlignment="1">
      <alignment horizontal="right" wrapText="1"/>
    </xf>
    <xf numFmtId="0" fontId="1" fillId="36" borderId="67" xfId="0" applyFont="1" applyFill="1" applyBorder="1" applyAlignment="1">
      <alignment horizontal="center" wrapText="1"/>
    </xf>
    <xf numFmtId="0" fontId="1" fillId="36" borderId="32" xfId="0" applyFont="1" applyFill="1" applyBorder="1" applyAlignment="1">
      <alignment horizontal="center" wrapText="1"/>
    </xf>
    <xf numFmtId="4" fontId="1" fillId="36" borderId="74" xfId="0" applyNumberFormat="1" applyFont="1" applyFill="1" applyBorder="1" applyAlignment="1">
      <alignment horizontal="center" wrapText="1"/>
    </xf>
    <xf numFmtId="4" fontId="1" fillId="36" borderId="57" xfId="0" applyNumberFormat="1" applyFont="1" applyFill="1" applyBorder="1" applyAlignment="1">
      <alignment horizontal="center" wrapText="1"/>
    </xf>
    <xf numFmtId="0" fontId="78" fillId="0" borderId="10" xfId="0" applyFont="1" applyBorder="1" applyAlignment="1">
      <alignment horizontal="center" vertical="center" wrapText="1"/>
    </xf>
    <xf numFmtId="0" fontId="24" fillId="0" borderId="0" xfId="0" applyFont="1" applyAlignment="1">
      <alignment horizontal="right" wrapText="1"/>
    </xf>
    <xf numFmtId="0" fontId="7" fillId="0" borderId="37" xfId="0" applyFont="1" applyBorder="1" applyAlignment="1">
      <alignment horizontal="center"/>
    </xf>
    <xf numFmtId="0" fontId="7" fillId="0" borderId="75" xfId="0" applyFont="1" applyBorder="1" applyAlignment="1">
      <alignment horizontal="center"/>
    </xf>
    <xf numFmtId="0" fontId="2" fillId="0" borderId="52" xfId="0" applyFont="1" applyBorder="1" applyAlignment="1">
      <alignment horizontal="left" vertical="center" wrapText="1"/>
    </xf>
    <xf numFmtId="0" fontId="2" fillId="0" borderId="75" xfId="0" applyFont="1" applyBorder="1" applyAlignment="1">
      <alignment horizontal="left" vertical="center" wrapText="1"/>
    </xf>
    <xf numFmtId="0" fontId="2" fillId="0" borderId="37" xfId="0" applyFont="1" applyBorder="1" applyAlignment="1">
      <alignment horizontal="center" vertical="center" wrapText="1"/>
    </xf>
    <xf numFmtId="0" fontId="2" fillId="0" borderId="7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left" wrapText="1"/>
    </xf>
    <xf numFmtId="0" fontId="8" fillId="0" borderId="76" xfId="0" applyFont="1" applyBorder="1" applyAlignment="1">
      <alignment horizontal="center" textRotation="90"/>
    </xf>
    <xf numFmtId="0" fontId="8" fillId="0" borderId="14" xfId="0" applyFont="1" applyBorder="1" applyAlignment="1">
      <alignment horizontal="center" textRotation="90"/>
    </xf>
    <xf numFmtId="0" fontId="8" fillId="0" borderId="11" xfId="0" applyFont="1" applyBorder="1" applyAlignment="1">
      <alignment horizontal="center" textRotation="90"/>
    </xf>
    <xf numFmtId="0" fontId="2" fillId="0" borderId="76" xfId="0" applyFont="1" applyBorder="1" applyAlignment="1">
      <alignment horizontal="center"/>
    </xf>
    <xf numFmtId="0" fontId="2" fillId="0" borderId="11" xfId="0" applyFont="1" applyBorder="1" applyAlignment="1">
      <alignment horizontal="center"/>
    </xf>
    <xf numFmtId="0" fontId="1" fillId="33" borderId="0" xfId="0" applyFont="1" applyFill="1" applyAlignment="1">
      <alignment horizontal="center" vertical="center" wrapText="1"/>
    </xf>
    <xf numFmtId="0" fontId="2" fillId="0" borderId="10" xfId="0" applyFont="1" applyBorder="1" applyAlignment="1">
      <alignment horizontal="left" wrapText="1"/>
    </xf>
    <xf numFmtId="0" fontId="2" fillId="0" borderId="23" xfId="0" applyFont="1" applyBorder="1" applyAlignment="1">
      <alignment horizontal="left" wrapText="1"/>
    </xf>
    <xf numFmtId="0" fontId="2" fillId="0" borderId="36" xfId="0" applyFont="1" applyBorder="1" applyAlignment="1">
      <alignment horizontal="left" wrapText="1"/>
    </xf>
    <xf numFmtId="0" fontId="2" fillId="0" borderId="44" xfId="0" applyFont="1" applyBorder="1" applyAlignment="1">
      <alignment horizontal="left" wrapText="1"/>
    </xf>
    <xf numFmtId="0" fontId="10" fillId="7" borderId="19" xfId="57" applyFont="1" applyFill="1" applyBorder="1" applyAlignment="1">
      <alignment horizontal="center" wrapText="1"/>
      <protection/>
    </xf>
    <xf numFmtId="0" fontId="10" fillId="7" borderId="15" xfId="57" applyFont="1" applyFill="1" applyBorder="1" applyAlignment="1">
      <alignment horizontal="center" wrapText="1"/>
      <protection/>
    </xf>
    <xf numFmtId="0" fontId="11" fillId="0" borderId="13" xfId="57" applyFont="1" applyBorder="1" applyAlignment="1">
      <alignment horizontal="center" wrapText="1"/>
      <protection/>
    </xf>
    <xf numFmtId="0" fontId="5" fillId="0" borderId="26" xfId="57" applyFont="1" applyBorder="1" applyAlignment="1">
      <alignment horizontal="center" wrapText="1"/>
      <protection/>
    </xf>
    <xf numFmtId="0" fontId="5" fillId="0" borderId="10" xfId="57" applyFont="1" applyBorder="1" applyAlignment="1">
      <alignment horizontal="center" wrapText="1"/>
      <protection/>
    </xf>
    <xf numFmtId="0" fontId="12" fillId="12" borderId="29" xfId="57" applyFont="1" applyFill="1" applyBorder="1" applyAlignment="1">
      <alignment horizontal="left"/>
      <protection/>
    </xf>
    <xf numFmtId="0" fontId="12" fillId="12" borderId="34" xfId="57" applyFont="1" applyFill="1" applyBorder="1" applyAlignment="1">
      <alignment horizontal="left"/>
      <protection/>
    </xf>
    <xf numFmtId="0" fontId="5" fillId="0" borderId="0" xfId="57" applyFont="1" applyBorder="1" applyAlignment="1">
      <alignment wrapText="1"/>
      <protection/>
    </xf>
    <xf numFmtId="0" fontId="0" fillId="0" borderId="0" xfId="0" applyBorder="1" applyAlignment="1">
      <alignment wrapText="1"/>
    </xf>
    <xf numFmtId="0" fontId="5" fillId="0" borderId="0" xfId="57" applyFont="1" applyAlignment="1">
      <alignment wrapText="1"/>
      <protection/>
    </xf>
    <xf numFmtId="0" fontId="0" fillId="0" borderId="0" xfId="0" applyAlignment="1">
      <alignment wrapText="1"/>
    </xf>
    <xf numFmtId="0" fontId="2" fillId="0" borderId="0" xfId="0" applyFont="1" applyAlignment="1">
      <alignment horizontal="right" vertical="top" wrapText="1"/>
    </xf>
    <xf numFmtId="0" fontId="1" fillId="0" borderId="0" xfId="0" applyFont="1" applyBorder="1" applyAlignment="1">
      <alignment horizontal="center" wrapText="1"/>
    </xf>
    <xf numFmtId="0" fontId="10" fillId="7" borderId="22" xfId="57" applyFont="1" applyFill="1" applyBorder="1" applyAlignment="1">
      <alignment horizontal="center" wrapText="1"/>
      <protection/>
    </xf>
    <xf numFmtId="0" fontId="10" fillId="7" borderId="23" xfId="57" applyFont="1" applyFill="1" applyBorder="1" applyAlignment="1">
      <alignment horizontal="center" wrapText="1"/>
      <protection/>
    </xf>
    <xf numFmtId="0" fontId="5" fillId="0" borderId="16" xfId="57" applyFont="1" applyBorder="1" applyAlignment="1">
      <alignment horizontal="center" wrapText="1"/>
      <protection/>
    </xf>
    <xf numFmtId="0" fontId="5" fillId="0" borderId="19" xfId="57" applyFont="1" applyBorder="1" applyAlignment="1">
      <alignment horizontal="center" wrapText="1"/>
      <protection/>
    </xf>
    <xf numFmtId="0" fontId="10" fillId="7" borderId="42" xfId="57" applyFont="1" applyFill="1" applyBorder="1" applyAlignment="1">
      <alignment horizontal="center" wrapText="1"/>
      <protection/>
    </xf>
    <xf numFmtId="0" fontId="10" fillId="7" borderId="44" xfId="57" applyFont="1" applyFill="1" applyBorder="1" applyAlignment="1">
      <alignment horizontal="center" wrapText="1"/>
      <protection/>
    </xf>
    <xf numFmtId="4" fontId="20" fillId="0" borderId="16" xfId="57" applyNumberFormat="1" applyFont="1" applyBorder="1" applyAlignment="1">
      <alignment horizontal="center"/>
      <protection/>
    </xf>
    <xf numFmtId="4" fontId="20" fillId="0" borderId="13" xfId="57" applyNumberFormat="1" applyFont="1" applyBorder="1" applyAlignment="1">
      <alignment horizontal="center"/>
      <protection/>
    </xf>
    <xf numFmtId="0" fontId="5" fillId="40" borderId="26" xfId="57" applyFont="1" applyFill="1" applyBorder="1" applyAlignment="1">
      <alignment horizontal="center" wrapText="1"/>
      <protection/>
    </xf>
    <xf numFmtId="0" fontId="5" fillId="40" borderId="10" xfId="57" applyFont="1" applyFill="1" applyBorder="1" applyAlignment="1">
      <alignment horizontal="center" wrapText="1"/>
      <protection/>
    </xf>
    <xf numFmtId="0" fontId="11" fillId="0" borderId="10" xfId="57" applyFont="1" applyBorder="1" applyAlignment="1">
      <alignment horizontal="center" wrapText="1"/>
      <protection/>
    </xf>
    <xf numFmtId="0" fontId="5" fillId="40" borderId="74" xfId="57" applyFont="1" applyFill="1" applyBorder="1" applyAlignment="1">
      <alignment horizontal="center" wrapText="1"/>
      <protection/>
    </xf>
    <xf numFmtId="0" fontId="5" fillId="40" borderId="14" xfId="57" applyFont="1" applyFill="1" applyBorder="1" applyAlignment="1">
      <alignment horizontal="center" wrapText="1"/>
      <protection/>
    </xf>
    <xf numFmtId="0" fontId="5" fillId="40" borderId="11" xfId="57" applyFont="1" applyFill="1" applyBorder="1" applyAlignment="1">
      <alignment horizontal="center" wrapText="1"/>
      <protection/>
    </xf>
    <xf numFmtId="0" fontId="5" fillId="0" borderId="74" xfId="57" applyFont="1" applyBorder="1" applyAlignment="1">
      <alignment horizontal="center" wrapText="1"/>
      <protection/>
    </xf>
    <xf numFmtId="0" fontId="5" fillId="0" borderId="14" xfId="57" applyFont="1" applyBorder="1" applyAlignment="1">
      <alignment horizontal="center" wrapText="1"/>
      <protection/>
    </xf>
    <xf numFmtId="0" fontId="5" fillId="0" borderId="11" xfId="57" applyFont="1" applyBorder="1" applyAlignment="1">
      <alignment horizontal="center" wrapText="1"/>
      <protection/>
    </xf>
    <xf numFmtId="0" fontId="9" fillId="0" borderId="0" xfId="0" applyFont="1" applyAlignment="1">
      <alignment horizontal="center" vertical="center" wrapText="1"/>
    </xf>
    <xf numFmtId="0" fontId="5" fillId="0" borderId="0" xfId="0" applyFont="1" applyAlignment="1">
      <alignment horizontal="right"/>
    </xf>
    <xf numFmtId="0" fontId="5" fillId="0" borderId="10" xfId="0" applyFont="1" applyBorder="1" applyAlignment="1">
      <alignment horizontal="center"/>
    </xf>
    <xf numFmtId="0" fontId="5" fillId="0" borderId="10" xfId="0" applyFont="1" applyBorder="1" applyAlignment="1">
      <alignment horizontal="center" wrapText="1"/>
    </xf>
    <xf numFmtId="0" fontId="81" fillId="0" borderId="0" xfId="0" applyFont="1" applyAlignment="1">
      <alignment horizontal="left" vertical="top" wrapText="1"/>
    </xf>
    <xf numFmtId="0" fontId="9" fillId="0" borderId="0" xfId="0" applyFont="1" applyAlignment="1">
      <alignment horizontal="left" vertical="center" wrapText="1"/>
    </xf>
    <xf numFmtId="0" fontId="9" fillId="0" borderId="77"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prekins_EURO_IT_LM" xfId="57"/>
    <cellStyle name="Note" xfId="58"/>
    <cellStyle name="Output" xfId="59"/>
    <cellStyle name="Parasts 2"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7</xdr:row>
      <xdr:rowOff>66675</xdr:rowOff>
    </xdr:from>
    <xdr:to>
      <xdr:col>5</xdr:col>
      <xdr:colOff>152400</xdr:colOff>
      <xdr:row>16</xdr:row>
      <xdr:rowOff>28575</xdr:rowOff>
    </xdr:to>
    <xdr:sp>
      <xdr:nvSpPr>
        <xdr:cNvPr id="1" name="Straight Arrow Connector 2"/>
        <xdr:cNvSpPr>
          <a:spLocks/>
        </xdr:cNvSpPr>
      </xdr:nvSpPr>
      <xdr:spPr>
        <a:xfrm>
          <a:off x="3190875" y="2343150"/>
          <a:ext cx="638175" cy="1981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657225</xdr:colOff>
      <xdr:row>20</xdr:row>
      <xdr:rowOff>133350</xdr:rowOff>
    </xdr:from>
    <xdr:to>
      <xdr:col>5</xdr:col>
      <xdr:colOff>133350</xdr:colOff>
      <xdr:row>22</xdr:row>
      <xdr:rowOff>38100</xdr:rowOff>
    </xdr:to>
    <xdr:sp>
      <xdr:nvSpPr>
        <xdr:cNvPr id="2" name="Straight Arrow Connector 5"/>
        <xdr:cNvSpPr>
          <a:spLocks/>
        </xdr:cNvSpPr>
      </xdr:nvSpPr>
      <xdr:spPr>
        <a:xfrm flipV="1">
          <a:off x="3190875" y="5076825"/>
          <a:ext cx="619125"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552450</xdr:colOff>
      <xdr:row>26</xdr:row>
      <xdr:rowOff>133350</xdr:rowOff>
    </xdr:from>
    <xdr:to>
      <xdr:col>5</xdr:col>
      <xdr:colOff>257175</xdr:colOff>
      <xdr:row>37</xdr:row>
      <xdr:rowOff>114300</xdr:rowOff>
    </xdr:to>
    <xdr:sp>
      <xdr:nvSpPr>
        <xdr:cNvPr id="3" name="Straight Arrow Connector 8"/>
        <xdr:cNvSpPr>
          <a:spLocks/>
        </xdr:cNvSpPr>
      </xdr:nvSpPr>
      <xdr:spPr>
        <a:xfrm>
          <a:off x="3086100" y="6048375"/>
          <a:ext cx="847725" cy="2333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676275</xdr:colOff>
      <xdr:row>40</xdr:row>
      <xdr:rowOff>57150</xdr:rowOff>
    </xdr:from>
    <xdr:to>
      <xdr:col>5</xdr:col>
      <xdr:colOff>200025</xdr:colOff>
      <xdr:row>40</xdr:row>
      <xdr:rowOff>152400</xdr:rowOff>
    </xdr:to>
    <xdr:sp>
      <xdr:nvSpPr>
        <xdr:cNvPr id="4" name="Straight Arrow Connector 11"/>
        <xdr:cNvSpPr>
          <a:spLocks/>
        </xdr:cNvSpPr>
      </xdr:nvSpPr>
      <xdr:spPr>
        <a:xfrm>
          <a:off x="3209925" y="8810625"/>
          <a:ext cx="666750" cy="95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609600</xdr:colOff>
      <xdr:row>47</xdr:row>
      <xdr:rowOff>28575</xdr:rowOff>
    </xdr:from>
    <xdr:to>
      <xdr:col>6</xdr:col>
      <xdr:colOff>342900</xdr:colOff>
      <xdr:row>52</xdr:row>
      <xdr:rowOff>95250</xdr:rowOff>
    </xdr:to>
    <xdr:sp>
      <xdr:nvSpPr>
        <xdr:cNvPr id="5" name="Straight Arrow Connector 13"/>
        <xdr:cNvSpPr>
          <a:spLocks/>
        </xdr:cNvSpPr>
      </xdr:nvSpPr>
      <xdr:spPr>
        <a:xfrm>
          <a:off x="3143250" y="9915525"/>
          <a:ext cx="1685925" cy="962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6</xdr:row>
      <xdr:rowOff>76200</xdr:rowOff>
    </xdr:from>
    <xdr:to>
      <xdr:col>5</xdr:col>
      <xdr:colOff>114300</xdr:colOff>
      <xdr:row>8</xdr:row>
      <xdr:rowOff>66675</xdr:rowOff>
    </xdr:to>
    <xdr:sp>
      <xdr:nvSpPr>
        <xdr:cNvPr id="6" name="Straight Arrow Connector 4"/>
        <xdr:cNvSpPr>
          <a:spLocks/>
        </xdr:cNvSpPr>
      </xdr:nvSpPr>
      <xdr:spPr>
        <a:xfrm>
          <a:off x="3228975" y="2190750"/>
          <a:ext cx="561975" cy="31432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628650</xdr:colOff>
      <xdr:row>23</xdr:row>
      <xdr:rowOff>28575</xdr:rowOff>
    </xdr:from>
    <xdr:to>
      <xdr:col>5</xdr:col>
      <xdr:colOff>314325</xdr:colOff>
      <xdr:row>34</xdr:row>
      <xdr:rowOff>133350</xdr:rowOff>
    </xdr:to>
    <xdr:sp>
      <xdr:nvSpPr>
        <xdr:cNvPr id="7" name="Straight Arrow Connector 7"/>
        <xdr:cNvSpPr>
          <a:spLocks/>
        </xdr:cNvSpPr>
      </xdr:nvSpPr>
      <xdr:spPr>
        <a:xfrm>
          <a:off x="3162300" y="5457825"/>
          <a:ext cx="828675" cy="2447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676275</xdr:colOff>
      <xdr:row>44</xdr:row>
      <xdr:rowOff>57150</xdr:rowOff>
    </xdr:from>
    <xdr:to>
      <xdr:col>6</xdr:col>
      <xdr:colOff>485775</xdr:colOff>
      <xdr:row>52</xdr:row>
      <xdr:rowOff>9525</xdr:rowOff>
    </xdr:to>
    <xdr:sp>
      <xdr:nvSpPr>
        <xdr:cNvPr id="8" name="Straight Arrow Connector 10"/>
        <xdr:cNvSpPr>
          <a:spLocks/>
        </xdr:cNvSpPr>
      </xdr:nvSpPr>
      <xdr:spPr>
        <a:xfrm>
          <a:off x="3209925" y="9458325"/>
          <a:ext cx="1762125" cy="1333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14"/>
  <sheetViews>
    <sheetView zoomScale="80" zoomScaleNormal="80" zoomScalePageLayoutView="0" workbookViewId="0" topLeftCell="A1">
      <selection activeCell="A1" sqref="A1:G1"/>
    </sheetView>
  </sheetViews>
  <sheetFormatPr defaultColWidth="8.28125" defaultRowHeight="12.75"/>
  <cols>
    <col min="1" max="1" width="6.28125" style="274" customWidth="1"/>
    <col min="2" max="2" width="14.28125" style="274" customWidth="1"/>
    <col min="3" max="3" width="14.140625" style="18" customWidth="1"/>
    <col min="4" max="4" width="54.8515625" style="18" customWidth="1"/>
    <col min="5" max="7" width="15.140625" style="18" customWidth="1"/>
    <col min="8" max="248" width="9.140625" style="18" customWidth="1"/>
    <col min="249" max="249" width="14.140625" style="18" customWidth="1"/>
    <col min="250" max="250" width="26.8515625" style="18" customWidth="1"/>
    <col min="251" max="251" width="12.00390625" style="18" customWidth="1"/>
    <col min="252" max="252" width="10.00390625" style="18" customWidth="1"/>
    <col min="253" max="253" width="8.421875" style="18" customWidth="1"/>
    <col min="254" max="254" width="10.8515625" style="18" customWidth="1"/>
    <col min="255" max="255" width="15.140625" style="18" customWidth="1"/>
    <col min="256" max="16384" width="8.28125" style="18" customWidth="1"/>
  </cols>
  <sheetData>
    <row r="1" spans="1:7" ht="71.25" customHeight="1">
      <c r="A1" s="321" t="s">
        <v>219</v>
      </c>
      <c r="B1" s="321"/>
      <c r="C1" s="321"/>
      <c r="D1" s="321"/>
      <c r="E1" s="321"/>
      <c r="F1" s="321"/>
      <c r="G1" s="321"/>
    </row>
    <row r="2" spans="1:7" ht="75" customHeight="1" thickBot="1">
      <c r="A2" s="322" t="s">
        <v>170</v>
      </c>
      <c r="B2" s="322"/>
      <c r="C2" s="322"/>
      <c r="D2" s="322"/>
      <c r="E2" s="322"/>
      <c r="F2" s="322"/>
      <c r="G2" s="322"/>
    </row>
    <row r="3" spans="1:256" ht="63" customHeight="1" thickBot="1">
      <c r="A3" s="258" t="s">
        <v>75</v>
      </c>
      <c r="B3" s="259" t="s">
        <v>164</v>
      </c>
      <c r="C3" s="323" t="s">
        <v>165</v>
      </c>
      <c r="D3" s="323"/>
      <c r="E3" s="260" t="s">
        <v>166</v>
      </c>
      <c r="F3" s="260" t="s">
        <v>167</v>
      </c>
      <c r="G3" s="261" t="s">
        <v>218</v>
      </c>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ht="52.5" customHeight="1">
      <c r="A4" s="262">
        <v>1</v>
      </c>
      <c r="B4" s="275" t="s">
        <v>168</v>
      </c>
      <c r="C4" s="324" t="s">
        <v>171</v>
      </c>
      <c r="D4" s="324"/>
      <c r="E4" s="263">
        <f>ROUND('1.1.pielik_grozs_n_gads'!O39,0)</f>
        <v>135125</v>
      </c>
      <c r="F4" s="263">
        <f>ROUND('1.2.pielik_grozs_n+1_+2_...gads'!O39,0)</f>
        <v>243078</v>
      </c>
      <c r="G4" s="264">
        <f>ROUND('1.2.pielik_grozs_n+1_+2_...gads'!O39,0)</f>
        <v>243078</v>
      </c>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7" ht="100.5" customHeight="1">
      <c r="A5" s="265">
        <v>2</v>
      </c>
      <c r="B5" s="276" t="s">
        <v>169</v>
      </c>
      <c r="C5" s="325" t="s">
        <v>173</v>
      </c>
      <c r="D5" s="325"/>
      <c r="E5" s="279">
        <f>42.5*1200</f>
        <v>51000</v>
      </c>
      <c r="F5" s="280">
        <v>0</v>
      </c>
      <c r="G5" s="281">
        <v>0</v>
      </c>
    </row>
    <row r="6" spans="1:256" ht="70.5" customHeight="1" thickBot="1">
      <c r="A6" s="266">
        <v>3</v>
      </c>
      <c r="B6" s="277" t="s">
        <v>169</v>
      </c>
      <c r="C6" s="326" t="s">
        <v>172</v>
      </c>
      <c r="D6" s="326"/>
      <c r="E6" s="267">
        <f>'1.5.pielik_pāraudzība'!R9</f>
        <v>20246</v>
      </c>
      <c r="F6" s="268">
        <f>'1.5.pielik_pāraudzība'!R9</f>
        <v>20246</v>
      </c>
      <c r="G6" s="269">
        <f>'1.5.pielik_pāraudzība'!R9</f>
        <v>20246</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17" ht="19.5" thickBot="1">
      <c r="A7" s="316"/>
      <c r="B7" s="317"/>
      <c r="C7" s="317"/>
      <c r="D7" s="317"/>
      <c r="E7" s="317"/>
      <c r="F7" s="317"/>
      <c r="G7" s="317"/>
      <c r="K7" s="270"/>
      <c r="L7" s="270"/>
      <c r="M7" s="270"/>
      <c r="N7" s="270"/>
      <c r="O7" s="270"/>
      <c r="P7" s="270"/>
      <c r="Q7" s="270"/>
    </row>
    <row r="8" spans="1:256" ht="19.5" thickBot="1">
      <c r="A8" s="271">
        <v>4</v>
      </c>
      <c r="B8" s="318" t="s">
        <v>0</v>
      </c>
      <c r="C8" s="319"/>
      <c r="D8" s="320"/>
      <c r="E8" s="272">
        <f>E4+E5+E6</f>
        <v>206371</v>
      </c>
      <c r="F8" s="272">
        <f>F4+F5+F6</f>
        <v>263324</v>
      </c>
      <c r="G8" s="273">
        <f>G4+G5+G6</f>
        <v>263324</v>
      </c>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8"/>
      <c r="EC8" s="278"/>
      <c r="ED8" s="278"/>
      <c r="EE8" s="278"/>
      <c r="EF8" s="278"/>
      <c r="EG8" s="278"/>
      <c r="EH8" s="278"/>
      <c r="EI8" s="278"/>
      <c r="EJ8" s="278"/>
      <c r="EK8" s="278"/>
      <c r="EL8" s="278"/>
      <c r="EM8" s="278"/>
      <c r="EN8" s="278"/>
      <c r="EO8" s="278"/>
      <c r="EP8" s="278"/>
      <c r="EQ8" s="278"/>
      <c r="ER8" s="278"/>
      <c r="ES8" s="278"/>
      <c r="ET8" s="278"/>
      <c r="EU8" s="278"/>
      <c r="EV8" s="278"/>
      <c r="EW8" s="278"/>
      <c r="EX8" s="278"/>
      <c r="EY8" s="278"/>
      <c r="EZ8" s="278"/>
      <c r="FA8" s="278"/>
      <c r="FB8" s="278"/>
      <c r="FC8" s="278"/>
      <c r="FD8" s="278"/>
      <c r="FE8" s="278"/>
      <c r="FF8" s="278"/>
      <c r="FG8" s="278"/>
      <c r="FH8" s="278"/>
      <c r="FI8" s="278"/>
      <c r="FJ8" s="278"/>
      <c r="FK8" s="278"/>
      <c r="FL8" s="278"/>
      <c r="FM8" s="278"/>
      <c r="FN8" s="278"/>
      <c r="FO8" s="278"/>
      <c r="FP8" s="278"/>
      <c r="FQ8" s="278"/>
      <c r="FR8" s="278"/>
      <c r="FS8" s="278"/>
      <c r="FT8" s="278"/>
      <c r="FU8" s="278"/>
      <c r="FV8" s="278"/>
      <c r="FW8" s="278"/>
      <c r="FX8" s="278"/>
      <c r="FY8" s="278"/>
      <c r="FZ8" s="278"/>
      <c r="GA8" s="278"/>
      <c r="GB8" s="278"/>
      <c r="GC8" s="278"/>
      <c r="GD8" s="278"/>
      <c r="GE8" s="278"/>
      <c r="GF8" s="278"/>
      <c r="GG8" s="278"/>
      <c r="GH8" s="278"/>
      <c r="GI8" s="278"/>
      <c r="GJ8" s="278"/>
      <c r="GK8" s="278"/>
      <c r="GL8" s="278"/>
      <c r="GM8" s="278"/>
      <c r="GN8" s="278"/>
      <c r="GO8" s="278"/>
      <c r="GP8" s="278"/>
      <c r="GQ8" s="278"/>
      <c r="GR8" s="278"/>
      <c r="GS8" s="278"/>
      <c r="GT8" s="278"/>
      <c r="GU8" s="278"/>
      <c r="GV8" s="278"/>
      <c r="GW8" s="278"/>
      <c r="GX8" s="278"/>
      <c r="GY8" s="278"/>
      <c r="GZ8" s="278"/>
      <c r="HA8" s="278"/>
      <c r="HB8" s="278"/>
      <c r="HC8" s="278"/>
      <c r="HD8" s="278"/>
      <c r="HE8" s="278"/>
      <c r="HF8" s="278"/>
      <c r="HG8" s="278"/>
      <c r="HH8" s="278"/>
      <c r="HI8" s="278"/>
      <c r="HJ8" s="278"/>
      <c r="HK8" s="278"/>
      <c r="HL8" s="278"/>
      <c r="HM8" s="278"/>
      <c r="HN8" s="278"/>
      <c r="HO8" s="278"/>
      <c r="HP8" s="278"/>
      <c r="HQ8" s="278"/>
      <c r="HR8" s="278"/>
      <c r="HS8" s="278"/>
      <c r="HT8" s="278"/>
      <c r="HU8" s="278"/>
      <c r="HV8" s="278"/>
      <c r="HW8" s="278"/>
      <c r="HX8" s="278"/>
      <c r="HY8" s="278"/>
      <c r="HZ8" s="278"/>
      <c r="IA8" s="278"/>
      <c r="IB8" s="278"/>
      <c r="IC8" s="278"/>
      <c r="ID8" s="278"/>
      <c r="IE8" s="278"/>
      <c r="IF8" s="278"/>
      <c r="IG8" s="278"/>
      <c r="IH8" s="278"/>
      <c r="II8" s="278"/>
      <c r="IJ8" s="278"/>
      <c r="IK8" s="278"/>
      <c r="IL8" s="278"/>
      <c r="IM8" s="278"/>
      <c r="IN8" s="278"/>
      <c r="IO8" s="278"/>
      <c r="IP8" s="278"/>
      <c r="IQ8" s="278"/>
      <c r="IR8" s="278"/>
      <c r="IS8" s="278"/>
      <c r="IT8" s="278"/>
      <c r="IU8" s="278"/>
      <c r="IV8" s="278"/>
    </row>
    <row r="11" spans="5:7" ht="18.75">
      <c r="E11" s="108"/>
      <c r="F11" s="108"/>
      <c r="G11" s="108"/>
    </row>
    <row r="12" spans="5:7" ht="18.75">
      <c r="E12" s="108"/>
      <c r="F12" s="108"/>
      <c r="G12" s="108"/>
    </row>
    <row r="13" spans="5:7" ht="18.75">
      <c r="E13" s="167"/>
      <c r="F13" s="167"/>
      <c r="G13" s="167"/>
    </row>
    <row r="14" spans="5:7" ht="18.75">
      <c r="E14" s="167"/>
      <c r="F14" s="167"/>
      <c r="G14" s="167"/>
    </row>
  </sheetData>
  <sheetProtection/>
  <mergeCells count="8">
    <mergeCell ref="A7:G7"/>
    <mergeCell ref="B8:D8"/>
    <mergeCell ref="A1:G1"/>
    <mergeCell ref="A2:G2"/>
    <mergeCell ref="C3:D3"/>
    <mergeCell ref="C4:D4"/>
    <mergeCell ref="C5:D5"/>
    <mergeCell ref="C6:D6"/>
  </mergeCells>
  <printOptions/>
  <pageMargins left="1.299212598425197" right="0.7086614173228347" top="0.7480314960629921" bottom="0.7480314960629921" header="0.31496062992125984" footer="0.31496062992125984"/>
  <pageSetup orientation="portrait" paperSize="9" scale="60" r:id="rId1"/>
</worksheet>
</file>

<file path=xl/worksheets/sheet2.xml><?xml version="1.0" encoding="utf-8"?>
<worksheet xmlns="http://schemas.openxmlformats.org/spreadsheetml/2006/main" xmlns:r="http://schemas.openxmlformats.org/officeDocument/2006/relationships">
  <dimension ref="A1:U71"/>
  <sheetViews>
    <sheetView zoomScale="50" zoomScaleNormal="50" zoomScalePageLayoutView="0" workbookViewId="0" topLeftCell="A1">
      <pane ySplit="9" topLeftCell="A33" activePane="bottomLeft" state="frozen"/>
      <selection pane="topLeft" activeCell="A1" sqref="A1"/>
      <selection pane="bottomLeft" activeCell="A1" sqref="A1:R1"/>
    </sheetView>
  </sheetViews>
  <sheetFormatPr defaultColWidth="9.140625" defaultRowHeight="12.75"/>
  <cols>
    <col min="1" max="1" width="29.140625" style="18" customWidth="1"/>
    <col min="2" max="2" width="10.140625" style="18" customWidth="1"/>
    <col min="3" max="12" width="13.28125" style="18" customWidth="1"/>
    <col min="13" max="13" width="11.7109375" style="38" customWidth="1"/>
    <col min="14" max="14" width="13.57421875" style="38" customWidth="1"/>
    <col min="15" max="15" width="15.00390625" style="38" customWidth="1"/>
    <col min="16" max="16" width="33.7109375" style="18" customWidth="1"/>
    <col min="17" max="18" width="20.00390625" style="18" customWidth="1"/>
    <col min="19" max="20" width="9.140625" style="232" hidden="1" customWidth="1"/>
    <col min="21" max="16384" width="9.140625" style="18" customWidth="1"/>
  </cols>
  <sheetData>
    <row r="1" spans="1:18" ht="48.75" customHeight="1">
      <c r="A1" s="419" t="s">
        <v>220</v>
      </c>
      <c r="B1" s="419"/>
      <c r="C1" s="419"/>
      <c r="D1" s="419"/>
      <c r="E1" s="419"/>
      <c r="F1" s="419"/>
      <c r="G1" s="419"/>
      <c r="H1" s="419"/>
      <c r="I1" s="419"/>
      <c r="J1" s="419"/>
      <c r="K1" s="419"/>
      <c r="L1" s="419"/>
      <c r="M1" s="419"/>
      <c r="N1" s="419"/>
      <c r="O1" s="419"/>
      <c r="P1" s="419"/>
      <c r="Q1" s="419"/>
      <c r="R1" s="419"/>
    </row>
    <row r="2" spans="1:18" ht="33" customHeight="1">
      <c r="A2" s="366" t="s">
        <v>134</v>
      </c>
      <c r="B2" s="366"/>
      <c r="C2" s="366"/>
      <c r="D2" s="366"/>
      <c r="E2" s="366"/>
      <c r="F2" s="366"/>
      <c r="G2" s="366"/>
      <c r="H2" s="366"/>
      <c r="I2" s="366"/>
      <c r="J2" s="366"/>
      <c r="K2" s="366"/>
      <c r="L2" s="366"/>
      <c r="M2" s="366"/>
      <c r="N2" s="366"/>
      <c r="O2" s="366"/>
      <c r="P2" s="366"/>
      <c r="Q2" s="366"/>
      <c r="R2" s="366"/>
    </row>
    <row r="3" spans="1:20" s="153" customFormat="1" ht="23.25" customHeight="1">
      <c r="A3" s="376" t="s">
        <v>131</v>
      </c>
      <c r="B3" s="376"/>
      <c r="C3" s="376"/>
      <c r="D3" s="376"/>
      <c r="E3" s="376"/>
      <c r="F3" s="376"/>
      <c r="G3" s="376"/>
      <c r="H3" s="376"/>
      <c r="I3" s="376"/>
      <c r="J3" s="376"/>
      <c r="K3" s="152"/>
      <c r="L3" s="152"/>
      <c r="M3" s="152"/>
      <c r="N3" s="152"/>
      <c r="O3" s="152"/>
      <c r="P3" s="152"/>
      <c r="Q3" s="152"/>
      <c r="R3" s="152"/>
      <c r="S3" s="233"/>
      <c r="T3" s="233"/>
    </row>
    <row r="4" spans="1:20" s="153" customFormat="1" ht="23.25" customHeight="1">
      <c r="A4" s="236"/>
      <c r="B4" s="237"/>
      <c r="C4" s="237"/>
      <c r="D4" s="237"/>
      <c r="E4" s="238"/>
      <c r="F4" s="238" t="s">
        <v>126</v>
      </c>
      <c r="G4" s="237">
        <f>rez_rād!D10</f>
        <v>5</v>
      </c>
      <c r="H4" s="237"/>
      <c r="I4" s="237"/>
      <c r="J4" s="237"/>
      <c r="K4" s="152"/>
      <c r="L4" s="152"/>
      <c r="M4" s="152"/>
      <c r="N4" s="152"/>
      <c r="O4" s="152"/>
      <c r="P4" s="152"/>
      <c r="Q4" s="152"/>
      <c r="R4" s="152"/>
      <c r="S4" s="233"/>
      <c r="T4" s="233"/>
    </row>
    <row r="5" spans="1:20" s="153" customFormat="1" ht="23.25" customHeight="1">
      <c r="A5" s="236"/>
      <c r="B5" s="237"/>
      <c r="C5" s="237"/>
      <c r="D5" s="237"/>
      <c r="E5" s="238"/>
      <c r="F5" s="238" t="s">
        <v>127</v>
      </c>
      <c r="G5" s="237">
        <f>rez_rād!F10</f>
        <v>1</v>
      </c>
      <c r="H5" s="237"/>
      <c r="I5" s="237"/>
      <c r="J5" s="237"/>
      <c r="K5" s="152"/>
      <c r="L5" s="152"/>
      <c r="M5" s="152"/>
      <c r="N5" s="152"/>
      <c r="O5" s="152"/>
      <c r="P5" s="152"/>
      <c r="Q5" s="152"/>
      <c r="R5" s="152"/>
      <c r="S5" s="233"/>
      <c r="T5" s="233"/>
    </row>
    <row r="6" spans="1:18" ht="12.75" customHeight="1" thickBot="1">
      <c r="A6" s="88"/>
      <c r="B6" s="88"/>
      <c r="C6" s="88"/>
      <c r="D6" s="88"/>
      <c r="E6" s="88"/>
      <c r="F6" s="88"/>
      <c r="G6" s="88"/>
      <c r="H6" s="88"/>
      <c r="I6" s="88"/>
      <c r="J6" s="88"/>
      <c r="K6" s="88"/>
      <c r="L6" s="88"/>
      <c r="M6" s="88"/>
      <c r="N6" s="88"/>
      <c r="O6" s="88"/>
      <c r="P6" s="88"/>
      <c r="Q6" s="88"/>
      <c r="R6" s="88"/>
    </row>
    <row r="7" spans="1:20" s="37" customFormat="1" ht="68.25" customHeight="1">
      <c r="A7" s="377" t="s">
        <v>93</v>
      </c>
      <c r="B7" s="338" t="s">
        <v>94</v>
      </c>
      <c r="C7" s="341" t="s">
        <v>95</v>
      </c>
      <c r="D7" s="357" t="s">
        <v>139</v>
      </c>
      <c r="E7" s="358"/>
      <c r="F7" s="359"/>
      <c r="G7" s="357" t="s">
        <v>140</v>
      </c>
      <c r="H7" s="358"/>
      <c r="I7" s="359"/>
      <c r="J7" s="357" t="s">
        <v>141</v>
      </c>
      <c r="K7" s="358"/>
      <c r="L7" s="359"/>
      <c r="M7" s="327" t="s">
        <v>97</v>
      </c>
      <c r="N7" s="328"/>
      <c r="O7" s="328"/>
      <c r="P7" s="346" t="s">
        <v>21</v>
      </c>
      <c r="Q7" s="349" t="s">
        <v>51</v>
      </c>
      <c r="R7" s="350"/>
      <c r="S7" s="232"/>
      <c r="T7" s="232"/>
    </row>
    <row r="8" spans="1:20" s="37" customFormat="1" ht="62.25" customHeight="1">
      <c r="A8" s="378"/>
      <c r="B8" s="339"/>
      <c r="C8" s="342"/>
      <c r="D8" s="360" t="s">
        <v>99</v>
      </c>
      <c r="E8" s="176" t="s">
        <v>43</v>
      </c>
      <c r="F8" s="54" t="s">
        <v>116</v>
      </c>
      <c r="G8" s="360" t="s">
        <v>99</v>
      </c>
      <c r="H8" s="176" t="s">
        <v>43</v>
      </c>
      <c r="I8" s="54" t="s">
        <v>116</v>
      </c>
      <c r="J8" s="360" t="s">
        <v>99</v>
      </c>
      <c r="K8" s="176" t="s">
        <v>43</v>
      </c>
      <c r="L8" s="54" t="s">
        <v>116</v>
      </c>
      <c r="M8" s="362" t="s">
        <v>96</v>
      </c>
      <c r="N8" s="92" t="s">
        <v>43</v>
      </c>
      <c r="O8" s="92" t="s">
        <v>116</v>
      </c>
      <c r="P8" s="347"/>
      <c r="Q8" s="351"/>
      <c r="R8" s="352"/>
      <c r="S8" s="232"/>
      <c r="T8" s="232"/>
    </row>
    <row r="9" spans="1:20" s="37" customFormat="1" ht="15.75" thickBot="1">
      <c r="A9" s="379"/>
      <c r="B9" s="340"/>
      <c r="C9" s="343"/>
      <c r="D9" s="361"/>
      <c r="E9" s="420" t="s">
        <v>3</v>
      </c>
      <c r="F9" s="421"/>
      <c r="G9" s="361"/>
      <c r="H9" s="420" t="s">
        <v>3</v>
      </c>
      <c r="I9" s="421"/>
      <c r="J9" s="361"/>
      <c r="K9" s="420" t="s">
        <v>3</v>
      </c>
      <c r="L9" s="421"/>
      <c r="M9" s="363"/>
      <c r="N9" s="329" t="s">
        <v>3</v>
      </c>
      <c r="O9" s="330"/>
      <c r="P9" s="348"/>
      <c r="Q9" s="353"/>
      <c r="R9" s="354"/>
      <c r="S9" s="232"/>
      <c r="T9" s="232"/>
    </row>
    <row r="10" spans="1:20" s="37" customFormat="1" ht="34.5" customHeight="1" thickBot="1">
      <c r="A10" s="344" t="s">
        <v>23</v>
      </c>
      <c r="B10" s="345"/>
      <c r="C10" s="345"/>
      <c r="D10" s="147" t="s">
        <v>76</v>
      </c>
      <c r="E10" s="177">
        <f>SUM(E11:E20)</f>
        <v>2535.5706041666663</v>
      </c>
      <c r="F10" s="148">
        <f>SUM(F11:F20)</f>
        <v>30426.847250000003</v>
      </c>
      <c r="G10" s="147" t="s">
        <v>76</v>
      </c>
      <c r="H10" s="177">
        <f>SUM(H11:H20)</f>
        <v>2575.9373</v>
      </c>
      <c r="I10" s="148">
        <f>SUM(I11:I20)</f>
        <v>25856.847599999997</v>
      </c>
      <c r="J10" s="147" t="s">
        <v>76</v>
      </c>
      <c r="K10" s="177">
        <f>SUM(K11:K20)</f>
        <v>1116.8694333333333</v>
      </c>
      <c r="L10" s="148">
        <f>SUM(L11:L20)</f>
        <v>13121.633199999998</v>
      </c>
      <c r="M10" s="149" t="s">
        <v>76</v>
      </c>
      <c r="N10" s="150">
        <f>SUM(N11:N20)</f>
        <v>6228.3773375</v>
      </c>
      <c r="O10" s="150">
        <f>SUM(O11:O20)</f>
        <v>69405.32805000001</v>
      </c>
      <c r="P10" s="331"/>
      <c r="Q10" s="332"/>
      <c r="R10" s="333"/>
      <c r="S10" s="232"/>
      <c r="T10" s="232"/>
    </row>
    <row r="11" spans="1:21" ht="274.5" customHeight="1">
      <c r="A11" s="60" t="s">
        <v>40</v>
      </c>
      <c r="B11" s="55" t="s">
        <v>41</v>
      </c>
      <c r="C11" s="59">
        <f>1093*1.2409</f>
        <v>1356.3037</v>
      </c>
      <c r="D11" s="61">
        <f>1/3</f>
        <v>0.3333333333333333</v>
      </c>
      <c r="E11" s="178">
        <f>C11*D11</f>
        <v>452.1012333333333</v>
      </c>
      <c r="F11" s="193">
        <f aca="true" t="shared" si="0" ref="F11:F17">E11*12</f>
        <v>5425.2148</v>
      </c>
      <c r="G11" s="186">
        <f>1/3</f>
        <v>0.3333333333333333</v>
      </c>
      <c r="H11" s="208">
        <f>C11*G11</f>
        <v>452.1012333333333</v>
      </c>
      <c r="I11" s="204">
        <f>H11*12</f>
        <v>5425.2148</v>
      </c>
      <c r="J11" s="63">
        <f>1/3</f>
        <v>0.3333333333333333</v>
      </c>
      <c r="K11" s="208">
        <f>C11*J11</f>
        <v>452.1012333333333</v>
      </c>
      <c r="L11" s="220">
        <f>K11*12</f>
        <v>5425.2148</v>
      </c>
      <c r="M11" s="65">
        <f>D11+G11+J11</f>
        <v>1</v>
      </c>
      <c r="N11" s="74">
        <f>E11+H11+K11</f>
        <v>1356.3037</v>
      </c>
      <c r="O11" s="74">
        <f>M11*C11*12</f>
        <v>16275.6444</v>
      </c>
      <c r="P11" s="389" t="s">
        <v>174</v>
      </c>
      <c r="Q11" s="391" t="s">
        <v>142</v>
      </c>
      <c r="R11" s="392"/>
      <c r="S11" s="234">
        <f>O11-F11-I11-L11</f>
        <v>0</v>
      </c>
      <c r="T11" s="234">
        <f>ROUND(S11,2)</f>
        <v>0</v>
      </c>
      <c r="U11" s="18" t="str">
        <f>IF(T11=0," ",FALSE)</f>
        <v> </v>
      </c>
    </row>
    <row r="12" spans="1:21" ht="200.25" customHeight="1">
      <c r="A12" s="58" t="s">
        <v>42</v>
      </c>
      <c r="B12" s="56" t="s">
        <v>41</v>
      </c>
      <c r="C12" s="82">
        <f>1093*1.2409</f>
        <v>1356.3037</v>
      </c>
      <c r="D12" s="62">
        <f>1/3</f>
        <v>0.3333333333333333</v>
      </c>
      <c r="E12" s="179">
        <f>C12*D12</f>
        <v>452.1012333333333</v>
      </c>
      <c r="F12" s="185">
        <f t="shared" si="0"/>
        <v>5425.2148</v>
      </c>
      <c r="G12" s="187">
        <f>1/3</f>
        <v>0.3333333333333333</v>
      </c>
      <c r="H12" s="209">
        <f>C12*G12</f>
        <v>452.1012333333333</v>
      </c>
      <c r="I12" s="185">
        <f>H12*12</f>
        <v>5425.2148</v>
      </c>
      <c r="J12" s="64">
        <f>1/3</f>
        <v>0.3333333333333333</v>
      </c>
      <c r="K12" s="209">
        <f>C12*J12</f>
        <v>452.1012333333333</v>
      </c>
      <c r="L12" s="221">
        <f>K12*12</f>
        <v>5425.2148</v>
      </c>
      <c r="M12" s="66">
        <f>D12+G12+J12</f>
        <v>1</v>
      </c>
      <c r="N12" s="73">
        <f>E12+H12+K12</f>
        <v>1356.3037</v>
      </c>
      <c r="O12" s="73">
        <f>M12*C12*12</f>
        <v>16275.6444</v>
      </c>
      <c r="P12" s="390"/>
      <c r="Q12" s="355" t="s">
        <v>143</v>
      </c>
      <c r="R12" s="356"/>
      <c r="S12" s="234">
        <f>O12-F12-I12-L12</f>
        <v>0</v>
      </c>
      <c r="T12" s="234">
        <f aca="true" t="shared" si="1" ref="T12:T41">ROUND(S12,2)</f>
        <v>0</v>
      </c>
      <c r="U12" s="18" t="str">
        <f aca="true" t="shared" si="2" ref="U12:U39">IF(T12=0," ",FALSE)</f>
        <v> </v>
      </c>
    </row>
    <row r="13" spans="1:20" ht="135" customHeight="1">
      <c r="A13" s="58" t="s">
        <v>8</v>
      </c>
      <c r="B13" s="71" t="s">
        <v>41</v>
      </c>
      <c r="C13" s="80">
        <f>996*1.2409</f>
        <v>1235.9363999999998</v>
      </c>
      <c r="D13" s="67">
        <v>0.25</v>
      </c>
      <c r="E13" s="180">
        <f>C13*D13</f>
        <v>308.98409999999996</v>
      </c>
      <c r="F13" s="185">
        <f t="shared" si="0"/>
        <v>3707.8091999999997</v>
      </c>
      <c r="G13" s="188" t="s">
        <v>76</v>
      </c>
      <c r="H13" s="210" t="s">
        <v>76</v>
      </c>
      <c r="I13" s="210" t="s">
        <v>76</v>
      </c>
      <c r="J13" s="81" t="s">
        <v>76</v>
      </c>
      <c r="K13" s="210" t="s">
        <v>76</v>
      </c>
      <c r="L13" s="80" t="s">
        <v>76</v>
      </c>
      <c r="M13" s="72">
        <f>D13</f>
        <v>0.25</v>
      </c>
      <c r="N13" s="75">
        <f>E13</f>
        <v>308.98409999999996</v>
      </c>
      <c r="O13" s="75">
        <f>M13*C13*12</f>
        <v>3707.8091999999997</v>
      </c>
      <c r="P13" s="31" t="s">
        <v>175</v>
      </c>
      <c r="Q13" s="367" t="s">
        <v>144</v>
      </c>
      <c r="R13" s="368"/>
      <c r="S13" s="234">
        <f>F13-O13</f>
        <v>0</v>
      </c>
      <c r="T13" s="234">
        <f t="shared" si="1"/>
        <v>0</v>
      </c>
    </row>
    <row r="14" spans="1:20" ht="135" customHeight="1">
      <c r="A14" s="58" t="s">
        <v>9</v>
      </c>
      <c r="B14" s="71" t="s">
        <v>41</v>
      </c>
      <c r="C14" s="80">
        <f>899*1.2409</f>
        <v>1115.5691</v>
      </c>
      <c r="D14" s="67">
        <v>0.25</v>
      </c>
      <c r="E14" s="180">
        <f>C14*D14</f>
        <v>278.892275</v>
      </c>
      <c r="F14" s="185">
        <f t="shared" si="0"/>
        <v>3346.7073</v>
      </c>
      <c r="G14" s="188" t="s">
        <v>76</v>
      </c>
      <c r="H14" s="210" t="s">
        <v>76</v>
      </c>
      <c r="I14" s="210" t="s">
        <v>76</v>
      </c>
      <c r="J14" s="81" t="s">
        <v>76</v>
      </c>
      <c r="K14" s="210" t="s">
        <v>76</v>
      </c>
      <c r="L14" s="80" t="s">
        <v>76</v>
      </c>
      <c r="M14" s="72">
        <f>D14</f>
        <v>0.25</v>
      </c>
      <c r="N14" s="75">
        <f>E14</f>
        <v>278.892275</v>
      </c>
      <c r="O14" s="75">
        <f>M14*C14*12</f>
        <v>3346.7073</v>
      </c>
      <c r="P14" s="31" t="s">
        <v>176</v>
      </c>
      <c r="Q14" s="369"/>
      <c r="R14" s="370"/>
      <c r="S14" s="234">
        <f>F14-O14</f>
        <v>0</v>
      </c>
      <c r="T14" s="234">
        <f t="shared" si="1"/>
        <v>0</v>
      </c>
    </row>
    <row r="15" spans="1:21" ht="247.5" customHeight="1">
      <c r="A15" s="57" t="s">
        <v>98</v>
      </c>
      <c r="B15" s="56" t="s">
        <v>7</v>
      </c>
      <c r="C15" s="80">
        <f>(C11+C12+C13+C14)/168</f>
        <v>30.14352916666666</v>
      </c>
      <c r="D15" s="68">
        <v>18</v>
      </c>
      <c r="E15" s="179">
        <f>C15*D15*0.5</f>
        <v>271.29176249999995</v>
      </c>
      <c r="F15" s="185">
        <f t="shared" si="0"/>
        <v>3255.501149999999</v>
      </c>
      <c r="G15" s="187" t="s">
        <v>76</v>
      </c>
      <c r="H15" s="211" t="s">
        <v>76</v>
      </c>
      <c r="I15" s="211" t="s">
        <v>76</v>
      </c>
      <c r="J15" s="64" t="s">
        <v>76</v>
      </c>
      <c r="K15" s="211" t="s">
        <v>76</v>
      </c>
      <c r="L15" s="80" t="s">
        <v>76</v>
      </c>
      <c r="M15" s="69" t="s">
        <v>76</v>
      </c>
      <c r="N15" s="73">
        <f>E15</f>
        <v>271.29176249999995</v>
      </c>
      <c r="O15" s="73">
        <f>N15*12</f>
        <v>3255.501149999999</v>
      </c>
      <c r="P15" s="246" t="s">
        <v>177</v>
      </c>
      <c r="Q15" s="371"/>
      <c r="R15" s="372"/>
      <c r="S15" s="234">
        <f>F15-O15</f>
        <v>0</v>
      </c>
      <c r="T15" s="234">
        <f t="shared" si="1"/>
        <v>0</v>
      </c>
      <c r="U15" s="18" t="str">
        <f t="shared" si="2"/>
        <v> </v>
      </c>
    </row>
    <row r="16" spans="1:21" ht="114" customHeight="1">
      <c r="A16" s="58" t="s">
        <v>100</v>
      </c>
      <c r="B16" s="56" t="s">
        <v>7</v>
      </c>
      <c r="C16" s="82">
        <v>23.4</v>
      </c>
      <c r="D16" s="70">
        <v>3</v>
      </c>
      <c r="E16" s="179">
        <f>C16*D16</f>
        <v>70.19999999999999</v>
      </c>
      <c r="F16" s="185">
        <f t="shared" si="0"/>
        <v>842.3999999999999</v>
      </c>
      <c r="G16" s="187" t="s">
        <v>76</v>
      </c>
      <c r="H16" s="211" t="s">
        <v>76</v>
      </c>
      <c r="I16" s="211" t="s">
        <v>76</v>
      </c>
      <c r="J16" s="64" t="s">
        <v>76</v>
      </c>
      <c r="K16" s="211" t="s">
        <v>76</v>
      </c>
      <c r="L16" s="80" t="s">
        <v>76</v>
      </c>
      <c r="M16" s="76">
        <v>1</v>
      </c>
      <c r="N16" s="77">
        <f>E16</f>
        <v>70.19999999999999</v>
      </c>
      <c r="O16" s="73">
        <f>N16*12</f>
        <v>842.3999999999999</v>
      </c>
      <c r="P16" s="375" t="s">
        <v>178</v>
      </c>
      <c r="Q16" s="373" t="s">
        <v>145</v>
      </c>
      <c r="R16" s="374"/>
      <c r="S16" s="234">
        <f>F16-O16</f>
        <v>0</v>
      </c>
      <c r="T16" s="234">
        <f t="shared" si="1"/>
        <v>0</v>
      </c>
      <c r="U16" s="18" t="str">
        <f t="shared" si="2"/>
        <v> </v>
      </c>
    </row>
    <row r="17" spans="1:21" ht="320.25" customHeight="1">
      <c r="A17" s="85" t="s">
        <v>102</v>
      </c>
      <c r="B17" s="86" t="s">
        <v>101</v>
      </c>
      <c r="C17" s="84">
        <v>23.4</v>
      </c>
      <c r="D17" s="70">
        <v>30</v>
      </c>
      <c r="E17" s="179">
        <f>C17*D17</f>
        <v>702</v>
      </c>
      <c r="F17" s="185">
        <f t="shared" si="0"/>
        <v>8424</v>
      </c>
      <c r="G17" s="189">
        <f>2*G4</f>
        <v>10</v>
      </c>
      <c r="H17" s="212">
        <f>C17*G17</f>
        <v>234</v>
      </c>
      <c r="I17" s="205">
        <f>H17*6</f>
        <v>1404</v>
      </c>
      <c r="J17" s="157">
        <f>2*G5</f>
        <v>2</v>
      </c>
      <c r="K17" s="212">
        <f>J17*C17</f>
        <v>46.8</v>
      </c>
      <c r="L17" s="165">
        <f>K17*6</f>
        <v>280.79999999999995</v>
      </c>
      <c r="M17" s="78">
        <f>D17+G17+J17</f>
        <v>42</v>
      </c>
      <c r="N17" s="90">
        <f>E17+H17+K17</f>
        <v>982.8</v>
      </c>
      <c r="O17" s="73">
        <f>(E17*12)+(H17*6)+(K17*6)</f>
        <v>10108.8</v>
      </c>
      <c r="P17" s="375"/>
      <c r="Q17" s="373" t="s">
        <v>146</v>
      </c>
      <c r="R17" s="374"/>
      <c r="S17" s="234">
        <f>O17-F17-I17-L17</f>
        <v>-6.821210263296962E-13</v>
      </c>
      <c r="T17" s="234">
        <f t="shared" si="1"/>
        <v>0</v>
      </c>
      <c r="U17" s="18" t="str">
        <f t="shared" si="2"/>
        <v> </v>
      </c>
    </row>
    <row r="18" spans="1:21" s="37" customFormat="1" ht="233.25" customHeight="1">
      <c r="A18" s="93" t="s">
        <v>22</v>
      </c>
      <c r="B18" s="86" t="s">
        <v>41</v>
      </c>
      <c r="C18" s="87">
        <f>802*1.2409</f>
        <v>995.2017999999999</v>
      </c>
      <c r="D18" s="83" t="s">
        <v>76</v>
      </c>
      <c r="E18" s="173" t="s">
        <v>76</v>
      </c>
      <c r="F18" s="84" t="s">
        <v>76</v>
      </c>
      <c r="G18" s="190">
        <f>1/(G4+G5)*G4</f>
        <v>0.8333333333333333</v>
      </c>
      <c r="H18" s="213">
        <f>C18*G18</f>
        <v>829.3348333333332</v>
      </c>
      <c r="I18" s="206">
        <f>H18*12</f>
        <v>9952.017999999998</v>
      </c>
      <c r="J18" s="155">
        <f>1/(G4+G5)*G5</f>
        <v>0.16666666666666666</v>
      </c>
      <c r="K18" s="212">
        <f>J18*C18</f>
        <v>165.86696666666666</v>
      </c>
      <c r="L18" s="165">
        <f>K18*12</f>
        <v>1990.4035999999999</v>
      </c>
      <c r="M18" s="66">
        <f>G18+J18</f>
        <v>0.9999999999999999</v>
      </c>
      <c r="N18" s="73">
        <f>H18+K18</f>
        <v>995.2017999999998</v>
      </c>
      <c r="O18" s="73">
        <f>N18*12</f>
        <v>11942.421599999998</v>
      </c>
      <c r="P18" s="247" t="s">
        <v>179</v>
      </c>
      <c r="Q18" s="334" t="s">
        <v>147</v>
      </c>
      <c r="R18" s="335"/>
      <c r="S18" s="234">
        <f>I18+L18-O18</f>
        <v>0</v>
      </c>
      <c r="T18" s="234">
        <f t="shared" si="1"/>
        <v>0</v>
      </c>
      <c r="U18" s="37" t="str">
        <f t="shared" si="2"/>
        <v> </v>
      </c>
    </row>
    <row r="19" spans="1:21" ht="142.5" customHeight="1">
      <c r="A19" s="97" t="s">
        <v>78</v>
      </c>
      <c r="B19" s="94" t="s">
        <v>7</v>
      </c>
      <c r="C19" s="91">
        <f>23.4*2</f>
        <v>46.8</v>
      </c>
      <c r="D19" s="83" t="s">
        <v>76</v>
      </c>
      <c r="E19" s="173" t="s">
        <v>76</v>
      </c>
      <c r="F19" s="84" t="s">
        <v>76</v>
      </c>
      <c r="G19" s="191">
        <f>(26*2)/180*30</f>
        <v>8.666666666666666</v>
      </c>
      <c r="H19" s="89">
        <f>C19*G19</f>
        <v>405.59999999999997</v>
      </c>
      <c r="I19" s="206">
        <f>H19*6</f>
        <v>2433.6</v>
      </c>
      <c r="J19" s="158" t="s">
        <v>76</v>
      </c>
      <c r="K19" s="212" t="s">
        <v>76</v>
      </c>
      <c r="L19" s="165" t="s">
        <v>76</v>
      </c>
      <c r="M19" s="69">
        <f>G19</f>
        <v>8.666666666666666</v>
      </c>
      <c r="N19" s="73">
        <f>H19</f>
        <v>405.59999999999997</v>
      </c>
      <c r="O19" s="73">
        <f>N19*6</f>
        <v>2433.6</v>
      </c>
      <c r="P19" s="364" t="s">
        <v>180</v>
      </c>
      <c r="Q19" s="334" t="s">
        <v>150</v>
      </c>
      <c r="R19" s="335"/>
      <c r="S19" s="234">
        <f>I19-O19</f>
        <v>0</v>
      </c>
      <c r="T19" s="234">
        <f t="shared" si="1"/>
        <v>0</v>
      </c>
      <c r="U19" s="18" t="str">
        <f t="shared" si="2"/>
        <v> </v>
      </c>
    </row>
    <row r="20" spans="1:21" ht="112.5" customHeight="1" thickBot="1">
      <c r="A20" s="98" t="s">
        <v>79</v>
      </c>
      <c r="B20" s="95" t="s">
        <v>7</v>
      </c>
      <c r="C20" s="96">
        <f>23.4*2</f>
        <v>46.8</v>
      </c>
      <c r="D20" s="99" t="s">
        <v>76</v>
      </c>
      <c r="E20" s="174" t="s">
        <v>76</v>
      </c>
      <c r="F20" s="100" t="s">
        <v>76</v>
      </c>
      <c r="G20" s="192">
        <f>26/180*30</f>
        <v>4.333333333333333</v>
      </c>
      <c r="H20" s="101">
        <f>C20*G20</f>
        <v>202.79999999999998</v>
      </c>
      <c r="I20" s="207">
        <f>H20*6</f>
        <v>1216.8</v>
      </c>
      <c r="J20" s="159" t="s">
        <v>76</v>
      </c>
      <c r="K20" s="219" t="s">
        <v>76</v>
      </c>
      <c r="L20" s="160" t="s">
        <v>76</v>
      </c>
      <c r="M20" s="111">
        <f>G20</f>
        <v>4.333333333333333</v>
      </c>
      <c r="N20" s="112">
        <f>H20</f>
        <v>202.79999999999998</v>
      </c>
      <c r="O20" s="73">
        <f>N20*6</f>
        <v>1216.8</v>
      </c>
      <c r="P20" s="365"/>
      <c r="Q20" s="336"/>
      <c r="R20" s="337"/>
      <c r="S20" s="234">
        <f>I20-O20</f>
        <v>0</v>
      </c>
      <c r="T20" s="234">
        <f t="shared" si="1"/>
        <v>0</v>
      </c>
      <c r="U20" s="18" t="str">
        <f t="shared" si="2"/>
        <v> </v>
      </c>
    </row>
    <row r="21" spans="1:21" s="37" customFormat="1" ht="53.25" customHeight="1" thickBot="1">
      <c r="A21" s="344" t="s">
        <v>24</v>
      </c>
      <c r="B21" s="345"/>
      <c r="C21" s="396"/>
      <c r="D21" s="147" t="s">
        <v>76</v>
      </c>
      <c r="E21" s="177">
        <f>SUM(E22:E36)</f>
        <v>1082.51</v>
      </c>
      <c r="F21" s="148">
        <f>SUM(F22:F36)</f>
        <v>12990.12</v>
      </c>
      <c r="G21" s="147" t="s">
        <v>76</v>
      </c>
      <c r="H21" s="177">
        <f>SUM(H22:H36)</f>
        <v>5537.159523809524</v>
      </c>
      <c r="I21" s="148">
        <f>SUM(I22:I36)</f>
        <v>34908.77714285714</v>
      </c>
      <c r="J21" s="147" t="s">
        <v>76</v>
      </c>
      <c r="K21" s="177">
        <f>SUM(K22:K36)</f>
        <v>763.8242857142857</v>
      </c>
      <c r="L21" s="148">
        <f>SUM(L22:L36)</f>
        <v>5536.765714285713</v>
      </c>
      <c r="M21" s="149" t="s">
        <v>76</v>
      </c>
      <c r="N21" s="150">
        <f>SUM(N22:N36)</f>
        <v>7383.49380952381</v>
      </c>
      <c r="O21" s="150">
        <f>SUM(O22:O36)</f>
        <v>53435.66285714286</v>
      </c>
      <c r="P21" s="386"/>
      <c r="Q21" s="387"/>
      <c r="R21" s="388"/>
      <c r="S21" s="234">
        <f>O21-F21-I21-L21</f>
        <v>0</v>
      </c>
      <c r="T21" s="234">
        <f t="shared" si="1"/>
        <v>0</v>
      </c>
      <c r="U21" s="37" t="str">
        <f t="shared" si="2"/>
        <v> </v>
      </c>
    </row>
    <row r="22" spans="1:21" s="37" customFormat="1" ht="65.25" customHeight="1">
      <c r="A22" s="140" t="s">
        <v>46</v>
      </c>
      <c r="B22" s="79" t="s">
        <v>104</v>
      </c>
      <c r="C22" s="105">
        <v>15</v>
      </c>
      <c r="D22" s="70">
        <v>9</v>
      </c>
      <c r="E22" s="179">
        <f>C22*D22</f>
        <v>135</v>
      </c>
      <c r="F22" s="194">
        <f aca="true" t="shared" si="3" ref="F22:F29">E22*12</f>
        <v>1620</v>
      </c>
      <c r="G22" s="61" t="s">
        <v>76</v>
      </c>
      <c r="H22" s="214" t="s">
        <v>76</v>
      </c>
      <c r="I22" s="201" t="s">
        <v>76</v>
      </c>
      <c r="J22" s="63" t="s">
        <v>76</v>
      </c>
      <c r="K22" s="222" t="s">
        <v>76</v>
      </c>
      <c r="L22" s="59" t="s">
        <v>76</v>
      </c>
      <c r="M22" s="106">
        <f>D22</f>
        <v>9</v>
      </c>
      <c r="N22" s="107">
        <f>E22</f>
        <v>135</v>
      </c>
      <c r="O22" s="228">
        <f aca="true" t="shared" si="4" ref="O22:O29">N22*12</f>
        <v>1620</v>
      </c>
      <c r="P22" s="383" t="s">
        <v>103</v>
      </c>
      <c r="Q22" s="384"/>
      <c r="R22" s="385"/>
      <c r="S22" s="234">
        <f>F22-O22</f>
        <v>0</v>
      </c>
      <c r="T22" s="234">
        <f t="shared" si="1"/>
        <v>0</v>
      </c>
      <c r="U22" s="37" t="str">
        <f t="shared" si="2"/>
        <v> </v>
      </c>
    </row>
    <row r="23" spans="1:21" s="37" customFormat="1" ht="39" customHeight="1">
      <c r="A23" s="21" t="s">
        <v>38</v>
      </c>
      <c r="B23" s="19" t="s">
        <v>104</v>
      </c>
      <c r="C23" s="102">
        <f>'1.3..pielik__transp'!J5</f>
        <v>76.65</v>
      </c>
      <c r="D23" s="68">
        <v>9</v>
      </c>
      <c r="E23" s="180">
        <f>C23*D23</f>
        <v>689.85</v>
      </c>
      <c r="F23" s="185">
        <f t="shared" si="3"/>
        <v>8278.2</v>
      </c>
      <c r="G23" s="67" t="s">
        <v>76</v>
      </c>
      <c r="H23" s="210" t="s">
        <v>76</v>
      </c>
      <c r="I23" s="175" t="s">
        <v>76</v>
      </c>
      <c r="J23" s="81" t="s">
        <v>76</v>
      </c>
      <c r="K23" s="182" t="s">
        <v>76</v>
      </c>
      <c r="L23" s="80" t="s">
        <v>76</v>
      </c>
      <c r="M23" s="78">
        <f>D23</f>
        <v>9</v>
      </c>
      <c r="N23" s="75">
        <f>E23</f>
        <v>689.85</v>
      </c>
      <c r="O23" s="229">
        <f t="shared" si="4"/>
        <v>8278.2</v>
      </c>
      <c r="P23" s="393" t="s">
        <v>162</v>
      </c>
      <c r="Q23" s="394"/>
      <c r="R23" s="395"/>
      <c r="S23" s="234">
        <f>F23-O23</f>
        <v>0</v>
      </c>
      <c r="T23" s="234">
        <f t="shared" si="1"/>
        <v>0</v>
      </c>
      <c r="U23" s="37" t="str">
        <f t="shared" si="2"/>
        <v> </v>
      </c>
    </row>
    <row r="24" spans="1:21" s="37" customFormat="1" ht="78" customHeight="1">
      <c r="A24" s="21" t="s">
        <v>105</v>
      </c>
      <c r="B24" s="19" t="s">
        <v>106</v>
      </c>
      <c r="C24" s="102">
        <v>50</v>
      </c>
      <c r="D24" s="161" t="s">
        <v>76</v>
      </c>
      <c r="E24" s="181">
        <v>20</v>
      </c>
      <c r="F24" s="185">
        <f t="shared" si="3"/>
        <v>240</v>
      </c>
      <c r="G24" s="162" t="s">
        <v>76</v>
      </c>
      <c r="H24" s="213">
        <v>20</v>
      </c>
      <c r="I24" s="200">
        <f>H24*12</f>
        <v>240</v>
      </c>
      <c r="J24" s="162" t="s">
        <v>76</v>
      </c>
      <c r="K24" s="223">
        <v>10</v>
      </c>
      <c r="L24" s="154">
        <f>K24*12</f>
        <v>120</v>
      </c>
      <c r="M24" s="69">
        <v>1</v>
      </c>
      <c r="N24" s="73">
        <f>M24*C24</f>
        <v>50</v>
      </c>
      <c r="O24" s="230">
        <f t="shared" si="4"/>
        <v>600</v>
      </c>
      <c r="P24" s="393" t="s">
        <v>132</v>
      </c>
      <c r="Q24" s="394"/>
      <c r="R24" s="395"/>
      <c r="S24" s="234">
        <f>O24-F24-I24-L24</f>
        <v>0</v>
      </c>
      <c r="T24" s="234">
        <f t="shared" si="1"/>
        <v>0</v>
      </c>
      <c r="U24" s="37" t="str">
        <f t="shared" si="2"/>
        <v> </v>
      </c>
    </row>
    <row r="25" spans="1:21" s="37" customFormat="1" ht="78" customHeight="1">
      <c r="A25" s="31" t="s">
        <v>113</v>
      </c>
      <c r="B25" s="19" t="s">
        <v>111</v>
      </c>
      <c r="C25" s="102">
        <v>5</v>
      </c>
      <c r="D25" s="161" t="s">
        <v>76</v>
      </c>
      <c r="E25" s="181">
        <v>2</v>
      </c>
      <c r="F25" s="185">
        <f t="shared" si="3"/>
        <v>24</v>
      </c>
      <c r="G25" s="162" t="s">
        <v>76</v>
      </c>
      <c r="H25" s="213">
        <v>2</v>
      </c>
      <c r="I25" s="200">
        <f>H25*12</f>
        <v>24</v>
      </c>
      <c r="J25" s="162" t="s">
        <v>76</v>
      </c>
      <c r="K25" s="223">
        <v>1</v>
      </c>
      <c r="L25" s="154">
        <f>K25*12</f>
        <v>12</v>
      </c>
      <c r="M25" s="69">
        <v>1</v>
      </c>
      <c r="N25" s="73">
        <f>M25*C25</f>
        <v>5</v>
      </c>
      <c r="O25" s="230">
        <f t="shared" si="4"/>
        <v>60</v>
      </c>
      <c r="P25" s="397" t="s">
        <v>133</v>
      </c>
      <c r="Q25" s="397"/>
      <c r="R25" s="398"/>
      <c r="S25" s="234">
        <f>O25-F25-I25-L25</f>
        <v>0</v>
      </c>
      <c r="T25" s="234">
        <f t="shared" si="1"/>
        <v>0</v>
      </c>
      <c r="U25" s="37" t="str">
        <f t="shared" si="2"/>
        <v> </v>
      </c>
    </row>
    <row r="26" spans="1:21" s="37" customFormat="1" ht="78" customHeight="1">
      <c r="A26" s="21" t="s">
        <v>110</v>
      </c>
      <c r="B26" s="19" t="s">
        <v>106</v>
      </c>
      <c r="C26" s="102">
        <v>50</v>
      </c>
      <c r="D26" s="161" t="s">
        <v>76</v>
      </c>
      <c r="E26" s="181">
        <v>20</v>
      </c>
      <c r="F26" s="185">
        <f t="shared" si="3"/>
        <v>240</v>
      </c>
      <c r="G26" s="162" t="s">
        <v>76</v>
      </c>
      <c r="H26" s="213">
        <v>20</v>
      </c>
      <c r="I26" s="200">
        <f>H26*12</f>
        <v>240</v>
      </c>
      <c r="J26" s="162" t="s">
        <v>76</v>
      </c>
      <c r="K26" s="223">
        <v>10</v>
      </c>
      <c r="L26" s="154">
        <f>K26*12</f>
        <v>120</v>
      </c>
      <c r="M26" s="69">
        <v>1</v>
      </c>
      <c r="N26" s="73">
        <f>M26*C26</f>
        <v>50</v>
      </c>
      <c r="O26" s="230">
        <f>N26*12</f>
        <v>600</v>
      </c>
      <c r="P26" s="393" t="s">
        <v>151</v>
      </c>
      <c r="Q26" s="394"/>
      <c r="R26" s="395"/>
      <c r="S26" s="234">
        <f>O26-F26-I26-L26</f>
        <v>0</v>
      </c>
      <c r="T26" s="234">
        <f t="shared" si="1"/>
        <v>0</v>
      </c>
      <c r="U26" s="37" t="str">
        <f t="shared" si="2"/>
        <v> </v>
      </c>
    </row>
    <row r="27" spans="1:20" s="37" customFormat="1" ht="78" customHeight="1">
      <c r="A27" s="21" t="s">
        <v>183</v>
      </c>
      <c r="B27" s="19" t="s">
        <v>106</v>
      </c>
      <c r="C27" s="102">
        <v>50</v>
      </c>
      <c r="D27" s="161" t="s">
        <v>76</v>
      </c>
      <c r="E27" s="181">
        <v>0</v>
      </c>
      <c r="F27" s="185">
        <f t="shared" si="3"/>
        <v>0</v>
      </c>
      <c r="G27" s="162" t="s">
        <v>76</v>
      </c>
      <c r="H27" s="213">
        <f>I27/12</f>
        <v>125</v>
      </c>
      <c r="I27" s="200">
        <f>G4*C27*6</f>
        <v>1500</v>
      </c>
      <c r="J27" s="162" t="s">
        <v>76</v>
      </c>
      <c r="K27" s="223">
        <f>L27/12</f>
        <v>25</v>
      </c>
      <c r="L27" s="154">
        <f>G5*C27*6</f>
        <v>300</v>
      </c>
      <c r="M27" s="69">
        <f>G4+G5</f>
        <v>6</v>
      </c>
      <c r="N27" s="73">
        <f>H27+K27</f>
        <v>150</v>
      </c>
      <c r="O27" s="230">
        <f>N27*12</f>
        <v>1800</v>
      </c>
      <c r="P27" s="393" t="s">
        <v>182</v>
      </c>
      <c r="Q27" s="394"/>
      <c r="R27" s="395"/>
      <c r="S27" s="234"/>
      <c r="T27" s="234"/>
    </row>
    <row r="28" spans="1:21" s="37" customFormat="1" ht="78" customHeight="1">
      <c r="A28" s="31" t="s">
        <v>112</v>
      </c>
      <c r="B28" s="19" t="s">
        <v>111</v>
      </c>
      <c r="C28" s="102">
        <v>5</v>
      </c>
      <c r="D28" s="161" t="s">
        <v>76</v>
      </c>
      <c r="E28" s="181">
        <v>2</v>
      </c>
      <c r="F28" s="185">
        <f t="shared" si="3"/>
        <v>24</v>
      </c>
      <c r="G28" s="162" t="s">
        <v>76</v>
      </c>
      <c r="H28" s="213">
        <v>2</v>
      </c>
      <c r="I28" s="200">
        <f>H28*12</f>
        <v>24</v>
      </c>
      <c r="J28" s="162" t="s">
        <v>76</v>
      </c>
      <c r="K28" s="223">
        <v>1</v>
      </c>
      <c r="L28" s="154">
        <f>K28*12</f>
        <v>12</v>
      </c>
      <c r="M28" s="69">
        <v>1</v>
      </c>
      <c r="N28" s="73">
        <f>M28*C28</f>
        <v>5</v>
      </c>
      <c r="O28" s="230">
        <f>N28*12</f>
        <v>60</v>
      </c>
      <c r="P28" s="397" t="s">
        <v>152</v>
      </c>
      <c r="Q28" s="397"/>
      <c r="R28" s="398"/>
      <c r="S28" s="234">
        <f>O28-F28-I28-L28</f>
        <v>0</v>
      </c>
      <c r="T28" s="234">
        <f t="shared" si="1"/>
        <v>0</v>
      </c>
      <c r="U28" s="37" t="str">
        <f t="shared" si="2"/>
        <v> </v>
      </c>
    </row>
    <row r="29" spans="1:21" s="37" customFormat="1" ht="65.25" customHeight="1">
      <c r="A29" s="31" t="s">
        <v>47</v>
      </c>
      <c r="B29" s="9" t="s">
        <v>18</v>
      </c>
      <c r="C29" s="104">
        <v>3</v>
      </c>
      <c r="D29" s="70">
        <f>12</f>
        <v>12</v>
      </c>
      <c r="E29" s="179">
        <f>C29*D29</f>
        <v>36</v>
      </c>
      <c r="F29" s="185">
        <f t="shared" si="3"/>
        <v>432</v>
      </c>
      <c r="G29" s="67" t="s">
        <v>76</v>
      </c>
      <c r="H29" s="210" t="s">
        <v>76</v>
      </c>
      <c r="I29" s="175" t="s">
        <v>76</v>
      </c>
      <c r="J29" s="81" t="s">
        <v>76</v>
      </c>
      <c r="K29" s="182" t="s">
        <v>76</v>
      </c>
      <c r="L29" s="80" t="s">
        <v>76</v>
      </c>
      <c r="M29" s="78">
        <f>D29</f>
        <v>12</v>
      </c>
      <c r="N29" s="75">
        <f>E29</f>
        <v>36</v>
      </c>
      <c r="O29" s="229">
        <f t="shared" si="4"/>
        <v>432</v>
      </c>
      <c r="P29" s="226" t="s">
        <v>108</v>
      </c>
      <c r="Q29" s="382" t="s">
        <v>107</v>
      </c>
      <c r="R29" s="374"/>
      <c r="S29" s="234">
        <f>F29-O29</f>
        <v>0</v>
      </c>
      <c r="T29" s="234">
        <f t="shared" si="1"/>
        <v>0</v>
      </c>
      <c r="U29" s="37" t="str">
        <f t="shared" si="2"/>
        <v> </v>
      </c>
    </row>
    <row r="30" spans="1:21" s="37" customFormat="1" ht="147.75" customHeight="1">
      <c r="A30" s="32" t="s">
        <v>50</v>
      </c>
      <c r="B30" s="20" t="s">
        <v>18</v>
      </c>
      <c r="C30" s="102">
        <v>3</v>
      </c>
      <c r="D30" s="83" t="s">
        <v>76</v>
      </c>
      <c r="E30" s="173" t="s">
        <v>76</v>
      </c>
      <c r="F30" s="195" t="s">
        <v>76</v>
      </c>
      <c r="G30" s="164">
        <f>52/2/6*G4</f>
        <v>21.666666666666664</v>
      </c>
      <c r="H30" s="215">
        <f>G30*C30</f>
        <v>65</v>
      </c>
      <c r="I30" s="199">
        <f>H30*6</f>
        <v>390</v>
      </c>
      <c r="J30" s="158" t="s">
        <v>76</v>
      </c>
      <c r="K30" s="218" t="s">
        <v>76</v>
      </c>
      <c r="L30" s="156" t="s">
        <v>76</v>
      </c>
      <c r="M30" s="69">
        <f>G30</f>
        <v>21.666666666666664</v>
      </c>
      <c r="N30" s="73">
        <f>H30</f>
        <v>65</v>
      </c>
      <c r="O30" s="229">
        <f>N30*6</f>
        <v>390</v>
      </c>
      <c r="P30" s="227" t="s">
        <v>117</v>
      </c>
      <c r="Q30" s="401" t="s">
        <v>149</v>
      </c>
      <c r="R30" s="398"/>
      <c r="S30" s="234">
        <f>I30-O30</f>
        <v>0</v>
      </c>
      <c r="T30" s="234">
        <f t="shared" si="1"/>
        <v>0</v>
      </c>
      <c r="U30" s="37" t="str">
        <f t="shared" si="2"/>
        <v> </v>
      </c>
    </row>
    <row r="31" spans="1:21" s="37" customFormat="1" ht="197.25" customHeight="1">
      <c r="A31" s="21" t="s">
        <v>52</v>
      </c>
      <c r="B31" s="19" t="s">
        <v>111</v>
      </c>
      <c r="C31" s="102">
        <v>100</v>
      </c>
      <c r="D31" s="68">
        <v>1</v>
      </c>
      <c r="E31" s="180">
        <f>C31*D31</f>
        <v>100</v>
      </c>
      <c r="F31" s="185">
        <f>E31*12</f>
        <v>1200</v>
      </c>
      <c r="G31" s="67" t="s">
        <v>76</v>
      </c>
      <c r="H31" s="210" t="s">
        <v>76</v>
      </c>
      <c r="I31" s="175" t="s">
        <v>76</v>
      </c>
      <c r="J31" s="81" t="s">
        <v>76</v>
      </c>
      <c r="K31" s="182" t="s">
        <v>76</v>
      </c>
      <c r="L31" s="80" t="s">
        <v>76</v>
      </c>
      <c r="M31" s="78">
        <f>D31</f>
        <v>1</v>
      </c>
      <c r="N31" s="75">
        <f>E31</f>
        <v>100</v>
      </c>
      <c r="O31" s="229">
        <f>N31*12</f>
        <v>1200</v>
      </c>
      <c r="P31" s="393" t="s">
        <v>109</v>
      </c>
      <c r="Q31" s="394"/>
      <c r="R31" s="395"/>
      <c r="S31" s="234">
        <f>F31-O31</f>
        <v>0</v>
      </c>
      <c r="T31" s="234">
        <f t="shared" si="1"/>
        <v>0</v>
      </c>
      <c r="U31" s="37" t="str">
        <f t="shared" si="2"/>
        <v> </v>
      </c>
    </row>
    <row r="32" spans="1:21" s="37" customFormat="1" ht="174" customHeight="1">
      <c r="A32" s="21" t="s">
        <v>53</v>
      </c>
      <c r="B32" s="19" t="s">
        <v>114</v>
      </c>
      <c r="C32" s="102">
        <f>875/6</f>
        <v>145.83333333333334</v>
      </c>
      <c r="D32" s="81" t="s">
        <v>76</v>
      </c>
      <c r="E32" s="182" t="s">
        <v>76</v>
      </c>
      <c r="F32" s="195" t="s">
        <v>76</v>
      </c>
      <c r="G32" s="164">
        <f>G4</f>
        <v>5</v>
      </c>
      <c r="H32" s="215">
        <f>G32*C32</f>
        <v>729.1666666666667</v>
      </c>
      <c r="I32" s="202">
        <f>H32*6</f>
        <v>4375</v>
      </c>
      <c r="J32" s="81" t="s">
        <v>76</v>
      </c>
      <c r="K32" s="182" t="s">
        <v>76</v>
      </c>
      <c r="L32" s="80" t="s">
        <v>76</v>
      </c>
      <c r="M32" s="78">
        <f>G32</f>
        <v>5</v>
      </c>
      <c r="N32" s="75">
        <f>M32*C32</f>
        <v>729.1666666666667</v>
      </c>
      <c r="O32" s="229">
        <f>N32*6</f>
        <v>4375</v>
      </c>
      <c r="P32" s="226" t="s">
        <v>115</v>
      </c>
      <c r="Q32" s="382" t="s">
        <v>77</v>
      </c>
      <c r="R32" s="374"/>
      <c r="S32" s="234">
        <f>I32-O32</f>
        <v>0</v>
      </c>
      <c r="T32" s="234">
        <f t="shared" si="1"/>
        <v>0</v>
      </c>
      <c r="U32" s="37" t="str">
        <f t="shared" si="2"/>
        <v> </v>
      </c>
    </row>
    <row r="33" spans="1:21" s="37" customFormat="1" ht="65.25" customHeight="1">
      <c r="A33" s="380" t="s">
        <v>19</v>
      </c>
      <c r="B33" s="103" t="s">
        <v>120</v>
      </c>
      <c r="C33" s="102">
        <v>20.34</v>
      </c>
      <c r="D33" s="81" t="s">
        <v>76</v>
      </c>
      <c r="E33" s="182" t="s">
        <v>76</v>
      </c>
      <c r="F33" s="195" t="s">
        <v>76</v>
      </c>
      <c r="G33" s="164">
        <v>3</v>
      </c>
      <c r="H33" s="215">
        <f>C33*G33*30</f>
        <v>1830.6</v>
      </c>
      <c r="I33" s="202">
        <f>H33*6</f>
        <v>10983.599999999999</v>
      </c>
      <c r="J33" s="166" t="s">
        <v>76</v>
      </c>
      <c r="K33" s="224" t="s">
        <v>76</v>
      </c>
      <c r="L33" s="165" t="s">
        <v>76</v>
      </c>
      <c r="M33" s="78">
        <f>G33</f>
        <v>3</v>
      </c>
      <c r="N33" s="75">
        <f>M33*C33*30</f>
        <v>1830.6</v>
      </c>
      <c r="O33" s="229">
        <f>N33*6</f>
        <v>10983.599999999999</v>
      </c>
      <c r="P33" s="373" t="s">
        <v>148</v>
      </c>
      <c r="Q33" s="382"/>
      <c r="R33" s="374"/>
      <c r="S33" s="234">
        <f>I33-O33</f>
        <v>0</v>
      </c>
      <c r="T33" s="234">
        <f t="shared" si="1"/>
        <v>0</v>
      </c>
      <c r="U33" s="37" t="str">
        <f t="shared" si="2"/>
        <v> </v>
      </c>
    </row>
    <row r="34" spans="1:21" s="37" customFormat="1" ht="65.25" customHeight="1">
      <c r="A34" s="381"/>
      <c r="B34" s="103" t="s">
        <v>121</v>
      </c>
      <c r="C34" s="102">
        <f>C33*0.7</f>
        <v>14.238</v>
      </c>
      <c r="D34" s="81" t="s">
        <v>76</v>
      </c>
      <c r="E34" s="182" t="s">
        <v>76</v>
      </c>
      <c r="F34" s="195" t="s">
        <v>76</v>
      </c>
      <c r="G34" s="164">
        <v>2</v>
      </c>
      <c r="H34" s="215">
        <f>C34*G34*30</f>
        <v>854.28</v>
      </c>
      <c r="I34" s="202">
        <f>H34*6</f>
        <v>5125.68</v>
      </c>
      <c r="J34" s="166">
        <f>G5</f>
        <v>1</v>
      </c>
      <c r="K34" s="224">
        <f>J34*C34*30</f>
        <v>427.14</v>
      </c>
      <c r="L34" s="165">
        <f>K34*6</f>
        <v>2562.84</v>
      </c>
      <c r="M34" s="78">
        <f>G34+J34</f>
        <v>3</v>
      </c>
      <c r="N34" s="75">
        <f>M34*C34*30</f>
        <v>1281.42</v>
      </c>
      <c r="O34" s="229">
        <f>N34*6</f>
        <v>7688.52</v>
      </c>
      <c r="P34" s="373"/>
      <c r="Q34" s="382"/>
      <c r="R34" s="374"/>
      <c r="S34" s="234">
        <f>I34+L34-O34</f>
        <v>0</v>
      </c>
      <c r="T34" s="234">
        <f t="shared" si="1"/>
        <v>0</v>
      </c>
      <c r="U34" s="37" t="str">
        <f t="shared" si="2"/>
        <v> </v>
      </c>
    </row>
    <row r="35" spans="1:21" s="37" customFormat="1" ht="302.25" customHeight="1">
      <c r="A35" s="31" t="s">
        <v>85</v>
      </c>
      <c r="B35" s="19" t="s">
        <v>7</v>
      </c>
      <c r="C35" s="102">
        <f>995.2/168</f>
        <v>5.923809523809524</v>
      </c>
      <c r="D35" s="81" t="s">
        <v>76</v>
      </c>
      <c r="E35" s="182" t="s">
        <v>76</v>
      </c>
      <c r="F35" s="195" t="s">
        <v>76</v>
      </c>
      <c r="G35" s="163">
        <f>60*G4</f>
        <v>300</v>
      </c>
      <c r="H35" s="216">
        <f>C35*G35</f>
        <v>1777.1428571428573</v>
      </c>
      <c r="I35" s="202">
        <f>H35*6</f>
        <v>10662.857142857145</v>
      </c>
      <c r="J35" s="166">
        <f>30*G5</f>
        <v>30</v>
      </c>
      <c r="K35" s="224">
        <f>J35*C35</f>
        <v>177.71428571428572</v>
      </c>
      <c r="L35" s="165">
        <f>K35*6</f>
        <v>1066.2857142857142</v>
      </c>
      <c r="M35" s="78">
        <f>G35+J35</f>
        <v>330</v>
      </c>
      <c r="N35" s="75">
        <f>H35+K35</f>
        <v>1954.8571428571431</v>
      </c>
      <c r="O35" s="229">
        <f>N35*6</f>
        <v>11729.142857142859</v>
      </c>
      <c r="P35" s="226" t="s">
        <v>181</v>
      </c>
      <c r="Q35" s="382" t="s">
        <v>122</v>
      </c>
      <c r="R35" s="374"/>
      <c r="S35" s="234">
        <f>I35+L35-O35</f>
        <v>0</v>
      </c>
      <c r="T35" s="234">
        <f t="shared" si="1"/>
        <v>0</v>
      </c>
      <c r="U35" s="37" t="str">
        <f t="shared" si="2"/>
        <v> </v>
      </c>
    </row>
    <row r="36" spans="1:21" s="37" customFormat="1" ht="85.5" customHeight="1" thickBot="1">
      <c r="A36" s="141" t="s">
        <v>26</v>
      </c>
      <c r="B36" s="424" t="s">
        <v>128</v>
      </c>
      <c r="C36" s="425"/>
      <c r="D36" s="196" t="s">
        <v>76</v>
      </c>
      <c r="E36" s="197">
        <f>'1.4.pielik_supervizija_'!M10</f>
        <v>77.66000000000001</v>
      </c>
      <c r="F36" s="198">
        <f>E36*12</f>
        <v>931.9200000000001</v>
      </c>
      <c r="G36" s="142" t="s">
        <v>76</v>
      </c>
      <c r="H36" s="217">
        <f>'1.4.pielik_supervizija_'!M17</f>
        <v>111.97</v>
      </c>
      <c r="I36" s="203">
        <f>H36*12</f>
        <v>1343.6399999999999</v>
      </c>
      <c r="J36" s="144" t="s">
        <v>76</v>
      </c>
      <c r="K36" s="225">
        <f>'1.4.pielik_supervizija_'!M24</f>
        <v>111.97</v>
      </c>
      <c r="L36" s="143">
        <f>K36*12</f>
        <v>1343.6399999999999</v>
      </c>
      <c r="M36" s="145" t="s">
        <v>76</v>
      </c>
      <c r="N36" s="146">
        <f>E36+H36+K36</f>
        <v>301.6</v>
      </c>
      <c r="O36" s="231">
        <f>N36*12</f>
        <v>3619.2000000000003</v>
      </c>
      <c r="P36" s="422" t="s">
        <v>161</v>
      </c>
      <c r="Q36" s="422"/>
      <c r="R36" s="423"/>
      <c r="S36" s="234">
        <f>O36-F36-I36-L36</f>
        <v>0</v>
      </c>
      <c r="T36" s="234">
        <f t="shared" si="1"/>
        <v>0</v>
      </c>
      <c r="U36" s="37" t="str">
        <f t="shared" si="2"/>
        <v> </v>
      </c>
    </row>
    <row r="37" spans="1:21" ht="42" customHeight="1" thickBot="1">
      <c r="A37" s="402" t="s">
        <v>118</v>
      </c>
      <c r="B37" s="403"/>
      <c r="C37" s="404"/>
      <c r="D37" s="147" t="s">
        <v>76</v>
      </c>
      <c r="E37" s="177">
        <f>E10+E21</f>
        <v>3618.0806041666665</v>
      </c>
      <c r="F37" s="148">
        <f>F10+F21</f>
        <v>43416.96725</v>
      </c>
      <c r="G37" s="147" t="s">
        <v>76</v>
      </c>
      <c r="H37" s="177">
        <f>H10+H21</f>
        <v>8113.096823809525</v>
      </c>
      <c r="I37" s="148">
        <f>I10+I21</f>
        <v>60765.62474285714</v>
      </c>
      <c r="J37" s="147" t="s">
        <v>76</v>
      </c>
      <c r="K37" s="177">
        <f>K10+K21</f>
        <v>1880.693719047619</v>
      </c>
      <c r="L37" s="148">
        <f>L10+L21</f>
        <v>18658.39891428571</v>
      </c>
      <c r="M37" s="147" t="s">
        <v>76</v>
      </c>
      <c r="N37" s="148">
        <f>N10+N21</f>
        <v>13611.87114702381</v>
      </c>
      <c r="O37" s="170">
        <f>O10+O21</f>
        <v>122840.99090714287</v>
      </c>
      <c r="P37" s="167"/>
      <c r="Q37" s="282"/>
      <c r="S37" s="234">
        <f>O37-F37-I37-L37</f>
        <v>0</v>
      </c>
      <c r="T37" s="234">
        <f t="shared" si="1"/>
        <v>0</v>
      </c>
      <c r="U37" s="18" t="str">
        <f t="shared" si="2"/>
        <v> </v>
      </c>
    </row>
    <row r="38" spans="1:21" ht="25.5" customHeight="1" thickBot="1">
      <c r="A38" s="402" t="s">
        <v>25</v>
      </c>
      <c r="B38" s="403"/>
      <c r="C38" s="404"/>
      <c r="D38" s="168" t="s">
        <v>76</v>
      </c>
      <c r="E38" s="183">
        <f>E37*0.1</f>
        <v>361.80806041666665</v>
      </c>
      <c r="F38" s="172">
        <f>F37*0.1</f>
        <v>4341.696725000001</v>
      </c>
      <c r="G38" s="168" t="s">
        <v>76</v>
      </c>
      <c r="H38" s="183">
        <f>H37*0.1</f>
        <v>811.3096823809525</v>
      </c>
      <c r="I38" s="172">
        <f>I37*0.1</f>
        <v>6076.562474285714</v>
      </c>
      <c r="J38" s="168" t="s">
        <v>76</v>
      </c>
      <c r="K38" s="183">
        <f>K37*0.1</f>
        <v>188.0693719047619</v>
      </c>
      <c r="L38" s="172">
        <f>L37*0.1</f>
        <v>1865.839891428571</v>
      </c>
      <c r="M38" s="168" t="s">
        <v>76</v>
      </c>
      <c r="N38" s="172">
        <f>N37*0.1</f>
        <v>1361.1871147023812</v>
      </c>
      <c r="O38" s="170">
        <f>O37*0.1</f>
        <v>12284.099090714288</v>
      </c>
      <c r="P38" s="167"/>
      <c r="Q38" s="282"/>
      <c r="S38" s="234">
        <f>O38-F38-I38-L38</f>
        <v>0</v>
      </c>
      <c r="T38" s="234">
        <f t="shared" si="1"/>
        <v>0</v>
      </c>
      <c r="U38" s="18" t="str">
        <f t="shared" si="2"/>
        <v> </v>
      </c>
    </row>
    <row r="39" spans="1:21" ht="25.5" customHeight="1" thickBot="1">
      <c r="A39" s="405" t="s">
        <v>119</v>
      </c>
      <c r="B39" s="406"/>
      <c r="C39" s="407"/>
      <c r="D39" s="169" t="s">
        <v>76</v>
      </c>
      <c r="E39" s="184">
        <f>E37+E38</f>
        <v>3979.888664583333</v>
      </c>
      <c r="F39" s="171">
        <f>F37+F38</f>
        <v>47758.663975</v>
      </c>
      <c r="G39" s="169" t="s">
        <v>76</v>
      </c>
      <c r="H39" s="184">
        <f>H37+H38</f>
        <v>8924.406506190477</v>
      </c>
      <c r="I39" s="171">
        <f>I37+I38</f>
        <v>66842.18721714285</v>
      </c>
      <c r="J39" s="169" t="s">
        <v>76</v>
      </c>
      <c r="K39" s="184">
        <f>K37+K38</f>
        <v>2068.763090952381</v>
      </c>
      <c r="L39" s="171">
        <f>L37+L38</f>
        <v>20524.23880571428</v>
      </c>
      <c r="M39" s="169" t="s">
        <v>76</v>
      </c>
      <c r="N39" s="171">
        <f>N37+N38</f>
        <v>14973.058261726192</v>
      </c>
      <c r="O39" s="251">
        <f>O37+O38</f>
        <v>135125.08999785717</v>
      </c>
      <c r="P39" s="167"/>
      <c r="Q39" s="282"/>
      <c r="S39" s="234">
        <f>O39-F39-I39-L39</f>
        <v>2.9103830456733704E-11</v>
      </c>
      <c r="T39" s="234">
        <f t="shared" si="1"/>
        <v>0</v>
      </c>
      <c r="U39" s="18" t="str">
        <f t="shared" si="2"/>
        <v> </v>
      </c>
    </row>
    <row r="40" spans="1:20" ht="25.5" customHeight="1">
      <c r="A40" s="408" t="s">
        <v>135</v>
      </c>
      <c r="B40" s="409"/>
      <c r="C40" s="410"/>
      <c r="D40" s="414" t="s">
        <v>76</v>
      </c>
      <c r="E40" s="416" t="s">
        <v>76</v>
      </c>
      <c r="F40" s="399" t="s">
        <v>76</v>
      </c>
      <c r="G40" s="239" t="s">
        <v>138</v>
      </c>
      <c r="H40" s="240" t="s">
        <v>136</v>
      </c>
      <c r="I40" s="241" t="s">
        <v>137</v>
      </c>
      <c r="J40" s="239" t="s">
        <v>138</v>
      </c>
      <c r="K40" s="240" t="s">
        <v>136</v>
      </c>
      <c r="L40" s="241" t="s">
        <v>137</v>
      </c>
      <c r="M40" s="239" t="s">
        <v>138</v>
      </c>
      <c r="N40" s="240" t="s">
        <v>136</v>
      </c>
      <c r="O40" s="241" t="s">
        <v>137</v>
      </c>
      <c r="P40" s="167"/>
      <c r="Q40" s="282"/>
      <c r="S40" s="234"/>
      <c r="T40" s="234"/>
    </row>
    <row r="41" spans="1:20" ht="25.5" customHeight="1" thickBot="1">
      <c r="A41" s="411"/>
      <c r="B41" s="412"/>
      <c r="C41" s="413"/>
      <c r="D41" s="415"/>
      <c r="E41" s="417"/>
      <c r="F41" s="400"/>
      <c r="G41" s="244">
        <f>H41/30</f>
        <v>59.49604337460318</v>
      </c>
      <c r="H41" s="242">
        <f>H39/G4</f>
        <v>1784.8813012380954</v>
      </c>
      <c r="I41" s="243">
        <f>I39/G4</f>
        <v>13368.437443428571</v>
      </c>
      <c r="J41" s="244">
        <f>K41/30</f>
        <v>68.9587696984127</v>
      </c>
      <c r="K41" s="242">
        <f>K39/G5</f>
        <v>2068.763090952381</v>
      </c>
      <c r="L41" s="243">
        <f>L39/G5</f>
        <v>20524.23880571428</v>
      </c>
      <c r="M41" s="244">
        <f>N41/30</f>
        <v>99.82038841150795</v>
      </c>
      <c r="N41" s="242">
        <f>N39/G4</f>
        <v>2994.6116523452383</v>
      </c>
      <c r="O41" s="243">
        <f>O39/G4</f>
        <v>27025.017999571435</v>
      </c>
      <c r="P41" s="167"/>
      <c r="Q41" s="282"/>
      <c r="S41" s="234" t="e">
        <f>O41-F40-I41-L41</f>
        <v>#VALUE!</v>
      </c>
      <c r="T41" s="234" t="e">
        <f t="shared" si="1"/>
        <v>#VALUE!</v>
      </c>
    </row>
    <row r="42" ht="12.75" hidden="1"/>
    <row r="43" ht="12.75" hidden="1"/>
    <row r="44" spans="12:14" ht="12.75" customHeight="1" hidden="1">
      <c r="L44" s="418" t="s">
        <v>130</v>
      </c>
      <c r="M44" s="110">
        <f>(M19/2)-M20</f>
        <v>0</v>
      </c>
      <c r="N44" s="108">
        <f>ROUND(M44,2)</f>
        <v>0</v>
      </c>
    </row>
    <row r="45" spans="12:14" ht="12.75" customHeight="1" hidden="1">
      <c r="L45" s="418"/>
      <c r="M45" s="110">
        <f>M11-M24</f>
        <v>0</v>
      </c>
      <c r="N45" s="108">
        <f aca="true" t="shared" si="5" ref="N45:N54">ROUND(M45,2)</f>
        <v>0</v>
      </c>
    </row>
    <row r="46" spans="12:14" ht="12.75" customHeight="1" hidden="1">
      <c r="L46" s="418"/>
      <c r="M46" s="110">
        <f>M22-M23</f>
        <v>0</v>
      </c>
      <c r="N46" s="108">
        <f t="shared" si="5"/>
        <v>0</v>
      </c>
    </row>
    <row r="47" spans="12:14" ht="12.75" customHeight="1" hidden="1">
      <c r="L47" s="418"/>
      <c r="M47" s="109" t="b">
        <f>IF(M16=1,M29=12,"!!!")</f>
        <v>1</v>
      </c>
      <c r="N47" s="108"/>
    </row>
    <row r="48" spans="12:14" ht="12.75" customHeight="1" hidden="1">
      <c r="L48" s="418"/>
      <c r="M48" s="110">
        <f>M18-M26</f>
        <v>0</v>
      </c>
      <c r="N48" s="108">
        <f t="shared" si="5"/>
        <v>0</v>
      </c>
    </row>
    <row r="49" spans="12:14" ht="12.75" customHeight="1" hidden="1">
      <c r="L49" s="418"/>
      <c r="M49" s="110">
        <f>M26-M28</f>
        <v>0</v>
      </c>
      <c r="N49" s="108">
        <f t="shared" si="5"/>
        <v>0</v>
      </c>
    </row>
    <row r="50" spans="12:14" ht="12.75" customHeight="1" hidden="1">
      <c r="L50" s="418"/>
      <c r="M50" s="110">
        <f>M26-M28</f>
        <v>0</v>
      </c>
      <c r="N50" s="108">
        <f t="shared" si="5"/>
        <v>0</v>
      </c>
    </row>
    <row r="51" spans="12:14" ht="12.75" customHeight="1" hidden="1">
      <c r="L51" s="418"/>
      <c r="M51" s="110">
        <f>(O30/78)-M32</f>
        <v>0</v>
      </c>
      <c r="N51" s="108">
        <f t="shared" si="5"/>
        <v>0</v>
      </c>
    </row>
    <row r="52" spans="12:14" ht="12.75" customHeight="1" hidden="1">
      <c r="L52" s="418"/>
      <c r="M52" s="110">
        <f>G32-G33-G34</f>
        <v>0</v>
      </c>
      <c r="N52" s="108">
        <f t="shared" si="5"/>
        <v>0</v>
      </c>
    </row>
    <row r="53" spans="12:14" ht="12.75" customHeight="1" hidden="1">
      <c r="L53" s="418"/>
      <c r="M53" s="113">
        <f>(G35/60/G32)-1</f>
        <v>0</v>
      </c>
      <c r="N53" s="108">
        <f t="shared" si="5"/>
        <v>0</v>
      </c>
    </row>
    <row r="54" spans="12:14" ht="12.75" customHeight="1" hidden="1">
      <c r="L54" s="418"/>
      <c r="M54" s="113">
        <f>(G30/4.33/G32)-1</f>
        <v>0.0007698229407235857</v>
      </c>
      <c r="N54" s="108">
        <f t="shared" si="5"/>
        <v>0</v>
      </c>
    </row>
    <row r="55" spans="12:14" ht="12.75" customHeight="1" hidden="1">
      <c r="L55" s="418"/>
      <c r="M55" s="110">
        <f>O36-'1.4.pielik_supervizija_'!L10-'1.4.pielik_supervizija_'!L17-'1.4.pielik_supervizija_'!L24</f>
        <v>0.33000000000083674</v>
      </c>
      <c r="N55" s="108">
        <f>ROUND(M55,0)</f>
        <v>0</v>
      </c>
    </row>
    <row r="56" spans="11:14" ht="12.75" hidden="1">
      <c r="K56" s="18" t="s">
        <v>129</v>
      </c>
      <c r="L56" s="418"/>
      <c r="M56" s="110">
        <f>N37-K37-H37-E37</f>
        <v>0</v>
      </c>
      <c r="N56" s="108">
        <f>ROUND(M56,2)</f>
        <v>0</v>
      </c>
    </row>
    <row r="58" ht="12.75">
      <c r="N58" s="245" t="str">
        <f>IF(N44=0," ",FALSE)</f>
        <v> </v>
      </c>
    </row>
    <row r="59" ht="12.75">
      <c r="N59" s="245" t="str">
        <f aca="true" t="shared" si="6" ref="N59:N71">IF(N45=0," ",FALSE)</f>
        <v> </v>
      </c>
    </row>
    <row r="60" ht="12.75">
      <c r="N60" s="245" t="str">
        <f t="shared" si="6"/>
        <v> </v>
      </c>
    </row>
    <row r="61" ht="12.75">
      <c r="N61" s="245" t="str">
        <f>IF(M47=TRUE," ",FALSE)</f>
        <v> </v>
      </c>
    </row>
    <row r="62" ht="12.75">
      <c r="N62" s="245" t="str">
        <f t="shared" si="6"/>
        <v> </v>
      </c>
    </row>
    <row r="63" ht="12.75">
      <c r="N63" s="245" t="str">
        <f t="shared" si="6"/>
        <v> </v>
      </c>
    </row>
    <row r="64" ht="12.75">
      <c r="N64" s="245" t="str">
        <f t="shared" si="6"/>
        <v> </v>
      </c>
    </row>
    <row r="65" ht="12.75">
      <c r="N65" s="245" t="str">
        <f t="shared" si="6"/>
        <v> </v>
      </c>
    </row>
    <row r="66" ht="12.75">
      <c r="N66" s="245" t="str">
        <f t="shared" si="6"/>
        <v> </v>
      </c>
    </row>
    <row r="67" ht="12.75">
      <c r="N67" s="245" t="str">
        <f t="shared" si="6"/>
        <v> </v>
      </c>
    </row>
    <row r="68" ht="12.75">
      <c r="N68" s="245" t="str">
        <f t="shared" si="6"/>
        <v> </v>
      </c>
    </row>
    <row r="69" ht="12.75">
      <c r="N69" s="245" t="str">
        <f t="shared" si="6"/>
        <v> </v>
      </c>
    </row>
    <row r="70" ht="12.75">
      <c r="N70" s="245" t="str">
        <f>IF(N56=0," ",FALSE)</f>
        <v> </v>
      </c>
    </row>
    <row r="71" ht="12.75">
      <c r="N71" s="245" t="str">
        <f t="shared" si="6"/>
        <v> </v>
      </c>
    </row>
  </sheetData>
  <sheetProtection/>
  <mergeCells count="58">
    <mergeCell ref="L44:L56"/>
    <mergeCell ref="A1:R1"/>
    <mergeCell ref="E9:F9"/>
    <mergeCell ref="G7:I7"/>
    <mergeCell ref="H9:I9"/>
    <mergeCell ref="J7:L7"/>
    <mergeCell ref="K9:L9"/>
    <mergeCell ref="Q35:R35"/>
    <mergeCell ref="P36:R36"/>
    <mergeCell ref="B36:C36"/>
    <mergeCell ref="F40:F41"/>
    <mergeCell ref="Q30:R30"/>
    <mergeCell ref="P27:R27"/>
    <mergeCell ref="A37:C37"/>
    <mergeCell ref="A38:C38"/>
    <mergeCell ref="A39:C39"/>
    <mergeCell ref="A40:C41"/>
    <mergeCell ref="D40:D41"/>
    <mergeCell ref="E40:E41"/>
    <mergeCell ref="P23:R23"/>
    <mergeCell ref="P24:R24"/>
    <mergeCell ref="A21:C21"/>
    <mergeCell ref="Q32:R32"/>
    <mergeCell ref="Q29:R29"/>
    <mergeCell ref="P31:R31"/>
    <mergeCell ref="P26:R26"/>
    <mergeCell ref="P28:R28"/>
    <mergeCell ref="P25:R25"/>
    <mergeCell ref="D8:D9"/>
    <mergeCell ref="A3:J3"/>
    <mergeCell ref="Q18:R18"/>
    <mergeCell ref="A7:A9"/>
    <mergeCell ref="A33:A34"/>
    <mergeCell ref="P33:R34"/>
    <mergeCell ref="P22:R22"/>
    <mergeCell ref="P21:R21"/>
    <mergeCell ref="P11:P12"/>
    <mergeCell ref="Q11:R11"/>
    <mergeCell ref="D7:F7"/>
    <mergeCell ref="J8:J9"/>
    <mergeCell ref="M8:M9"/>
    <mergeCell ref="G8:G9"/>
    <mergeCell ref="P19:P20"/>
    <mergeCell ref="A2:R2"/>
    <mergeCell ref="Q13:R15"/>
    <mergeCell ref="Q16:R16"/>
    <mergeCell ref="P16:P17"/>
    <mergeCell ref="Q17:R17"/>
    <mergeCell ref="M7:O7"/>
    <mergeCell ref="N9:O9"/>
    <mergeCell ref="P10:R10"/>
    <mergeCell ref="Q19:R20"/>
    <mergeCell ref="B7:B9"/>
    <mergeCell ref="C7:C9"/>
    <mergeCell ref="A10:C10"/>
    <mergeCell ref="P7:P9"/>
    <mergeCell ref="Q7:R9"/>
    <mergeCell ref="Q12:R12"/>
  </mergeCells>
  <printOptions/>
  <pageMargins left="0.31496062992125984" right="0.31496062992125984" top="0.7480314960629921" bottom="0.35433070866141736" header="0.31496062992125984" footer="0.31496062992125984"/>
  <pageSetup horizontalDpi="600" verticalDpi="600" orientation="landscape" paperSize="9" scale="50" r:id="rId1"/>
  <headerFooter>
    <oddHeader>&amp;C&amp;A</oddHeader>
    <oddFooter>&amp;C&amp;A</oddFooter>
  </headerFooter>
</worksheet>
</file>

<file path=xl/worksheets/sheet3.xml><?xml version="1.0" encoding="utf-8"?>
<worksheet xmlns="http://schemas.openxmlformats.org/spreadsheetml/2006/main" xmlns:r="http://schemas.openxmlformats.org/officeDocument/2006/relationships">
  <dimension ref="A1:U71"/>
  <sheetViews>
    <sheetView zoomScale="60" zoomScaleNormal="60" zoomScalePageLayoutView="0" workbookViewId="0" topLeftCell="A1">
      <pane ySplit="9" topLeftCell="A10" activePane="bottomLeft" state="frozen"/>
      <selection pane="topLeft" activeCell="A1" sqref="A1"/>
      <selection pane="bottomLeft" activeCell="A1" sqref="A1:R1"/>
    </sheetView>
  </sheetViews>
  <sheetFormatPr defaultColWidth="9.140625" defaultRowHeight="12.75"/>
  <cols>
    <col min="1" max="1" width="29.140625" style="37" customWidth="1"/>
    <col min="2" max="2" width="10.140625" style="37" customWidth="1"/>
    <col min="3" max="3" width="13.28125" style="18" customWidth="1"/>
    <col min="4" max="4" width="11.8515625" style="18" customWidth="1"/>
    <col min="5" max="6" width="13.28125" style="18" customWidth="1"/>
    <col min="7" max="7" width="11.421875" style="18" customWidth="1"/>
    <col min="8" max="8" width="13.28125" style="18" customWidth="1"/>
    <col min="9" max="9" width="16.00390625" style="18" customWidth="1"/>
    <col min="10" max="10" width="11.28125" style="18" customWidth="1"/>
    <col min="11" max="12" width="13.28125" style="18" customWidth="1"/>
    <col min="13" max="13" width="10.7109375" style="284" customWidth="1"/>
    <col min="14" max="14" width="13.57421875" style="284" customWidth="1"/>
    <col min="15" max="15" width="15.00390625" style="284" customWidth="1"/>
    <col min="16" max="16" width="33.7109375" style="18" customWidth="1"/>
    <col min="17" max="17" width="20.00390625" style="18" customWidth="1"/>
    <col min="18" max="18" width="23.28125" style="18" customWidth="1"/>
    <col min="19" max="20" width="9.140625" style="232" hidden="1" customWidth="1"/>
    <col min="21" max="16384" width="9.140625" style="18" customWidth="1"/>
  </cols>
  <sheetData>
    <row r="1" spans="1:18" ht="50.25" customHeight="1">
      <c r="A1" s="419" t="s">
        <v>221</v>
      </c>
      <c r="B1" s="419"/>
      <c r="C1" s="419"/>
      <c r="D1" s="419"/>
      <c r="E1" s="419"/>
      <c r="F1" s="419"/>
      <c r="G1" s="419"/>
      <c r="H1" s="419"/>
      <c r="I1" s="419"/>
      <c r="J1" s="419"/>
      <c r="K1" s="419"/>
      <c r="L1" s="419"/>
      <c r="M1" s="419"/>
      <c r="N1" s="419"/>
      <c r="O1" s="419"/>
      <c r="P1" s="419"/>
      <c r="Q1" s="419"/>
      <c r="R1" s="419"/>
    </row>
    <row r="2" spans="1:18" ht="33" customHeight="1">
      <c r="A2" s="366" t="s">
        <v>156</v>
      </c>
      <c r="B2" s="366"/>
      <c r="C2" s="366"/>
      <c r="D2" s="366"/>
      <c r="E2" s="366"/>
      <c r="F2" s="366"/>
      <c r="G2" s="366"/>
      <c r="H2" s="366"/>
      <c r="I2" s="366"/>
      <c r="J2" s="366"/>
      <c r="K2" s="366"/>
      <c r="L2" s="366"/>
      <c r="M2" s="366"/>
      <c r="N2" s="366"/>
      <c r="O2" s="366"/>
      <c r="P2" s="366"/>
      <c r="Q2" s="366"/>
      <c r="R2" s="366"/>
    </row>
    <row r="3" spans="1:20" s="153" customFormat="1" ht="23.25" customHeight="1">
      <c r="A3" s="376" t="s">
        <v>131</v>
      </c>
      <c r="B3" s="376"/>
      <c r="C3" s="376"/>
      <c r="D3" s="376"/>
      <c r="E3" s="376"/>
      <c r="F3" s="376"/>
      <c r="G3" s="376"/>
      <c r="H3" s="376"/>
      <c r="I3" s="376"/>
      <c r="J3" s="376"/>
      <c r="K3" s="152"/>
      <c r="L3" s="152"/>
      <c r="M3" s="152"/>
      <c r="N3" s="152"/>
      <c r="O3" s="152"/>
      <c r="P3" s="152"/>
      <c r="Q3" s="152"/>
      <c r="R3" s="152"/>
      <c r="S3" s="233"/>
      <c r="T3" s="233"/>
    </row>
    <row r="4" spans="1:20" s="153" customFormat="1" ht="23.25" customHeight="1">
      <c r="A4" s="283"/>
      <c r="B4" s="237"/>
      <c r="C4" s="237"/>
      <c r="D4" s="237"/>
      <c r="E4" s="238"/>
      <c r="F4" s="238" t="s">
        <v>126</v>
      </c>
      <c r="G4" s="237">
        <f>rez_rād!D30</f>
        <v>10</v>
      </c>
      <c r="H4" s="237"/>
      <c r="I4" s="237"/>
      <c r="J4" s="237"/>
      <c r="K4" s="152"/>
      <c r="L4" s="152"/>
      <c r="M4" s="152"/>
      <c r="N4" s="152"/>
      <c r="O4" s="152"/>
      <c r="P4" s="152"/>
      <c r="Q4" s="152"/>
      <c r="R4" s="152"/>
      <c r="S4" s="233"/>
      <c r="T4" s="233"/>
    </row>
    <row r="5" spans="1:20" s="153" customFormat="1" ht="23.25" customHeight="1">
      <c r="A5" s="283"/>
      <c r="B5" s="237"/>
      <c r="C5" s="237"/>
      <c r="D5" s="237"/>
      <c r="E5" s="238"/>
      <c r="F5" s="238" t="s">
        <v>127</v>
      </c>
      <c r="G5" s="237">
        <f>rez_rād!F30</f>
        <v>8</v>
      </c>
      <c r="H5" s="237"/>
      <c r="I5" s="237"/>
      <c r="J5" s="237"/>
      <c r="K5" s="152"/>
      <c r="L5" s="152"/>
      <c r="M5" s="152"/>
      <c r="N5" s="152"/>
      <c r="O5" s="152"/>
      <c r="P5" s="152"/>
      <c r="Q5" s="152"/>
      <c r="R5" s="152"/>
      <c r="S5" s="233"/>
      <c r="T5" s="233"/>
    </row>
    <row r="6" spans="1:18" ht="12.75" customHeight="1" thickBot="1">
      <c r="A6" s="88"/>
      <c r="B6" s="88"/>
      <c r="C6" s="88"/>
      <c r="D6" s="88"/>
      <c r="E6" s="88"/>
      <c r="F6" s="88"/>
      <c r="G6" s="88"/>
      <c r="H6" s="88"/>
      <c r="I6" s="88"/>
      <c r="J6" s="88"/>
      <c r="K6" s="88"/>
      <c r="L6" s="88"/>
      <c r="M6" s="88"/>
      <c r="N6" s="88"/>
      <c r="O6" s="88"/>
      <c r="P6" s="88"/>
      <c r="Q6" s="88"/>
      <c r="R6" s="88"/>
    </row>
    <row r="7" spans="1:20" s="37" customFormat="1" ht="68.25" customHeight="1">
      <c r="A7" s="377" t="s">
        <v>93</v>
      </c>
      <c r="B7" s="338" t="s">
        <v>94</v>
      </c>
      <c r="C7" s="341" t="s">
        <v>95</v>
      </c>
      <c r="D7" s="357" t="s">
        <v>139</v>
      </c>
      <c r="E7" s="358"/>
      <c r="F7" s="359"/>
      <c r="G7" s="357" t="s">
        <v>140</v>
      </c>
      <c r="H7" s="358"/>
      <c r="I7" s="359"/>
      <c r="J7" s="357" t="s">
        <v>141</v>
      </c>
      <c r="K7" s="358"/>
      <c r="L7" s="359"/>
      <c r="M7" s="327" t="s">
        <v>97</v>
      </c>
      <c r="N7" s="328"/>
      <c r="O7" s="328"/>
      <c r="P7" s="346" t="s">
        <v>21</v>
      </c>
      <c r="Q7" s="349" t="s">
        <v>51</v>
      </c>
      <c r="R7" s="350"/>
      <c r="S7" s="232"/>
      <c r="T7" s="232"/>
    </row>
    <row r="8" spans="1:20" s="37" customFormat="1" ht="62.25" customHeight="1">
      <c r="A8" s="378"/>
      <c r="B8" s="339"/>
      <c r="C8" s="342"/>
      <c r="D8" s="360" t="s">
        <v>99</v>
      </c>
      <c r="E8" s="176" t="s">
        <v>43</v>
      </c>
      <c r="F8" s="54" t="s">
        <v>116</v>
      </c>
      <c r="G8" s="360" t="s">
        <v>99</v>
      </c>
      <c r="H8" s="176" t="s">
        <v>43</v>
      </c>
      <c r="I8" s="54" t="s">
        <v>116</v>
      </c>
      <c r="J8" s="360" t="s">
        <v>99</v>
      </c>
      <c r="K8" s="176" t="s">
        <v>43</v>
      </c>
      <c r="L8" s="54" t="s">
        <v>116</v>
      </c>
      <c r="M8" s="362" t="s">
        <v>96</v>
      </c>
      <c r="N8" s="92" t="s">
        <v>43</v>
      </c>
      <c r="O8" s="92" t="s">
        <v>116</v>
      </c>
      <c r="P8" s="347"/>
      <c r="Q8" s="351"/>
      <c r="R8" s="352"/>
      <c r="S8" s="232"/>
      <c r="T8" s="232"/>
    </row>
    <row r="9" spans="1:20" s="37" customFormat="1" ht="15.75" thickBot="1">
      <c r="A9" s="379"/>
      <c r="B9" s="340"/>
      <c r="C9" s="343"/>
      <c r="D9" s="361"/>
      <c r="E9" s="420" t="s">
        <v>3</v>
      </c>
      <c r="F9" s="421"/>
      <c r="G9" s="361"/>
      <c r="H9" s="420" t="s">
        <v>3</v>
      </c>
      <c r="I9" s="421"/>
      <c r="J9" s="361"/>
      <c r="K9" s="420" t="s">
        <v>3</v>
      </c>
      <c r="L9" s="421"/>
      <c r="M9" s="363"/>
      <c r="N9" s="329" t="s">
        <v>3</v>
      </c>
      <c r="O9" s="330"/>
      <c r="P9" s="348"/>
      <c r="Q9" s="353"/>
      <c r="R9" s="354"/>
      <c r="S9" s="232"/>
      <c r="T9" s="232"/>
    </row>
    <row r="10" spans="1:20" s="37" customFormat="1" ht="34.5" customHeight="1" thickBot="1">
      <c r="A10" s="344" t="s">
        <v>23</v>
      </c>
      <c r="B10" s="345"/>
      <c r="C10" s="345"/>
      <c r="D10" s="147" t="s">
        <v>76</v>
      </c>
      <c r="E10" s="177">
        <f>SUM(E11:E20)</f>
        <v>2535.5706041666663</v>
      </c>
      <c r="F10" s="148">
        <f>SUM(F11:F20)</f>
        <v>30426.847250000003</v>
      </c>
      <c r="G10" s="147" t="s">
        <v>76</v>
      </c>
      <c r="H10" s="177">
        <f>SUM(H11:H20)</f>
        <v>4247.6721333333335</v>
      </c>
      <c r="I10" s="148">
        <f>SUM(I11:I20)</f>
        <v>40863.26559999999</v>
      </c>
      <c r="J10" s="147" t="s">
        <v>76</v>
      </c>
      <c r="K10" s="177">
        <f>SUM(K11:K20)</f>
        <v>3213.9382</v>
      </c>
      <c r="L10" s="148">
        <f>SUM(L11:L20)</f>
        <v>32670.458399999996</v>
      </c>
      <c r="M10" s="149" t="s">
        <v>76</v>
      </c>
      <c r="N10" s="150">
        <f>SUM(N11:N20)</f>
        <v>9997.1809375</v>
      </c>
      <c r="O10" s="150">
        <f>SUM(O11:O20)</f>
        <v>103960.57125</v>
      </c>
      <c r="P10" s="331"/>
      <c r="Q10" s="332"/>
      <c r="R10" s="333"/>
      <c r="S10" s="232"/>
      <c r="T10" s="232"/>
    </row>
    <row r="11" spans="1:21" ht="279.75" customHeight="1">
      <c r="A11" s="60" t="s">
        <v>40</v>
      </c>
      <c r="B11" s="55" t="s">
        <v>41</v>
      </c>
      <c r="C11" s="59">
        <f>1093*1.2409</f>
        <v>1356.3037</v>
      </c>
      <c r="D11" s="61">
        <f>1/3</f>
        <v>0.3333333333333333</v>
      </c>
      <c r="E11" s="178">
        <f>C11*D11</f>
        <v>452.1012333333333</v>
      </c>
      <c r="F11" s="193">
        <f aca="true" t="shared" si="0" ref="F11:F17">E11*12</f>
        <v>5425.2148</v>
      </c>
      <c r="G11" s="186">
        <f>1/3</f>
        <v>0.3333333333333333</v>
      </c>
      <c r="H11" s="208">
        <f>C11*G11</f>
        <v>452.1012333333333</v>
      </c>
      <c r="I11" s="204">
        <f>H11*12</f>
        <v>5425.2148</v>
      </c>
      <c r="J11" s="63">
        <f>1/3</f>
        <v>0.3333333333333333</v>
      </c>
      <c r="K11" s="208">
        <f>C11*J11</f>
        <v>452.1012333333333</v>
      </c>
      <c r="L11" s="220">
        <f>K11*12</f>
        <v>5425.2148</v>
      </c>
      <c r="M11" s="65">
        <f>D11+G11+J11</f>
        <v>1</v>
      </c>
      <c r="N11" s="74">
        <f>E11+H11+K11</f>
        <v>1356.3037</v>
      </c>
      <c r="O11" s="74">
        <f>M11*C11*12</f>
        <v>16275.6444</v>
      </c>
      <c r="P11" s="389" t="s">
        <v>174</v>
      </c>
      <c r="Q11" s="391" t="s">
        <v>142</v>
      </c>
      <c r="R11" s="392"/>
      <c r="S11" s="234">
        <f>O11-F11-I11-L11</f>
        <v>0</v>
      </c>
      <c r="T11" s="234">
        <f>ROUND(S11,2)</f>
        <v>0</v>
      </c>
      <c r="U11" s="18" t="str">
        <f>IF(T11=0," ",FALSE)</f>
        <v> </v>
      </c>
    </row>
    <row r="12" spans="1:21" ht="190.5" customHeight="1">
      <c r="A12" s="58" t="s">
        <v>42</v>
      </c>
      <c r="B12" s="56" t="s">
        <v>41</v>
      </c>
      <c r="C12" s="82">
        <f>1093*1.2409</f>
        <v>1356.3037</v>
      </c>
      <c r="D12" s="62">
        <f>1/3</f>
        <v>0.3333333333333333</v>
      </c>
      <c r="E12" s="179">
        <f>C12*D12</f>
        <v>452.1012333333333</v>
      </c>
      <c r="F12" s="185">
        <f t="shared" si="0"/>
        <v>5425.2148</v>
      </c>
      <c r="G12" s="187">
        <f>1/3</f>
        <v>0.3333333333333333</v>
      </c>
      <c r="H12" s="209">
        <f>C12*G12</f>
        <v>452.1012333333333</v>
      </c>
      <c r="I12" s="185">
        <f>H12*12</f>
        <v>5425.2148</v>
      </c>
      <c r="J12" s="64">
        <f>1/3</f>
        <v>0.3333333333333333</v>
      </c>
      <c r="K12" s="209">
        <f>C12*J12</f>
        <v>452.1012333333333</v>
      </c>
      <c r="L12" s="221">
        <f>K12*12</f>
        <v>5425.2148</v>
      </c>
      <c r="M12" s="66">
        <f>D12+G12+J12</f>
        <v>1</v>
      </c>
      <c r="N12" s="73">
        <f>E12+H12+K12</f>
        <v>1356.3037</v>
      </c>
      <c r="O12" s="73">
        <f>M12*C12*12</f>
        <v>16275.6444</v>
      </c>
      <c r="P12" s="390"/>
      <c r="Q12" s="355" t="s">
        <v>143</v>
      </c>
      <c r="R12" s="356"/>
      <c r="S12" s="234">
        <f>O12-F12-I12-L12</f>
        <v>0</v>
      </c>
      <c r="T12" s="234">
        <f aca="true" t="shared" si="1" ref="T12:T41">ROUND(S12,2)</f>
        <v>0</v>
      </c>
      <c r="U12" s="18" t="str">
        <f aca="true" t="shared" si="2" ref="U12:U39">IF(T12=0," ",FALSE)</f>
        <v> </v>
      </c>
    </row>
    <row r="13" spans="1:20" s="37" customFormat="1" ht="135" customHeight="1">
      <c r="A13" s="58" t="s">
        <v>8</v>
      </c>
      <c r="B13" s="71" t="s">
        <v>41</v>
      </c>
      <c r="C13" s="80">
        <f>996*1.2409</f>
        <v>1235.9363999999998</v>
      </c>
      <c r="D13" s="67">
        <v>0.25</v>
      </c>
      <c r="E13" s="180">
        <f>C13*D13</f>
        <v>308.98409999999996</v>
      </c>
      <c r="F13" s="185">
        <f t="shared" si="0"/>
        <v>3707.8091999999997</v>
      </c>
      <c r="G13" s="188" t="s">
        <v>76</v>
      </c>
      <c r="H13" s="210" t="s">
        <v>76</v>
      </c>
      <c r="I13" s="210" t="s">
        <v>76</v>
      </c>
      <c r="J13" s="81" t="s">
        <v>76</v>
      </c>
      <c r="K13" s="210" t="s">
        <v>76</v>
      </c>
      <c r="L13" s="80" t="s">
        <v>76</v>
      </c>
      <c r="M13" s="72">
        <f>D13</f>
        <v>0.25</v>
      </c>
      <c r="N13" s="75">
        <f>E13</f>
        <v>308.98409999999996</v>
      </c>
      <c r="O13" s="75">
        <f>M13*C13*12</f>
        <v>3707.8091999999997</v>
      </c>
      <c r="P13" s="31" t="s">
        <v>175</v>
      </c>
      <c r="Q13" s="367" t="s">
        <v>144</v>
      </c>
      <c r="R13" s="368"/>
      <c r="S13" s="234">
        <f>F13-O13</f>
        <v>0</v>
      </c>
      <c r="T13" s="234">
        <f t="shared" si="1"/>
        <v>0</v>
      </c>
    </row>
    <row r="14" spans="1:20" s="37" customFormat="1" ht="135" customHeight="1">
      <c r="A14" s="58" t="s">
        <v>9</v>
      </c>
      <c r="B14" s="71" t="s">
        <v>41</v>
      </c>
      <c r="C14" s="80">
        <f>899*1.2409</f>
        <v>1115.5691</v>
      </c>
      <c r="D14" s="67">
        <v>0.25</v>
      </c>
      <c r="E14" s="180">
        <f>C14*D14</f>
        <v>278.892275</v>
      </c>
      <c r="F14" s="185">
        <f t="shared" si="0"/>
        <v>3346.7073</v>
      </c>
      <c r="G14" s="188" t="s">
        <v>76</v>
      </c>
      <c r="H14" s="210" t="s">
        <v>76</v>
      </c>
      <c r="I14" s="210" t="s">
        <v>76</v>
      </c>
      <c r="J14" s="81" t="s">
        <v>76</v>
      </c>
      <c r="K14" s="210" t="s">
        <v>76</v>
      </c>
      <c r="L14" s="80" t="s">
        <v>76</v>
      </c>
      <c r="M14" s="72">
        <f>D14</f>
        <v>0.25</v>
      </c>
      <c r="N14" s="75">
        <f>E14</f>
        <v>278.892275</v>
      </c>
      <c r="O14" s="75">
        <f>M14*C14*12</f>
        <v>3346.7073</v>
      </c>
      <c r="P14" s="31" t="s">
        <v>176</v>
      </c>
      <c r="Q14" s="369"/>
      <c r="R14" s="370"/>
      <c r="S14" s="234">
        <f>F14-O14</f>
        <v>0</v>
      </c>
      <c r="T14" s="234">
        <f t="shared" si="1"/>
        <v>0</v>
      </c>
    </row>
    <row r="15" spans="1:21" s="37" customFormat="1" ht="247.5" customHeight="1">
      <c r="A15" s="57" t="s">
        <v>98</v>
      </c>
      <c r="B15" s="56" t="s">
        <v>7</v>
      </c>
      <c r="C15" s="80">
        <f>(C11+C12+C13+C14)/168</f>
        <v>30.14352916666666</v>
      </c>
      <c r="D15" s="68">
        <v>18</v>
      </c>
      <c r="E15" s="179">
        <f>C15*D15*0.5</f>
        <v>271.29176249999995</v>
      </c>
      <c r="F15" s="185">
        <f t="shared" si="0"/>
        <v>3255.501149999999</v>
      </c>
      <c r="G15" s="187" t="s">
        <v>76</v>
      </c>
      <c r="H15" s="211" t="s">
        <v>76</v>
      </c>
      <c r="I15" s="211" t="s">
        <v>76</v>
      </c>
      <c r="J15" s="64" t="s">
        <v>76</v>
      </c>
      <c r="K15" s="211" t="s">
        <v>76</v>
      </c>
      <c r="L15" s="80" t="s">
        <v>76</v>
      </c>
      <c r="M15" s="69" t="s">
        <v>76</v>
      </c>
      <c r="N15" s="73">
        <f>E15</f>
        <v>271.29176249999995</v>
      </c>
      <c r="O15" s="73">
        <f>N15*12</f>
        <v>3255.501149999999</v>
      </c>
      <c r="P15" s="246" t="s">
        <v>177</v>
      </c>
      <c r="Q15" s="371"/>
      <c r="R15" s="372"/>
      <c r="S15" s="234">
        <f>F15-O15</f>
        <v>0</v>
      </c>
      <c r="T15" s="234">
        <f t="shared" si="1"/>
        <v>0</v>
      </c>
      <c r="U15" s="37" t="str">
        <f t="shared" si="2"/>
        <v> </v>
      </c>
    </row>
    <row r="16" spans="1:21" s="37" customFormat="1" ht="114" customHeight="1">
      <c r="A16" s="58" t="s">
        <v>100</v>
      </c>
      <c r="B16" s="56" t="s">
        <v>7</v>
      </c>
      <c r="C16" s="82">
        <v>23.4</v>
      </c>
      <c r="D16" s="70">
        <v>3</v>
      </c>
      <c r="E16" s="179">
        <f>C16*D16</f>
        <v>70.19999999999999</v>
      </c>
      <c r="F16" s="185">
        <f t="shared" si="0"/>
        <v>842.3999999999999</v>
      </c>
      <c r="G16" s="187" t="s">
        <v>76</v>
      </c>
      <c r="H16" s="211" t="s">
        <v>76</v>
      </c>
      <c r="I16" s="211" t="s">
        <v>76</v>
      </c>
      <c r="J16" s="64" t="s">
        <v>76</v>
      </c>
      <c r="K16" s="211" t="s">
        <v>76</v>
      </c>
      <c r="L16" s="80" t="s">
        <v>76</v>
      </c>
      <c r="M16" s="76">
        <v>1</v>
      </c>
      <c r="N16" s="77">
        <f>E16</f>
        <v>70.19999999999999</v>
      </c>
      <c r="O16" s="73">
        <f>N16*12</f>
        <v>842.3999999999999</v>
      </c>
      <c r="P16" s="375" t="s">
        <v>178</v>
      </c>
      <c r="Q16" s="373" t="s">
        <v>145</v>
      </c>
      <c r="R16" s="374"/>
      <c r="S16" s="234">
        <f>F16-O16</f>
        <v>0</v>
      </c>
      <c r="T16" s="234">
        <f t="shared" si="1"/>
        <v>0</v>
      </c>
      <c r="U16" s="37" t="str">
        <f t="shared" si="2"/>
        <v> </v>
      </c>
    </row>
    <row r="17" spans="1:21" s="37" customFormat="1" ht="320.25" customHeight="1">
      <c r="A17" s="85" t="s">
        <v>102</v>
      </c>
      <c r="B17" s="86" t="s">
        <v>101</v>
      </c>
      <c r="C17" s="84">
        <v>23.4</v>
      </c>
      <c r="D17" s="70">
        <v>30</v>
      </c>
      <c r="E17" s="179">
        <f>C17*D17</f>
        <v>702</v>
      </c>
      <c r="F17" s="185">
        <f t="shared" si="0"/>
        <v>8424</v>
      </c>
      <c r="G17" s="189">
        <f>2*G4</f>
        <v>20</v>
      </c>
      <c r="H17" s="212">
        <f>C17*G17</f>
        <v>468</v>
      </c>
      <c r="I17" s="205">
        <f>H17*6</f>
        <v>2808</v>
      </c>
      <c r="J17" s="157">
        <f>2*G5</f>
        <v>16</v>
      </c>
      <c r="K17" s="212">
        <f>J17*C17</f>
        <v>374.4</v>
      </c>
      <c r="L17" s="165">
        <f>K17*6</f>
        <v>2246.3999999999996</v>
      </c>
      <c r="M17" s="78">
        <f>D17+G17+J17</f>
        <v>66</v>
      </c>
      <c r="N17" s="90">
        <f>E17+H17+K17</f>
        <v>1544.4</v>
      </c>
      <c r="O17" s="73">
        <f>(E17*12)+(H17*6)+(K17*6)</f>
        <v>13478.4</v>
      </c>
      <c r="P17" s="375"/>
      <c r="Q17" s="373" t="s">
        <v>146</v>
      </c>
      <c r="R17" s="374"/>
      <c r="S17" s="234">
        <f>O17-F17-I17-L17</f>
        <v>0</v>
      </c>
      <c r="T17" s="234">
        <f t="shared" si="1"/>
        <v>0</v>
      </c>
      <c r="U17" s="37" t="str">
        <f t="shared" si="2"/>
        <v> </v>
      </c>
    </row>
    <row r="18" spans="1:21" s="37" customFormat="1" ht="233.25" customHeight="1">
      <c r="A18" s="93" t="s">
        <v>22</v>
      </c>
      <c r="B18" s="86" t="s">
        <v>41</v>
      </c>
      <c r="C18" s="87">
        <f>802*1.2409</f>
        <v>995.2017999999999</v>
      </c>
      <c r="D18" s="83" t="s">
        <v>76</v>
      </c>
      <c r="E18" s="173" t="s">
        <v>76</v>
      </c>
      <c r="F18" s="84" t="s">
        <v>76</v>
      </c>
      <c r="G18" s="190">
        <f>3/(G4+G5)*G4</f>
        <v>1.6666666666666665</v>
      </c>
      <c r="H18" s="213">
        <f>C18*G18</f>
        <v>1658.6696666666664</v>
      </c>
      <c r="I18" s="206">
        <f>H18*12</f>
        <v>19904.035999999996</v>
      </c>
      <c r="J18" s="155">
        <f>3/(G4+G5)*G5</f>
        <v>1.3333333333333333</v>
      </c>
      <c r="K18" s="212">
        <f>J18*C18</f>
        <v>1326.9357333333332</v>
      </c>
      <c r="L18" s="165">
        <f>K18*12</f>
        <v>15923.228799999999</v>
      </c>
      <c r="M18" s="66">
        <f>G18+J18</f>
        <v>3</v>
      </c>
      <c r="N18" s="73">
        <f>H18+K18</f>
        <v>2985.6053999999995</v>
      </c>
      <c r="O18" s="73">
        <f>N18*12</f>
        <v>35827.26479999999</v>
      </c>
      <c r="P18" s="247" t="s">
        <v>179</v>
      </c>
      <c r="Q18" s="334" t="s">
        <v>153</v>
      </c>
      <c r="R18" s="335"/>
      <c r="S18" s="234">
        <f>I18+L18-O18</f>
        <v>0</v>
      </c>
      <c r="T18" s="234">
        <f t="shared" si="1"/>
        <v>0</v>
      </c>
      <c r="U18" s="37" t="str">
        <f t="shared" si="2"/>
        <v> </v>
      </c>
    </row>
    <row r="19" spans="1:21" s="37" customFormat="1" ht="142.5" customHeight="1">
      <c r="A19" s="97" t="s">
        <v>78</v>
      </c>
      <c r="B19" s="94" t="s">
        <v>7</v>
      </c>
      <c r="C19" s="91">
        <f>23.4*2</f>
        <v>46.8</v>
      </c>
      <c r="D19" s="83" t="s">
        <v>76</v>
      </c>
      <c r="E19" s="173" t="s">
        <v>76</v>
      </c>
      <c r="F19" s="84" t="s">
        <v>76</v>
      </c>
      <c r="G19" s="191">
        <f>((26*2)/180*30)*2</f>
        <v>17.333333333333332</v>
      </c>
      <c r="H19" s="89">
        <f>C19*G19</f>
        <v>811.1999999999999</v>
      </c>
      <c r="I19" s="206">
        <f>H19*6</f>
        <v>4867.2</v>
      </c>
      <c r="J19" s="191">
        <f>(26*2)/180*30</f>
        <v>8.666666666666666</v>
      </c>
      <c r="K19" s="89">
        <f>C19*J19</f>
        <v>405.59999999999997</v>
      </c>
      <c r="L19" s="206">
        <f>K19*6</f>
        <v>2433.6</v>
      </c>
      <c r="M19" s="69">
        <f>G19+J19</f>
        <v>26</v>
      </c>
      <c r="N19" s="73">
        <f>M19*C19</f>
        <v>1216.8</v>
      </c>
      <c r="O19" s="73">
        <f>N19*6</f>
        <v>7300.799999999999</v>
      </c>
      <c r="P19" s="364" t="s">
        <v>180</v>
      </c>
      <c r="Q19" s="334" t="s">
        <v>154</v>
      </c>
      <c r="R19" s="335"/>
      <c r="S19" s="234">
        <f>I19+L19-O19</f>
        <v>0</v>
      </c>
      <c r="T19" s="234">
        <f t="shared" si="1"/>
        <v>0</v>
      </c>
      <c r="U19" s="37" t="str">
        <f t="shared" si="2"/>
        <v> </v>
      </c>
    </row>
    <row r="20" spans="1:21" s="37" customFormat="1" ht="112.5" customHeight="1" thickBot="1">
      <c r="A20" s="98" t="s">
        <v>79</v>
      </c>
      <c r="B20" s="95" t="s">
        <v>7</v>
      </c>
      <c r="C20" s="96">
        <f>23.4*2</f>
        <v>46.8</v>
      </c>
      <c r="D20" s="99" t="s">
        <v>76</v>
      </c>
      <c r="E20" s="174" t="s">
        <v>76</v>
      </c>
      <c r="F20" s="100" t="s">
        <v>76</v>
      </c>
      <c r="G20" s="192">
        <f>(26/180*30)*2</f>
        <v>8.666666666666666</v>
      </c>
      <c r="H20" s="101">
        <f>C20*G20</f>
        <v>405.59999999999997</v>
      </c>
      <c r="I20" s="207">
        <f>H20*6</f>
        <v>2433.6</v>
      </c>
      <c r="J20" s="192">
        <f>26/180*30</f>
        <v>4.333333333333333</v>
      </c>
      <c r="K20" s="101">
        <f>C20*J20</f>
        <v>202.79999999999998</v>
      </c>
      <c r="L20" s="207">
        <f>K20*6</f>
        <v>1216.8</v>
      </c>
      <c r="M20" s="111">
        <f>G20+J20</f>
        <v>13</v>
      </c>
      <c r="N20" s="112">
        <f>M20*C20</f>
        <v>608.4</v>
      </c>
      <c r="O20" s="73">
        <f>N20*6</f>
        <v>3650.3999999999996</v>
      </c>
      <c r="P20" s="365"/>
      <c r="Q20" s="336"/>
      <c r="R20" s="337"/>
      <c r="S20" s="234">
        <f>I20+L20-O20</f>
        <v>0</v>
      </c>
      <c r="T20" s="234">
        <f t="shared" si="1"/>
        <v>0</v>
      </c>
      <c r="U20" s="37" t="str">
        <f t="shared" si="2"/>
        <v> </v>
      </c>
    </row>
    <row r="21" spans="1:21" s="37" customFormat="1" ht="53.25" customHeight="1" thickBot="1">
      <c r="A21" s="344" t="s">
        <v>24</v>
      </c>
      <c r="B21" s="345"/>
      <c r="C21" s="396"/>
      <c r="D21" s="147" t="s">
        <v>76</v>
      </c>
      <c r="E21" s="177">
        <f>SUM(E22:E36)</f>
        <v>1111.8433333333335</v>
      </c>
      <c r="F21" s="148">
        <f>SUM(F22:F36)</f>
        <v>13342.12</v>
      </c>
      <c r="G21" s="147" t="s">
        <v>76</v>
      </c>
      <c r="H21" s="177">
        <f>SUM(H22:H36)</f>
        <v>11130.74238095238</v>
      </c>
      <c r="I21" s="148">
        <f>SUM(I22:I36)</f>
        <v>69396.27428571429</v>
      </c>
      <c r="J21" s="147" t="s">
        <v>76</v>
      </c>
      <c r="K21" s="177">
        <f>SUM(K22:K36)</f>
        <v>5328.137619047619</v>
      </c>
      <c r="L21" s="148">
        <f>SUM(L22:L36)</f>
        <v>34280.64571428571</v>
      </c>
      <c r="M21" s="149" t="s">
        <v>76</v>
      </c>
      <c r="N21" s="150">
        <f>SUM(N22:N36)</f>
        <v>17570.72333333333</v>
      </c>
      <c r="O21" s="150">
        <f>SUM(O22:O36)</f>
        <v>117019.04</v>
      </c>
      <c r="P21" s="386"/>
      <c r="Q21" s="387"/>
      <c r="R21" s="388"/>
      <c r="S21" s="234">
        <f>O21-F21-I21-L21</f>
        <v>0</v>
      </c>
      <c r="T21" s="234">
        <f t="shared" si="1"/>
        <v>0</v>
      </c>
      <c r="U21" s="37" t="str">
        <f t="shared" si="2"/>
        <v> </v>
      </c>
    </row>
    <row r="22" spans="1:21" s="37" customFormat="1" ht="65.25" customHeight="1">
      <c r="A22" s="140" t="s">
        <v>46</v>
      </c>
      <c r="B22" s="79" t="s">
        <v>104</v>
      </c>
      <c r="C22" s="105">
        <v>15</v>
      </c>
      <c r="D22" s="70">
        <v>9</v>
      </c>
      <c r="E22" s="179">
        <f>C22*D22</f>
        <v>135</v>
      </c>
      <c r="F22" s="194">
        <f aca="true" t="shared" si="3" ref="F22:F29">E22*12</f>
        <v>1620</v>
      </c>
      <c r="G22" s="61" t="s">
        <v>76</v>
      </c>
      <c r="H22" s="214" t="s">
        <v>76</v>
      </c>
      <c r="I22" s="201" t="s">
        <v>76</v>
      </c>
      <c r="J22" s="63" t="s">
        <v>76</v>
      </c>
      <c r="K22" s="222" t="s">
        <v>76</v>
      </c>
      <c r="L22" s="59" t="s">
        <v>76</v>
      </c>
      <c r="M22" s="106">
        <f>D22</f>
        <v>9</v>
      </c>
      <c r="N22" s="107">
        <f>E22</f>
        <v>135</v>
      </c>
      <c r="O22" s="228">
        <f aca="true" t="shared" si="4" ref="O22:O29">N22*12</f>
        <v>1620</v>
      </c>
      <c r="P22" s="383" t="s">
        <v>103</v>
      </c>
      <c r="Q22" s="384"/>
      <c r="R22" s="385"/>
      <c r="S22" s="234">
        <f>F22-O22</f>
        <v>0</v>
      </c>
      <c r="T22" s="234">
        <f t="shared" si="1"/>
        <v>0</v>
      </c>
      <c r="U22" s="37" t="str">
        <f t="shared" si="2"/>
        <v> </v>
      </c>
    </row>
    <row r="23" spans="1:21" s="37" customFormat="1" ht="39" customHeight="1">
      <c r="A23" s="21" t="s">
        <v>38</v>
      </c>
      <c r="B23" s="19" t="s">
        <v>104</v>
      </c>
      <c r="C23" s="102">
        <f>'1.3..pielik__transp'!J5</f>
        <v>76.65</v>
      </c>
      <c r="D23" s="68">
        <v>9</v>
      </c>
      <c r="E23" s="180">
        <f>C23*D23</f>
        <v>689.85</v>
      </c>
      <c r="F23" s="185">
        <f t="shared" si="3"/>
        <v>8278.2</v>
      </c>
      <c r="G23" s="67" t="s">
        <v>76</v>
      </c>
      <c r="H23" s="210" t="s">
        <v>76</v>
      </c>
      <c r="I23" s="175" t="s">
        <v>76</v>
      </c>
      <c r="J23" s="81" t="s">
        <v>76</v>
      </c>
      <c r="K23" s="182" t="s">
        <v>76</v>
      </c>
      <c r="L23" s="80" t="s">
        <v>76</v>
      </c>
      <c r="M23" s="78">
        <f>D23</f>
        <v>9</v>
      </c>
      <c r="N23" s="75">
        <f>E23</f>
        <v>689.85</v>
      </c>
      <c r="O23" s="229">
        <f t="shared" si="4"/>
        <v>8278.2</v>
      </c>
      <c r="P23" s="393" t="s">
        <v>157</v>
      </c>
      <c r="Q23" s="394"/>
      <c r="R23" s="395"/>
      <c r="S23" s="234">
        <f>F23-O23</f>
        <v>0</v>
      </c>
      <c r="T23" s="234">
        <f t="shared" si="1"/>
        <v>0</v>
      </c>
      <c r="U23" s="37" t="str">
        <f t="shared" si="2"/>
        <v> </v>
      </c>
    </row>
    <row r="24" spans="1:21" s="37" customFormat="1" ht="78" customHeight="1">
      <c r="A24" s="21" t="s">
        <v>105</v>
      </c>
      <c r="B24" s="19" t="s">
        <v>106</v>
      </c>
      <c r="C24" s="102">
        <v>50</v>
      </c>
      <c r="D24" s="161" t="s">
        <v>76</v>
      </c>
      <c r="E24" s="181">
        <f>(C24*M24)/3</f>
        <v>16.666666666666668</v>
      </c>
      <c r="F24" s="185">
        <f t="shared" si="3"/>
        <v>200</v>
      </c>
      <c r="G24" s="162" t="s">
        <v>76</v>
      </c>
      <c r="H24" s="249">
        <f>E24</f>
        <v>16.666666666666668</v>
      </c>
      <c r="I24" s="200">
        <f>H24*12</f>
        <v>200</v>
      </c>
      <c r="J24" s="162" t="s">
        <v>76</v>
      </c>
      <c r="K24" s="223">
        <f>H24</f>
        <v>16.666666666666668</v>
      </c>
      <c r="L24" s="154">
        <f>K24*12</f>
        <v>200</v>
      </c>
      <c r="M24" s="69">
        <v>1</v>
      </c>
      <c r="N24" s="73">
        <f>M24*C24</f>
        <v>50</v>
      </c>
      <c r="O24" s="230">
        <f t="shared" si="4"/>
        <v>600</v>
      </c>
      <c r="P24" s="393" t="s">
        <v>132</v>
      </c>
      <c r="Q24" s="394"/>
      <c r="R24" s="395"/>
      <c r="S24" s="234">
        <f>O24-F24-I24-L24</f>
        <v>0</v>
      </c>
      <c r="T24" s="234">
        <f t="shared" si="1"/>
        <v>0</v>
      </c>
      <c r="U24" s="37" t="str">
        <f t="shared" si="2"/>
        <v> </v>
      </c>
    </row>
    <row r="25" spans="1:21" s="37" customFormat="1" ht="78" customHeight="1">
      <c r="A25" s="31" t="s">
        <v>113</v>
      </c>
      <c r="B25" s="19" t="s">
        <v>111</v>
      </c>
      <c r="C25" s="102">
        <v>5</v>
      </c>
      <c r="D25" s="161" t="s">
        <v>76</v>
      </c>
      <c r="E25" s="181">
        <f>(C25*M25)/3</f>
        <v>1.6666666666666667</v>
      </c>
      <c r="F25" s="185">
        <f t="shared" si="3"/>
        <v>20</v>
      </c>
      <c r="G25" s="162" t="s">
        <v>76</v>
      </c>
      <c r="H25" s="250">
        <f>E25</f>
        <v>1.6666666666666667</v>
      </c>
      <c r="I25" s="200">
        <f>H25*12</f>
        <v>20</v>
      </c>
      <c r="J25" s="162" t="s">
        <v>76</v>
      </c>
      <c r="K25" s="223">
        <f>H25</f>
        <v>1.6666666666666667</v>
      </c>
      <c r="L25" s="154">
        <f>K25*12</f>
        <v>20</v>
      </c>
      <c r="M25" s="69">
        <v>1</v>
      </c>
      <c r="N25" s="73">
        <f>M25*C25</f>
        <v>5</v>
      </c>
      <c r="O25" s="230">
        <f t="shared" si="4"/>
        <v>60</v>
      </c>
      <c r="P25" s="397" t="s">
        <v>133</v>
      </c>
      <c r="Q25" s="397"/>
      <c r="R25" s="398"/>
      <c r="S25" s="234">
        <f>O25-F25-I25-L25</f>
        <v>0</v>
      </c>
      <c r="T25" s="234">
        <f t="shared" si="1"/>
        <v>0</v>
      </c>
      <c r="U25" s="37" t="str">
        <f t="shared" si="2"/>
        <v> </v>
      </c>
    </row>
    <row r="26" spans="1:21" s="37" customFormat="1" ht="78" customHeight="1">
      <c r="A26" s="21" t="s">
        <v>110</v>
      </c>
      <c r="B26" s="19" t="s">
        <v>106</v>
      </c>
      <c r="C26" s="102">
        <v>50</v>
      </c>
      <c r="D26" s="161" t="s">
        <v>76</v>
      </c>
      <c r="E26" s="181">
        <f>(C26*M26)/3</f>
        <v>50</v>
      </c>
      <c r="F26" s="185">
        <f t="shared" si="3"/>
        <v>600</v>
      </c>
      <c r="G26" s="162" t="s">
        <v>76</v>
      </c>
      <c r="H26" s="249">
        <f>E26</f>
        <v>50</v>
      </c>
      <c r="I26" s="200">
        <f>H26*12</f>
        <v>600</v>
      </c>
      <c r="J26" s="162" t="s">
        <v>76</v>
      </c>
      <c r="K26" s="223">
        <f>H26</f>
        <v>50</v>
      </c>
      <c r="L26" s="154">
        <f>K26*12</f>
        <v>600</v>
      </c>
      <c r="M26" s="69">
        <v>3</v>
      </c>
      <c r="N26" s="73">
        <f>M26*C26</f>
        <v>150</v>
      </c>
      <c r="O26" s="230">
        <f t="shared" si="4"/>
        <v>1800</v>
      </c>
      <c r="P26" s="393" t="s">
        <v>151</v>
      </c>
      <c r="Q26" s="394"/>
      <c r="R26" s="395"/>
      <c r="S26" s="234">
        <f>O26-F26-I26-L26</f>
        <v>0</v>
      </c>
      <c r="T26" s="234">
        <f t="shared" si="1"/>
        <v>0</v>
      </c>
      <c r="U26" s="37" t="str">
        <f t="shared" si="2"/>
        <v> </v>
      </c>
    </row>
    <row r="27" spans="1:20" s="37" customFormat="1" ht="78" customHeight="1">
      <c r="A27" s="21" t="s">
        <v>183</v>
      </c>
      <c r="B27" s="19" t="s">
        <v>106</v>
      </c>
      <c r="C27" s="102">
        <v>50</v>
      </c>
      <c r="D27" s="161" t="s">
        <v>76</v>
      </c>
      <c r="E27" s="181">
        <v>0</v>
      </c>
      <c r="F27" s="185">
        <f t="shared" si="3"/>
        <v>0</v>
      </c>
      <c r="G27" s="162" t="s">
        <v>76</v>
      </c>
      <c r="H27" s="213">
        <f>I27/12</f>
        <v>250</v>
      </c>
      <c r="I27" s="200">
        <f>G4*C27*6</f>
        <v>3000</v>
      </c>
      <c r="J27" s="162" t="s">
        <v>76</v>
      </c>
      <c r="K27" s="223">
        <f>L27/12</f>
        <v>200</v>
      </c>
      <c r="L27" s="154">
        <f>G5*C27*6</f>
        <v>2400</v>
      </c>
      <c r="M27" s="69">
        <f>G4+G5</f>
        <v>18</v>
      </c>
      <c r="N27" s="73">
        <f>H27+K27</f>
        <v>450</v>
      </c>
      <c r="O27" s="230">
        <f>N27*12</f>
        <v>5400</v>
      </c>
      <c r="P27" s="393" t="s">
        <v>182</v>
      </c>
      <c r="Q27" s="394"/>
      <c r="R27" s="395"/>
      <c r="S27" s="234"/>
      <c r="T27" s="234"/>
    </row>
    <row r="28" spans="1:21" s="37" customFormat="1" ht="78" customHeight="1">
      <c r="A28" s="31" t="s">
        <v>112</v>
      </c>
      <c r="B28" s="19" t="s">
        <v>111</v>
      </c>
      <c r="C28" s="102">
        <v>5</v>
      </c>
      <c r="D28" s="161" t="s">
        <v>76</v>
      </c>
      <c r="E28" s="181">
        <f>(C28*M28)/3</f>
        <v>5</v>
      </c>
      <c r="F28" s="185">
        <f t="shared" si="3"/>
        <v>60</v>
      </c>
      <c r="G28" s="162" t="s">
        <v>76</v>
      </c>
      <c r="H28" s="250">
        <f>E28</f>
        <v>5</v>
      </c>
      <c r="I28" s="200">
        <f>H28*12</f>
        <v>60</v>
      </c>
      <c r="J28" s="162" t="s">
        <v>76</v>
      </c>
      <c r="K28" s="223">
        <f>H28</f>
        <v>5</v>
      </c>
      <c r="L28" s="154">
        <f>K28*12</f>
        <v>60</v>
      </c>
      <c r="M28" s="69">
        <v>3</v>
      </c>
      <c r="N28" s="73">
        <f>M28*C28</f>
        <v>15</v>
      </c>
      <c r="O28" s="230">
        <f t="shared" si="4"/>
        <v>180</v>
      </c>
      <c r="P28" s="397" t="s">
        <v>152</v>
      </c>
      <c r="Q28" s="397"/>
      <c r="R28" s="398"/>
      <c r="S28" s="234">
        <f>O28-F28-I28-L28</f>
        <v>0</v>
      </c>
      <c r="T28" s="234">
        <f t="shared" si="1"/>
        <v>0</v>
      </c>
      <c r="U28" s="37" t="str">
        <f t="shared" si="2"/>
        <v> </v>
      </c>
    </row>
    <row r="29" spans="1:21" s="37" customFormat="1" ht="65.25" customHeight="1">
      <c r="A29" s="31" t="s">
        <v>47</v>
      </c>
      <c r="B29" s="9" t="s">
        <v>18</v>
      </c>
      <c r="C29" s="104">
        <v>3</v>
      </c>
      <c r="D29" s="70">
        <f>12</f>
        <v>12</v>
      </c>
      <c r="E29" s="179">
        <f>C29*D29</f>
        <v>36</v>
      </c>
      <c r="F29" s="185">
        <f t="shared" si="3"/>
        <v>432</v>
      </c>
      <c r="G29" s="67" t="s">
        <v>76</v>
      </c>
      <c r="H29" s="210" t="s">
        <v>76</v>
      </c>
      <c r="I29" s="175" t="s">
        <v>76</v>
      </c>
      <c r="J29" s="81" t="s">
        <v>76</v>
      </c>
      <c r="K29" s="182" t="s">
        <v>76</v>
      </c>
      <c r="L29" s="80" t="s">
        <v>76</v>
      </c>
      <c r="M29" s="78">
        <f>D29</f>
        <v>12</v>
      </c>
      <c r="N29" s="75">
        <f>E29</f>
        <v>36</v>
      </c>
      <c r="O29" s="229">
        <f t="shared" si="4"/>
        <v>432</v>
      </c>
      <c r="P29" s="226" t="s">
        <v>108</v>
      </c>
      <c r="Q29" s="382" t="s">
        <v>107</v>
      </c>
      <c r="R29" s="374"/>
      <c r="S29" s="234">
        <f>F29-O29</f>
        <v>0</v>
      </c>
      <c r="T29" s="234">
        <f t="shared" si="1"/>
        <v>0</v>
      </c>
      <c r="U29" s="37" t="str">
        <f t="shared" si="2"/>
        <v> </v>
      </c>
    </row>
    <row r="30" spans="1:21" s="37" customFormat="1" ht="147.75" customHeight="1">
      <c r="A30" s="32" t="s">
        <v>50</v>
      </c>
      <c r="B30" s="20" t="s">
        <v>18</v>
      </c>
      <c r="C30" s="102">
        <v>3</v>
      </c>
      <c r="D30" s="83" t="s">
        <v>76</v>
      </c>
      <c r="E30" s="173" t="s">
        <v>76</v>
      </c>
      <c r="F30" s="195" t="s">
        <v>76</v>
      </c>
      <c r="G30" s="164">
        <f>52/2/6*G4</f>
        <v>43.33333333333333</v>
      </c>
      <c r="H30" s="215">
        <f>G30*C30</f>
        <v>130</v>
      </c>
      <c r="I30" s="199">
        <f>H30*6</f>
        <v>780</v>
      </c>
      <c r="J30" s="164">
        <f>52/2/6*G5</f>
        <v>34.666666666666664</v>
      </c>
      <c r="K30" s="215">
        <f>J30*C30</f>
        <v>104</v>
      </c>
      <c r="L30" s="199">
        <f>K30*6</f>
        <v>624</v>
      </c>
      <c r="M30" s="69">
        <f>G30+J30</f>
        <v>78</v>
      </c>
      <c r="N30" s="73">
        <f>H30+K30</f>
        <v>234</v>
      </c>
      <c r="O30" s="229">
        <f>N30*6</f>
        <v>1404</v>
      </c>
      <c r="P30" s="227" t="s">
        <v>158</v>
      </c>
      <c r="Q30" s="401" t="s">
        <v>155</v>
      </c>
      <c r="R30" s="398"/>
      <c r="S30" s="234">
        <f>I30+L30-O30</f>
        <v>0</v>
      </c>
      <c r="T30" s="234">
        <f t="shared" si="1"/>
        <v>0</v>
      </c>
      <c r="U30" s="37" t="str">
        <f t="shared" si="2"/>
        <v> </v>
      </c>
    </row>
    <row r="31" spans="1:21" s="37" customFormat="1" ht="197.25" customHeight="1">
      <c r="A31" s="21" t="s">
        <v>52</v>
      </c>
      <c r="B31" s="19" t="s">
        <v>111</v>
      </c>
      <c r="C31" s="102">
        <v>100</v>
      </c>
      <c r="D31" s="68">
        <v>1</v>
      </c>
      <c r="E31" s="180">
        <f>C31*D31</f>
        <v>100</v>
      </c>
      <c r="F31" s="185">
        <f>E31*12</f>
        <v>1200</v>
      </c>
      <c r="G31" s="67" t="s">
        <v>76</v>
      </c>
      <c r="H31" s="210" t="s">
        <v>76</v>
      </c>
      <c r="I31" s="175" t="s">
        <v>76</v>
      </c>
      <c r="J31" s="81" t="s">
        <v>76</v>
      </c>
      <c r="K31" s="182" t="s">
        <v>76</v>
      </c>
      <c r="L31" s="80" t="s">
        <v>76</v>
      </c>
      <c r="M31" s="78">
        <f>D31</f>
        <v>1</v>
      </c>
      <c r="N31" s="75">
        <f>E31</f>
        <v>100</v>
      </c>
      <c r="O31" s="229">
        <f>N31*12</f>
        <v>1200</v>
      </c>
      <c r="P31" s="393" t="s">
        <v>109</v>
      </c>
      <c r="Q31" s="394"/>
      <c r="R31" s="395"/>
      <c r="S31" s="234">
        <f>F31-O31</f>
        <v>0</v>
      </c>
      <c r="T31" s="234">
        <f t="shared" si="1"/>
        <v>0</v>
      </c>
      <c r="U31" s="37" t="str">
        <f t="shared" si="2"/>
        <v> </v>
      </c>
    </row>
    <row r="32" spans="1:21" s="37" customFormat="1" ht="174" customHeight="1">
      <c r="A32" s="21" t="s">
        <v>53</v>
      </c>
      <c r="B32" s="19" t="s">
        <v>114</v>
      </c>
      <c r="C32" s="102">
        <f>875/6</f>
        <v>145.83333333333334</v>
      </c>
      <c r="D32" s="81" t="s">
        <v>76</v>
      </c>
      <c r="E32" s="182" t="s">
        <v>76</v>
      </c>
      <c r="F32" s="195" t="s">
        <v>76</v>
      </c>
      <c r="G32" s="164">
        <f>G4</f>
        <v>10</v>
      </c>
      <c r="H32" s="215">
        <f>G32*C32</f>
        <v>1458.3333333333335</v>
      </c>
      <c r="I32" s="202">
        <f>H32*6</f>
        <v>8750</v>
      </c>
      <c r="J32" s="81" t="s">
        <v>76</v>
      </c>
      <c r="K32" s="182" t="s">
        <v>76</v>
      </c>
      <c r="L32" s="80" t="s">
        <v>76</v>
      </c>
      <c r="M32" s="78">
        <f>G32</f>
        <v>10</v>
      </c>
      <c r="N32" s="75">
        <f>M32*C32</f>
        <v>1458.3333333333335</v>
      </c>
      <c r="O32" s="229">
        <f>N32*6</f>
        <v>8750</v>
      </c>
      <c r="P32" s="226" t="s">
        <v>159</v>
      </c>
      <c r="Q32" s="382" t="s">
        <v>77</v>
      </c>
      <c r="R32" s="374"/>
      <c r="S32" s="234">
        <f>I32-O32</f>
        <v>0</v>
      </c>
      <c r="T32" s="234">
        <f t="shared" si="1"/>
        <v>0</v>
      </c>
      <c r="U32" s="37" t="str">
        <f t="shared" si="2"/>
        <v> </v>
      </c>
    </row>
    <row r="33" spans="1:21" s="37" customFormat="1" ht="65.25" customHeight="1">
      <c r="A33" s="380" t="s">
        <v>19</v>
      </c>
      <c r="B33" s="103" t="s">
        <v>120</v>
      </c>
      <c r="C33" s="102">
        <v>20.34</v>
      </c>
      <c r="D33" s="81" t="s">
        <v>76</v>
      </c>
      <c r="E33" s="182" t="s">
        <v>76</v>
      </c>
      <c r="F33" s="195" t="s">
        <v>76</v>
      </c>
      <c r="G33" s="164">
        <v>7</v>
      </c>
      <c r="H33" s="215">
        <f>C33*G33*30</f>
        <v>4271.4</v>
      </c>
      <c r="I33" s="202">
        <f>H33*6</f>
        <v>25628.399999999998</v>
      </c>
      <c r="J33" s="166" t="s">
        <v>76</v>
      </c>
      <c r="K33" s="224" t="s">
        <v>76</v>
      </c>
      <c r="L33" s="165" t="s">
        <v>76</v>
      </c>
      <c r="M33" s="78">
        <f>G33</f>
        <v>7</v>
      </c>
      <c r="N33" s="75">
        <f>M33*C33*30</f>
        <v>4271.4</v>
      </c>
      <c r="O33" s="229">
        <f>N33*6</f>
        <v>25628.399999999998</v>
      </c>
      <c r="P33" s="373" t="s">
        <v>160</v>
      </c>
      <c r="Q33" s="382"/>
      <c r="R33" s="374"/>
      <c r="S33" s="234">
        <f>I33-O33</f>
        <v>0</v>
      </c>
      <c r="T33" s="234">
        <f t="shared" si="1"/>
        <v>0</v>
      </c>
      <c r="U33" s="37" t="str">
        <f t="shared" si="2"/>
        <v> </v>
      </c>
    </row>
    <row r="34" spans="1:21" s="37" customFormat="1" ht="65.25" customHeight="1">
      <c r="A34" s="381"/>
      <c r="B34" s="103" t="s">
        <v>121</v>
      </c>
      <c r="C34" s="102">
        <f>C33*0.7</f>
        <v>14.238</v>
      </c>
      <c r="D34" s="81" t="s">
        <v>76</v>
      </c>
      <c r="E34" s="182" t="s">
        <v>76</v>
      </c>
      <c r="F34" s="195" t="s">
        <v>76</v>
      </c>
      <c r="G34" s="164">
        <v>3</v>
      </c>
      <c r="H34" s="215">
        <f>C34*G34*30</f>
        <v>1281.42</v>
      </c>
      <c r="I34" s="202">
        <f>H34*6</f>
        <v>7688.52</v>
      </c>
      <c r="J34" s="166">
        <f>G5</f>
        <v>8</v>
      </c>
      <c r="K34" s="224">
        <f>J34*C34*30</f>
        <v>3417.12</v>
      </c>
      <c r="L34" s="165">
        <f>K34*6</f>
        <v>20502.72</v>
      </c>
      <c r="M34" s="78">
        <f>G34+J34</f>
        <v>11</v>
      </c>
      <c r="N34" s="75">
        <f>M34*C34*30</f>
        <v>4698.54</v>
      </c>
      <c r="O34" s="229">
        <f>N34*6</f>
        <v>28191.239999999998</v>
      </c>
      <c r="P34" s="373"/>
      <c r="Q34" s="382"/>
      <c r="R34" s="374"/>
      <c r="S34" s="234">
        <f>I34+L34-O34</f>
        <v>0</v>
      </c>
      <c r="T34" s="234">
        <f t="shared" si="1"/>
        <v>0</v>
      </c>
      <c r="U34" s="37" t="str">
        <f t="shared" si="2"/>
        <v> </v>
      </c>
    </row>
    <row r="35" spans="1:21" s="37" customFormat="1" ht="302.25" customHeight="1">
      <c r="A35" s="31" t="s">
        <v>85</v>
      </c>
      <c r="B35" s="19" t="s">
        <v>7</v>
      </c>
      <c r="C35" s="102">
        <f>995.2/168</f>
        <v>5.923809523809524</v>
      </c>
      <c r="D35" s="81" t="s">
        <v>76</v>
      </c>
      <c r="E35" s="182" t="s">
        <v>76</v>
      </c>
      <c r="F35" s="195" t="s">
        <v>76</v>
      </c>
      <c r="G35" s="163">
        <f>60*G4</f>
        <v>600</v>
      </c>
      <c r="H35" s="216">
        <f>C35*G35</f>
        <v>3554.2857142857147</v>
      </c>
      <c r="I35" s="202">
        <f>H35*6</f>
        <v>21325.71428571429</v>
      </c>
      <c r="J35" s="166">
        <f>30*G5</f>
        <v>240</v>
      </c>
      <c r="K35" s="224">
        <f>J35*C35</f>
        <v>1421.7142857142858</v>
      </c>
      <c r="L35" s="165">
        <f>K35*6</f>
        <v>8530.285714285714</v>
      </c>
      <c r="M35" s="78">
        <f>G35+J35</f>
        <v>840</v>
      </c>
      <c r="N35" s="75">
        <f>H35+K35</f>
        <v>4976</v>
      </c>
      <c r="O35" s="229">
        <f>N35*6</f>
        <v>29856</v>
      </c>
      <c r="P35" s="226" t="s">
        <v>181</v>
      </c>
      <c r="Q35" s="382" t="s">
        <v>122</v>
      </c>
      <c r="R35" s="374"/>
      <c r="S35" s="234">
        <f>I35+L35-O35</f>
        <v>0</v>
      </c>
      <c r="T35" s="234">
        <f t="shared" si="1"/>
        <v>0</v>
      </c>
      <c r="U35" s="37" t="str">
        <f t="shared" si="2"/>
        <v> </v>
      </c>
    </row>
    <row r="36" spans="1:21" s="37" customFormat="1" ht="85.5" customHeight="1" thickBot="1">
      <c r="A36" s="141" t="s">
        <v>26</v>
      </c>
      <c r="B36" s="424" t="s">
        <v>128</v>
      </c>
      <c r="C36" s="425"/>
      <c r="D36" s="196" t="s">
        <v>76</v>
      </c>
      <c r="E36" s="197">
        <f>'1.4.pielik_supervizija_'!M10</f>
        <v>77.66000000000001</v>
      </c>
      <c r="F36" s="198">
        <f>E36*12</f>
        <v>931.9200000000001</v>
      </c>
      <c r="G36" s="142" t="s">
        <v>76</v>
      </c>
      <c r="H36" s="217">
        <f>'1.4.pielik_supervizija_'!M17</f>
        <v>111.97</v>
      </c>
      <c r="I36" s="203">
        <f>H36*12</f>
        <v>1343.6399999999999</v>
      </c>
      <c r="J36" s="144" t="s">
        <v>76</v>
      </c>
      <c r="K36" s="225">
        <f>'1.4.pielik_supervizija_'!M24</f>
        <v>111.97</v>
      </c>
      <c r="L36" s="143">
        <f>K36*12</f>
        <v>1343.6399999999999</v>
      </c>
      <c r="M36" s="145" t="s">
        <v>76</v>
      </c>
      <c r="N36" s="146">
        <f>E36+H36+K36</f>
        <v>301.6</v>
      </c>
      <c r="O36" s="231">
        <f>N36*12</f>
        <v>3619.2000000000003</v>
      </c>
      <c r="P36" s="422" t="s">
        <v>161</v>
      </c>
      <c r="Q36" s="422"/>
      <c r="R36" s="423"/>
      <c r="S36" s="234">
        <f>O36-F36-I36-L36</f>
        <v>0</v>
      </c>
      <c r="T36" s="234">
        <f t="shared" si="1"/>
        <v>0</v>
      </c>
      <c r="U36" s="37" t="str">
        <f t="shared" si="2"/>
        <v> </v>
      </c>
    </row>
    <row r="37" spans="1:21" s="37" customFormat="1" ht="42" customHeight="1" thickBot="1">
      <c r="A37" s="402" t="s">
        <v>118</v>
      </c>
      <c r="B37" s="403"/>
      <c r="C37" s="404"/>
      <c r="D37" s="147" t="s">
        <v>76</v>
      </c>
      <c r="E37" s="177">
        <f>E10+E21</f>
        <v>3647.4139374999995</v>
      </c>
      <c r="F37" s="148">
        <f>F10+F21</f>
        <v>43768.96725</v>
      </c>
      <c r="G37" s="147" t="s">
        <v>76</v>
      </c>
      <c r="H37" s="177">
        <f>H10+H21</f>
        <v>15378.414514285714</v>
      </c>
      <c r="I37" s="148">
        <f>I10+I21</f>
        <v>110259.53988571427</v>
      </c>
      <c r="J37" s="147" t="s">
        <v>76</v>
      </c>
      <c r="K37" s="177">
        <f>K10+K21</f>
        <v>8542.075819047619</v>
      </c>
      <c r="L37" s="148">
        <f>L10+L21</f>
        <v>66951.1041142857</v>
      </c>
      <c r="M37" s="147" t="s">
        <v>76</v>
      </c>
      <c r="N37" s="148">
        <f>N10+N21</f>
        <v>27567.90427083333</v>
      </c>
      <c r="O37" s="170">
        <f>O10+O21</f>
        <v>220979.61125</v>
      </c>
      <c r="P37" s="235"/>
      <c r="Q37" s="234"/>
      <c r="S37" s="234">
        <f>O37-F37-I37-L37</f>
        <v>0</v>
      </c>
      <c r="T37" s="234">
        <f t="shared" si="1"/>
        <v>0</v>
      </c>
      <c r="U37" s="37" t="str">
        <f t="shared" si="2"/>
        <v> </v>
      </c>
    </row>
    <row r="38" spans="1:21" s="37" customFormat="1" ht="25.5" customHeight="1" thickBot="1">
      <c r="A38" s="402" t="s">
        <v>25</v>
      </c>
      <c r="B38" s="403"/>
      <c r="C38" s="404"/>
      <c r="D38" s="168" t="s">
        <v>76</v>
      </c>
      <c r="E38" s="183">
        <f>E37*0.1</f>
        <v>364.74139375</v>
      </c>
      <c r="F38" s="172">
        <f>F37*0.1</f>
        <v>4376.8967250000005</v>
      </c>
      <c r="G38" s="168" t="s">
        <v>76</v>
      </c>
      <c r="H38" s="183">
        <f>H37*0.1</f>
        <v>1537.8414514285714</v>
      </c>
      <c r="I38" s="172">
        <f>I37*0.1</f>
        <v>11025.953988571428</v>
      </c>
      <c r="J38" s="168" t="s">
        <v>76</v>
      </c>
      <c r="K38" s="183">
        <f>K37*0.1</f>
        <v>854.2075819047619</v>
      </c>
      <c r="L38" s="172">
        <f>L37*0.1</f>
        <v>6695.11041142857</v>
      </c>
      <c r="M38" s="168" t="s">
        <v>76</v>
      </c>
      <c r="N38" s="172">
        <f>N37*0.1</f>
        <v>2756.7904270833333</v>
      </c>
      <c r="O38" s="170">
        <f>O37*0.1</f>
        <v>22097.961125</v>
      </c>
      <c r="P38" s="235"/>
      <c r="Q38" s="234"/>
      <c r="S38" s="234">
        <f>O38-F38-I38-L38</f>
        <v>0</v>
      </c>
      <c r="T38" s="234">
        <f t="shared" si="1"/>
        <v>0</v>
      </c>
      <c r="U38" s="37" t="str">
        <f t="shared" si="2"/>
        <v> </v>
      </c>
    </row>
    <row r="39" spans="1:21" s="37" customFormat="1" ht="25.5" customHeight="1" thickBot="1">
      <c r="A39" s="405" t="s">
        <v>119</v>
      </c>
      <c r="B39" s="406"/>
      <c r="C39" s="407"/>
      <c r="D39" s="169" t="s">
        <v>76</v>
      </c>
      <c r="E39" s="184">
        <f>E37+E38</f>
        <v>4012.1553312499996</v>
      </c>
      <c r="F39" s="171">
        <f>F37+F38</f>
        <v>48145.863975</v>
      </c>
      <c r="G39" s="169" t="s">
        <v>76</v>
      </c>
      <c r="H39" s="184">
        <f>H37+H38</f>
        <v>16916.255965714285</v>
      </c>
      <c r="I39" s="171">
        <f>I37+I38</f>
        <v>121285.4938742857</v>
      </c>
      <c r="J39" s="169" t="s">
        <v>76</v>
      </c>
      <c r="K39" s="184">
        <f>K37+K38</f>
        <v>9396.283400952381</v>
      </c>
      <c r="L39" s="171">
        <f>L37+L38</f>
        <v>73646.21452571427</v>
      </c>
      <c r="M39" s="169" t="s">
        <v>76</v>
      </c>
      <c r="N39" s="171">
        <f>N37+N38</f>
        <v>30324.69469791666</v>
      </c>
      <c r="O39" s="251">
        <f>O37+O38</f>
        <v>243077.572375</v>
      </c>
      <c r="P39" s="235"/>
      <c r="Q39" s="234"/>
      <c r="S39" s="234">
        <f>O39-F39-I39-L39</f>
        <v>0</v>
      </c>
      <c r="T39" s="234">
        <f t="shared" si="1"/>
        <v>0</v>
      </c>
      <c r="U39" s="37" t="str">
        <f t="shared" si="2"/>
        <v> </v>
      </c>
    </row>
    <row r="40" spans="1:20" s="37" customFormat="1" ht="25.5" customHeight="1">
      <c r="A40" s="408" t="s">
        <v>135</v>
      </c>
      <c r="B40" s="409"/>
      <c r="C40" s="410"/>
      <c r="D40" s="414" t="s">
        <v>76</v>
      </c>
      <c r="E40" s="416" t="s">
        <v>76</v>
      </c>
      <c r="F40" s="399" t="s">
        <v>76</v>
      </c>
      <c r="G40" s="239" t="s">
        <v>138</v>
      </c>
      <c r="H40" s="240" t="s">
        <v>136</v>
      </c>
      <c r="I40" s="241" t="s">
        <v>137</v>
      </c>
      <c r="J40" s="239" t="s">
        <v>138</v>
      </c>
      <c r="K40" s="240" t="s">
        <v>136</v>
      </c>
      <c r="L40" s="241" t="s">
        <v>137</v>
      </c>
      <c r="M40" s="239" t="s">
        <v>138</v>
      </c>
      <c r="N40" s="240" t="s">
        <v>136</v>
      </c>
      <c r="O40" s="241" t="s">
        <v>137</v>
      </c>
      <c r="P40" s="235"/>
      <c r="Q40" s="234"/>
      <c r="S40" s="234"/>
      <c r="T40" s="234"/>
    </row>
    <row r="41" spans="1:20" s="37" customFormat="1" ht="25.5" customHeight="1" thickBot="1">
      <c r="A41" s="411"/>
      <c r="B41" s="412"/>
      <c r="C41" s="413"/>
      <c r="D41" s="415"/>
      <c r="E41" s="417"/>
      <c r="F41" s="400"/>
      <c r="G41" s="244">
        <f>H41/30</f>
        <v>56.38751988571428</v>
      </c>
      <c r="H41" s="242">
        <f>H39/G4</f>
        <v>1691.6255965714286</v>
      </c>
      <c r="I41" s="243">
        <f>I39/G4</f>
        <v>12128.549387428571</v>
      </c>
      <c r="J41" s="244">
        <f>K41/30</f>
        <v>39.15118083730159</v>
      </c>
      <c r="K41" s="242">
        <f>K39/G5</f>
        <v>1174.5354251190477</v>
      </c>
      <c r="L41" s="243">
        <f>L39/G5</f>
        <v>9205.776815714284</v>
      </c>
      <c r="M41" s="244">
        <f>N41/30</f>
        <v>101.0823156597222</v>
      </c>
      <c r="N41" s="242">
        <f>N39/G4</f>
        <v>3032.469469791666</v>
      </c>
      <c r="O41" s="243">
        <f>O39/G4</f>
        <v>24307.757237499998</v>
      </c>
      <c r="P41" s="235"/>
      <c r="Q41" s="234"/>
      <c r="S41" s="234" t="e">
        <f>O41-F40-I41-L41</f>
        <v>#VALUE!</v>
      </c>
      <c r="T41" s="234" t="e">
        <f t="shared" si="1"/>
        <v>#VALUE!</v>
      </c>
    </row>
    <row r="42" spans="13:20" s="37" customFormat="1" ht="12.75" hidden="1">
      <c r="M42" s="284"/>
      <c r="N42" s="284"/>
      <c r="O42" s="284"/>
      <c r="S42" s="232"/>
      <c r="T42" s="232"/>
    </row>
    <row r="43" spans="13:20" s="37" customFormat="1" ht="12.75" hidden="1">
      <c r="M43" s="284"/>
      <c r="N43" s="284"/>
      <c r="O43" s="284"/>
      <c r="S43" s="232"/>
      <c r="T43" s="232"/>
    </row>
    <row r="44" spans="12:20" s="37" customFormat="1" ht="12.75" customHeight="1" hidden="1">
      <c r="L44" s="426" t="s">
        <v>130</v>
      </c>
      <c r="M44" s="285">
        <f>(M19/2)-M20</f>
        <v>0</v>
      </c>
      <c r="N44" s="286">
        <f>ROUND(M44,2)</f>
        <v>0</v>
      </c>
      <c r="O44" s="284"/>
      <c r="S44" s="232"/>
      <c r="T44" s="232"/>
    </row>
    <row r="45" spans="12:20" s="37" customFormat="1" ht="12.75" customHeight="1" hidden="1">
      <c r="L45" s="426"/>
      <c r="M45" s="285">
        <f>M11-M24</f>
        <v>0</v>
      </c>
      <c r="N45" s="286">
        <f aca="true" t="shared" si="5" ref="N45:N56">ROUND(M45,2)</f>
        <v>0</v>
      </c>
      <c r="O45" s="284"/>
      <c r="S45" s="232"/>
      <c r="T45" s="232"/>
    </row>
    <row r="46" spans="12:20" s="37" customFormat="1" ht="12.75" customHeight="1" hidden="1">
      <c r="L46" s="426"/>
      <c r="M46" s="285">
        <f>M22-M23</f>
        <v>0</v>
      </c>
      <c r="N46" s="286">
        <f t="shared" si="5"/>
        <v>0</v>
      </c>
      <c r="O46" s="284"/>
      <c r="S46" s="232"/>
      <c r="T46" s="232"/>
    </row>
    <row r="47" spans="12:20" s="37" customFormat="1" ht="12.75" customHeight="1" hidden="1">
      <c r="L47" s="426"/>
      <c r="M47" s="287" t="b">
        <f>IF(M16=1,M29=12,"!!!")</f>
        <v>1</v>
      </c>
      <c r="N47" s="286"/>
      <c r="O47" s="284"/>
      <c r="S47" s="232"/>
      <c r="T47" s="232"/>
    </row>
    <row r="48" spans="12:20" s="37" customFormat="1" ht="12.75" customHeight="1" hidden="1">
      <c r="L48" s="426"/>
      <c r="M48" s="285">
        <f>M18-M26</f>
        <v>0</v>
      </c>
      <c r="N48" s="286">
        <f t="shared" si="5"/>
        <v>0</v>
      </c>
      <c r="O48" s="284"/>
      <c r="S48" s="232"/>
      <c r="T48" s="232"/>
    </row>
    <row r="49" spans="12:20" s="37" customFormat="1" ht="12.75" customHeight="1" hidden="1">
      <c r="L49" s="426"/>
      <c r="M49" s="285">
        <f>M26-M28</f>
        <v>0</v>
      </c>
      <c r="N49" s="286">
        <f t="shared" si="5"/>
        <v>0</v>
      </c>
      <c r="O49" s="284"/>
      <c r="S49" s="232"/>
      <c r="T49" s="232"/>
    </row>
    <row r="50" spans="12:20" s="37" customFormat="1" ht="12.75" customHeight="1" hidden="1">
      <c r="L50" s="426"/>
      <c r="M50" s="285">
        <f>M26-M28</f>
        <v>0</v>
      </c>
      <c r="N50" s="286">
        <f t="shared" si="5"/>
        <v>0</v>
      </c>
      <c r="O50" s="284"/>
      <c r="S50" s="232"/>
      <c r="T50" s="232"/>
    </row>
    <row r="51" spans="12:20" s="37" customFormat="1" ht="12.75" customHeight="1" hidden="1">
      <c r="L51" s="426"/>
      <c r="M51" s="285">
        <f>(O30/78)-(G4+G5)</f>
        <v>0</v>
      </c>
      <c r="N51" s="286">
        <f t="shared" si="5"/>
        <v>0</v>
      </c>
      <c r="O51" s="284"/>
      <c r="S51" s="232"/>
      <c r="T51" s="232"/>
    </row>
    <row r="52" spans="12:20" s="37" customFormat="1" ht="12.75" customHeight="1" hidden="1">
      <c r="L52" s="426"/>
      <c r="M52" s="285">
        <f>G32-G33-G34</f>
        <v>0</v>
      </c>
      <c r="N52" s="286">
        <f t="shared" si="5"/>
        <v>0</v>
      </c>
      <c r="O52" s="284"/>
      <c r="S52" s="232"/>
      <c r="T52" s="232"/>
    </row>
    <row r="53" spans="12:20" s="37" customFormat="1" ht="12.75" customHeight="1" hidden="1">
      <c r="L53" s="426"/>
      <c r="M53" s="288">
        <f>(G35/60/G32)-1</f>
        <v>0</v>
      </c>
      <c r="N53" s="286">
        <f t="shared" si="5"/>
        <v>0</v>
      </c>
      <c r="O53" s="284"/>
      <c r="S53" s="232"/>
      <c r="T53" s="232"/>
    </row>
    <row r="54" spans="12:20" s="37" customFormat="1" ht="12.75" customHeight="1" hidden="1">
      <c r="L54" s="426"/>
      <c r="M54" s="288">
        <f>(G30/4.33/G32)-1</f>
        <v>0.0007698229407235857</v>
      </c>
      <c r="N54" s="286">
        <f t="shared" si="5"/>
        <v>0</v>
      </c>
      <c r="O54" s="284"/>
      <c r="S54" s="232"/>
      <c r="T54" s="232"/>
    </row>
    <row r="55" spans="12:20" s="37" customFormat="1" ht="12.75" customHeight="1" hidden="1">
      <c r="L55" s="426"/>
      <c r="M55" s="285">
        <f>O36-'1.4.pielik_supervizija_'!L10-'1.4.pielik_supervizija_'!L17-'1.4.pielik_supervizija_'!L24</f>
        <v>0.33000000000083674</v>
      </c>
      <c r="N55" s="286">
        <f>ROUND(M55,0)</f>
        <v>0</v>
      </c>
      <c r="O55" s="284"/>
      <c r="S55" s="232"/>
      <c r="T55" s="232"/>
    </row>
    <row r="56" spans="11:20" s="37" customFormat="1" ht="12.75" hidden="1">
      <c r="K56" s="37" t="s">
        <v>129</v>
      </c>
      <c r="L56" s="426"/>
      <c r="M56" s="285">
        <f>N37-K37-H37-E37</f>
        <v>-3.637978807091713E-12</v>
      </c>
      <c r="N56" s="286">
        <f t="shared" si="5"/>
        <v>0</v>
      </c>
      <c r="O56" s="284"/>
      <c r="S56" s="232"/>
      <c r="T56" s="232"/>
    </row>
    <row r="57" spans="13:20" s="37" customFormat="1" ht="12.75" hidden="1">
      <c r="M57" s="284"/>
      <c r="N57" s="284"/>
      <c r="O57" s="284"/>
      <c r="S57" s="232"/>
      <c r="T57" s="232"/>
    </row>
    <row r="58" spans="13:20" s="37" customFormat="1" ht="12.75">
      <c r="M58" s="284"/>
      <c r="N58" s="289" t="str">
        <f>IF(N44=0," ",FALSE)</f>
        <v> </v>
      </c>
      <c r="O58" s="284"/>
      <c r="S58" s="232"/>
      <c r="T58" s="232"/>
    </row>
    <row r="59" ht="12.75">
      <c r="N59" s="289" t="str">
        <f>IF(N45=0," ",FALSE)</f>
        <v> </v>
      </c>
    </row>
    <row r="60" ht="12.75">
      <c r="N60" s="289" t="str">
        <f>IF(N46=0," ",FALSE)</f>
        <v> </v>
      </c>
    </row>
    <row r="61" ht="12.75">
      <c r="N61" s="289" t="str">
        <f>IF(M47=TRUE," ",FALSE)</f>
        <v> </v>
      </c>
    </row>
    <row r="62" ht="12.75">
      <c r="N62" s="289" t="str">
        <f>IF(N48=0," ",FALSE)</f>
        <v> </v>
      </c>
    </row>
    <row r="63" ht="12.75">
      <c r="N63" s="289" t="str">
        <f>IF(N49=0," ",FALSE)</f>
        <v> </v>
      </c>
    </row>
    <row r="64" ht="12.75">
      <c r="N64" s="289" t="str">
        <f>IF(N50=0," ",FALSE)</f>
        <v> </v>
      </c>
    </row>
    <row r="65" ht="12.75">
      <c r="N65" s="289" t="str">
        <f>IF(N51=0," ",FALSE)</f>
        <v> </v>
      </c>
    </row>
    <row r="66" ht="12.75">
      <c r="N66" s="289" t="str">
        <f aca="true" t="shared" si="6" ref="N66:N71">IF(N52=0," ",FALSE)</f>
        <v> </v>
      </c>
    </row>
    <row r="67" ht="12.75">
      <c r="N67" s="289" t="str">
        <f t="shared" si="6"/>
        <v> </v>
      </c>
    </row>
    <row r="68" ht="12.75">
      <c r="N68" s="289" t="str">
        <f t="shared" si="6"/>
        <v> </v>
      </c>
    </row>
    <row r="69" ht="12.75">
      <c r="N69" s="289" t="str">
        <f t="shared" si="6"/>
        <v> </v>
      </c>
    </row>
    <row r="70" ht="12.75">
      <c r="N70" s="289" t="str">
        <f t="shared" si="6"/>
        <v> </v>
      </c>
    </row>
    <row r="71" ht="12.75">
      <c r="N71" s="289" t="str">
        <f t="shared" si="6"/>
        <v> </v>
      </c>
    </row>
  </sheetData>
  <sheetProtection/>
  <mergeCells count="58">
    <mergeCell ref="L44:L56"/>
    <mergeCell ref="A1:R1"/>
    <mergeCell ref="A38:C38"/>
    <mergeCell ref="A39:C39"/>
    <mergeCell ref="A40:C41"/>
    <mergeCell ref="D40:D41"/>
    <mergeCell ref="E40:E41"/>
    <mergeCell ref="F40:F41"/>
    <mergeCell ref="A33:A34"/>
    <mergeCell ref="P33:R34"/>
    <mergeCell ref="Q35:R35"/>
    <mergeCell ref="B36:C36"/>
    <mergeCell ref="P36:R36"/>
    <mergeCell ref="A37:C37"/>
    <mergeCell ref="P26:R26"/>
    <mergeCell ref="P28:R28"/>
    <mergeCell ref="Q29:R29"/>
    <mergeCell ref="Q30:R30"/>
    <mergeCell ref="P31:R31"/>
    <mergeCell ref="Q32:R32"/>
    <mergeCell ref="A21:C21"/>
    <mergeCell ref="P21:R21"/>
    <mergeCell ref="P22:R22"/>
    <mergeCell ref="P23:R23"/>
    <mergeCell ref="P24:R24"/>
    <mergeCell ref="P25:R25"/>
    <mergeCell ref="P16:P17"/>
    <mergeCell ref="Q16:R16"/>
    <mergeCell ref="Q17:R17"/>
    <mergeCell ref="Q18:R18"/>
    <mergeCell ref="P19:P20"/>
    <mergeCell ref="Q19:R20"/>
    <mergeCell ref="A10:C10"/>
    <mergeCell ref="P10:R10"/>
    <mergeCell ref="P11:P12"/>
    <mergeCell ref="Q11:R11"/>
    <mergeCell ref="Q12:R12"/>
    <mergeCell ref="Q13:R15"/>
    <mergeCell ref="P7:P9"/>
    <mergeCell ref="Q7:R9"/>
    <mergeCell ref="D8:D9"/>
    <mergeCell ref="G8:G9"/>
    <mergeCell ref="J8:J9"/>
    <mergeCell ref="M8:M9"/>
    <mergeCell ref="E9:F9"/>
    <mergeCell ref="H9:I9"/>
    <mergeCell ref="K9:L9"/>
    <mergeCell ref="N9:O9"/>
    <mergeCell ref="P27:R27"/>
    <mergeCell ref="A2:R2"/>
    <mergeCell ref="A3:J3"/>
    <mergeCell ref="A7:A9"/>
    <mergeCell ref="B7:B9"/>
    <mergeCell ref="C7:C9"/>
    <mergeCell ref="D7:F7"/>
    <mergeCell ref="G7:I7"/>
    <mergeCell ref="J7:L7"/>
    <mergeCell ref="M7:O7"/>
  </mergeCells>
  <printOptions/>
  <pageMargins left="0.31496062992125984" right="0.31496062992125984" top="0.7480314960629921" bottom="0.35433070866141736" header="0.31496062992125984" footer="0.31496062992125984"/>
  <pageSetup horizontalDpi="600" verticalDpi="600" orientation="landscape" paperSize="9" scale="50" r:id="rId1"/>
  <headerFooter>
    <oddHeader>&amp;C&amp;A</oddHeader>
    <oddFooter>&amp;C&amp;A</oddFooter>
  </headerFooter>
</worksheet>
</file>

<file path=xl/worksheets/sheet4.xml><?xml version="1.0" encoding="utf-8"?>
<worksheet xmlns="http://schemas.openxmlformats.org/spreadsheetml/2006/main" xmlns:r="http://schemas.openxmlformats.org/officeDocument/2006/relationships">
  <dimension ref="A1:K11"/>
  <sheetViews>
    <sheetView zoomScale="80" zoomScaleNormal="80" zoomScalePageLayoutView="0" workbookViewId="0" topLeftCell="A1">
      <selection activeCell="A1" sqref="A1:K1"/>
    </sheetView>
  </sheetViews>
  <sheetFormatPr defaultColWidth="9.140625" defaultRowHeight="12.75"/>
  <cols>
    <col min="1" max="1" width="4.7109375" style="11" customWidth="1"/>
    <col min="2" max="2" width="18.28125" style="11" customWidth="1"/>
    <col min="3" max="3" width="10.140625" style="11" bestFit="1" customWidth="1"/>
    <col min="4" max="4" width="10.8515625" style="11" bestFit="1" customWidth="1"/>
    <col min="5" max="5" width="8.421875" style="11" bestFit="1" customWidth="1"/>
    <col min="6" max="6" width="9.28125" style="11" bestFit="1" customWidth="1"/>
    <col min="7" max="7" width="12.00390625" style="11" bestFit="1" customWidth="1"/>
    <col min="8" max="8" width="13.421875" style="11" customWidth="1"/>
    <col min="9" max="9" width="12.00390625" style="11" customWidth="1"/>
    <col min="10" max="10" width="9.28125" style="11" bestFit="1" customWidth="1"/>
    <col min="11" max="11" width="9.00390625" style="11" bestFit="1" customWidth="1"/>
    <col min="12" max="16384" width="9.140625" style="11" customWidth="1"/>
  </cols>
  <sheetData>
    <row r="1" spans="1:11" ht="56.25" customHeight="1">
      <c r="A1" s="321" t="s">
        <v>222</v>
      </c>
      <c r="B1" s="321"/>
      <c r="C1" s="321"/>
      <c r="D1" s="321"/>
      <c r="E1" s="321"/>
      <c r="F1" s="321"/>
      <c r="G1" s="321"/>
      <c r="H1" s="321"/>
      <c r="I1" s="321"/>
      <c r="J1" s="321"/>
      <c r="K1" s="321"/>
    </row>
    <row r="2" spans="1:11" ht="83.25" customHeight="1">
      <c r="A2" s="322" t="s">
        <v>72</v>
      </c>
      <c r="B2" s="322"/>
      <c r="C2" s="322"/>
      <c r="D2" s="322"/>
      <c r="E2" s="322"/>
      <c r="F2" s="322"/>
      <c r="G2" s="322"/>
      <c r="H2" s="322"/>
      <c r="I2" s="322"/>
      <c r="J2" s="322"/>
      <c r="K2" s="322"/>
    </row>
    <row r="3" spans="1:11" ht="98.25" customHeight="1">
      <c r="A3" s="428" t="s">
        <v>4</v>
      </c>
      <c r="B3" s="431" t="s">
        <v>5</v>
      </c>
      <c r="C3" s="3" t="s">
        <v>29</v>
      </c>
      <c r="D3" s="3" t="s">
        <v>20</v>
      </c>
      <c r="E3" s="3" t="s">
        <v>27</v>
      </c>
      <c r="F3" s="3" t="s">
        <v>32</v>
      </c>
      <c r="G3" s="3" t="s">
        <v>33</v>
      </c>
      <c r="H3" s="3" t="s">
        <v>34</v>
      </c>
      <c r="I3" s="3" t="s">
        <v>37</v>
      </c>
      <c r="J3" s="3" t="s">
        <v>31</v>
      </c>
      <c r="K3" s="3" t="s">
        <v>45</v>
      </c>
    </row>
    <row r="4" spans="1:11" ht="25.5">
      <c r="A4" s="429"/>
      <c r="B4" s="432"/>
      <c r="C4" s="10">
        <v>1</v>
      </c>
      <c r="D4" s="10" t="s">
        <v>28</v>
      </c>
      <c r="E4" s="10">
        <v>3</v>
      </c>
      <c r="F4" s="10" t="s">
        <v>30</v>
      </c>
      <c r="G4" s="10" t="s">
        <v>56</v>
      </c>
      <c r="H4" s="10">
        <v>6</v>
      </c>
      <c r="I4" s="10">
        <v>7</v>
      </c>
      <c r="J4" s="10" t="s">
        <v>36</v>
      </c>
      <c r="K4" s="10" t="s">
        <v>44</v>
      </c>
    </row>
    <row r="5" spans="1:11" ht="63" customHeight="1">
      <c r="A5" s="430"/>
      <c r="B5" s="22" t="s">
        <v>6</v>
      </c>
      <c r="C5" s="25">
        <v>100</v>
      </c>
      <c r="D5" s="23">
        <f>C5/10</f>
        <v>10</v>
      </c>
      <c r="E5" s="24">
        <v>1.05</v>
      </c>
      <c r="F5" s="24">
        <f>D5*E5</f>
        <v>10.5</v>
      </c>
      <c r="G5" s="24">
        <f>C5*0.08</f>
        <v>8</v>
      </c>
      <c r="H5" s="24">
        <v>9.26</v>
      </c>
      <c r="I5" s="24">
        <v>48.89</v>
      </c>
      <c r="J5" s="24">
        <f>F5+G5+H5+I5</f>
        <v>76.65</v>
      </c>
      <c r="K5" s="35">
        <f>J5*9</f>
        <v>689.85</v>
      </c>
    </row>
    <row r="6" spans="1:11" ht="48.75" customHeight="1">
      <c r="A6" s="427" t="s">
        <v>54</v>
      </c>
      <c r="B6" s="427"/>
      <c r="C6" s="427"/>
      <c r="D6" s="427"/>
      <c r="E6" s="427"/>
      <c r="F6" s="427"/>
      <c r="G6" s="427"/>
      <c r="H6" s="427"/>
      <c r="I6" s="427"/>
      <c r="J6" s="427"/>
      <c r="K6" s="427"/>
    </row>
    <row r="7" spans="1:11" ht="48.75" customHeight="1">
      <c r="A7" s="427" t="s">
        <v>35</v>
      </c>
      <c r="B7" s="427"/>
      <c r="C7" s="427"/>
      <c r="D7" s="427"/>
      <c r="E7" s="427"/>
      <c r="F7" s="427"/>
      <c r="G7" s="427"/>
      <c r="H7" s="427"/>
      <c r="I7" s="427"/>
      <c r="J7" s="427"/>
      <c r="K7" s="427"/>
    </row>
    <row r="8" spans="1:11" ht="33.75" customHeight="1">
      <c r="A8" s="427" t="s">
        <v>55</v>
      </c>
      <c r="B8" s="427"/>
      <c r="C8" s="427"/>
      <c r="D8" s="427"/>
      <c r="E8" s="427"/>
      <c r="F8" s="427"/>
      <c r="G8" s="427"/>
      <c r="H8" s="427"/>
      <c r="I8" s="427"/>
      <c r="J8" s="427"/>
      <c r="K8" s="427"/>
    </row>
    <row r="9" spans="1:11" ht="48.75" customHeight="1">
      <c r="A9" s="427" t="s">
        <v>39</v>
      </c>
      <c r="B9" s="427"/>
      <c r="C9" s="427"/>
      <c r="D9" s="427"/>
      <c r="E9" s="427"/>
      <c r="F9" s="427"/>
      <c r="G9" s="427"/>
      <c r="H9" s="427"/>
      <c r="I9" s="427"/>
      <c r="J9" s="427"/>
      <c r="K9" s="427"/>
    </row>
    <row r="10" spans="1:11" s="30" customFormat="1" ht="33.75" customHeight="1">
      <c r="A10" s="427" t="s">
        <v>73</v>
      </c>
      <c r="B10" s="427"/>
      <c r="C10" s="427"/>
      <c r="D10" s="427"/>
      <c r="E10" s="427"/>
      <c r="F10" s="427"/>
      <c r="G10" s="427"/>
      <c r="H10" s="427"/>
      <c r="I10" s="427"/>
      <c r="J10" s="427"/>
      <c r="K10" s="427"/>
    </row>
    <row r="11" spans="1:11" s="30" customFormat="1" ht="33.75" customHeight="1">
      <c r="A11" s="427" t="s">
        <v>74</v>
      </c>
      <c r="B11" s="427"/>
      <c r="C11" s="427"/>
      <c r="D11" s="427"/>
      <c r="E11" s="427"/>
      <c r="F11" s="427"/>
      <c r="G11" s="427"/>
      <c r="H11" s="427"/>
      <c r="I11" s="427"/>
      <c r="J11" s="427"/>
      <c r="K11" s="427"/>
    </row>
  </sheetData>
  <sheetProtection/>
  <mergeCells count="10">
    <mergeCell ref="A1:K1"/>
    <mergeCell ref="A10:K10"/>
    <mergeCell ref="A11:K11"/>
    <mergeCell ref="A2:K2"/>
    <mergeCell ref="A6:K6"/>
    <mergeCell ref="A7:K7"/>
    <mergeCell ref="A8:K8"/>
    <mergeCell ref="A9:K9"/>
    <mergeCell ref="A3:A5"/>
    <mergeCell ref="B3:B4"/>
  </mergeCells>
  <printOptions/>
  <pageMargins left="1.1023622047244095" right="0.5118110236220472" top="1.141732283464567" bottom="0.7480314960629921"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O29"/>
  <sheetViews>
    <sheetView zoomScale="80" zoomScaleNormal="80" zoomScalePageLayoutView="0" workbookViewId="0" topLeftCell="A1">
      <selection activeCell="A1" sqref="A1:N1"/>
    </sheetView>
  </sheetViews>
  <sheetFormatPr defaultColWidth="9.140625" defaultRowHeight="12.75"/>
  <cols>
    <col min="1" max="1" width="26.57421875" style="11" customWidth="1"/>
    <col min="2" max="4" width="14.421875" style="11" hidden="1" customWidth="1"/>
    <col min="5" max="6" width="14.421875" style="11" customWidth="1"/>
    <col min="7" max="7" width="12.7109375" style="11" customWidth="1"/>
    <col min="8" max="8" width="13.57421875" style="11" customWidth="1"/>
    <col min="9" max="9" width="11.28125" style="11" customWidth="1"/>
    <col min="10" max="10" width="12.28125" style="11" customWidth="1"/>
    <col min="11" max="11" width="12.421875" style="11" customWidth="1"/>
    <col min="12" max="12" width="12.7109375" style="11" customWidth="1"/>
    <col min="13" max="14" width="10.8515625" style="11" customWidth="1"/>
    <col min="15" max="16384" width="9.140625" style="11" customWidth="1"/>
  </cols>
  <sheetData>
    <row r="1" spans="1:14" ht="62.25" customHeight="1">
      <c r="A1" s="321" t="s">
        <v>223</v>
      </c>
      <c r="B1" s="321"/>
      <c r="C1" s="321"/>
      <c r="D1" s="321"/>
      <c r="E1" s="321"/>
      <c r="F1" s="321"/>
      <c r="G1" s="321"/>
      <c r="H1" s="321"/>
      <c r="I1" s="321"/>
      <c r="J1" s="321"/>
      <c r="K1" s="321"/>
      <c r="L1" s="321"/>
      <c r="M1" s="321"/>
      <c r="N1" s="321"/>
    </row>
    <row r="2" spans="1:14" ht="58.5" customHeight="1">
      <c r="A2" s="433" t="s">
        <v>123</v>
      </c>
      <c r="B2" s="433"/>
      <c r="C2" s="433"/>
      <c r="D2" s="433"/>
      <c r="E2" s="433"/>
      <c r="F2" s="433"/>
      <c r="G2" s="433"/>
      <c r="H2" s="433"/>
      <c r="I2" s="433"/>
      <c r="J2" s="433"/>
      <c r="K2" s="433"/>
      <c r="L2" s="433"/>
      <c r="M2" s="433"/>
      <c r="N2" s="433"/>
    </row>
    <row r="3" spans="1:14" ht="157.5">
      <c r="A3" s="2" t="s">
        <v>1</v>
      </c>
      <c r="B3" s="3" t="s">
        <v>10</v>
      </c>
      <c r="C3" s="3" t="s">
        <v>11</v>
      </c>
      <c r="D3" s="3" t="s">
        <v>12</v>
      </c>
      <c r="E3" s="26" t="s">
        <v>57</v>
      </c>
      <c r="F3" s="26" t="s">
        <v>58</v>
      </c>
      <c r="G3" s="3" t="s">
        <v>60</v>
      </c>
      <c r="H3" s="3" t="s">
        <v>13</v>
      </c>
      <c r="I3" s="26" t="s">
        <v>62</v>
      </c>
      <c r="J3" s="3" t="s">
        <v>66</v>
      </c>
      <c r="K3" s="3" t="s">
        <v>14</v>
      </c>
      <c r="L3" s="26" t="s">
        <v>68</v>
      </c>
      <c r="M3" s="3" t="s">
        <v>71</v>
      </c>
      <c r="N3" s="14"/>
    </row>
    <row r="4" spans="1:14" ht="25.5">
      <c r="A4" s="4">
        <v>1</v>
      </c>
      <c r="B4" s="4">
        <v>2</v>
      </c>
      <c r="C4" s="4">
        <v>3</v>
      </c>
      <c r="D4" s="4">
        <v>4</v>
      </c>
      <c r="E4" s="4">
        <v>2</v>
      </c>
      <c r="F4" s="4">
        <v>3</v>
      </c>
      <c r="G4" s="4">
        <v>4</v>
      </c>
      <c r="H4" s="4" t="s">
        <v>64</v>
      </c>
      <c r="I4" s="5" t="s">
        <v>65</v>
      </c>
      <c r="J4" s="4">
        <v>7</v>
      </c>
      <c r="K4" s="4" t="s">
        <v>67</v>
      </c>
      <c r="L4" s="4" t="s">
        <v>69</v>
      </c>
      <c r="M4" s="5" t="s">
        <v>70</v>
      </c>
      <c r="N4" s="15"/>
    </row>
    <row r="5" spans="1:14" ht="12.75">
      <c r="A5" s="33" t="s">
        <v>125</v>
      </c>
      <c r="B5" s="4"/>
      <c r="C5" s="4"/>
      <c r="D5" s="4"/>
      <c r="E5" s="4"/>
      <c r="F5" s="4"/>
      <c r="G5" s="4"/>
      <c r="H5" s="4"/>
      <c r="I5" s="5"/>
      <c r="J5" s="4"/>
      <c r="K5" s="4"/>
      <c r="L5" s="4"/>
      <c r="M5" s="5"/>
      <c r="N5" s="15"/>
    </row>
    <row r="6" spans="1:14" ht="15.75">
      <c r="A6" s="122" t="s">
        <v>15</v>
      </c>
      <c r="B6" s="123"/>
      <c r="C6" s="123"/>
      <c r="D6" s="123"/>
      <c r="E6" s="124">
        <f>1/3</f>
        <v>0.3333333333333333</v>
      </c>
      <c r="F6" s="125">
        <f>1/3</f>
        <v>0.3333333333333333</v>
      </c>
      <c r="G6" s="126">
        <v>117</v>
      </c>
      <c r="H6" s="127">
        <f>G6*F6</f>
        <v>39</v>
      </c>
      <c r="I6" s="127">
        <f>F6*213.43</f>
        <v>71.14333333333333</v>
      </c>
      <c r="J6" s="127">
        <v>100</v>
      </c>
      <c r="K6" s="127">
        <f>J6*F6</f>
        <v>33.33333333333333</v>
      </c>
      <c r="L6" s="127">
        <f>H6+I6+K6</f>
        <v>143.47666666666666</v>
      </c>
      <c r="M6" s="127">
        <f>ROUND(L6/12,2)</f>
        <v>11.96</v>
      </c>
      <c r="N6" s="16"/>
    </row>
    <row r="7" spans="1:14" ht="15.75">
      <c r="A7" s="128" t="s">
        <v>16</v>
      </c>
      <c r="B7" s="129"/>
      <c r="C7" s="129"/>
      <c r="D7" s="129"/>
      <c r="E7" s="130">
        <v>0.3333333333333333</v>
      </c>
      <c r="F7" s="131">
        <f>1/3</f>
        <v>0.3333333333333333</v>
      </c>
      <c r="G7" s="132">
        <v>117</v>
      </c>
      <c r="H7" s="133">
        <f>G7*F7</f>
        <v>39</v>
      </c>
      <c r="I7" s="133">
        <f>F7*213.43</f>
        <v>71.14333333333333</v>
      </c>
      <c r="J7" s="133">
        <v>100</v>
      </c>
      <c r="K7" s="133">
        <f>J7*F7</f>
        <v>33.33333333333333</v>
      </c>
      <c r="L7" s="133">
        <f>H7+I7+K7</f>
        <v>143.47666666666666</v>
      </c>
      <c r="M7" s="133">
        <f>ROUND(L7/12,2)</f>
        <v>11.96</v>
      </c>
      <c r="N7" s="16"/>
    </row>
    <row r="8" spans="1:14" ht="15.75">
      <c r="A8" s="27" t="s">
        <v>48</v>
      </c>
      <c r="B8" s="12"/>
      <c r="C8" s="12"/>
      <c r="D8" s="12"/>
      <c r="E8" s="1">
        <f>'1.1.pielik_grozs_n_gads'!M13</f>
        <v>0.25</v>
      </c>
      <c r="F8" s="2">
        <v>1</v>
      </c>
      <c r="G8" s="114">
        <v>39</v>
      </c>
      <c r="H8" s="115">
        <f>G8*F8</f>
        <v>39</v>
      </c>
      <c r="I8" s="115">
        <f>F8*213.43</f>
        <v>213.43</v>
      </c>
      <c r="J8" s="115">
        <v>100</v>
      </c>
      <c r="K8" s="115">
        <f>J8*F8</f>
        <v>100</v>
      </c>
      <c r="L8" s="115">
        <f>H8+I8+K8</f>
        <v>352.43</v>
      </c>
      <c r="M8" s="115">
        <f>ROUND(L8/12,2)</f>
        <v>29.37</v>
      </c>
      <c r="N8" s="16"/>
    </row>
    <row r="9" spans="1:14" ht="15.75">
      <c r="A9" s="27" t="s">
        <v>49</v>
      </c>
      <c r="B9" s="12"/>
      <c r="C9" s="12"/>
      <c r="D9" s="12"/>
      <c r="E9" s="1">
        <f>'1.1.pielik_grozs_n_gads'!M14</f>
        <v>0.25</v>
      </c>
      <c r="F9" s="2">
        <v>1</v>
      </c>
      <c r="G9" s="114">
        <v>39</v>
      </c>
      <c r="H9" s="115">
        <f>G9*F9</f>
        <v>39</v>
      </c>
      <c r="I9" s="115">
        <f>F9*213.43</f>
        <v>213.43</v>
      </c>
      <c r="J9" s="115">
        <v>40</v>
      </c>
      <c r="K9" s="115">
        <f>J9*F9</f>
        <v>40</v>
      </c>
      <c r="L9" s="115">
        <f>H9+I9+K9</f>
        <v>292.43</v>
      </c>
      <c r="M9" s="115">
        <f>ROUND(L9/12,2)</f>
        <v>24.37</v>
      </c>
      <c r="N9" s="16"/>
    </row>
    <row r="10" spans="1:13" ht="15.75">
      <c r="A10" s="28" t="s">
        <v>0</v>
      </c>
      <c r="B10" s="17" t="s">
        <v>2</v>
      </c>
      <c r="C10" s="17" t="s">
        <v>2</v>
      </c>
      <c r="D10" s="17" t="s">
        <v>2</v>
      </c>
      <c r="E10" s="6" t="s">
        <v>2</v>
      </c>
      <c r="F10" s="7" t="s">
        <v>2</v>
      </c>
      <c r="G10" s="8" t="s">
        <v>2</v>
      </c>
      <c r="H10" s="29">
        <f aca="true" t="shared" si="0" ref="H10:M10">SUM(H6:H9)</f>
        <v>156</v>
      </c>
      <c r="I10" s="29">
        <f t="shared" si="0"/>
        <v>569.1466666666668</v>
      </c>
      <c r="J10" s="29">
        <f t="shared" si="0"/>
        <v>340</v>
      </c>
      <c r="K10" s="29">
        <f t="shared" si="0"/>
        <v>206.66666666666666</v>
      </c>
      <c r="L10" s="29">
        <f t="shared" si="0"/>
        <v>931.8133333333333</v>
      </c>
      <c r="M10" s="29">
        <f t="shared" si="0"/>
        <v>77.66000000000001</v>
      </c>
    </row>
    <row r="11" spans="1:13" ht="15.75">
      <c r="A11" s="116"/>
      <c r="B11" s="117"/>
      <c r="C11" s="117"/>
      <c r="D11" s="117"/>
      <c r="E11" s="118"/>
      <c r="F11" s="119"/>
      <c r="G11" s="120"/>
      <c r="H11" s="121"/>
      <c r="I11" s="121"/>
      <c r="J11" s="121"/>
      <c r="K11" s="121"/>
      <c r="L11" s="121"/>
      <c r="M11" s="121"/>
    </row>
    <row r="12" spans="1:14" ht="12.75">
      <c r="A12" s="33" t="s">
        <v>126</v>
      </c>
      <c r="B12" s="4"/>
      <c r="C12" s="4"/>
      <c r="D12" s="4"/>
      <c r="E12" s="4"/>
      <c r="F12" s="4"/>
      <c r="G12" s="4"/>
      <c r="H12" s="4"/>
      <c r="I12" s="5"/>
      <c r="J12" s="4"/>
      <c r="K12" s="4"/>
      <c r="L12" s="4"/>
      <c r="M12" s="5"/>
      <c r="N12" s="15"/>
    </row>
    <row r="13" spans="1:14" ht="15.75">
      <c r="A13" s="122" t="s">
        <v>15</v>
      </c>
      <c r="B13" s="123"/>
      <c r="C13" s="123"/>
      <c r="D13" s="123"/>
      <c r="E13" s="124">
        <f>1/3</f>
        <v>0.3333333333333333</v>
      </c>
      <c r="F13" s="125">
        <f>1/3</f>
        <v>0.3333333333333333</v>
      </c>
      <c r="G13" s="126">
        <v>117</v>
      </c>
      <c r="H13" s="127">
        <f>G13*F13</f>
        <v>39</v>
      </c>
      <c r="I13" s="127">
        <f>F13*213.43</f>
        <v>71.14333333333333</v>
      </c>
      <c r="J13" s="127">
        <v>100</v>
      </c>
      <c r="K13" s="127">
        <f>J13*F13</f>
        <v>33.33333333333333</v>
      </c>
      <c r="L13" s="127">
        <f>H13+I13+K13</f>
        <v>143.47666666666666</v>
      </c>
      <c r="M13" s="127">
        <f>ROUND(L13/12,2)</f>
        <v>11.96</v>
      </c>
      <c r="N13" s="16"/>
    </row>
    <row r="14" spans="1:14" ht="15.75">
      <c r="A14" s="128" t="s">
        <v>16</v>
      </c>
      <c r="B14" s="129"/>
      <c r="C14" s="129"/>
      <c r="D14" s="129"/>
      <c r="E14" s="130">
        <v>0.3333333333333333</v>
      </c>
      <c r="F14" s="131">
        <f>1/3</f>
        <v>0.3333333333333333</v>
      </c>
      <c r="G14" s="132">
        <v>117</v>
      </c>
      <c r="H14" s="133">
        <f>G14*F14</f>
        <v>39</v>
      </c>
      <c r="I14" s="133">
        <f>F14*213.43</f>
        <v>71.14333333333333</v>
      </c>
      <c r="J14" s="133">
        <v>100</v>
      </c>
      <c r="K14" s="133">
        <f>J14*F14</f>
        <v>33.33333333333333</v>
      </c>
      <c r="L14" s="133">
        <f>H14+I14+K14</f>
        <v>143.47666666666666</v>
      </c>
      <c r="M14" s="133">
        <f>ROUND(L14/12,2)</f>
        <v>11.96</v>
      </c>
      <c r="N14" s="16"/>
    </row>
    <row r="15" spans="1:14" ht="15.75">
      <c r="A15" s="134" t="s">
        <v>17</v>
      </c>
      <c r="B15" s="135"/>
      <c r="C15" s="135"/>
      <c r="D15" s="135"/>
      <c r="E15" s="136">
        <f>'1.1.pielik_grozs_n_gads'!M28/2</f>
        <v>0.5</v>
      </c>
      <c r="F15" s="137">
        <f>1/2</f>
        <v>0.5</v>
      </c>
      <c r="G15" s="138">
        <v>78</v>
      </c>
      <c r="H15" s="139">
        <f>G15*F15</f>
        <v>39</v>
      </c>
      <c r="I15" s="139">
        <f>F15*213.43</f>
        <v>106.715</v>
      </c>
      <c r="J15" s="139">
        <v>100</v>
      </c>
      <c r="K15" s="139">
        <f>J15*F15</f>
        <v>50</v>
      </c>
      <c r="L15" s="139">
        <f>H15+I15+K15</f>
        <v>195.715</v>
      </c>
      <c r="M15" s="139">
        <f>ROUND(L15/12,2)</f>
        <v>16.31</v>
      </c>
      <c r="N15" s="16"/>
    </row>
    <row r="16" spans="1:14" ht="15.75">
      <c r="A16" s="27" t="s">
        <v>124</v>
      </c>
      <c r="B16" s="12"/>
      <c r="C16" s="12"/>
      <c r="D16" s="12"/>
      <c r="E16" s="1" t="s">
        <v>76</v>
      </c>
      <c r="F16" s="2">
        <v>2</v>
      </c>
      <c r="G16" s="114">
        <v>117</v>
      </c>
      <c r="H16" s="115">
        <f>G16*F16</f>
        <v>234</v>
      </c>
      <c r="I16" s="115">
        <f>F16*213.43</f>
        <v>426.86</v>
      </c>
      <c r="J16" s="115">
        <v>100</v>
      </c>
      <c r="K16" s="115">
        <f>J16*F16</f>
        <v>200</v>
      </c>
      <c r="L16" s="115">
        <f>H16+I16+K16</f>
        <v>860.86</v>
      </c>
      <c r="M16" s="115">
        <f>ROUND(L16/12,2)</f>
        <v>71.74</v>
      </c>
      <c r="N16" s="16"/>
    </row>
    <row r="17" spans="1:13" ht="15.75">
      <c r="A17" s="28" t="s">
        <v>0</v>
      </c>
      <c r="B17" s="17" t="s">
        <v>2</v>
      </c>
      <c r="C17" s="17" t="s">
        <v>2</v>
      </c>
      <c r="D17" s="17" t="s">
        <v>2</v>
      </c>
      <c r="E17" s="6" t="s">
        <v>2</v>
      </c>
      <c r="F17" s="7" t="s">
        <v>2</v>
      </c>
      <c r="G17" s="8" t="s">
        <v>2</v>
      </c>
      <c r="H17" s="29">
        <f aca="true" t="shared" si="1" ref="H17:M17">SUM(H13:H16)</f>
        <v>351</v>
      </c>
      <c r="I17" s="29">
        <f t="shared" si="1"/>
        <v>675.8616666666667</v>
      </c>
      <c r="J17" s="29">
        <f t="shared" si="1"/>
        <v>400</v>
      </c>
      <c r="K17" s="29">
        <f t="shared" si="1"/>
        <v>316.66666666666663</v>
      </c>
      <c r="L17" s="29">
        <f t="shared" si="1"/>
        <v>1343.5283333333332</v>
      </c>
      <c r="M17" s="29">
        <f t="shared" si="1"/>
        <v>111.97</v>
      </c>
    </row>
    <row r="18" spans="1:13" ht="15.75">
      <c r="A18" s="116"/>
      <c r="B18" s="117"/>
      <c r="C18" s="117"/>
      <c r="D18" s="117"/>
      <c r="E18" s="118"/>
      <c r="F18" s="119"/>
      <c r="G18" s="120"/>
      <c r="H18" s="121"/>
      <c r="I18" s="121"/>
      <c r="J18" s="121"/>
      <c r="K18" s="121"/>
      <c r="L18" s="121"/>
      <c r="M18" s="121"/>
    </row>
    <row r="19" spans="1:14" ht="12.75">
      <c r="A19" s="33" t="s">
        <v>127</v>
      </c>
      <c r="B19" s="4"/>
      <c r="C19" s="4"/>
      <c r="D19" s="4"/>
      <c r="E19" s="4"/>
      <c r="F19" s="4"/>
      <c r="G19" s="4"/>
      <c r="H19" s="4"/>
      <c r="I19" s="5"/>
      <c r="J19" s="4"/>
      <c r="K19" s="4"/>
      <c r="L19" s="4"/>
      <c r="M19" s="5"/>
      <c r="N19" s="15"/>
    </row>
    <row r="20" spans="1:14" ht="15.75">
      <c r="A20" s="122" t="s">
        <v>15</v>
      </c>
      <c r="B20" s="123"/>
      <c r="C20" s="123"/>
      <c r="D20" s="123"/>
      <c r="E20" s="124">
        <f>1/3</f>
        <v>0.3333333333333333</v>
      </c>
      <c r="F20" s="125">
        <f>1/3</f>
        <v>0.3333333333333333</v>
      </c>
      <c r="G20" s="126">
        <v>117</v>
      </c>
      <c r="H20" s="127">
        <f>G20*F20</f>
        <v>39</v>
      </c>
      <c r="I20" s="127">
        <f>F20*213.43</f>
        <v>71.14333333333333</v>
      </c>
      <c r="J20" s="127">
        <v>100</v>
      </c>
      <c r="K20" s="127">
        <f>J20*F20</f>
        <v>33.33333333333333</v>
      </c>
      <c r="L20" s="127">
        <f>H20+I20+K20</f>
        <v>143.47666666666666</v>
      </c>
      <c r="M20" s="127">
        <f>ROUND(L20/12,2)</f>
        <v>11.96</v>
      </c>
      <c r="N20" s="16"/>
    </row>
    <row r="21" spans="1:14" ht="15.75">
      <c r="A21" s="128" t="s">
        <v>16</v>
      </c>
      <c r="B21" s="129"/>
      <c r="C21" s="129"/>
      <c r="D21" s="129"/>
      <c r="E21" s="130">
        <v>0.3333333333333333</v>
      </c>
      <c r="F21" s="131">
        <f>1/3</f>
        <v>0.3333333333333333</v>
      </c>
      <c r="G21" s="132">
        <v>117</v>
      </c>
      <c r="H21" s="133">
        <f>G21*F21</f>
        <v>39</v>
      </c>
      <c r="I21" s="133">
        <f>F21*213.43</f>
        <v>71.14333333333333</v>
      </c>
      <c r="J21" s="133">
        <v>100</v>
      </c>
      <c r="K21" s="133">
        <f>J21*F21</f>
        <v>33.33333333333333</v>
      </c>
      <c r="L21" s="133">
        <f>H21+I21+K21</f>
        <v>143.47666666666666</v>
      </c>
      <c r="M21" s="133">
        <f>ROUND(L21/12,2)</f>
        <v>11.96</v>
      </c>
      <c r="N21" s="16"/>
    </row>
    <row r="22" spans="1:14" ht="15.75">
      <c r="A22" s="134" t="s">
        <v>17</v>
      </c>
      <c r="B22" s="135"/>
      <c r="C22" s="135"/>
      <c r="D22" s="135"/>
      <c r="E22" s="136">
        <f>E15</f>
        <v>0.5</v>
      </c>
      <c r="F22" s="137">
        <f>1/2</f>
        <v>0.5</v>
      </c>
      <c r="G22" s="138">
        <v>78</v>
      </c>
      <c r="H22" s="139">
        <f>G22*F22</f>
        <v>39</v>
      </c>
      <c r="I22" s="139">
        <f>F22*213.43</f>
        <v>106.715</v>
      </c>
      <c r="J22" s="139">
        <v>100</v>
      </c>
      <c r="K22" s="139">
        <f>J22*F22</f>
        <v>50</v>
      </c>
      <c r="L22" s="139">
        <f>H22+I22+K22</f>
        <v>195.715</v>
      </c>
      <c r="M22" s="139">
        <f>ROUND(L22/12,2)</f>
        <v>16.31</v>
      </c>
      <c r="N22" s="16"/>
    </row>
    <row r="23" spans="1:14" ht="15.75">
      <c r="A23" s="27" t="s">
        <v>124</v>
      </c>
      <c r="B23" s="12"/>
      <c r="C23" s="12"/>
      <c r="D23" s="12"/>
      <c r="E23" s="1" t="s">
        <v>76</v>
      </c>
      <c r="F23" s="2">
        <v>2</v>
      </c>
      <c r="G23" s="114">
        <v>117</v>
      </c>
      <c r="H23" s="115">
        <f>G23*F23</f>
        <v>234</v>
      </c>
      <c r="I23" s="115">
        <f>F23*213.43</f>
        <v>426.86</v>
      </c>
      <c r="J23" s="115">
        <v>100</v>
      </c>
      <c r="K23" s="115">
        <f>J23*F23</f>
        <v>200</v>
      </c>
      <c r="L23" s="115">
        <f>H23+I23+K23</f>
        <v>860.86</v>
      </c>
      <c r="M23" s="115">
        <f>ROUND(L23/12,2)</f>
        <v>71.74</v>
      </c>
      <c r="N23" s="16"/>
    </row>
    <row r="24" spans="1:13" ht="15.75">
      <c r="A24" s="28" t="s">
        <v>0</v>
      </c>
      <c r="B24" s="17" t="s">
        <v>2</v>
      </c>
      <c r="C24" s="17" t="s">
        <v>2</v>
      </c>
      <c r="D24" s="17" t="s">
        <v>2</v>
      </c>
      <c r="E24" s="6" t="s">
        <v>2</v>
      </c>
      <c r="F24" s="7" t="s">
        <v>2</v>
      </c>
      <c r="G24" s="8" t="s">
        <v>2</v>
      </c>
      <c r="H24" s="29">
        <f aca="true" t="shared" si="2" ref="H24:M24">SUM(H20:H23)</f>
        <v>351</v>
      </c>
      <c r="I24" s="29">
        <f t="shared" si="2"/>
        <v>675.8616666666667</v>
      </c>
      <c r="J24" s="29">
        <f t="shared" si="2"/>
        <v>400</v>
      </c>
      <c r="K24" s="29">
        <f t="shared" si="2"/>
        <v>316.66666666666663</v>
      </c>
      <c r="L24" s="29">
        <f t="shared" si="2"/>
        <v>1343.5283333333332</v>
      </c>
      <c r="M24" s="29">
        <f t="shared" si="2"/>
        <v>111.97</v>
      </c>
    </row>
    <row r="25" spans="1:13" ht="15.75">
      <c r="A25" s="116"/>
      <c r="B25" s="117"/>
      <c r="C25" s="117"/>
      <c r="D25" s="117"/>
      <c r="E25" s="118"/>
      <c r="F25" s="119"/>
      <c r="G25" s="120"/>
      <c r="H25" s="121"/>
      <c r="I25" s="121"/>
      <c r="J25" s="121"/>
      <c r="K25" s="121"/>
      <c r="L25" s="121"/>
      <c r="M25" s="121"/>
    </row>
    <row r="26" spans="1:14" ht="36.75" customHeight="1">
      <c r="A26" s="435" t="s">
        <v>59</v>
      </c>
      <c r="B26" s="436"/>
      <c r="C26" s="436"/>
      <c r="D26" s="436"/>
      <c r="E26" s="436"/>
      <c r="F26" s="436"/>
      <c r="G26" s="436"/>
      <c r="H26" s="436"/>
      <c r="I26" s="436"/>
      <c r="J26" s="436"/>
      <c r="K26" s="436"/>
      <c r="L26" s="436"/>
      <c r="M26" s="436"/>
      <c r="N26" s="437"/>
    </row>
    <row r="27" spans="1:15" s="30" customFormat="1" ht="95.25" customHeight="1">
      <c r="A27" s="435" t="s">
        <v>61</v>
      </c>
      <c r="B27" s="436"/>
      <c r="C27" s="436"/>
      <c r="D27" s="436"/>
      <c r="E27" s="436"/>
      <c r="F27" s="436"/>
      <c r="G27" s="436"/>
      <c r="H27" s="436"/>
      <c r="I27" s="436"/>
      <c r="J27" s="436"/>
      <c r="K27" s="436"/>
      <c r="L27" s="436"/>
      <c r="M27" s="436"/>
      <c r="N27" s="437"/>
      <c r="O27" s="40"/>
    </row>
    <row r="28" spans="1:14" s="30" customFormat="1" ht="108.75" customHeight="1">
      <c r="A28" s="434" t="s">
        <v>63</v>
      </c>
      <c r="B28" s="434"/>
      <c r="C28" s="434"/>
      <c r="D28" s="434"/>
      <c r="E28" s="434"/>
      <c r="F28" s="434"/>
      <c r="G28" s="434"/>
      <c r="H28" s="434"/>
      <c r="I28" s="434"/>
      <c r="J28" s="434"/>
      <c r="K28" s="434"/>
      <c r="L28" s="434"/>
      <c r="M28" s="434"/>
      <c r="N28" s="434"/>
    </row>
    <row r="29" spans="1:15" s="30" customFormat="1" ht="137.25" customHeight="1">
      <c r="A29" s="434" t="s">
        <v>81</v>
      </c>
      <c r="B29" s="434"/>
      <c r="C29" s="434"/>
      <c r="D29" s="434"/>
      <c r="E29" s="434"/>
      <c r="F29" s="434"/>
      <c r="G29" s="434"/>
      <c r="H29" s="434"/>
      <c r="I29" s="434"/>
      <c r="J29" s="434"/>
      <c r="K29" s="434"/>
      <c r="L29" s="434"/>
      <c r="M29" s="434"/>
      <c r="N29" s="434"/>
      <c r="O29" s="40"/>
    </row>
  </sheetData>
  <sheetProtection/>
  <mergeCells count="6">
    <mergeCell ref="A2:N2"/>
    <mergeCell ref="A28:N28"/>
    <mergeCell ref="A29:N29"/>
    <mergeCell ref="A26:N26"/>
    <mergeCell ref="A27:N27"/>
    <mergeCell ref="A1:N1"/>
  </mergeCells>
  <printOptions/>
  <pageMargins left="0.9055118110236221" right="0.31496062992125984" top="1.141732283464567" bottom="0.7480314960629921" header="0.31496062992125984" footer="0.31496062992125984"/>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IS11"/>
  <sheetViews>
    <sheetView zoomScale="80" zoomScaleNormal="80" zoomScalePageLayoutView="0" workbookViewId="0" topLeftCell="B1">
      <selection activeCell="A1" sqref="A1:R1"/>
    </sheetView>
  </sheetViews>
  <sheetFormatPr defaultColWidth="9.140625" defaultRowHeight="12.75"/>
  <cols>
    <col min="1" max="1" width="4.57421875" style="41" hidden="1" customWidth="1"/>
    <col min="2" max="2" width="14.00390625" style="41" customWidth="1"/>
    <col min="3" max="3" width="5.7109375" style="41" customWidth="1"/>
    <col min="4" max="5" width="7.8515625" style="41" customWidth="1"/>
    <col min="6" max="6" width="6.00390625" style="41" customWidth="1"/>
    <col min="7" max="7" width="9.7109375" style="41" customWidth="1"/>
    <col min="8" max="8" width="12.00390625" style="41" customWidth="1"/>
    <col min="9" max="9" width="12.7109375" style="41" customWidth="1"/>
    <col min="10" max="10" width="12.421875" style="41" customWidth="1"/>
    <col min="11" max="11" width="9.140625" style="41" customWidth="1"/>
    <col min="12" max="12" width="13.7109375" style="41" customWidth="1"/>
    <col min="13" max="16" width="9.140625" style="41" customWidth="1"/>
    <col min="17" max="18" width="10.7109375" style="41" customWidth="1"/>
    <col min="19" max="16384" width="9.140625" style="41" customWidth="1"/>
  </cols>
  <sheetData>
    <row r="1" spans="1:18" ht="47.25" customHeight="1">
      <c r="A1" s="449" t="s">
        <v>224</v>
      </c>
      <c r="B1" s="449"/>
      <c r="C1" s="449"/>
      <c r="D1" s="449"/>
      <c r="E1" s="449"/>
      <c r="F1" s="449"/>
      <c r="G1" s="449"/>
      <c r="H1" s="449"/>
      <c r="I1" s="449"/>
      <c r="J1" s="449"/>
      <c r="K1" s="449"/>
      <c r="L1" s="449"/>
      <c r="M1" s="449"/>
      <c r="N1" s="449"/>
      <c r="O1" s="449"/>
      <c r="P1" s="449"/>
      <c r="Q1" s="449"/>
      <c r="R1" s="449"/>
    </row>
    <row r="2" spans="1:18" ht="47.25" customHeight="1">
      <c r="A2" s="450" t="s">
        <v>86</v>
      </c>
      <c r="B2" s="450"/>
      <c r="C2" s="450"/>
      <c r="D2" s="450"/>
      <c r="E2" s="450"/>
      <c r="F2" s="450"/>
      <c r="G2" s="450"/>
      <c r="H2" s="450"/>
      <c r="I2" s="450"/>
      <c r="J2" s="450"/>
      <c r="K2" s="450"/>
      <c r="L2" s="450"/>
      <c r="M2" s="450"/>
      <c r="N2" s="450"/>
      <c r="O2" s="450"/>
      <c r="P2" s="450"/>
      <c r="Q2" s="450"/>
      <c r="R2" s="450"/>
    </row>
    <row r="3" spans="1:18" ht="43.5" customHeight="1" thickBot="1">
      <c r="A3" s="450" t="s">
        <v>184</v>
      </c>
      <c r="B3" s="450"/>
      <c r="C3" s="450"/>
      <c r="D3" s="450"/>
      <c r="E3" s="450"/>
      <c r="F3" s="450"/>
      <c r="G3" s="450"/>
      <c r="H3" s="450"/>
      <c r="I3" s="450"/>
      <c r="J3" s="450"/>
      <c r="K3" s="450"/>
      <c r="L3" s="450"/>
      <c r="M3" s="450"/>
      <c r="N3" s="450"/>
      <c r="O3" s="450"/>
      <c r="P3" s="450"/>
      <c r="Q3" s="450"/>
      <c r="R3" s="450"/>
    </row>
    <row r="4" spans="1:253" ht="15" customHeight="1">
      <c r="A4" s="290"/>
      <c r="B4" s="457" t="s">
        <v>185</v>
      </c>
      <c r="C4" s="459" t="s">
        <v>186</v>
      </c>
      <c r="D4" s="459" t="s">
        <v>187</v>
      </c>
      <c r="E4" s="459" t="s">
        <v>188</v>
      </c>
      <c r="F4" s="462" t="s">
        <v>189</v>
      </c>
      <c r="G4" s="465" t="s">
        <v>190</v>
      </c>
      <c r="H4" s="441" t="s">
        <v>191</v>
      </c>
      <c r="I4" s="441" t="s">
        <v>192</v>
      </c>
      <c r="J4" s="451" t="s">
        <v>193</v>
      </c>
      <c r="K4" s="453" t="s">
        <v>194</v>
      </c>
      <c r="L4" s="441"/>
      <c r="M4" s="441"/>
      <c r="N4" s="441"/>
      <c r="O4" s="441"/>
      <c r="P4" s="454"/>
      <c r="Q4" s="455" t="s">
        <v>195</v>
      </c>
      <c r="R4" s="438" t="s">
        <v>196</v>
      </c>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c r="DN4" s="290"/>
      <c r="DO4" s="290"/>
      <c r="DP4" s="290"/>
      <c r="DQ4" s="290"/>
      <c r="DR4" s="290"/>
      <c r="DS4" s="290"/>
      <c r="DT4" s="290"/>
      <c r="DU4" s="290"/>
      <c r="DV4" s="290"/>
      <c r="DW4" s="290"/>
      <c r="DX4" s="290"/>
      <c r="DY4" s="290"/>
      <c r="DZ4" s="290"/>
      <c r="EA4" s="290"/>
      <c r="EB4" s="290"/>
      <c r="EC4" s="290"/>
      <c r="ED4" s="290"/>
      <c r="EE4" s="290"/>
      <c r="EF4" s="290"/>
      <c r="EG4" s="290"/>
      <c r="EH4" s="290"/>
      <c r="EI4" s="290"/>
      <c r="EJ4" s="290"/>
      <c r="EK4" s="290"/>
      <c r="EL4" s="290"/>
      <c r="EM4" s="290"/>
      <c r="EN4" s="290"/>
      <c r="EO4" s="290"/>
      <c r="EP4" s="290"/>
      <c r="EQ4" s="290"/>
      <c r="ER4" s="290"/>
      <c r="ES4" s="290"/>
      <c r="ET4" s="290"/>
      <c r="EU4" s="290"/>
      <c r="EV4" s="290"/>
      <c r="EW4" s="290"/>
      <c r="EX4" s="290"/>
      <c r="EY4" s="290"/>
      <c r="EZ4" s="290"/>
      <c r="FA4" s="290"/>
      <c r="FB4" s="290"/>
      <c r="FC4" s="290"/>
      <c r="FD4" s="290"/>
      <c r="FE4" s="290"/>
      <c r="FF4" s="290"/>
      <c r="FG4" s="290"/>
      <c r="FH4" s="290"/>
      <c r="FI4" s="290"/>
      <c r="FJ4" s="290"/>
      <c r="FK4" s="290"/>
      <c r="FL4" s="290"/>
      <c r="FM4" s="290"/>
      <c r="FN4" s="290"/>
      <c r="FO4" s="290"/>
      <c r="FP4" s="290"/>
      <c r="FQ4" s="290"/>
      <c r="FR4" s="290"/>
      <c r="FS4" s="290"/>
      <c r="FT4" s="290"/>
      <c r="FU4" s="290"/>
      <c r="FV4" s="290"/>
      <c r="FW4" s="290"/>
      <c r="FX4" s="290"/>
      <c r="FY4" s="290"/>
      <c r="FZ4" s="290"/>
      <c r="GA4" s="290"/>
      <c r="GB4" s="290"/>
      <c r="GC4" s="290"/>
      <c r="GD4" s="290"/>
      <c r="GE4" s="290"/>
      <c r="GF4" s="290"/>
      <c r="GG4" s="290"/>
      <c r="GH4" s="290"/>
      <c r="GI4" s="290"/>
      <c r="GJ4" s="290"/>
      <c r="GK4" s="290"/>
      <c r="GL4" s="290"/>
      <c r="GM4" s="290"/>
      <c r="GN4" s="290"/>
      <c r="GO4" s="290"/>
      <c r="GP4" s="290"/>
      <c r="GQ4" s="290"/>
      <c r="GR4" s="290"/>
      <c r="GS4" s="290"/>
      <c r="GT4" s="290"/>
      <c r="GU4" s="290"/>
      <c r="GV4" s="290"/>
      <c r="GW4" s="290"/>
      <c r="GX4" s="290"/>
      <c r="GY4" s="290"/>
      <c r="GZ4" s="290"/>
      <c r="HA4" s="290"/>
      <c r="HB4" s="290"/>
      <c r="HC4" s="290"/>
      <c r="HD4" s="290"/>
      <c r="HE4" s="290"/>
      <c r="HF4" s="290"/>
      <c r="HG4" s="290"/>
      <c r="HH4" s="290"/>
      <c r="HI4" s="290"/>
      <c r="HJ4" s="290"/>
      <c r="HK4" s="290"/>
      <c r="HL4" s="290"/>
      <c r="HM4" s="290"/>
      <c r="HN4" s="290"/>
      <c r="HO4" s="290"/>
      <c r="HP4" s="290"/>
      <c r="HQ4" s="290"/>
      <c r="HR4" s="290"/>
      <c r="HS4" s="290"/>
      <c r="HT4" s="290"/>
      <c r="HU4" s="290"/>
      <c r="HV4" s="290"/>
      <c r="HW4" s="290"/>
      <c r="HX4" s="290"/>
      <c r="HY4" s="290"/>
      <c r="HZ4" s="290"/>
      <c r="IA4" s="290"/>
      <c r="IB4" s="290"/>
      <c r="IC4" s="290"/>
      <c r="ID4" s="290"/>
      <c r="IE4" s="290"/>
      <c r="IF4" s="290"/>
      <c r="IG4" s="290"/>
      <c r="IH4" s="290"/>
      <c r="II4" s="290"/>
      <c r="IJ4" s="290"/>
      <c r="IK4" s="290"/>
      <c r="IL4" s="290"/>
      <c r="IM4" s="290"/>
      <c r="IN4" s="290"/>
      <c r="IO4" s="290"/>
      <c r="IP4" s="290"/>
      <c r="IQ4" s="290"/>
      <c r="IR4" s="290"/>
      <c r="IS4" s="290"/>
    </row>
    <row r="5" spans="1:253" ht="50.25" customHeight="1">
      <c r="A5" s="290"/>
      <c r="B5" s="458"/>
      <c r="C5" s="460"/>
      <c r="D5" s="460"/>
      <c r="E5" s="460"/>
      <c r="F5" s="463"/>
      <c r="G5" s="466"/>
      <c r="H5" s="442"/>
      <c r="I5" s="442"/>
      <c r="J5" s="452"/>
      <c r="K5" s="440" t="s">
        <v>197</v>
      </c>
      <c r="L5" s="461" t="s">
        <v>198</v>
      </c>
      <c r="M5" s="461"/>
      <c r="N5" s="461"/>
      <c r="O5" s="442" t="s">
        <v>199</v>
      </c>
      <c r="P5" s="439" t="s">
        <v>200</v>
      </c>
      <c r="Q5" s="456"/>
      <c r="R5" s="439"/>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c r="DM5" s="290"/>
      <c r="DN5" s="290"/>
      <c r="DO5" s="290"/>
      <c r="DP5" s="290"/>
      <c r="DQ5" s="290"/>
      <c r="DR5" s="290"/>
      <c r="DS5" s="290"/>
      <c r="DT5" s="290"/>
      <c r="DU5" s="290"/>
      <c r="DV5" s="290"/>
      <c r="DW5" s="290"/>
      <c r="DX5" s="290"/>
      <c r="DY5" s="290"/>
      <c r="DZ5" s="290"/>
      <c r="EA5" s="290"/>
      <c r="EB5" s="290"/>
      <c r="EC5" s="290"/>
      <c r="ED5" s="290"/>
      <c r="EE5" s="290"/>
      <c r="EF5" s="290"/>
      <c r="EG5" s="290"/>
      <c r="EH5" s="290"/>
      <c r="EI5" s="290"/>
      <c r="EJ5" s="290"/>
      <c r="EK5" s="290"/>
      <c r="EL5" s="290"/>
      <c r="EM5" s="290"/>
      <c r="EN5" s="290"/>
      <c r="EO5" s="290"/>
      <c r="EP5" s="290"/>
      <c r="EQ5" s="290"/>
      <c r="ER5" s="290"/>
      <c r="ES5" s="290"/>
      <c r="ET5" s="290"/>
      <c r="EU5" s="290"/>
      <c r="EV5" s="290"/>
      <c r="EW5" s="290"/>
      <c r="EX5" s="290"/>
      <c r="EY5" s="290"/>
      <c r="EZ5" s="290"/>
      <c r="FA5" s="290"/>
      <c r="FB5" s="290"/>
      <c r="FC5" s="290"/>
      <c r="FD5" s="290"/>
      <c r="FE5" s="290"/>
      <c r="FF5" s="290"/>
      <c r="FG5" s="290"/>
      <c r="FH5" s="290"/>
      <c r="FI5" s="290"/>
      <c r="FJ5" s="290"/>
      <c r="FK5" s="290"/>
      <c r="FL5" s="290"/>
      <c r="FM5" s="290"/>
      <c r="FN5" s="290"/>
      <c r="FO5" s="290"/>
      <c r="FP5" s="290"/>
      <c r="FQ5" s="290"/>
      <c r="FR5" s="290"/>
      <c r="FS5" s="290"/>
      <c r="FT5" s="290"/>
      <c r="FU5" s="290"/>
      <c r="FV5" s="290"/>
      <c r="FW5" s="290"/>
      <c r="FX5" s="290"/>
      <c r="FY5" s="290"/>
      <c r="FZ5" s="290"/>
      <c r="GA5" s="290"/>
      <c r="GB5" s="290"/>
      <c r="GC5" s="290"/>
      <c r="GD5" s="290"/>
      <c r="GE5" s="290"/>
      <c r="GF5" s="290"/>
      <c r="GG5" s="290"/>
      <c r="GH5" s="290"/>
      <c r="GI5" s="290"/>
      <c r="GJ5" s="290"/>
      <c r="GK5" s="290"/>
      <c r="GL5" s="290"/>
      <c r="GM5" s="290"/>
      <c r="GN5" s="290"/>
      <c r="GO5" s="290"/>
      <c r="GP5" s="290"/>
      <c r="GQ5" s="290"/>
      <c r="GR5" s="290"/>
      <c r="GS5" s="290"/>
      <c r="GT5" s="290"/>
      <c r="GU5" s="290"/>
      <c r="GV5" s="290"/>
      <c r="GW5" s="290"/>
      <c r="GX5" s="290"/>
      <c r="GY5" s="290"/>
      <c r="GZ5" s="290"/>
      <c r="HA5" s="290"/>
      <c r="HB5" s="290"/>
      <c r="HC5" s="290"/>
      <c r="HD5" s="290"/>
      <c r="HE5" s="290"/>
      <c r="HF5" s="290"/>
      <c r="HG5" s="290"/>
      <c r="HH5" s="290"/>
      <c r="HI5" s="290"/>
      <c r="HJ5" s="290"/>
      <c r="HK5" s="290"/>
      <c r="HL5" s="290"/>
      <c r="HM5" s="290"/>
      <c r="HN5" s="290"/>
      <c r="HO5" s="290"/>
      <c r="HP5" s="290"/>
      <c r="HQ5" s="290"/>
      <c r="HR5" s="290"/>
      <c r="HS5" s="290"/>
      <c r="HT5" s="290"/>
      <c r="HU5" s="290"/>
      <c r="HV5" s="290"/>
      <c r="HW5" s="290"/>
      <c r="HX5" s="290"/>
      <c r="HY5" s="290"/>
      <c r="HZ5" s="290"/>
      <c r="IA5" s="290"/>
      <c r="IB5" s="290"/>
      <c r="IC5" s="290"/>
      <c r="ID5" s="290"/>
      <c r="IE5" s="290"/>
      <c r="IF5" s="290"/>
      <c r="IG5" s="290"/>
      <c r="IH5" s="290"/>
      <c r="II5" s="290"/>
      <c r="IJ5" s="290"/>
      <c r="IK5" s="290"/>
      <c r="IL5" s="290"/>
      <c r="IM5" s="290"/>
      <c r="IN5" s="290"/>
      <c r="IO5" s="290"/>
      <c r="IP5" s="290"/>
      <c r="IQ5" s="290"/>
      <c r="IR5" s="290"/>
      <c r="IS5" s="290"/>
    </row>
    <row r="6" spans="1:253" ht="170.25" customHeight="1">
      <c r="A6" s="290"/>
      <c r="B6" s="458"/>
      <c r="C6" s="460"/>
      <c r="D6" s="460"/>
      <c r="E6" s="460"/>
      <c r="F6" s="464"/>
      <c r="G6" s="467"/>
      <c r="H6" s="442"/>
      <c r="I6" s="442"/>
      <c r="J6" s="452"/>
      <c r="K6" s="440"/>
      <c r="L6" s="312" t="s">
        <v>201</v>
      </c>
      <c r="M6" s="313" t="s">
        <v>202</v>
      </c>
      <c r="N6" s="313" t="s">
        <v>203</v>
      </c>
      <c r="O6" s="442"/>
      <c r="P6" s="439"/>
      <c r="Q6" s="456"/>
      <c r="R6" s="439"/>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0"/>
      <c r="FL6" s="290"/>
      <c r="FM6" s="290"/>
      <c r="FN6" s="290"/>
      <c r="FO6" s="290"/>
      <c r="FP6" s="290"/>
      <c r="FQ6" s="290"/>
      <c r="FR6" s="290"/>
      <c r="FS6" s="290"/>
      <c r="FT6" s="290"/>
      <c r="FU6" s="290"/>
      <c r="FV6" s="290"/>
      <c r="FW6" s="290"/>
      <c r="FX6" s="290"/>
      <c r="FY6" s="290"/>
      <c r="FZ6" s="290"/>
      <c r="GA6" s="290"/>
      <c r="GB6" s="290"/>
      <c r="GC6" s="290"/>
      <c r="GD6" s="290"/>
      <c r="GE6" s="290"/>
      <c r="GF6" s="290"/>
      <c r="GG6" s="290"/>
      <c r="GH6" s="290"/>
      <c r="GI6" s="290"/>
      <c r="GJ6" s="290"/>
      <c r="GK6" s="290"/>
      <c r="GL6" s="290"/>
      <c r="GM6" s="290"/>
      <c r="GN6" s="290"/>
      <c r="GO6" s="290"/>
      <c r="GP6" s="290"/>
      <c r="GQ6" s="290"/>
      <c r="GR6" s="290"/>
      <c r="GS6" s="290"/>
      <c r="GT6" s="290"/>
      <c r="GU6" s="290"/>
      <c r="GV6" s="290"/>
      <c r="GW6" s="290"/>
      <c r="GX6" s="290"/>
      <c r="GY6" s="290"/>
      <c r="GZ6" s="290"/>
      <c r="HA6" s="290"/>
      <c r="HB6" s="290"/>
      <c r="HC6" s="290"/>
      <c r="HD6" s="290"/>
      <c r="HE6" s="290"/>
      <c r="HF6" s="290"/>
      <c r="HG6" s="290"/>
      <c r="HH6" s="290"/>
      <c r="HI6" s="290"/>
      <c r="HJ6" s="290"/>
      <c r="HK6" s="290"/>
      <c r="HL6" s="290"/>
      <c r="HM6" s="290"/>
      <c r="HN6" s="290"/>
      <c r="HO6" s="290"/>
      <c r="HP6" s="290"/>
      <c r="HQ6" s="290"/>
      <c r="HR6" s="290"/>
      <c r="HS6" s="290"/>
      <c r="HT6" s="290"/>
      <c r="HU6" s="290"/>
      <c r="HV6" s="290"/>
      <c r="HW6" s="290"/>
      <c r="HX6" s="290"/>
      <c r="HY6" s="290"/>
      <c r="HZ6" s="290"/>
      <c r="IA6" s="290"/>
      <c r="IB6" s="290"/>
      <c r="IC6" s="290"/>
      <c r="ID6" s="290"/>
      <c r="IE6" s="290"/>
      <c r="IF6" s="290"/>
      <c r="IG6" s="290"/>
      <c r="IH6" s="290"/>
      <c r="II6" s="290"/>
      <c r="IJ6" s="290"/>
      <c r="IK6" s="290"/>
      <c r="IL6" s="290"/>
      <c r="IM6" s="290"/>
      <c r="IN6" s="290"/>
      <c r="IO6" s="290"/>
      <c r="IP6" s="290"/>
      <c r="IQ6" s="290"/>
      <c r="IR6" s="290"/>
      <c r="IS6" s="290"/>
    </row>
    <row r="7" spans="1:253" ht="30" customHeight="1">
      <c r="A7" s="290"/>
      <c r="B7" s="314">
        <v>1</v>
      </c>
      <c r="C7" s="315">
        <v>2</v>
      </c>
      <c r="D7" s="315">
        <v>3</v>
      </c>
      <c r="E7" s="315">
        <v>4</v>
      </c>
      <c r="F7" s="315">
        <v>5</v>
      </c>
      <c r="G7" s="291">
        <v>6</v>
      </c>
      <c r="H7" s="291" t="s">
        <v>204</v>
      </c>
      <c r="I7" s="291" t="s">
        <v>205</v>
      </c>
      <c r="J7" s="293" t="s">
        <v>206</v>
      </c>
      <c r="K7" s="294" t="s">
        <v>207</v>
      </c>
      <c r="L7" s="291" t="s">
        <v>208</v>
      </c>
      <c r="M7" s="292" t="s">
        <v>209</v>
      </c>
      <c r="N7" s="292" t="s">
        <v>210</v>
      </c>
      <c r="O7" s="291" t="s">
        <v>211</v>
      </c>
      <c r="P7" s="295" t="s">
        <v>212</v>
      </c>
      <c r="Q7" s="296" t="s">
        <v>213</v>
      </c>
      <c r="R7" s="295" t="s">
        <v>214</v>
      </c>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c r="DO7" s="290"/>
      <c r="DP7" s="290"/>
      <c r="DQ7" s="290"/>
      <c r="DR7" s="290"/>
      <c r="DS7" s="290"/>
      <c r="DT7" s="290"/>
      <c r="DU7" s="290"/>
      <c r="DV7" s="290"/>
      <c r="DW7" s="290"/>
      <c r="DX7" s="290"/>
      <c r="DY7" s="290"/>
      <c r="DZ7" s="290"/>
      <c r="EA7" s="290"/>
      <c r="EB7" s="290"/>
      <c r="EC7" s="290"/>
      <c r="ED7" s="290"/>
      <c r="EE7" s="290"/>
      <c r="EF7" s="290"/>
      <c r="EG7" s="290"/>
      <c r="EH7" s="290"/>
      <c r="EI7" s="290"/>
      <c r="EJ7" s="290"/>
      <c r="EK7" s="290"/>
      <c r="EL7" s="290"/>
      <c r="EM7" s="290"/>
      <c r="EN7" s="290"/>
      <c r="EO7" s="290"/>
      <c r="EP7" s="290"/>
      <c r="EQ7" s="290"/>
      <c r="ER7" s="290"/>
      <c r="ES7" s="290"/>
      <c r="ET7" s="290"/>
      <c r="EU7" s="290"/>
      <c r="EV7" s="290"/>
      <c r="EW7" s="290"/>
      <c r="EX7" s="290"/>
      <c r="EY7" s="290"/>
      <c r="EZ7" s="290"/>
      <c r="FA7" s="290"/>
      <c r="FB7" s="290"/>
      <c r="FC7" s="290"/>
      <c r="FD7" s="290"/>
      <c r="FE7" s="290"/>
      <c r="FF7" s="290"/>
      <c r="FG7" s="290"/>
      <c r="FH7" s="290"/>
      <c r="FI7" s="290"/>
      <c r="FJ7" s="290"/>
      <c r="FK7" s="290"/>
      <c r="FL7" s="290"/>
      <c r="FM7" s="290"/>
      <c r="FN7" s="290"/>
      <c r="FO7" s="290"/>
      <c r="FP7" s="290"/>
      <c r="FQ7" s="290"/>
      <c r="FR7" s="290"/>
      <c r="FS7" s="290"/>
      <c r="FT7" s="290"/>
      <c r="FU7" s="290"/>
      <c r="FV7" s="290"/>
      <c r="FW7" s="290"/>
      <c r="FX7" s="290"/>
      <c r="FY7" s="290"/>
      <c r="FZ7" s="290"/>
      <c r="GA7" s="290"/>
      <c r="GB7" s="290"/>
      <c r="GC7" s="290"/>
      <c r="GD7" s="290"/>
      <c r="GE7" s="290"/>
      <c r="GF7" s="290"/>
      <c r="GG7" s="290"/>
      <c r="GH7" s="290"/>
      <c r="GI7" s="290"/>
      <c r="GJ7" s="290"/>
      <c r="GK7" s="290"/>
      <c r="GL7" s="290"/>
      <c r="GM7" s="290"/>
      <c r="GN7" s="290"/>
      <c r="GO7" s="290"/>
      <c r="GP7" s="290"/>
      <c r="GQ7" s="290"/>
      <c r="GR7" s="290"/>
      <c r="GS7" s="290"/>
      <c r="GT7" s="290"/>
      <c r="GU7" s="290"/>
      <c r="GV7" s="290"/>
      <c r="GW7" s="290"/>
      <c r="GX7" s="290"/>
      <c r="GY7" s="290"/>
      <c r="GZ7" s="290"/>
      <c r="HA7" s="290"/>
      <c r="HB7" s="290"/>
      <c r="HC7" s="290"/>
      <c r="HD7" s="290"/>
      <c r="HE7" s="290"/>
      <c r="HF7" s="290"/>
      <c r="HG7" s="290"/>
      <c r="HH7" s="290"/>
      <c r="HI7" s="290"/>
      <c r="HJ7" s="290"/>
      <c r="HK7" s="290"/>
      <c r="HL7" s="290"/>
      <c r="HM7" s="290"/>
      <c r="HN7" s="290"/>
      <c r="HO7" s="290"/>
      <c r="HP7" s="290"/>
      <c r="HQ7" s="290"/>
      <c r="HR7" s="290"/>
      <c r="HS7" s="290"/>
      <c r="HT7" s="290"/>
      <c r="HU7" s="290"/>
      <c r="HV7" s="290"/>
      <c r="HW7" s="290"/>
      <c r="HX7" s="290"/>
      <c r="HY7" s="290"/>
      <c r="HZ7" s="290"/>
      <c r="IA7" s="290"/>
      <c r="IB7" s="290"/>
      <c r="IC7" s="290"/>
      <c r="ID7" s="290"/>
      <c r="IE7" s="290"/>
      <c r="IF7" s="290"/>
      <c r="IG7" s="290"/>
      <c r="IH7" s="290"/>
      <c r="II7" s="290"/>
      <c r="IJ7" s="290"/>
      <c r="IK7" s="290"/>
      <c r="IL7" s="290"/>
      <c r="IM7" s="290"/>
      <c r="IN7" s="290"/>
      <c r="IO7" s="290"/>
      <c r="IP7" s="290"/>
      <c r="IQ7" s="290"/>
      <c r="IR7" s="290"/>
      <c r="IS7" s="290"/>
    </row>
    <row r="8" spans="1:253" ht="50.25" customHeight="1">
      <c r="A8" s="290"/>
      <c r="B8" s="297" t="s">
        <v>215</v>
      </c>
      <c r="C8" s="298"/>
      <c r="D8" s="298">
        <v>1</v>
      </c>
      <c r="E8" s="299">
        <v>9</v>
      </c>
      <c r="F8" s="299">
        <v>3</v>
      </c>
      <c r="G8" s="300">
        <v>1185.85</v>
      </c>
      <c r="H8" s="300">
        <f>G8*12</f>
        <v>14230.199999999999</v>
      </c>
      <c r="I8" s="300">
        <f>H8*0.2409</f>
        <v>3428.05518</v>
      </c>
      <c r="J8" s="301">
        <f>H8+I8</f>
        <v>17658.25518</v>
      </c>
      <c r="K8" s="302">
        <f>H8*0.1</f>
        <v>1423.02</v>
      </c>
      <c r="L8" s="300">
        <f>H8*0.05</f>
        <v>711.51</v>
      </c>
      <c r="M8" s="303">
        <f>L8-N8</f>
        <v>498.08</v>
      </c>
      <c r="N8" s="303">
        <f>213.43*D8</f>
        <v>213.43</v>
      </c>
      <c r="O8" s="300">
        <f>(K8+M8)*0.2359</f>
        <v>453.18748999999997</v>
      </c>
      <c r="P8" s="304">
        <f>K8+L8+O8</f>
        <v>2587.7174899999995</v>
      </c>
      <c r="Q8" s="305">
        <f>H8+K8</f>
        <v>15653.22</v>
      </c>
      <c r="R8" s="304">
        <f>J8+P8</f>
        <v>20245.97267</v>
      </c>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c r="GX8" s="290"/>
      <c r="GY8" s="290"/>
      <c r="GZ8" s="290"/>
      <c r="HA8" s="290"/>
      <c r="HB8" s="290"/>
      <c r="HC8" s="290"/>
      <c r="HD8" s="290"/>
      <c r="HE8" s="290"/>
      <c r="HF8" s="290"/>
      <c r="HG8" s="290"/>
      <c r="HH8" s="290"/>
      <c r="HI8" s="290"/>
      <c r="HJ8" s="290"/>
      <c r="HK8" s="290"/>
      <c r="HL8" s="290"/>
      <c r="HM8" s="290"/>
      <c r="HN8" s="290"/>
      <c r="HO8" s="290"/>
      <c r="HP8" s="290"/>
      <c r="HQ8" s="290"/>
      <c r="HR8" s="290"/>
      <c r="HS8" s="290"/>
      <c r="HT8" s="290"/>
      <c r="HU8" s="290"/>
      <c r="HV8" s="290"/>
      <c r="HW8" s="290"/>
      <c r="HX8" s="290"/>
      <c r="HY8" s="290"/>
      <c r="HZ8" s="290"/>
      <c r="IA8" s="290"/>
      <c r="IB8" s="290"/>
      <c r="IC8" s="290"/>
      <c r="ID8" s="290"/>
      <c r="IE8" s="290"/>
      <c r="IF8" s="290"/>
      <c r="IG8" s="290"/>
      <c r="IH8" s="290"/>
      <c r="II8" s="290"/>
      <c r="IJ8" s="290"/>
      <c r="IK8" s="290"/>
      <c r="IL8" s="290"/>
      <c r="IM8" s="290"/>
      <c r="IN8" s="290"/>
      <c r="IO8" s="290"/>
      <c r="IP8" s="290"/>
      <c r="IQ8" s="290"/>
      <c r="IR8" s="290"/>
      <c r="IS8" s="290"/>
    </row>
    <row r="9" spans="1:253" ht="33.75" customHeight="1" thickBot="1">
      <c r="A9" s="290"/>
      <c r="B9" s="443" t="s">
        <v>80</v>
      </c>
      <c r="C9" s="444"/>
      <c r="D9" s="444"/>
      <c r="E9" s="444"/>
      <c r="F9" s="306"/>
      <c r="G9" s="307"/>
      <c r="H9" s="307">
        <f aca="true" t="shared" si="0" ref="H9:Q9">SUM(H8)</f>
        <v>14230.199999999999</v>
      </c>
      <c r="I9" s="307">
        <f t="shared" si="0"/>
        <v>3428.05518</v>
      </c>
      <c r="J9" s="308">
        <f t="shared" si="0"/>
        <v>17658.25518</v>
      </c>
      <c r="K9" s="309">
        <f t="shared" si="0"/>
        <v>1423.02</v>
      </c>
      <c r="L9" s="307">
        <f t="shared" si="0"/>
        <v>711.51</v>
      </c>
      <c r="M9" s="307">
        <f t="shared" si="0"/>
        <v>498.08</v>
      </c>
      <c r="N9" s="307">
        <f>SUM(N8)</f>
        <v>213.43</v>
      </c>
      <c r="O9" s="307">
        <f t="shared" si="0"/>
        <v>453.18748999999997</v>
      </c>
      <c r="P9" s="310">
        <f t="shared" si="0"/>
        <v>2587.7174899999995</v>
      </c>
      <c r="Q9" s="311">
        <f t="shared" si="0"/>
        <v>15653.22</v>
      </c>
      <c r="R9" s="310">
        <f>ROUND(SUM(R8),0)</f>
        <v>20246</v>
      </c>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0"/>
      <c r="EL9" s="290"/>
      <c r="EM9" s="290"/>
      <c r="EN9" s="290"/>
      <c r="EO9" s="290"/>
      <c r="EP9" s="290"/>
      <c r="EQ9" s="290"/>
      <c r="ER9" s="290"/>
      <c r="ES9" s="290"/>
      <c r="ET9" s="290"/>
      <c r="EU9" s="290"/>
      <c r="EV9" s="290"/>
      <c r="EW9" s="290"/>
      <c r="EX9" s="290"/>
      <c r="EY9" s="290"/>
      <c r="EZ9" s="290"/>
      <c r="FA9" s="290"/>
      <c r="FB9" s="290"/>
      <c r="FC9" s="290"/>
      <c r="FD9" s="290"/>
      <c r="FE9" s="290"/>
      <c r="FF9" s="290"/>
      <c r="FG9" s="290"/>
      <c r="FH9" s="290"/>
      <c r="FI9" s="290"/>
      <c r="FJ9" s="290"/>
      <c r="FK9" s="290"/>
      <c r="FL9" s="290"/>
      <c r="FM9" s="290"/>
      <c r="FN9" s="290"/>
      <c r="FO9" s="290"/>
      <c r="FP9" s="290"/>
      <c r="FQ9" s="290"/>
      <c r="FR9" s="290"/>
      <c r="FS9" s="290"/>
      <c r="FT9" s="290"/>
      <c r="FU9" s="290"/>
      <c r="FV9" s="290"/>
      <c r="FW9" s="290"/>
      <c r="FX9" s="290"/>
      <c r="FY9" s="290"/>
      <c r="FZ9" s="290"/>
      <c r="GA9" s="290"/>
      <c r="GB9" s="290"/>
      <c r="GC9" s="290"/>
      <c r="GD9" s="290"/>
      <c r="GE9" s="290"/>
      <c r="GF9" s="290"/>
      <c r="GG9" s="290"/>
      <c r="GH9" s="290"/>
      <c r="GI9" s="290"/>
      <c r="GJ9" s="290"/>
      <c r="GK9" s="290"/>
      <c r="GL9" s="290"/>
      <c r="GM9" s="290"/>
      <c r="GN9" s="290"/>
      <c r="GO9" s="290"/>
      <c r="GP9" s="290"/>
      <c r="GQ9" s="290"/>
      <c r="GR9" s="290"/>
      <c r="GS9" s="290"/>
      <c r="GT9" s="290"/>
      <c r="GU9" s="290"/>
      <c r="GV9" s="290"/>
      <c r="GW9" s="290"/>
      <c r="GX9" s="290"/>
      <c r="GY9" s="290"/>
      <c r="GZ9" s="290"/>
      <c r="HA9" s="290"/>
      <c r="HB9" s="290"/>
      <c r="HC9" s="290"/>
      <c r="HD9" s="290"/>
      <c r="HE9" s="290"/>
      <c r="HF9" s="290"/>
      <c r="HG9" s="290"/>
      <c r="HH9" s="290"/>
      <c r="HI9" s="290"/>
      <c r="HJ9" s="290"/>
      <c r="HK9" s="290"/>
      <c r="HL9" s="290"/>
      <c r="HM9" s="290"/>
      <c r="HN9" s="290"/>
      <c r="HO9" s="290"/>
      <c r="HP9" s="290"/>
      <c r="HQ9" s="290"/>
      <c r="HR9" s="290"/>
      <c r="HS9" s="290"/>
      <c r="HT9" s="290"/>
      <c r="HU9" s="290"/>
      <c r="HV9" s="290"/>
      <c r="HW9" s="290"/>
      <c r="HX9" s="290"/>
      <c r="HY9" s="290"/>
      <c r="HZ9" s="290"/>
      <c r="IA9" s="290"/>
      <c r="IB9" s="290"/>
      <c r="IC9" s="290"/>
      <c r="ID9" s="290"/>
      <c r="IE9" s="290"/>
      <c r="IF9" s="290"/>
      <c r="IG9" s="290"/>
      <c r="IH9" s="290"/>
      <c r="II9" s="290"/>
      <c r="IJ9" s="290"/>
      <c r="IK9" s="290"/>
      <c r="IL9" s="290"/>
      <c r="IM9" s="290"/>
      <c r="IN9" s="290"/>
      <c r="IO9" s="290"/>
      <c r="IP9" s="290"/>
      <c r="IQ9" s="290"/>
      <c r="IR9" s="290"/>
      <c r="IS9" s="290"/>
    </row>
    <row r="10" spans="1:253" ht="33" customHeight="1">
      <c r="A10" s="290"/>
      <c r="B10" s="445" t="s">
        <v>216</v>
      </c>
      <c r="C10" s="446"/>
      <c r="D10" s="446"/>
      <c r="E10" s="446"/>
      <c r="F10" s="446"/>
      <c r="G10" s="446"/>
      <c r="H10" s="446"/>
      <c r="I10" s="446"/>
      <c r="J10" s="446"/>
      <c r="K10" s="446"/>
      <c r="L10" s="446"/>
      <c r="M10" s="446"/>
      <c r="N10" s="446"/>
      <c r="O10" s="446"/>
      <c r="P10" s="446"/>
      <c r="Q10" s="446"/>
      <c r="R10" s="446"/>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0"/>
      <c r="DK10" s="290"/>
      <c r="DL10" s="290"/>
      <c r="DM10" s="290"/>
      <c r="DN10" s="290"/>
      <c r="DO10" s="290"/>
      <c r="DP10" s="290"/>
      <c r="DQ10" s="290"/>
      <c r="DR10" s="290"/>
      <c r="DS10" s="290"/>
      <c r="DT10" s="290"/>
      <c r="DU10" s="290"/>
      <c r="DV10" s="290"/>
      <c r="DW10" s="290"/>
      <c r="DX10" s="290"/>
      <c r="DY10" s="290"/>
      <c r="DZ10" s="290"/>
      <c r="EA10" s="290"/>
      <c r="EB10" s="290"/>
      <c r="EC10" s="290"/>
      <c r="ED10" s="290"/>
      <c r="EE10" s="290"/>
      <c r="EF10" s="290"/>
      <c r="EG10" s="290"/>
      <c r="EH10" s="290"/>
      <c r="EI10" s="290"/>
      <c r="EJ10" s="290"/>
      <c r="EK10" s="290"/>
      <c r="EL10" s="290"/>
      <c r="EM10" s="290"/>
      <c r="EN10" s="290"/>
      <c r="EO10" s="290"/>
      <c r="EP10" s="290"/>
      <c r="EQ10" s="290"/>
      <c r="ER10" s="290"/>
      <c r="ES10" s="290"/>
      <c r="ET10" s="290"/>
      <c r="EU10" s="290"/>
      <c r="EV10" s="290"/>
      <c r="EW10" s="290"/>
      <c r="EX10" s="290"/>
      <c r="EY10" s="290"/>
      <c r="EZ10" s="290"/>
      <c r="FA10" s="290"/>
      <c r="FB10" s="290"/>
      <c r="FC10" s="290"/>
      <c r="FD10" s="290"/>
      <c r="FE10" s="290"/>
      <c r="FF10" s="290"/>
      <c r="FG10" s="290"/>
      <c r="FH10" s="290"/>
      <c r="FI10" s="290"/>
      <c r="FJ10" s="290"/>
      <c r="FK10" s="290"/>
      <c r="FL10" s="290"/>
      <c r="FM10" s="290"/>
      <c r="FN10" s="290"/>
      <c r="FO10" s="290"/>
      <c r="FP10" s="290"/>
      <c r="FQ10" s="290"/>
      <c r="FR10" s="290"/>
      <c r="FS10" s="290"/>
      <c r="FT10" s="290"/>
      <c r="FU10" s="290"/>
      <c r="FV10" s="290"/>
      <c r="FW10" s="290"/>
      <c r="FX10" s="290"/>
      <c r="FY10" s="290"/>
      <c r="FZ10" s="290"/>
      <c r="GA10" s="290"/>
      <c r="GB10" s="290"/>
      <c r="GC10" s="290"/>
      <c r="GD10" s="290"/>
      <c r="GE10" s="290"/>
      <c r="GF10" s="290"/>
      <c r="GG10" s="290"/>
      <c r="GH10" s="290"/>
      <c r="GI10" s="290"/>
      <c r="GJ10" s="290"/>
      <c r="GK10" s="290"/>
      <c r="GL10" s="290"/>
      <c r="GM10" s="290"/>
      <c r="GN10" s="290"/>
      <c r="GO10" s="290"/>
      <c r="GP10" s="290"/>
      <c r="GQ10" s="290"/>
      <c r="GR10" s="290"/>
      <c r="GS10" s="290"/>
      <c r="GT10" s="290"/>
      <c r="GU10" s="290"/>
      <c r="GV10" s="290"/>
      <c r="GW10" s="290"/>
      <c r="GX10" s="290"/>
      <c r="GY10" s="290"/>
      <c r="GZ10" s="290"/>
      <c r="HA10" s="290"/>
      <c r="HB10" s="290"/>
      <c r="HC10" s="290"/>
      <c r="HD10" s="290"/>
      <c r="HE10" s="290"/>
      <c r="HF10" s="290"/>
      <c r="HG10" s="290"/>
      <c r="HH10" s="290"/>
      <c r="HI10" s="290"/>
      <c r="HJ10" s="290"/>
      <c r="HK10" s="290"/>
      <c r="HL10" s="290"/>
      <c r="HM10" s="290"/>
      <c r="HN10" s="290"/>
      <c r="HO10" s="290"/>
      <c r="HP10" s="290"/>
      <c r="HQ10" s="290"/>
      <c r="HR10" s="290"/>
      <c r="HS10" s="290"/>
      <c r="HT10" s="290"/>
      <c r="HU10" s="290"/>
      <c r="HV10" s="290"/>
      <c r="HW10" s="290"/>
      <c r="HX10" s="290"/>
      <c r="HY10" s="290"/>
      <c r="HZ10" s="290"/>
      <c r="IA10" s="290"/>
      <c r="IB10" s="290"/>
      <c r="IC10" s="290"/>
      <c r="ID10" s="290"/>
      <c r="IE10" s="290"/>
      <c r="IF10" s="290"/>
      <c r="IG10" s="290"/>
      <c r="IH10" s="290"/>
      <c r="II10" s="290"/>
      <c r="IJ10" s="290"/>
      <c r="IK10" s="290"/>
      <c r="IL10" s="290"/>
      <c r="IM10" s="290"/>
      <c r="IN10" s="290"/>
      <c r="IO10" s="290"/>
      <c r="IP10" s="290"/>
      <c r="IQ10" s="290"/>
      <c r="IR10" s="290"/>
      <c r="IS10" s="290"/>
    </row>
    <row r="11" spans="1:253" ht="33" customHeight="1">
      <c r="A11" s="290"/>
      <c r="B11" s="447" t="s">
        <v>217</v>
      </c>
      <c r="C11" s="448"/>
      <c r="D11" s="448"/>
      <c r="E11" s="448"/>
      <c r="F11" s="448"/>
      <c r="G11" s="448"/>
      <c r="H11" s="448"/>
      <c r="I11" s="448"/>
      <c r="J11" s="448"/>
      <c r="K11" s="448"/>
      <c r="L11" s="448"/>
      <c r="M11" s="448"/>
      <c r="N11" s="448"/>
      <c r="O11" s="448"/>
      <c r="P11" s="448"/>
      <c r="Q11" s="448"/>
      <c r="R11" s="448"/>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90"/>
      <c r="EV11" s="290"/>
      <c r="EW11" s="290"/>
      <c r="EX11" s="290"/>
      <c r="EY11" s="290"/>
      <c r="EZ11" s="290"/>
      <c r="FA11" s="290"/>
      <c r="FB11" s="290"/>
      <c r="FC11" s="290"/>
      <c r="FD11" s="290"/>
      <c r="FE11" s="290"/>
      <c r="FF11" s="290"/>
      <c r="FG11" s="290"/>
      <c r="FH11" s="290"/>
      <c r="FI11" s="290"/>
      <c r="FJ11" s="290"/>
      <c r="FK11" s="290"/>
      <c r="FL11" s="290"/>
      <c r="FM11" s="290"/>
      <c r="FN11" s="290"/>
      <c r="FO11" s="290"/>
      <c r="FP11" s="290"/>
      <c r="FQ11" s="290"/>
      <c r="FR11" s="290"/>
      <c r="FS11" s="290"/>
      <c r="FT11" s="290"/>
      <c r="FU11" s="290"/>
      <c r="FV11" s="290"/>
      <c r="FW11" s="290"/>
      <c r="FX11" s="290"/>
      <c r="FY11" s="290"/>
      <c r="FZ11" s="290"/>
      <c r="GA11" s="290"/>
      <c r="GB11" s="290"/>
      <c r="GC11" s="290"/>
      <c r="GD11" s="290"/>
      <c r="GE11" s="290"/>
      <c r="GF11" s="290"/>
      <c r="GG11" s="290"/>
      <c r="GH11" s="290"/>
      <c r="GI11" s="290"/>
      <c r="GJ11" s="290"/>
      <c r="GK11" s="290"/>
      <c r="GL11" s="290"/>
      <c r="GM11" s="290"/>
      <c r="GN11" s="290"/>
      <c r="GO11" s="290"/>
      <c r="GP11" s="290"/>
      <c r="GQ11" s="290"/>
      <c r="GR11" s="290"/>
      <c r="GS11" s="290"/>
      <c r="GT11" s="290"/>
      <c r="GU11" s="290"/>
      <c r="GV11" s="290"/>
      <c r="GW11" s="290"/>
      <c r="GX11" s="290"/>
      <c r="GY11" s="290"/>
      <c r="GZ11" s="290"/>
      <c r="HA11" s="290"/>
      <c r="HB11" s="290"/>
      <c r="HC11" s="290"/>
      <c r="HD11" s="290"/>
      <c r="HE11" s="290"/>
      <c r="HF11" s="290"/>
      <c r="HG11" s="290"/>
      <c r="HH11" s="290"/>
      <c r="HI11" s="290"/>
      <c r="HJ11" s="290"/>
      <c r="HK11" s="290"/>
      <c r="HL11" s="290"/>
      <c r="HM11" s="290"/>
      <c r="HN11" s="290"/>
      <c r="HO11" s="290"/>
      <c r="HP11" s="290"/>
      <c r="HQ11" s="290"/>
      <c r="HR11" s="290"/>
      <c r="HS11" s="290"/>
      <c r="HT11" s="290"/>
      <c r="HU11" s="290"/>
      <c r="HV11" s="290"/>
      <c r="HW11" s="290"/>
      <c r="HX11" s="290"/>
      <c r="HY11" s="290"/>
      <c r="HZ11" s="290"/>
      <c r="IA11" s="290"/>
      <c r="IB11" s="290"/>
      <c r="IC11" s="290"/>
      <c r="ID11" s="290"/>
      <c r="IE11" s="290"/>
      <c r="IF11" s="290"/>
      <c r="IG11" s="290"/>
      <c r="IH11" s="290"/>
      <c r="II11" s="290"/>
      <c r="IJ11" s="290"/>
      <c r="IK11" s="290"/>
      <c r="IL11" s="290"/>
      <c r="IM11" s="290"/>
      <c r="IN11" s="290"/>
      <c r="IO11" s="290"/>
      <c r="IP11" s="290"/>
      <c r="IQ11" s="290"/>
      <c r="IR11" s="290"/>
      <c r="IS11" s="290"/>
    </row>
  </sheetData>
  <sheetProtection/>
  <mergeCells count="22">
    <mergeCell ref="F4:F6"/>
    <mergeCell ref="G4:G6"/>
    <mergeCell ref="B11:R11"/>
    <mergeCell ref="A1:R1"/>
    <mergeCell ref="A2:R2"/>
    <mergeCell ref="J4:J6"/>
    <mergeCell ref="K4:P4"/>
    <mergeCell ref="Q4:Q6"/>
    <mergeCell ref="A3:R3"/>
    <mergeCell ref="B4:B6"/>
    <mergeCell ref="C4:C6"/>
    <mergeCell ref="L5:N5"/>
    <mergeCell ref="R4:R6"/>
    <mergeCell ref="K5:K6"/>
    <mergeCell ref="H4:H6"/>
    <mergeCell ref="I4:I6"/>
    <mergeCell ref="B9:E9"/>
    <mergeCell ref="B10:R10"/>
    <mergeCell ref="O5:O6"/>
    <mergeCell ref="P5:P6"/>
    <mergeCell ref="D4:D6"/>
    <mergeCell ref="E4:E6"/>
  </mergeCells>
  <printOptions/>
  <pageMargins left="1.1023622047244095" right="0.7086614173228347" top="0.7480314960629921" bottom="0.7480314960629921"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J55"/>
  <sheetViews>
    <sheetView tabSelected="1" zoomScale="90" zoomScaleNormal="90" zoomScalePageLayoutView="0" workbookViewId="0" topLeftCell="A10">
      <selection activeCell="P43" sqref="P43"/>
    </sheetView>
  </sheetViews>
  <sheetFormatPr defaultColWidth="9.140625" defaultRowHeight="12.75"/>
  <cols>
    <col min="1" max="1" width="9.140625" style="37" customWidth="1"/>
    <col min="2" max="2" width="19.7109375" style="39" customWidth="1"/>
    <col min="3" max="3" width="9.140625" style="37" customWidth="1"/>
    <col min="4" max="4" width="12.140625" style="37" customWidth="1"/>
    <col min="5" max="5" width="5.00390625" style="37" customWidth="1"/>
    <col min="6" max="6" width="12.140625" style="37" customWidth="1"/>
    <col min="7" max="16384" width="9.140625" style="37" customWidth="1"/>
  </cols>
  <sheetData>
    <row r="1" spans="1:7" ht="64.5" customHeight="1">
      <c r="A1" s="468" t="s">
        <v>92</v>
      </c>
      <c r="B1" s="468"/>
      <c r="C1" s="468"/>
      <c r="D1" s="468"/>
      <c r="E1" s="468"/>
      <c r="F1" s="468"/>
      <c r="G1" s="468"/>
    </row>
    <row r="3" spans="3:6" ht="12.75">
      <c r="C3" s="470" t="s">
        <v>87</v>
      </c>
      <c r="D3" s="470"/>
      <c r="E3" s="42"/>
      <c r="F3" s="471" t="s">
        <v>89</v>
      </c>
    </row>
    <row r="4" spans="1:6" s="36" customFormat="1" ht="51">
      <c r="A4" s="473" t="s">
        <v>82</v>
      </c>
      <c r="B4" s="474"/>
      <c r="C4" s="10" t="s">
        <v>90</v>
      </c>
      <c r="D4" s="10" t="s">
        <v>88</v>
      </c>
      <c r="E4" s="43"/>
      <c r="F4" s="471"/>
    </row>
    <row r="5" spans="3:6" ht="12.75">
      <c r="C5" s="45">
        <v>1</v>
      </c>
      <c r="D5" s="44">
        <v>1</v>
      </c>
      <c r="E5" s="42"/>
      <c r="F5" s="34"/>
    </row>
    <row r="6" spans="3:6" ht="12.75">
      <c r="C6" s="45">
        <v>1</v>
      </c>
      <c r="D6" s="44">
        <v>1</v>
      </c>
      <c r="E6" s="42"/>
      <c r="F6" s="34"/>
    </row>
    <row r="7" spans="3:6" ht="12.75" customHeight="1">
      <c r="C7" s="45">
        <v>1</v>
      </c>
      <c r="D7" s="44">
        <v>1</v>
      </c>
      <c r="E7" s="42"/>
      <c r="F7" s="34"/>
    </row>
    <row r="8" spans="3:6" ht="12.75">
      <c r="C8" s="45">
        <v>1</v>
      </c>
      <c r="D8" s="44">
        <v>1</v>
      </c>
      <c r="E8" s="42"/>
      <c r="F8" s="34"/>
    </row>
    <row r="9" spans="3:6" ht="12.75">
      <c r="C9" s="45">
        <v>1</v>
      </c>
      <c r="D9" s="44">
        <v>1</v>
      </c>
      <c r="E9" s="42"/>
      <c r="F9" s="44">
        <v>1</v>
      </c>
    </row>
    <row r="10" spans="1:6" ht="18.75">
      <c r="A10" s="469"/>
      <c r="B10" s="469"/>
      <c r="C10" s="48">
        <f>SUM(C5:C9)</f>
        <v>5</v>
      </c>
      <c r="D10" s="255">
        <f>SUM(D5:D9)</f>
        <v>5</v>
      </c>
      <c r="E10" s="256"/>
      <c r="F10" s="257">
        <f>SUM(F5:F9)</f>
        <v>1</v>
      </c>
    </row>
    <row r="12" ht="12.75" customHeight="1"/>
    <row r="13" spans="3:6" ht="12.75" customHeight="1">
      <c r="C13" s="470" t="s">
        <v>87</v>
      </c>
      <c r="D13" s="470"/>
      <c r="E13" s="42"/>
      <c r="F13" s="471" t="s">
        <v>89</v>
      </c>
    </row>
    <row r="14" spans="1:6" s="36" customFormat="1" ht="51" customHeight="1">
      <c r="A14" s="473" t="s">
        <v>83</v>
      </c>
      <c r="B14" s="474"/>
      <c r="C14" s="10" t="s">
        <v>90</v>
      </c>
      <c r="D14" s="10" t="s">
        <v>88</v>
      </c>
      <c r="E14" s="43"/>
      <c r="F14" s="471"/>
    </row>
    <row r="15" spans="3:6" ht="12.75">
      <c r="C15" s="45">
        <v>0</v>
      </c>
      <c r="D15" s="45"/>
      <c r="E15" s="42"/>
      <c r="F15" s="45"/>
    </row>
    <row r="16" spans="3:6" ht="12.75" customHeight="1">
      <c r="C16" s="45">
        <v>0</v>
      </c>
      <c r="D16" s="45"/>
      <c r="E16" s="42"/>
      <c r="F16" s="44">
        <v>1</v>
      </c>
    </row>
    <row r="17" spans="3:6" ht="12.75">
      <c r="C17" s="45">
        <v>0</v>
      </c>
      <c r="D17" s="45"/>
      <c r="E17" s="42"/>
      <c r="F17" s="44">
        <v>1</v>
      </c>
    </row>
    <row r="18" spans="3:6" ht="12.75">
      <c r="C18" s="45">
        <v>0</v>
      </c>
      <c r="D18" s="45"/>
      <c r="E18" s="42"/>
      <c r="F18" s="44">
        <v>1</v>
      </c>
    </row>
    <row r="19" spans="3:6" ht="12.75">
      <c r="C19" s="45">
        <v>0</v>
      </c>
      <c r="D19" s="45"/>
      <c r="E19" s="42"/>
      <c r="F19" s="44">
        <v>1</v>
      </c>
    </row>
    <row r="20" spans="3:6" ht="12.75">
      <c r="C20" s="45">
        <v>1</v>
      </c>
      <c r="D20" s="46">
        <v>1</v>
      </c>
      <c r="E20" s="42"/>
      <c r="F20" s="46">
        <v>1</v>
      </c>
    </row>
    <row r="21" spans="3:6" ht="12.75">
      <c r="C21" s="45">
        <v>1</v>
      </c>
      <c r="D21" s="46">
        <v>1</v>
      </c>
      <c r="E21" s="42"/>
      <c r="F21" s="46">
        <v>1</v>
      </c>
    </row>
    <row r="22" spans="3:6" ht="12.75">
      <c r="C22" s="45">
        <v>1</v>
      </c>
      <c r="D22" s="46">
        <v>1</v>
      </c>
      <c r="E22" s="42"/>
      <c r="F22" s="46">
        <v>1</v>
      </c>
    </row>
    <row r="23" spans="3:6" ht="12.75">
      <c r="C23" s="45">
        <v>1</v>
      </c>
      <c r="D23" s="46">
        <v>1</v>
      </c>
      <c r="E23" s="42"/>
      <c r="F23" s="46">
        <v>1</v>
      </c>
    </row>
    <row r="24" spans="3:6" ht="12.75">
      <c r="C24" s="45">
        <v>1</v>
      </c>
      <c r="D24" s="46">
        <v>1</v>
      </c>
      <c r="E24" s="42"/>
      <c r="F24" s="34"/>
    </row>
    <row r="25" spans="3:6" ht="12.75">
      <c r="C25" s="45">
        <v>1</v>
      </c>
      <c r="D25" s="47">
        <v>1</v>
      </c>
      <c r="E25" s="42"/>
      <c r="F25" s="34"/>
    </row>
    <row r="26" spans="3:6" ht="12.75">
      <c r="C26" s="45">
        <v>1</v>
      </c>
      <c r="D26" s="47">
        <v>1</v>
      </c>
      <c r="E26" s="42"/>
      <c r="F26" s="34"/>
    </row>
    <row r="27" spans="3:6" ht="12.75">
      <c r="C27" s="45">
        <v>1</v>
      </c>
      <c r="D27" s="47">
        <v>1</v>
      </c>
      <c r="E27" s="42"/>
      <c r="F27" s="34"/>
    </row>
    <row r="28" spans="3:6" ht="12.75">
      <c r="C28" s="45">
        <v>1</v>
      </c>
      <c r="D28" s="47">
        <v>1</v>
      </c>
      <c r="E28" s="42"/>
      <c r="F28" s="34"/>
    </row>
    <row r="29" spans="3:6" ht="12.75">
      <c r="C29" s="45">
        <v>1</v>
      </c>
      <c r="D29" s="47">
        <v>1</v>
      </c>
      <c r="E29" s="42"/>
      <c r="F29" s="34"/>
    </row>
    <row r="30" spans="1:6" ht="18.75">
      <c r="A30" s="469"/>
      <c r="B30" s="469"/>
      <c r="C30" s="48">
        <f>SUM(C15:C29)</f>
        <v>10</v>
      </c>
      <c r="D30" s="255">
        <f>SUM(D15:D29)</f>
        <v>10</v>
      </c>
      <c r="E30" s="256"/>
      <c r="F30" s="257">
        <f>SUM(F15:F29)</f>
        <v>8</v>
      </c>
    </row>
    <row r="33" spans="3:6" ht="12.75">
      <c r="C33" s="470" t="s">
        <v>87</v>
      </c>
      <c r="D33" s="470"/>
      <c r="E33" s="42"/>
      <c r="F33" s="471" t="s">
        <v>89</v>
      </c>
    </row>
    <row r="34" spans="1:6" s="36" customFormat="1" ht="51">
      <c r="A34" s="473" t="s">
        <v>84</v>
      </c>
      <c r="B34" s="474"/>
      <c r="C34" s="10" t="s">
        <v>90</v>
      </c>
      <c r="D34" s="10" t="s">
        <v>88</v>
      </c>
      <c r="E34" s="43"/>
      <c r="F34" s="471"/>
    </row>
    <row r="35" spans="1:6" s="36" customFormat="1" ht="13.5" customHeight="1">
      <c r="A35" s="151"/>
      <c r="B35" s="248"/>
      <c r="C35" s="10">
        <v>0</v>
      </c>
      <c r="D35" s="10"/>
      <c r="E35" s="43"/>
      <c r="F35" s="46">
        <v>1</v>
      </c>
    </row>
    <row r="36" spans="3:6" ht="12.75">
      <c r="C36" s="45">
        <v>0</v>
      </c>
      <c r="D36" s="45"/>
      <c r="E36" s="42"/>
      <c r="F36" s="47">
        <v>1</v>
      </c>
    </row>
    <row r="37" spans="3:6" ht="12.75">
      <c r="C37" s="45">
        <v>0</v>
      </c>
      <c r="D37" s="45"/>
      <c r="E37" s="42"/>
      <c r="F37" s="47">
        <v>1</v>
      </c>
    </row>
    <row r="38" spans="3:6" ht="12.75">
      <c r="C38" s="45">
        <v>0</v>
      </c>
      <c r="D38" s="45"/>
      <c r="E38" s="42"/>
      <c r="F38" s="47">
        <v>1</v>
      </c>
    </row>
    <row r="39" spans="3:6" ht="12.75">
      <c r="C39" s="45">
        <v>0</v>
      </c>
      <c r="D39" s="45"/>
      <c r="E39" s="42"/>
      <c r="F39" s="47">
        <v>1</v>
      </c>
    </row>
    <row r="40" spans="3:6" ht="12.75">
      <c r="C40" s="45">
        <v>0</v>
      </c>
      <c r="D40" s="45"/>
      <c r="E40" s="42"/>
      <c r="F40" s="47">
        <v>1</v>
      </c>
    </row>
    <row r="41" spans="3:6" ht="12.75">
      <c r="C41" s="45">
        <v>1</v>
      </c>
      <c r="D41" s="49">
        <v>1</v>
      </c>
      <c r="E41" s="42"/>
      <c r="F41" s="49">
        <v>1</v>
      </c>
    </row>
    <row r="42" spans="3:6" ht="12.75">
      <c r="C42" s="45">
        <v>1</v>
      </c>
      <c r="D42" s="49">
        <v>1</v>
      </c>
      <c r="E42" s="42"/>
      <c r="F42" s="49">
        <v>1</v>
      </c>
    </row>
    <row r="43" spans="3:6" ht="12.75">
      <c r="C43" s="45">
        <v>1</v>
      </c>
      <c r="D43" s="49">
        <v>1</v>
      </c>
      <c r="E43" s="42"/>
      <c r="F43" s="34"/>
    </row>
    <row r="44" spans="3:6" ht="12.75">
      <c r="C44" s="45">
        <v>1</v>
      </c>
      <c r="D44" s="49">
        <v>1</v>
      </c>
      <c r="E44" s="42"/>
      <c r="F44" s="34"/>
    </row>
    <row r="45" spans="3:6" ht="12.75">
      <c r="C45" s="45">
        <v>1</v>
      </c>
      <c r="D45" s="49">
        <v>1</v>
      </c>
      <c r="E45" s="42"/>
      <c r="F45" s="34"/>
    </row>
    <row r="46" spans="3:6" ht="12.75">
      <c r="C46" s="45">
        <v>1</v>
      </c>
      <c r="D46" s="52">
        <v>1</v>
      </c>
      <c r="E46" s="42"/>
      <c r="F46" s="34"/>
    </row>
    <row r="47" spans="3:6" ht="12.75">
      <c r="C47" s="45">
        <v>1</v>
      </c>
      <c r="D47" s="52">
        <v>1</v>
      </c>
      <c r="E47" s="42"/>
      <c r="F47" s="34"/>
    </row>
    <row r="48" spans="3:6" ht="12.75">
      <c r="C48" s="45">
        <v>1</v>
      </c>
      <c r="D48" s="52">
        <v>1</v>
      </c>
      <c r="E48" s="42"/>
      <c r="F48" s="34"/>
    </row>
    <row r="49" spans="3:6" ht="12.75">
      <c r="C49" s="45">
        <v>1</v>
      </c>
      <c r="D49" s="52">
        <v>1</v>
      </c>
      <c r="E49" s="42"/>
      <c r="F49" s="34"/>
    </row>
    <row r="50" spans="3:6" ht="12.75">
      <c r="C50" s="45">
        <v>1</v>
      </c>
      <c r="D50" s="52">
        <v>1</v>
      </c>
      <c r="E50" s="42"/>
      <c r="F50" s="34"/>
    </row>
    <row r="51" spans="1:6" ht="18.75">
      <c r="A51" s="469"/>
      <c r="B51" s="469"/>
      <c r="C51" s="48">
        <f>SUM(C36:C50)</f>
        <v>10</v>
      </c>
      <c r="D51" s="255">
        <f>SUM(D36:D50)</f>
        <v>10</v>
      </c>
      <c r="E51" s="256"/>
      <c r="F51" s="257">
        <f>SUM(F35:F50)</f>
        <v>8</v>
      </c>
    </row>
    <row r="52" ht="13.5" thickBot="1"/>
    <row r="53" spans="1:10" ht="21" thickBot="1">
      <c r="A53" s="50" t="s">
        <v>91</v>
      </c>
      <c r="B53" s="53"/>
      <c r="C53" s="254">
        <f>C10+C30+C51</f>
        <v>25</v>
      </c>
      <c r="D53" s="252">
        <f>D10+D30+D51</f>
        <v>25</v>
      </c>
      <c r="E53" s="51"/>
      <c r="F53" s="51">
        <f>F10+F30+F51</f>
        <v>17</v>
      </c>
      <c r="G53" s="38">
        <f>D53-F53</f>
        <v>8</v>
      </c>
      <c r="H53" s="472" t="s">
        <v>163</v>
      </c>
      <c r="I53" s="472"/>
      <c r="J53" s="253"/>
    </row>
    <row r="54" spans="8:10" ht="20.25" customHeight="1">
      <c r="H54" s="472"/>
      <c r="I54" s="472"/>
      <c r="J54" s="253"/>
    </row>
    <row r="55" spans="8:10" ht="20.25" customHeight="1">
      <c r="H55" s="253"/>
      <c r="I55" s="253"/>
      <c r="J55" s="253"/>
    </row>
  </sheetData>
  <sheetProtection/>
  <mergeCells count="14">
    <mergeCell ref="C13:D13"/>
    <mergeCell ref="F13:F14"/>
    <mergeCell ref="A4:B4"/>
    <mergeCell ref="A14:B14"/>
    <mergeCell ref="A1:G1"/>
    <mergeCell ref="A30:B30"/>
    <mergeCell ref="C33:D33"/>
    <mergeCell ref="F33:F34"/>
    <mergeCell ref="H53:I54"/>
    <mergeCell ref="A51:B51"/>
    <mergeCell ref="A34:B34"/>
    <mergeCell ref="C3:D3"/>
    <mergeCell ref="F3:F4"/>
    <mergeCell ref="A10:B10"/>
  </mergeCells>
  <printOptions/>
  <pageMargins left="1.1023622047244095" right="0.7086614173228347" top="0.7480314960629921" bottom="0.7480314960629921"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lilitac</dc:creator>
  <cp:keywords/>
  <dc:description/>
  <cp:lastModifiedBy>Ieva Skirusa</cp:lastModifiedBy>
  <cp:lastPrinted>2017-08-23T06:26:35Z</cp:lastPrinted>
  <dcterms:created xsi:type="dcterms:W3CDTF">2012-09-03T07:32:21Z</dcterms:created>
  <dcterms:modified xsi:type="dcterms:W3CDTF">2017-08-25T08:37:53Z</dcterms:modified>
  <cp:category/>
  <cp:version/>
  <cp:contentType/>
  <cp:contentStatus/>
</cp:coreProperties>
</file>