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vnozare.pri\vm\Redirect_profiles\iarzova\Desktop\MB_plans_uz_VSS\021017_VSS_MB\"/>
    </mc:Choice>
  </mc:AlternateContent>
  <bookViews>
    <workbookView xWindow="0" yWindow="0" windowWidth="28800" windowHeight="11610"/>
  </bookViews>
  <sheets>
    <sheet name="Kopsavilkums" sheetId="2" r:id="rId1"/>
    <sheet name="1.1." sheetId="55" r:id="rId2"/>
    <sheet name="1.2" sheetId="61" r:id="rId3"/>
    <sheet name="1.3" sheetId="50" r:id="rId4"/>
    <sheet name="1.4.1" sheetId="52" r:id="rId5"/>
    <sheet name="1.4.2" sheetId="54" r:id="rId6"/>
    <sheet name="1.4.3" sheetId="30" r:id="rId7"/>
    <sheet name="1.5.2_2" sheetId="59" r:id="rId8"/>
    <sheet name="2.1_1" sheetId="40" r:id="rId9"/>
    <sheet name="2.2" sheetId="41" r:id="rId10"/>
    <sheet name="2.3" sheetId="43" r:id="rId11"/>
    <sheet name="2.4" sheetId="39" r:id="rId12"/>
    <sheet name="2.5" sheetId="48" r:id="rId13"/>
    <sheet name="2.6_1" sheetId="36" r:id="rId14"/>
    <sheet name="2.6_2" sheetId="42" r:id="rId15"/>
    <sheet name="2.6_3" sheetId="58" r:id="rId16"/>
    <sheet name="2.6.2." sheetId="57" r:id="rId17"/>
    <sheet name="2.8" sheetId="33" r:id="rId18"/>
    <sheet name="2.10" sheetId="32" r:id="rId19"/>
    <sheet name="3.1_2" sheetId="38" r:id="rId20"/>
    <sheet name="3.1_3" sheetId="44" r:id="rId21"/>
    <sheet name="3.2_1" sheetId="46" r:id="rId22"/>
  </sheets>
  <definedNames>
    <definedName name="_edn2" localSheetId="6">'1.4.3'!$A$9</definedName>
    <definedName name="_ednref1" localSheetId="6">'1.4.3'!$C$4</definedName>
    <definedName name="_ednref2" localSheetId="6">'1.4.3'!$D$6</definedName>
    <definedName name="_Ref487107203" localSheetId="6">'1.4.3'!$C$4</definedName>
    <definedName name="_Ref487107251" localSheetId="6">'1.4.3'!$D$6</definedName>
  </definedNames>
  <calcPr calcId="171027"/>
  <customWorkbookViews>
    <customWorkbookView name="astrazdina - Personal View" guid="{BC187337-5DE7-48FA-A7E9-7359FCED48A6}" mergeInterval="0" personalView="1" maximized="1" xWindow="-8" yWindow="-8" windowWidth="1936" windowHeight="1056" activeSheetId="1"/>
  </customWorkbookViews>
</workbook>
</file>

<file path=xl/calcChain.xml><?xml version="1.0" encoding="utf-8"?>
<calcChain xmlns="http://schemas.openxmlformats.org/spreadsheetml/2006/main">
  <c r="K286" i="59" l="1"/>
  <c r="K285" i="59"/>
  <c r="N34" i="2" l="1"/>
  <c r="C281" i="59" l="1"/>
  <c r="E280" i="59"/>
  <c r="E279" i="59"/>
  <c r="E278" i="59"/>
  <c r="E277" i="59"/>
  <c r="E276" i="59"/>
  <c r="E275" i="59"/>
  <c r="E274" i="59"/>
  <c r="E273" i="59"/>
  <c r="E272" i="59"/>
  <c r="E271" i="59"/>
  <c r="E281" i="59" l="1"/>
  <c r="D281" i="59" s="1"/>
  <c r="I5" i="55"/>
  <c r="I6" i="55"/>
  <c r="I7" i="55"/>
  <c r="I8" i="55"/>
  <c r="I9" i="55"/>
  <c r="J4" i="55"/>
  <c r="J10" i="55" s="1"/>
  <c r="J6" i="55"/>
  <c r="J8" i="55"/>
  <c r="I4" i="57" l="1"/>
  <c r="J4" i="57" s="1"/>
  <c r="G4" i="57"/>
  <c r="H4" i="57" s="1"/>
  <c r="H14" i="2"/>
  <c r="G14" i="2"/>
  <c r="H13" i="2"/>
  <c r="G13" i="2"/>
  <c r="I4" i="61"/>
  <c r="J4" i="61" s="1"/>
  <c r="G4" i="61"/>
  <c r="H4" i="61" s="1"/>
  <c r="G16" i="2"/>
  <c r="G17" i="2" s="1"/>
  <c r="G9" i="55"/>
  <c r="J5" i="57" l="1"/>
  <c r="H5" i="57"/>
  <c r="J5" i="61"/>
  <c r="H5" i="61"/>
  <c r="G5" i="55"/>
  <c r="G51" i="2" l="1"/>
  <c r="H51" i="2"/>
  <c r="K35" i="2"/>
  <c r="L35" i="2"/>
  <c r="N35" i="2"/>
  <c r="J35" i="2"/>
  <c r="K34" i="2"/>
  <c r="L34" i="2"/>
  <c r="J34" i="2"/>
  <c r="C260" i="59" l="1"/>
  <c r="C262" i="59" s="1"/>
  <c r="J259" i="59"/>
  <c r="D259" i="59"/>
  <c r="D258" i="59"/>
  <c r="J257" i="59"/>
  <c r="D257" i="59"/>
  <c r="D260" i="59" s="1"/>
  <c r="I244" i="59"/>
  <c r="J244" i="59" s="1"/>
  <c r="H244" i="59"/>
  <c r="E244" i="59"/>
  <c r="I243" i="59"/>
  <c r="J243" i="59" s="1"/>
  <c r="H243" i="59"/>
  <c r="E243" i="59"/>
  <c r="I242" i="59"/>
  <c r="J242" i="59" s="1"/>
  <c r="H242" i="59"/>
  <c r="E242" i="59"/>
  <c r="I241" i="59"/>
  <c r="J241" i="59" s="1"/>
  <c r="H241" i="59"/>
  <c r="E241" i="59"/>
  <c r="I240" i="59"/>
  <c r="J240" i="59" s="1"/>
  <c r="H240" i="59"/>
  <c r="E240" i="59"/>
  <c r="I239" i="59"/>
  <c r="J239" i="59" s="1"/>
  <c r="H239" i="59"/>
  <c r="E239" i="59"/>
  <c r="I238" i="59"/>
  <c r="J238" i="59" s="1"/>
  <c r="H238" i="59"/>
  <c r="E238" i="59"/>
  <c r="I237" i="59"/>
  <c r="J237" i="59" s="1"/>
  <c r="H237" i="59"/>
  <c r="E237" i="59"/>
  <c r="I236" i="59"/>
  <c r="J236" i="59" s="1"/>
  <c r="H236" i="59"/>
  <c r="E236" i="59"/>
  <c r="I235" i="59"/>
  <c r="J235" i="59" s="1"/>
  <c r="H235" i="59"/>
  <c r="E235" i="59"/>
  <c r="I234" i="59"/>
  <c r="J234" i="59" s="1"/>
  <c r="H234" i="59"/>
  <c r="E234" i="59"/>
  <c r="I233" i="59"/>
  <c r="J233" i="59" s="1"/>
  <c r="H233" i="59"/>
  <c r="E233" i="59"/>
  <c r="I232" i="59"/>
  <c r="J232" i="59" s="1"/>
  <c r="H232" i="59"/>
  <c r="E232" i="59"/>
  <c r="I231" i="59"/>
  <c r="J231" i="59" s="1"/>
  <c r="H231" i="59"/>
  <c r="E231" i="59"/>
  <c r="I230" i="59"/>
  <c r="J230" i="59" s="1"/>
  <c r="H230" i="59"/>
  <c r="E230" i="59"/>
  <c r="I229" i="59"/>
  <c r="J229" i="59" s="1"/>
  <c r="H229" i="59"/>
  <c r="E229" i="59"/>
  <c r="I228" i="59"/>
  <c r="J228" i="59" s="1"/>
  <c r="H228" i="59"/>
  <c r="E228" i="59"/>
  <c r="I227" i="59"/>
  <c r="J227" i="59" s="1"/>
  <c r="H227" i="59"/>
  <c r="E227" i="59"/>
  <c r="I226" i="59"/>
  <c r="J226" i="59" s="1"/>
  <c r="H226" i="59"/>
  <c r="E226" i="59"/>
  <c r="I225" i="59"/>
  <c r="J225" i="59" s="1"/>
  <c r="H225" i="59"/>
  <c r="E225" i="59"/>
  <c r="I224" i="59"/>
  <c r="J224" i="59" s="1"/>
  <c r="H224" i="59"/>
  <c r="E224" i="59"/>
  <c r="I223" i="59"/>
  <c r="J223" i="59" s="1"/>
  <c r="H223" i="59"/>
  <c r="E223" i="59"/>
  <c r="I222" i="59"/>
  <c r="J222" i="59" s="1"/>
  <c r="H222" i="59"/>
  <c r="E222" i="59"/>
  <c r="I221" i="59"/>
  <c r="J221" i="59" s="1"/>
  <c r="H221" i="59"/>
  <c r="E221" i="59"/>
  <c r="I220" i="59"/>
  <c r="J220" i="59" s="1"/>
  <c r="H220" i="59"/>
  <c r="E220" i="59"/>
  <c r="I219" i="59"/>
  <c r="J219" i="59" s="1"/>
  <c r="H219" i="59"/>
  <c r="E219" i="59"/>
  <c r="I218" i="59"/>
  <c r="J218" i="59" s="1"/>
  <c r="H218" i="59"/>
  <c r="E218" i="59"/>
  <c r="I217" i="59"/>
  <c r="J217" i="59" s="1"/>
  <c r="H217" i="59"/>
  <c r="E217" i="59"/>
  <c r="I216" i="59"/>
  <c r="J216" i="59" s="1"/>
  <c r="H216" i="59"/>
  <c r="E216" i="59"/>
  <c r="I215" i="59"/>
  <c r="J215" i="59" s="1"/>
  <c r="H215" i="59"/>
  <c r="E215" i="59"/>
  <c r="I214" i="59"/>
  <c r="J214" i="59" s="1"/>
  <c r="H214" i="59"/>
  <c r="E214" i="59"/>
  <c r="I213" i="59"/>
  <c r="J213" i="59" s="1"/>
  <c r="H213" i="59"/>
  <c r="E213" i="59"/>
  <c r="I212" i="59"/>
  <c r="J212" i="59" s="1"/>
  <c r="H212" i="59"/>
  <c r="E212" i="59"/>
  <c r="I211" i="59"/>
  <c r="J211" i="59" s="1"/>
  <c r="H211" i="59"/>
  <c r="E211" i="59"/>
  <c r="I210" i="59"/>
  <c r="J210" i="59" s="1"/>
  <c r="H210" i="59"/>
  <c r="E210" i="59"/>
  <c r="I209" i="59"/>
  <c r="J209" i="59" s="1"/>
  <c r="H209" i="59"/>
  <c r="E209" i="59"/>
  <c r="I208" i="59"/>
  <c r="J208" i="59" s="1"/>
  <c r="H208" i="59"/>
  <c r="E208" i="59"/>
  <c r="I207" i="59"/>
  <c r="J207" i="59" s="1"/>
  <c r="H207" i="59"/>
  <c r="E207" i="59"/>
  <c r="I206" i="59"/>
  <c r="J206" i="59" s="1"/>
  <c r="H206" i="59"/>
  <c r="E206" i="59"/>
  <c r="I205" i="59"/>
  <c r="J205" i="59" s="1"/>
  <c r="H205" i="59"/>
  <c r="E205" i="59"/>
  <c r="I204" i="59"/>
  <c r="J204" i="59" s="1"/>
  <c r="H204" i="59"/>
  <c r="E204" i="59"/>
  <c r="I203" i="59"/>
  <c r="J203" i="59" s="1"/>
  <c r="H203" i="59"/>
  <c r="E203" i="59"/>
  <c r="I202" i="59"/>
  <c r="J202" i="59" s="1"/>
  <c r="H202" i="59"/>
  <c r="E202" i="59"/>
  <c r="I201" i="59"/>
  <c r="J201" i="59" s="1"/>
  <c r="H201" i="59"/>
  <c r="E201" i="59"/>
  <c r="I200" i="59"/>
  <c r="J200" i="59" s="1"/>
  <c r="H200" i="59"/>
  <c r="E200" i="59"/>
  <c r="I199" i="59"/>
  <c r="J199" i="59" s="1"/>
  <c r="H199" i="59"/>
  <c r="E199" i="59"/>
  <c r="I198" i="59"/>
  <c r="J198" i="59" s="1"/>
  <c r="H198" i="59"/>
  <c r="E198" i="59"/>
  <c r="I197" i="59"/>
  <c r="J197" i="59" s="1"/>
  <c r="H197" i="59"/>
  <c r="E197" i="59"/>
  <c r="I196" i="59"/>
  <c r="J196" i="59" s="1"/>
  <c r="H196" i="59"/>
  <c r="E196" i="59"/>
  <c r="I195" i="59"/>
  <c r="J195" i="59" s="1"/>
  <c r="H195" i="59"/>
  <c r="E195" i="59"/>
  <c r="I194" i="59"/>
  <c r="J194" i="59" s="1"/>
  <c r="H194" i="59"/>
  <c r="E194" i="59"/>
  <c r="I193" i="59"/>
  <c r="J193" i="59" s="1"/>
  <c r="H193" i="59"/>
  <c r="E193" i="59"/>
  <c r="I192" i="59"/>
  <c r="J192" i="59" s="1"/>
  <c r="H192" i="59"/>
  <c r="E192" i="59"/>
  <c r="I191" i="59"/>
  <c r="J191" i="59" s="1"/>
  <c r="H191" i="59"/>
  <c r="E191" i="59"/>
  <c r="I190" i="59"/>
  <c r="J190" i="59" s="1"/>
  <c r="H190" i="59"/>
  <c r="E190" i="59"/>
  <c r="I189" i="59"/>
  <c r="J189" i="59" s="1"/>
  <c r="H189" i="59"/>
  <c r="E189" i="59"/>
  <c r="I188" i="59"/>
  <c r="J188" i="59" s="1"/>
  <c r="H188" i="59"/>
  <c r="E188" i="59"/>
  <c r="I187" i="59"/>
  <c r="J187" i="59" s="1"/>
  <c r="H187" i="59"/>
  <c r="E187" i="59"/>
  <c r="I186" i="59"/>
  <c r="J186" i="59" s="1"/>
  <c r="H186" i="59"/>
  <c r="E186" i="59"/>
  <c r="I185" i="59"/>
  <c r="J185" i="59" s="1"/>
  <c r="H185" i="59"/>
  <c r="E185" i="59"/>
  <c r="I184" i="59"/>
  <c r="J184" i="59" s="1"/>
  <c r="H184" i="59"/>
  <c r="E184" i="59"/>
  <c r="I183" i="59"/>
  <c r="J183" i="59" s="1"/>
  <c r="H183" i="59"/>
  <c r="E183" i="59"/>
  <c r="H182" i="59"/>
  <c r="K182" i="59" s="1"/>
  <c r="I181" i="59"/>
  <c r="J181" i="59" s="1"/>
  <c r="G181" i="59"/>
  <c r="H181" i="59" s="1"/>
  <c r="D181" i="59"/>
  <c r="E181" i="59" s="1"/>
  <c r="I180" i="59"/>
  <c r="J180" i="59" s="1"/>
  <c r="H180" i="59"/>
  <c r="E180" i="59"/>
  <c r="I179" i="59"/>
  <c r="J179" i="59" s="1"/>
  <c r="H179" i="59"/>
  <c r="E179" i="59"/>
  <c r="I178" i="59"/>
  <c r="J178" i="59" s="1"/>
  <c r="H178" i="59"/>
  <c r="E178" i="59"/>
  <c r="I177" i="59"/>
  <c r="J177" i="59" s="1"/>
  <c r="H177" i="59"/>
  <c r="E177" i="59"/>
  <c r="I176" i="59"/>
  <c r="J176" i="59" s="1"/>
  <c r="H176" i="59"/>
  <c r="E176" i="59"/>
  <c r="I175" i="59"/>
  <c r="J175" i="59" s="1"/>
  <c r="H175" i="59"/>
  <c r="E175" i="59"/>
  <c r="I174" i="59"/>
  <c r="J174" i="59" s="1"/>
  <c r="H174" i="59"/>
  <c r="E174" i="59"/>
  <c r="I173" i="59"/>
  <c r="J173" i="59" s="1"/>
  <c r="H173" i="59"/>
  <c r="E173" i="59"/>
  <c r="I172" i="59"/>
  <c r="J172" i="59" s="1"/>
  <c r="H172" i="59"/>
  <c r="E172" i="59"/>
  <c r="H171" i="59"/>
  <c r="K171" i="59" s="1"/>
  <c r="I170" i="59"/>
  <c r="J170" i="59" s="1"/>
  <c r="H170" i="59"/>
  <c r="E170" i="59"/>
  <c r="I169" i="59"/>
  <c r="J169" i="59" s="1"/>
  <c r="G169" i="59"/>
  <c r="H169" i="59" s="1"/>
  <c r="D169" i="59"/>
  <c r="E169" i="59" s="1"/>
  <c r="I168" i="59"/>
  <c r="J168" i="59" s="1"/>
  <c r="H168" i="59"/>
  <c r="E168" i="59"/>
  <c r="I167" i="59"/>
  <c r="J167" i="59" s="1"/>
  <c r="H167" i="59"/>
  <c r="E167" i="59"/>
  <c r="I166" i="59"/>
  <c r="J166" i="59" s="1"/>
  <c r="H166" i="59"/>
  <c r="E166" i="59"/>
  <c r="I165" i="59"/>
  <c r="J165" i="59" s="1"/>
  <c r="H165" i="59"/>
  <c r="E165" i="59"/>
  <c r="I164" i="59"/>
  <c r="J164" i="59" s="1"/>
  <c r="H164" i="59"/>
  <c r="E164" i="59"/>
  <c r="I163" i="59"/>
  <c r="J163" i="59" s="1"/>
  <c r="H163" i="59"/>
  <c r="E163" i="59"/>
  <c r="I162" i="59"/>
  <c r="J162" i="59" s="1"/>
  <c r="H162" i="59"/>
  <c r="E162" i="59"/>
  <c r="I161" i="59"/>
  <c r="J161" i="59" s="1"/>
  <c r="H161" i="59"/>
  <c r="E161" i="59"/>
  <c r="I160" i="59"/>
  <c r="J160" i="59" s="1"/>
  <c r="H160" i="59"/>
  <c r="E160" i="59"/>
  <c r="I159" i="59"/>
  <c r="J159" i="59" s="1"/>
  <c r="H159" i="59"/>
  <c r="E159" i="59"/>
  <c r="I158" i="59"/>
  <c r="J158" i="59" s="1"/>
  <c r="H158" i="59"/>
  <c r="E158" i="59"/>
  <c r="I157" i="59"/>
  <c r="J157" i="59" s="1"/>
  <c r="H157" i="59"/>
  <c r="E157" i="59"/>
  <c r="I156" i="59"/>
  <c r="J156" i="59" s="1"/>
  <c r="H156" i="59"/>
  <c r="E156" i="59"/>
  <c r="I155" i="59"/>
  <c r="J155" i="59" s="1"/>
  <c r="H155" i="59"/>
  <c r="E155" i="59"/>
  <c r="I154" i="59"/>
  <c r="J154" i="59" s="1"/>
  <c r="H154" i="59"/>
  <c r="E154" i="59"/>
  <c r="I153" i="59"/>
  <c r="J153" i="59" s="1"/>
  <c r="H153" i="59"/>
  <c r="E153" i="59"/>
  <c r="I152" i="59"/>
  <c r="J152" i="59" s="1"/>
  <c r="H152" i="59"/>
  <c r="E152" i="59"/>
  <c r="I151" i="59"/>
  <c r="J151" i="59" s="1"/>
  <c r="H151" i="59"/>
  <c r="E151" i="59"/>
  <c r="I150" i="59"/>
  <c r="J150" i="59" s="1"/>
  <c r="H150" i="59"/>
  <c r="E150" i="59"/>
  <c r="I149" i="59"/>
  <c r="J149" i="59" s="1"/>
  <c r="H149" i="59"/>
  <c r="E149" i="59"/>
  <c r="I148" i="59"/>
  <c r="J148" i="59" s="1"/>
  <c r="H148" i="59"/>
  <c r="E148" i="59"/>
  <c r="I147" i="59"/>
  <c r="J147" i="59" s="1"/>
  <c r="H147" i="59"/>
  <c r="E147" i="59"/>
  <c r="I146" i="59"/>
  <c r="J146" i="59" s="1"/>
  <c r="H146" i="59"/>
  <c r="E146" i="59"/>
  <c r="I145" i="59"/>
  <c r="J145" i="59" s="1"/>
  <c r="H145" i="59"/>
  <c r="E145" i="59"/>
  <c r="I144" i="59"/>
  <c r="J144" i="59" s="1"/>
  <c r="H144" i="59"/>
  <c r="E144" i="59"/>
  <c r="I143" i="59"/>
  <c r="J143" i="59" s="1"/>
  <c r="H143" i="59"/>
  <c r="E143" i="59"/>
  <c r="I142" i="59"/>
  <c r="J142" i="59" s="1"/>
  <c r="H142" i="59"/>
  <c r="E142" i="59"/>
  <c r="I141" i="59"/>
  <c r="J141" i="59" s="1"/>
  <c r="H141" i="59"/>
  <c r="E141" i="59"/>
  <c r="I140" i="59"/>
  <c r="J140" i="59" s="1"/>
  <c r="H140" i="59"/>
  <c r="E140" i="59"/>
  <c r="I139" i="59"/>
  <c r="J139" i="59" s="1"/>
  <c r="H139" i="59"/>
  <c r="E139" i="59"/>
  <c r="I138" i="59"/>
  <c r="J138" i="59" s="1"/>
  <c r="H138" i="59"/>
  <c r="E138" i="59"/>
  <c r="I137" i="59"/>
  <c r="J137" i="59" s="1"/>
  <c r="H137" i="59"/>
  <c r="E137" i="59"/>
  <c r="I136" i="59"/>
  <c r="J136" i="59" s="1"/>
  <c r="H136" i="59"/>
  <c r="E136" i="59"/>
  <c r="I135" i="59"/>
  <c r="J135" i="59" s="1"/>
  <c r="H135" i="59"/>
  <c r="E135" i="59"/>
  <c r="I134" i="59"/>
  <c r="J134" i="59" s="1"/>
  <c r="H134" i="59"/>
  <c r="E134" i="59"/>
  <c r="I133" i="59"/>
  <c r="J133" i="59" s="1"/>
  <c r="H133" i="59"/>
  <c r="E133" i="59"/>
  <c r="I132" i="59"/>
  <c r="J132" i="59" s="1"/>
  <c r="H132" i="59"/>
  <c r="E132" i="59"/>
  <c r="I131" i="59"/>
  <c r="J131" i="59" s="1"/>
  <c r="H131" i="59"/>
  <c r="E131" i="59"/>
  <c r="I130" i="59"/>
  <c r="J130" i="59" s="1"/>
  <c r="H130" i="59"/>
  <c r="E130" i="59"/>
  <c r="I129" i="59"/>
  <c r="J129" i="59" s="1"/>
  <c r="H129" i="59"/>
  <c r="E129" i="59"/>
  <c r="I128" i="59"/>
  <c r="J128" i="59" s="1"/>
  <c r="H128" i="59"/>
  <c r="E128" i="59"/>
  <c r="I127" i="59"/>
  <c r="J127" i="59" s="1"/>
  <c r="H127" i="59"/>
  <c r="E127" i="59"/>
  <c r="I126" i="59"/>
  <c r="J126" i="59" s="1"/>
  <c r="H126" i="59"/>
  <c r="E126" i="59"/>
  <c r="I125" i="59"/>
  <c r="J125" i="59" s="1"/>
  <c r="H125" i="59"/>
  <c r="E125" i="59"/>
  <c r="I124" i="59"/>
  <c r="J124" i="59" s="1"/>
  <c r="H124" i="59"/>
  <c r="E124" i="59"/>
  <c r="I123" i="59"/>
  <c r="J123" i="59" s="1"/>
  <c r="H123" i="59"/>
  <c r="E123" i="59"/>
  <c r="I122" i="59"/>
  <c r="J122" i="59" s="1"/>
  <c r="H122" i="59"/>
  <c r="E122" i="59"/>
  <c r="I121" i="59"/>
  <c r="J121" i="59" s="1"/>
  <c r="H121" i="59"/>
  <c r="E121" i="59"/>
  <c r="I120" i="59"/>
  <c r="J120" i="59" s="1"/>
  <c r="H120" i="59"/>
  <c r="E120" i="59"/>
  <c r="I119" i="59"/>
  <c r="J119" i="59" s="1"/>
  <c r="H119" i="59"/>
  <c r="E119" i="59"/>
  <c r="I118" i="59"/>
  <c r="J118" i="59" s="1"/>
  <c r="H118" i="59"/>
  <c r="E118" i="59"/>
  <c r="I117" i="59"/>
  <c r="J117" i="59" s="1"/>
  <c r="H117" i="59"/>
  <c r="E117" i="59"/>
  <c r="I116" i="59"/>
  <c r="J116" i="59" s="1"/>
  <c r="H116" i="59"/>
  <c r="E116" i="59"/>
  <c r="I115" i="59"/>
  <c r="J115" i="59" s="1"/>
  <c r="H115" i="59"/>
  <c r="E115" i="59"/>
  <c r="I114" i="59"/>
  <c r="J114" i="59" s="1"/>
  <c r="H114" i="59"/>
  <c r="E114" i="59"/>
  <c r="I113" i="59"/>
  <c r="J113" i="59" s="1"/>
  <c r="H113" i="59"/>
  <c r="E113" i="59"/>
  <c r="I112" i="59"/>
  <c r="J112" i="59" s="1"/>
  <c r="H112" i="59"/>
  <c r="E112" i="59"/>
  <c r="I111" i="59"/>
  <c r="J111" i="59" s="1"/>
  <c r="H111" i="59"/>
  <c r="E111" i="59"/>
  <c r="I110" i="59"/>
  <c r="J110" i="59" s="1"/>
  <c r="H110" i="59"/>
  <c r="E110" i="59"/>
  <c r="I109" i="59"/>
  <c r="J109" i="59" s="1"/>
  <c r="H109" i="59"/>
  <c r="E109" i="59"/>
  <c r="I108" i="59"/>
  <c r="J108" i="59" s="1"/>
  <c r="H108" i="59"/>
  <c r="E108" i="59"/>
  <c r="I107" i="59"/>
  <c r="J107" i="59" s="1"/>
  <c r="H107" i="59"/>
  <c r="E107" i="59"/>
  <c r="I106" i="59"/>
  <c r="J106" i="59" s="1"/>
  <c r="H106" i="59"/>
  <c r="E106" i="59"/>
  <c r="I105" i="59"/>
  <c r="J105" i="59" s="1"/>
  <c r="H105" i="59"/>
  <c r="E105" i="59"/>
  <c r="I104" i="59"/>
  <c r="J104" i="59" s="1"/>
  <c r="H104" i="59"/>
  <c r="E104" i="59"/>
  <c r="I103" i="59"/>
  <c r="J103" i="59" s="1"/>
  <c r="H103" i="59"/>
  <c r="E103" i="59"/>
  <c r="I102" i="59"/>
  <c r="J102" i="59" s="1"/>
  <c r="H102" i="59"/>
  <c r="E102" i="59"/>
  <c r="I101" i="59"/>
  <c r="J101" i="59" s="1"/>
  <c r="H101" i="59"/>
  <c r="E101" i="59"/>
  <c r="I100" i="59"/>
  <c r="J100" i="59" s="1"/>
  <c r="H100" i="59"/>
  <c r="E100" i="59"/>
  <c r="I99" i="59"/>
  <c r="J99" i="59" s="1"/>
  <c r="H99" i="59"/>
  <c r="E99" i="59"/>
  <c r="I98" i="59"/>
  <c r="J98" i="59" s="1"/>
  <c r="H98" i="59"/>
  <c r="E98" i="59"/>
  <c r="I97" i="59"/>
  <c r="J97" i="59" s="1"/>
  <c r="H97" i="59"/>
  <c r="E97" i="59"/>
  <c r="I96" i="59"/>
  <c r="J96" i="59" s="1"/>
  <c r="H96" i="59"/>
  <c r="E96" i="59"/>
  <c r="I95" i="59"/>
  <c r="J95" i="59" s="1"/>
  <c r="H95" i="59"/>
  <c r="E95" i="59"/>
  <c r="I94" i="59"/>
  <c r="J94" i="59" s="1"/>
  <c r="H94" i="59"/>
  <c r="E94" i="59"/>
  <c r="I93" i="59"/>
  <c r="J93" i="59" s="1"/>
  <c r="H93" i="59"/>
  <c r="E93" i="59"/>
  <c r="I92" i="59"/>
  <c r="J92" i="59" s="1"/>
  <c r="H92" i="59"/>
  <c r="E92" i="59"/>
  <c r="I91" i="59"/>
  <c r="J91" i="59" s="1"/>
  <c r="H91" i="59"/>
  <c r="E91" i="59"/>
  <c r="I90" i="59"/>
  <c r="J90" i="59" s="1"/>
  <c r="H90" i="59"/>
  <c r="E90" i="59"/>
  <c r="I89" i="59"/>
  <c r="J89" i="59" s="1"/>
  <c r="H89" i="59"/>
  <c r="E89" i="59"/>
  <c r="I88" i="59"/>
  <c r="J88" i="59" s="1"/>
  <c r="H88" i="59"/>
  <c r="E88" i="59"/>
  <c r="I87" i="59"/>
  <c r="J87" i="59" s="1"/>
  <c r="H87" i="59"/>
  <c r="E87" i="59"/>
  <c r="I86" i="59"/>
  <c r="J86" i="59" s="1"/>
  <c r="H86" i="59"/>
  <c r="E86" i="59"/>
  <c r="I85" i="59"/>
  <c r="J85" i="59" s="1"/>
  <c r="H85" i="59"/>
  <c r="E85" i="59"/>
  <c r="I84" i="59"/>
  <c r="J84" i="59" s="1"/>
  <c r="H84" i="59"/>
  <c r="E84" i="59"/>
  <c r="I83" i="59"/>
  <c r="J83" i="59" s="1"/>
  <c r="H83" i="59"/>
  <c r="E83" i="59"/>
  <c r="I82" i="59"/>
  <c r="J82" i="59" s="1"/>
  <c r="H82" i="59"/>
  <c r="E82" i="59"/>
  <c r="I81" i="59"/>
  <c r="J81" i="59" s="1"/>
  <c r="G81" i="59"/>
  <c r="H81" i="59" s="1"/>
  <c r="D81" i="59"/>
  <c r="E81" i="59" s="1"/>
  <c r="I80" i="59"/>
  <c r="J80" i="59" s="1"/>
  <c r="H80" i="59"/>
  <c r="E80" i="59"/>
  <c r="I79" i="59"/>
  <c r="J79" i="59" s="1"/>
  <c r="H79" i="59"/>
  <c r="E79" i="59"/>
  <c r="I78" i="59"/>
  <c r="J78" i="59" s="1"/>
  <c r="H78" i="59"/>
  <c r="E78" i="59"/>
  <c r="I77" i="59"/>
  <c r="J77" i="59" s="1"/>
  <c r="G77" i="59"/>
  <c r="H77" i="59" s="1"/>
  <c r="D77" i="59"/>
  <c r="E77" i="59" s="1"/>
  <c r="I76" i="59"/>
  <c r="J76" i="59" s="1"/>
  <c r="G76" i="59"/>
  <c r="H76" i="59" s="1"/>
  <c r="D76" i="59"/>
  <c r="E76" i="59" s="1"/>
  <c r="I75" i="59"/>
  <c r="J75" i="59" s="1"/>
  <c r="H75" i="59"/>
  <c r="E75" i="59"/>
  <c r="I74" i="59"/>
  <c r="J74" i="59" s="1"/>
  <c r="H74" i="59"/>
  <c r="H251" i="59" s="1"/>
  <c r="E74" i="59"/>
  <c r="I73" i="59"/>
  <c r="J73" i="59" s="1"/>
  <c r="H73" i="59"/>
  <c r="E73" i="59"/>
  <c r="I72" i="59"/>
  <c r="J72" i="59" s="1"/>
  <c r="H72" i="59"/>
  <c r="E72" i="59"/>
  <c r="I71" i="59"/>
  <c r="J71" i="59" s="1"/>
  <c r="H71" i="59"/>
  <c r="E71" i="59"/>
  <c r="I70" i="59"/>
  <c r="J70" i="59" s="1"/>
  <c r="H70" i="59"/>
  <c r="E70" i="59"/>
  <c r="I69" i="59"/>
  <c r="J69" i="59" s="1"/>
  <c r="H69" i="59"/>
  <c r="E69" i="59"/>
  <c r="I68" i="59"/>
  <c r="J68" i="59" s="1"/>
  <c r="H68" i="59"/>
  <c r="E68" i="59"/>
  <c r="I67" i="59"/>
  <c r="J67" i="59" s="1"/>
  <c r="H67" i="59"/>
  <c r="E67" i="59"/>
  <c r="I66" i="59"/>
  <c r="J66" i="59" s="1"/>
  <c r="H66" i="59"/>
  <c r="E66" i="59"/>
  <c r="I65" i="59"/>
  <c r="J65" i="59" s="1"/>
  <c r="H65" i="59"/>
  <c r="E65" i="59"/>
  <c r="I64" i="59"/>
  <c r="J64" i="59" s="1"/>
  <c r="H64" i="59"/>
  <c r="E64" i="59"/>
  <c r="I63" i="59"/>
  <c r="J63" i="59" s="1"/>
  <c r="H63" i="59"/>
  <c r="E63" i="59"/>
  <c r="I62" i="59"/>
  <c r="J62" i="59" s="1"/>
  <c r="H62" i="59"/>
  <c r="E62" i="59"/>
  <c r="I61" i="59"/>
  <c r="J61" i="59" s="1"/>
  <c r="H61" i="59"/>
  <c r="E61" i="59"/>
  <c r="I60" i="59"/>
  <c r="J60" i="59" s="1"/>
  <c r="H60" i="59"/>
  <c r="E60" i="59"/>
  <c r="I59" i="59"/>
  <c r="J59" i="59" s="1"/>
  <c r="H59" i="59"/>
  <c r="E59" i="59"/>
  <c r="I58" i="59"/>
  <c r="J58" i="59" s="1"/>
  <c r="G58" i="59"/>
  <c r="H58" i="59" s="1"/>
  <c r="D58" i="59"/>
  <c r="E58" i="59" s="1"/>
  <c r="I57" i="59"/>
  <c r="J57" i="59" s="1"/>
  <c r="H57" i="59"/>
  <c r="E57" i="59"/>
  <c r="I56" i="59"/>
  <c r="J56" i="59" s="1"/>
  <c r="H56" i="59"/>
  <c r="E56" i="59"/>
  <c r="I55" i="59"/>
  <c r="J55" i="59" s="1"/>
  <c r="H55" i="59"/>
  <c r="E55" i="59"/>
  <c r="I54" i="59"/>
  <c r="J54" i="59" s="1"/>
  <c r="H54" i="59"/>
  <c r="E54" i="59"/>
  <c r="I53" i="59"/>
  <c r="H53" i="59"/>
  <c r="E53" i="59"/>
  <c r="I52" i="59"/>
  <c r="J52" i="59" s="1"/>
  <c r="H52" i="59"/>
  <c r="E52" i="59"/>
  <c r="K52" i="59" s="1"/>
  <c r="I51" i="59"/>
  <c r="J51" i="59" s="1"/>
  <c r="H51" i="59"/>
  <c r="E51" i="59"/>
  <c r="I50" i="59"/>
  <c r="J50" i="59" s="1"/>
  <c r="H50" i="59"/>
  <c r="E50" i="59"/>
  <c r="I49" i="59"/>
  <c r="J49" i="59" s="1"/>
  <c r="H49" i="59"/>
  <c r="E49" i="59"/>
  <c r="I48" i="59"/>
  <c r="J48" i="59" s="1"/>
  <c r="H48" i="59"/>
  <c r="E48" i="59"/>
  <c r="I47" i="59"/>
  <c r="J47" i="59" s="1"/>
  <c r="H47" i="59"/>
  <c r="E47" i="59"/>
  <c r="I46" i="59"/>
  <c r="J46" i="59" s="1"/>
  <c r="H46" i="59"/>
  <c r="E46" i="59"/>
  <c r="I45" i="59"/>
  <c r="J45" i="59" s="1"/>
  <c r="H45" i="59"/>
  <c r="E45" i="59"/>
  <c r="I44" i="59"/>
  <c r="J44" i="59" s="1"/>
  <c r="H44" i="59"/>
  <c r="E44" i="59"/>
  <c r="I43" i="59"/>
  <c r="J43" i="59" s="1"/>
  <c r="H43" i="59"/>
  <c r="E43" i="59"/>
  <c r="I42" i="59"/>
  <c r="J42" i="59" s="1"/>
  <c r="H42" i="59"/>
  <c r="E42" i="59"/>
  <c r="I41" i="59"/>
  <c r="J41" i="59" s="1"/>
  <c r="H41" i="59"/>
  <c r="E41" i="59"/>
  <c r="I40" i="59"/>
  <c r="J40" i="59" s="1"/>
  <c r="G40" i="59"/>
  <c r="H40" i="59" s="1"/>
  <c r="D40" i="59"/>
  <c r="E40" i="59" s="1"/>
  <c r="I39" i="59"/>
  <c r="J39" i="59" s="1"/>
  <c r="G39" i="59"/>
  <c r="H39" i="59" s="1"/>
  <c r="D39" i="59"/>
  <c r="E39" i="59" s="1"/>
  <c r="I38" i="59"/>
  <c r="J38" i="59" s="1"/>
  <c r="H38" i="59"/>
  <c r="E38" i="59"/>
  <c r="I37" i="59"/>
  <c r="J37" i="59" s="1"/>
  <c r="H37" i="59"/>
  <c r="E37" i="59"/>
  <c r="I36" i="59"/>
  <c r="J36" i="59" s="1"/>
  <c r="H36" i="59"/>
  <c r="E36" i="59"/>
  <c r="I35" i="59"/>
  <c r="J35" i="59" s="1"/>
  <c r="H35" i="59"/>
  <c r="E35" i="59"/>
  <c r="I34" i="59"/>
  <c r="J34" i="59" s="1"/>
  <c r="H34" i="59"/>
  <c r="E34" i="59"/>
  <c r="I33" i="59"/>
  <c r="J33" i="59" s="1"/>
  <c r="H33" i="59"/>
  <c r="E33" i="59"/>
  <c r="I32" i="59"/>
  <c r="J32" i="59" s="1"/>
  <c r="H32" i="59"/>
  <c r="E32" i="59"/>
  <c r="I31" i="59"/>
  <c r="J31" i="59" s="1"/>
  <c r="H31" i="59"/>
  <c r="E31" i="59"/>
  <c r="I30" i="59"/>
  <c r="J30" i="59" s="1"/>
  <c r="H30" i="59"/>
  <c r="E30" i="59"/>
  <c r="I29" i="59"/>
  <c r="J29" i="59" s="1"/>
  <c r="H29" i="59"/>
  <c r="E29" i="59"/>
  <c r="I28" i="59"/>
  <c r="J28" i="59" s="1"/>
  <c r="H28" i="59"/>
  <c r="E28" i="59"/>
  <c r="I27" i="59"/>
  <c r="J27" i="59" s="1"/>
  <c r="H27" i="59"/>
  <c r="E27" i="59"/>
  <c r="I26" i="59"/>
  <c r="J26" i="59" s="1"/>
  <c r="H26" i="59"/>
  <c r="E26" i="59"/>
  <c r="I25" i="59"/>
  <c r="J25" i="59" s="1"/>
  <c r="H25" i="59"/>
  <c r="E25" i="59"/>
  <c r="I24" i="59"/>
  <c r="J24" i="59" s="1"/>
  <c r="H24" i="59"/>
  <c r="E24" i="59"/>
  <c r="I23" i="59"/>
  <c r="J23" i="59" s="1"/>
  <c r="H23" i="59"/>
  <c r="E23" i="59"/>
  <c r="I22" i="59"/>
  <c r="J22" i="59" s="1"/>
  <c r="H22" i="59"/>
  <c r="E22" i="59"/>
  <c r="I21" i="59"/>
  <c r="J21" i="59" s="1"/>
  <c r="H21" i="59"/>
  <c r="E21" i="59"/>
  <c r="I20" i="59"/>
  <c r="J20" i="59" s="1"/>
  <c r="H20" i="59"/>
  <c r="E20" i="59"/>
  <c r="I19" i="59"/>
  <c r="J19" i="59" s="1"/>
  <c r="H19" i="59"/>
  <c r="E19" i="59"/>
  <c r="I18" i="59"/>
  <c r="J18" i="59" s="1"/>
  <c r="H18" i="59"/>
  <c r="E18" i="59"/>
  <c r="I17" i="59"/>
  <c r="J17" i="59" s="1"/>
  <c r="H17" i="59"/>
  <c r="E17" i="59"/>
  <c r="I16" i="59"/>
  <c r="J16" i="59" s="1"/>
  <c r="H16" i="59"/>
  <c r="E16" i="59"/>
  <c r="K16" i="59" s="1"/>
  <c r="I15" i="59"/>
  <c r="J15" i="59" s="1"/>
  <c r="H15" i="59"/>
  <c r="E15" i="59"/>
  <c r="I14" i="59"/>
  <c r="J14" i="59" s="1"/>
  <c r="H14" i="59"/>
  <c r="E14" i="59"/>
  <c r="I13" i="59"/>
  <c r="J13" i="59" s="1"/>
  <c r="H13" i="59"/>
  <c r="E13" i="59"/>
  <c r="I12" i="59"/>
  <c r="J12" i="59" s="1"/>
  <c r="H12" i="59"/>
  <c r="E12" i="59"/>
  <c r="I11" i="59"/>
  <c r="J11" i="59" s="1"/>
  <c r="H11" i="59"/>
  <c r="E11" i="59"/>
  <c r="I10" i="59"/>
  <c r="J10" i="59" s="1"/>
  <c r="H10" i="59"/>
  <c r="E10" i="59"/>
  <c r="I9" i="59"/>
  <c r="J9" i="59" s="1"/>
  <c r="H9" i="59"/>
  <c r="E9" i="59"/>
  <c r="I8" i="59"/>
  <c r="J8" i="59" s="1"/>
  <c r="H8" i="59"/>
  <c r="E8" i="59"/>
  <c r="I7" i="59"/>
  <c r="J7" i="59" s="1"/>
  <c r="H7" i="59"/>
  <c r="E7" i="59"/>
  <c r="I6" i="59"/>
  <c r="J6" i="59" s="1"/>
  <c r="H6" i="59"/>
  <c r="E6" i="59"/>
  <c r="I5" i="59"/>
  <c r="H5" i="59"/>
  <c r="E5" i="59"/>
  <c r="K135" i="59" l="1"/>
  <c r="K36" i="59"/>
  <c r="K92" i="59"/>
  <c r="K29" i="59"/>
  <c r="K45" i="59"/>
  <c r="K93" i="59"/>
  <c r="K97" i="59"/>
  <c r="K192" i="59"/>
  <c r="K208" i="59"/>
  <c r="K212" i="59"/>
  <c r="K27" i="59"/>
  <c r="K239" i="59"/>
  <c r="K243" i="59"/>
  <c r="K138" i="59"/>
  <c r="K198" i="59"/>
  <c r="K202" i="59"/>
  <c r="K207" i="59"/>
  <c r="K205" i="59"/>
  <c r="K117" i="59"/>
  <c r="K133" i="59"/>
  <c r="K154" i="59"/>
  <c r="K176" i="59"/>
  <c r="K30" i="59"/>
  <c r="K34" i="59"/>
  <c r="K38" i="59"/>
  <c r="K53" i="59"/>
  <c r="K127" i="59"/>
  <c r="K151" i="59"/>
  <c r="K173" i="59"/>
  <c r="K11" i="59"/>
  <c r="K13" i="59"/>
  <c r="K14" i="59"/>
  <c r="K18" i="59"/>
  <c r="K22" i="59"/>
  <c r="K82" i="59"/>
  <c r="K86" i="59"/>
  <c r="K125" i="59"/>
  <c r="K129" i="59"/>
  <c r="K141" i="59"/>
  <c r="K142" i="59"/>
  <c r="K146" i="59"/>
  <c r="K157" i="59"/>
  <c r="K158" i="59"/>
  <c r="K178" i="59"/>
  <c r="K184" i="59"/>
  <c r="K215" i="59"/>
  <c r="K216" i="59"/>
  <c r="K220" i="59"/>
  <c r="K224" i="59"/>
  <c r="K24" i="59"/>
  <c r="K35" i="59"/>
  <c r="K64" i="59"/>
  <c r="K95" i="59"/>
  <c r="K101" i="59"/>
  <c r="K105" i="59"/>
  <c r="K165" i="59"/>
  <c r="K7" i="59"/>
  <c r="K9" i="59"/>
  <c r="K15" i="59"/>
  <c r="K112" i="59"/>
  <c r="K123" i="59"/>
  <c r="K143" i="59"/>
  <c r="K159" i="59"/>
  <c r="K217" i="59"/>
  <c r="K229" i="59"/>
  <c r="K241" i="59"/>
  <c r="K6" i="59"/>
  <c r="K33" i="59"/>
  <c r="K40" i="59"/>
  <c r="K46" i="59"/>
  <c r="K67" i="59"/>
  <c r="K70" i="59"/>
  <c r="K76" i="59"/>
  <c r="K80" i="59"/>
  <c r="K88" i="59"/>
  <c r="K89" i="59"/>
  <c r="K90" i="59"/>
  <c r="K99" i="59"/>
  <c r="K106" i="59"/>
  <c r="K119" i="59"/>
  <c r="K120" i="59"/>
  <c r="K126" i="59"/>
  <c r="K137" i="59"/>
  <c r="K153" i="59"/>
  <c r="K168" i="59"/>
  <c r="K181" i="59"/>
  <c r="K183" i="59"/>
  <c r="K186" i="59"/>
  <c r="K189" i="59"/>
  <c r="K193" i="59"/>
  <c r="K195" i="59"/>
  <c r="K200" i="59"/>
  <c r="K211" i="59"/>
  <c r="K221" i="59"/>
  <c r="K237" i="59"/>
  <c r="K39" i="59"/>
  <c r="K228" i="59"/>
  <c r="K240" i="59"/>
  <c r="K21" i="59"/>
  <c r="K48" i="59"/>
  <c r="K59" i="59"/>
  <c r="K61" i="59"/>
  <c r="K72" i="59"/>
  <c r="K73" i="59"/>
  <c r="K83" i="59"/>
  <c r="K87" i="59"/>
  <c r="K94" i="59"/>
  <c r="K98" i="59"/>
  <c r="K108" i="59"/>
  <c r="K118" i="59"/>
  <c r="K132" i="59"/>
  <c r="K145" i="59"/>
  <c r="K148" i="59"/>
  <c r="K161" i="59"/>
  <c r="K162" i="59"/>
  <c r="K166" i="59"/>
  <c r="K179" i="59"/>
  <c r="K191" i="59"/>
  <c r="K197" i="59"/>
  <c r="K218" i="59"/>
  <c r="K222" i="59"/>
  <c r="K226" i="59"/>
  <c r="K230" i="59"/>
  <c r="K234" i="59"/>
  <c r="K242" i="59"/>
  <c r="K225" i="59"/>
  <c r="D263" i="59"/>
  <c r="E263" i="59" s="1"/>
  <c r="D262" i="59"/>
  <c r="E262" i="59" s="1"/>
  <c r="K5" i="59"/>
  <c r="K12" i="59"/>
  <c r="K17" i="59"/>
  <c r="K23" i="59"/>
  <c r="K25" i="59"/>
  <c r="K26" i="59"/>
  <c r="K37" i="59"/>
  <c r="K42" i="59"/>
  <c r="K51" i="59"/>
  <c r="K54" i="59"/>
  <c r="K55" i="59"/>
  <c r="K58" i="59"/>
  <c r="K60" i="59"/>
  <c r="K66" i="59"/>
  <c r="K68" i="59"/>
  <c r="K69" i="59"/>
  <c r="K91" i="59"/>
  <c r="K100" i="59"/>
  <c r="K102" i="59"/>
  <c r="K111" i="59"/>
  <c r="K113" i="59"/>
  <c r="K114" i="59"/>
  <c r="K122" i="59"/>
  <c r="K140" i="59"/>
  <c r="K156" i="59"/>
  <c r="K167" i="59"/>
  <c r="K172" i="59"/>
  <c r="K174" i="59"/>
  <c r="K175" i="59"/>
  <c r="K187" i="59"/>
  <c r="K188" i="59"/>
  <c r="K194" i="59"/>
  <c r="K196" i="59"/>
  <c r="K199" i="59"/>
  <c r="K206" i="59"/>
  <c r="K209" i="59"/>
  <c r="K214" i="59"/>
  <c r="K219" i="59"/>
  <c r="K227" i="59"/>
  <c r="H250" i="59"/>
  <c r="K235" i="59"/>
  <c r="K236" i="59"/>
  <c r="K8" i="59"/>
  <c r="K19" i="59"/>
  <c r="K20" i="59"/>
  <c r="K31" i="59"/>
  <c r="K32" i="59"/>
  <c r="K41" i="59"/>
  <c r="K47" i="59"/>
  <c r="K49" i="59"/>
  <c r="K50" i="59"/>
  <c r="K62" i="59"/>
  <c r="K63" i="59"/>
  <c r="K65" i="59"/>
  <c r="K74" i="59"/>
  <c r="K75" i="59"/>
  <c r="K84" i="59"/>
  <c r="K85" i="59"/>
  <c r="K96" i="59"/>
  <c r="K107" i="59"/>
  <c r="K109" i="59"/>
  <c r="K110" i="59"/>
  <c r="K121" i="59"/>
  <c r="K128" i="59"/>
  <c r="K131" i="59"/>
  <c r="K134" i="59"/>
  <c r="K139" i="59"/>
  <c r="K147" i="59"/>
  <c r="K149" i="59"/>
  <c r="K150" i="59"/>
  <c r="K155" i="59"/>
  <c r="K163" i="59"/>
  <c r="K164" i="59"/>
  <c r="K170" i="59"/>
  <c r="K177" i="59"/>
  <c r="K180" i="59"/>
  <c r="K190" i="59"/>
  <c r="K232" i="59"/>
  <c r="K244" i="59"/>
  <c r="K10" i="59"/>
  <c r="K28" i="59"/>
  <c r="K43" i="59"/>
  <c r="K44" i="59"/>
  <c r="K56" i="59"/>
  <c r="K57" i="59"/>
  <c r="K71" i="59"/>
  <c r="K78" i="59"/>
  <c r="K79" i="59"/>
  <c r="K81" i="59"/>
  <c r="K103" i="59"/>
  <c r="K104" i="59"/>
  <c r="K115" i="59"/>
  <c r="K116" i="59"/>
  <c r="K124" i="59"/>
  <c r="K130" i="59"/>
  <c r="K136" i="59"/>
  <c r="K144" i="59"/>
  <c r="K152" i="59"/>
  <c r="K160" i="59"/>
  <c r="K169" i="59"/>
  <c r="K201" i="59"/>
  <c r="K203" i="59"/>
  <c r="K204" i="59"/>
  <c r="K210" i="59"/>
  <c r="K213" i="59"/>
  <c r="K223" i="59"/>
  <c r="K231" i="59"/>
  <c r="K238" i="59"/>
  <c r="I245" i="59"/>
  <c r="K185" i="59"/>
  <c r="J5" i="59"/>
  <c r="D245" i="59"/>
  <c r="E245" i="59"/>
  <c r="K77" i="59"/>
  <c r="G245" i="59"/>
  <c r="K233" i="59"/>
  <c r="D264" i="59"/>
  <c r="H245" i="59"/>
  <c r="K245" i="59" l="1"/>
  <c r="D265" i="59"/>
  <c r="E264" i="59"/>
  <c r="E265" i="59" s="1"/>
  <c r="H252" i="59"/>
  <c r="J258" i="59"/>
  <c r="J260" i="59" s="1"/>
  <c r="I252" i="59" s="1"/>
  <c r="H247" i="59"/>
  <c r="H253" i="59" l="1"/>
  <c r="I253" i="59"/>
  <c r="H248" i="59"/>
  <c r="H249" i="59"/>
  <c r="J57" i="2" l="1"/>
  <c r="J56" i="2"/>
  <c r="C7" i="58"/>
  <c r="G61" i="2" l="1"/>
  <c r="H61" i="2"/>
  <c r="G4" i="55"/>
  <c r="H4" i="55" s="1"/>
  <c r="G10" i="2"/>
  <c r="H10" i="2"/>
  <c r="G8" i="55"/>
  <c r="H8" i="55" s="1"/>
  <c r="G7" i="55"/>
  <c r="G6" i="55"/>
  <c r="H6" i="55" s="1"/>
  <c r="C6" i="50"/>
  <c r="H10" i="55" l="1"/>
  <c r="H62" i="2"/>
  <c r="G62" i="2"/>
  <c r="H11" i="2"/>
  <c r="G11" i="2"/>
  <c r="C6" i="54"/>
  <c r="G24" i="2"/>
  <c r="H24" i="2"/>
  <c r="G23" i="2"/>
  <c r="H23" i="2"/>
  <c r="G21" i="2"/>
  <c r="H21" i="2"/>
  <c r="G20" i="2"/>
  <c r="G6" i="2" s="1"/>
  <c r="H20" i="2"/>
  <c r="H6" i="2" s="1"/>
  <c r="H8" i="2" l="1"/>
  <c r="G8" i="2"/>
  <c r="G6" i="48"/>
  <c r="G5" i="48"/>
  <c r="G7" i="48" s="1"/>
  <c r="K20" i="46" l="1"/>
  <c r="H14" i="46"/>
  <c r="C7" i="46"/>
  <c r="F7" i="46" s="1"/>
  <c r="G6" i="46"/>
  <c r="F6" i="46"/>
  <c r="E6" i="46"/>
  <c r="B6" i="46"/>
  <c r="B7" i="46" l="1"/>
  <c r="F5" i="46"/>
  <c r="G7" i="46"/>
  <c r="G5" i="46" s="1"/>
  <c r="H6" i="46"/>
  <c r="I14" i="46"/>
  <c r="K14" i="46" s="1"/>
  <c r="E7" i="46"/>
  <c r="K94" i="2"/>
  <c r="L94" i="2"/>
  <c r="N94" i="2"/>
  <c r="J94" i="2"/>
  <c r="K93" i="2"/>
  <c r="L93" i="2"/>
  <c r="N93" i="2"/>
  <c r="J93" i="2"/>
  <c r="K16" i="46" l="1"/>
  <c r="K17" i="46"/>
  <c r="E5" i="46"/>
  <c r="H7" i="46"/>
  <c r="H5" i="46" s="1"/>
  <c r="I6" i="46"/>
  <c r="K6" i="46" s="1"/>
  <c r="I19" i="36"/>
  <c r="D19" i="36"/>
  <c r="C19" i="36"/>
  <c r="G18" i="36"/>
  <c r="H18" i="36" s="1"/>
  <c r="F18" i="36"/>
  <c r="G17" i="36"/>
  <c r="H17" i="36" s="1"/>
  <c r="F17" i="36"/>
  <c r="G16" i="36"/>
  <c r="H16" i="36" s="1"/>
  <c r="F16" i="36"/>
  <c r="G15" i="36"/>
  <c r="H15" i="36" s="1"/>
  <c r="F15" i="36"/>
  <c r="G14" i="36"/>
  <c r="H14" i="36" s="1"/>
  <c r="F14" i="36"/>
  <c r="G13" i="36"/>
  <c r="F13" i="36"/>
  <c r="K18" i="46" l="1"/>
  <c r="I7" i="46"/>
  <c r="K7" i="46" s="1"/>
  <c r="F19" i="36"/>
  <c r="G19" i="36"/>
  <c r="H13" i="36"/>
  <c r="H19" i="36" s="1"/>
  <c r="H20" i="36" s="1"/>
  <c r="K46" i="2"/>
  <c r="L46" i="2"/>
  <c r="N46" i="2"/>
  <c r="J46" i="2"/>
  <c r="K45" i="2"/>
  <c r="L45" i="2"/>
  <c r="N45" i="2"/>
  <c r="J45" i="2"/>
  <c r="H10" i="43"/>
  <c r="G7" i="43"/>
  <c r="H7" i="43"/>
  <c r="G4" i="43"/>
  <c r="H4" i="43"/>
  <c r="K89" i="2"/>
  <c r="L89" i="2"/>
  <c r="N89" i="2"/>
  <c r="K88" i="2"/>
  <c r="L88" i="2"/>
  <c r="N88" i="2"/>
  <c r="J89" i="2"/>
  <c r="J88" i="2"/>
  <c r="E3" i="44"/>
  <c r="J26" i="2"/>
  <c r="J38" i="2"/>
  <c r="J42" i="2"/>
  <c r="J48" i="2"/>
  <c r="K57" i="2"/>
  <c r="L57" i="2"/>
  <c r="N57" i="2"/>
  <c r="K56" i="2"/>
  <c r="L56" i="2"/>
  <c r="N56" i="2"/>
  <c r="E3" i="42"/>
  <c r="B15" i="30"/>
  <c r="D15" i="30"/>
  <c r="C15" i="30"/>
  <c r="D14" i="30"/>
  <c r="C14" i="30"/>
  <c r="D13" i="30"/>
  <c r="C13" i="30"/>
  <c r="D12" i="30"/>
  <c r="B12" i="30"/>
  <c r="K26" i="2"/>
  <c r="L26" i="2"/>
  <c r="N26" i="2"/>
  <c r="H7" i="30"/>
  <c r="K43" i="2"/>
  <c r="L43" i="2"/>
  <c r="N43" i="2"/>
  <c r="J43" i="2"/>
  <c r="N42" i="2"/>
  <c r="K42" i="2"/>
  <c r="L42" i="2"/>
  <c r="E4" i="41"/>
  <c r="K38" i="2"/>
  <c r="L38" i="2"/>
  <c r="N38" i="2"/>
  <c r="C14" i="40"/>
  <c r="D4" i="40"/>
  <c r="E4" i="40"/>
  <c r="D5" i="40"/>
  <c r="E5" i="40"/>
  <c r="D6" i="40"/>
  <c r="E6" i="40"/>
  <c r="E7" i="40"/>
  <c r="G12" i="40"/>
  <c r="F12" i="40"/>
  <c r="K49" i="2"/>
  <c r="L49" i="2"/>
  <c r="N49" i="2"/>
  <c r="J49" i="2"/>
  <c r="K48" i="2"/>
  <c r="L48" i="2"/>
  <c r="N48" i="2"/>
  <c r="B3" i="39"/>
  <c r="D3" i="39"/>
  <c r="G4" i="38"/>
  <c r="G5" i="38"/>
  <c r="G6" i="38"/>
  <c r="G7" i="38"/>
  <c r="H13" i="38"/>
  <c r="H14" i="38"/>
  <c r="H15" i="38"/>
  <c r="G5" i="36"/>
  <c r="G6" i="36"/>
  <c r="G7" i="36"/>
  <c r="G8" i="36"/>
  <c r="C31" i="32"/>
  <c r="C24" i="32"/>
  <c r="C26" i="32"/>
  <c r="C15" i="32"/>
  <c r="C14" i="32"/>
  <c r="C11" i="32"/>
  <c r="J7" i="32"/>
  <c r="F6" i="32"/>
  <c r="E6" i="32"/>
  <c r="D6" i="32"/>
  <c r="F5" i="32"/>
  <c r="E5" i="32"/>
  <c r="D5" i="32"/>
  <c r="F4" i="32"/>
  <c r="E4" i="32"/>
  <c r="D4" i="32"/>
  <c r="G4" i="32"/>
  <c r="G6" i="32"/>
  <c r="C16" i="32"/>
  <c r="C20" i="32"/>
  <c r="G5" i="32"/>
  <c r="H5" i="32"/>
  <c r="I5" i="32"/>
  <c r="K5" i="32"/>
  <c r="L5" i="32"/>
  <c r="C32" i="32"/>
  <c r="H4" i="32"/>
  <c r="I4" i="32"/>
  <c r="H6" i="32"/>
  <c r="I6" i="32"/>
  <c r="K6" i="32"/>
  <c r="L6" i="32"/>
  <c r="I7" i="32"/>
  <c r="K4" i="32"/>
  <c r="L4" i="32"/>
  <c r="K7" i="32"/>
  <c r="L7" i="32"/>
  <c r="C19" i="32"/>
  <c r="C21" i="32"/>
  <c r="K8" i="2" l="1"/>
  <c r="K6" i="2"/>
  <c r="J6" i="2"/>
  <c r="J8" i="2"/>
  <c r="N6" i="2"/>
  <c r="N8" i="2"/>
  <c r="L6" i="2"/>
  <c r="L8" i="2"/>
  <c r="I5" i="46"/>
  <c r="K5" i="46" s="1"/>
  <c r="L9" i="46" s="1"/>
  <c r="G8" i="38"/>
  <c r="H18" i="38" s="1"/>
  <c r="G9" i="36"/>
</calcChain>
</file>

<file path=xl/sharedStrings.xml><?xml version="1.0" encoding="utf-8"?>
<sst xmlns="http://schemas.openxmlformats.org/spreadsheetml/2006/main" count="1242" uniqueCount="1024">
  <si>
    <t>Pasākums</t>
  </si>
  <si>
    <t>2017.gads</t>
  </si>
  <si>
    <t>2018.gads</t>
  </si>
  <si>
    <t>2019.gads</t>
  </si>
  <si>
    <t>Gada finansējums EUR</t>
  </si>
  <si>
    <t>Budžeta programmas (apakšprogrammas kods un nosaukums)</t>
  </si>
  <si>
    <t>Vidēja termiņa budžeta ietvara likumā plānotais finansējums</t>
  </si>
  <si>
    <t>turpmākajā laikposmā līdz pasākuma pabeigšanai (ja pasākuma īstenošana ir terminēta)</t>
  </si>
  <si>
    <t>turpmāk ik gadu
 (ja pasākuma izpilde nav terminēta)</t>
  </si>
  <si>
    <t>Finansējums plāna realizācijai kopā</t>
  </si>
  <si>
    <t>Uzdevums</t>
  </si>
  <si>
    <t>29 Veselības ministrija</t>
  </si>
  <si>
    <t>tajā skaitā:</t>
  </si>
  <si>
    <t>Nepieciešamais papildu finansējums</t>
  </si>
  <si>
    <t xml:space="preserve">Kopsavilkums par plānā iekļauto uzdevumu īstenošanai nepieciešamo valsts budžeta finansējumu </t>
  </si>
  <si>
    <t>Pielikums</t>
  </si>
  <si>
    <t>2020.gads</t>
  </si>
  <si>
    <t>Pasākuma īstenošanas gads               (ja pasākuma īstenošana ir terminēta)</t>
  </si>
  <si>
    <t xml:space="preserve"> </t>
  </si>
  <si>
    <t>29.Veselības ministrija</t>
  </si>
  <si>
    <t>1.1. Īstenot sabiedrības informēšanas un izglītošanas pasākumus mātes un bērna veselības veicināšanai un slimību profilaksei (veselīga uztura un fizisko aktivitāšu, mutes veselības veicināšana, atkarību izraisošo vielu lietošanas profilakse, seksuālās un reproduktīvās veselības veicināšana u.c.).</t>
  </si>
  <si>
    <t>Uzlabojas mātes un bērna veselības rādītāji.</t>
  </si>
  <si>
    <t xml:space="preserve">Veikti sabiedrības informēšanas un izglītošanas pasākumi mātes un bērna veselības veicināšanai un slimību profilaksei.               </t>
  </si>
  <si>
    <t xml:space="preserve">Uzlabojas ārstniecības personu zināšanas par zīdīšanas veicināšanas jautājumiem un atbalsta sniegšanu zīdošām mātēm
</t>
  </si>
  <si>
    <t>Veikti tālākizglītības kursi  ārstniecības personas (ģimenes ārstus, vecmātes, neonatalogus)  par zīdīšanas veicināšanas jautājumiem un atbalsta sniegšanu zīdošām mātēm.</t>
  </si>
  <si>
    <t>Uzlabojas jauno vecāku informētība un izpratne par bērnu drošības pasākumiem.</t>
  </si>
  <si>
    <t>Īstenota viena kampaņa par bērnu līdz 5 gadu vecumam drošību</t>
  </si>
  <si>
    <t>1.3. Īstenot sabiedrības informēšanas kampaņu par bērnu līdz 5 gadu vecumam drošību</t>
  </si>
  <si>
    <t xml:space="preserve">1.4.1.Izglītot ģimenes ārstus,  pediatrus un bērnu infektologus  par vakcinācijas nozīmi, vakcīnām, vakcīnu plānošanu un loģistiku, kā arī sniegt  aktuālo informāciju par vakcinācijas aptveri 
</t>
  </si>
  <si>
    <t>Veikti ārstniecības personu informēšanas pasākumi: sagatavotas četras metodiskās vēstules ārstniecības personām un nodrošināta dalība divās ārstniecības personu asociāciju sēdēs (konferencēs).</t>
  </si>
  <si>
    <t>Uzlabojas grūtnieču un jauno vecāku izpratne par vakcinācijas nepieciešamību.</t>
  </si>
  <si>
    <t>Īstenota viena informatīva kampaņa.</t>
  </si>
  <si>
    <t>1.4.2.Organizēt informatīvas kampaņas grūtnieču un bērnu līdz 2 gadu vecumam vakcinācijas pret gripu veicināšanai</t>
  </si>
  <si>
    <t xml:space="preserve">Samazinājusies grūtnieču un bērnu līdz 2 gadu vecumam saslimstība ar gripu un ar to saistītās komplikācijas </t>
  </si>
  <si>
    <t xml:space="preserve">Palielinājusies grūtnieču un bērnu līdz 2 gadu vecumam vakcinācijas pret gripu aptvere līdz 20% no šī grupas personām </t>
  </si>
  <si>
    <t>1.4.3.Vakcinācijas kalendārā iekļaut grūtnieču un bērnu līdz 2 gadu vecumam vakcināciju pret gripu</t>
  </si>
  <si>
    <t>Grupa</t>
  </si>
  <si>
    <t>Demogrāfiskie dati</t>
  </si>
  <si>
    <t>Vakcinējamo skaits</t>
  </si>
  <si>
    <t>Ārsta apskate</t>
  </si>
  <si>
    <t>Pacienta iemaksas kompensācija</t>
  </si>
  <si>
    <t>Vakcīnas ievadīšanas procedūras apmaksa medmāsai</t>
  </si>
  <si>
    <t>Bērni vecumā no 6 līdz 23 mēnešiem ieskaitot</t>
  </si>
  <si>
    <t>Prognozētais dzimušo skaits 2018.gadā - 21618, 2019.gadā - 21076</t>
  </si>
  <si>
    <t>(21618+ 21076/2) x 0,2[i] = 6431</t>
  </si>
  <si>
    <t>0,78</t>
  </si>
  <si>
    <t>1,42</t>
  </si>
  <si>
    <t>Grūtnieces</t>
  </si>
  <si>
    <t>Prognozētais dzemdību skaits 2019.gadā - 20760</t>
  </si>
  <si>
    <t>11,66[ii] (4-komponentu vakcīna)</t>
  </si>
  <si>
    <t>[ii] pretgripas vakcīnas Vaxigrip Tetra prognozējamā cena</t>
  </si>
  <si>
    <t>Pielikums 1.4.3</t>
  </si>
  <si>
    <r>
      <t>[i]</t>
    </r>
    <r>
      <rPr>
        <sz val="10"/>
        <rFont val="Times New Roman"/>
        <family val="1"/>
        <charset val="186"/>
      </rPr>
      <t xml:space="preserve"> plānota aptvere 20% (ņemot vērā citu ES valstu datus, piem. ECDC publikāciju par vidējo aptveri 2014.-2015. gada sezonas laikā: https://ecdc.europa.eu/sites/portal/files/media/en/publications/Publications/Seasonal-influenza-vaccination-antiviral-use-europe.pdf )</t>
    </r>
  </si>
  <si>
    <r>
      <t>20760/12x10 x 0,2</t>
    </r>
    <r>
      <rPr>
        <vertAlign val="superscript"/>
        <sz val="9"/>
        <rFont val="Times New Roman"/>
        <family val="1"/>
        <charset val="186"/>
      </rPr>
      <t>i</t>
    </r>
    <r>
      <rPr>
        <sz val="9"/>
        <rFont val="Times New Roman"/>
        <family val="1"/>
        <charset val="186"/>
      </rPr>
      <t>= 3460</t>
    </r>
  </si>
  <si>
    <t>Kopā, euro:</t>
  </si>
  <si>
    <t xml:space="preserve">Sagatavots ziņojums par iespējām iekļaut valsts apmaksātajos pakalpojumos  profesionālu fluorīdu laku un silantu aplikācijas  kariesa profilaksei un tā agrīnai ārstēšanai bērniem </t>
  </si>
  <si>
    <t xml:space="preserve">2.1.Pārskatītas un aktualizētas  Noteikumos Nr.611 noteiktās prasības izmeklējumiem grūtniecības periodā.  </t>
  </si>
  <si>
    <t>2.2.Uzlabot grūtnieču ultrasonogrāfisko izmeklējumu kvalitāti.</t>
  </si>
  <si>
    <t xml:space="preserve">Samazinās mātes mirstības gadījumi no netiešiem iemesliem sociālās atstumtības riskam pakļautām sievietēm </t>
  </si>
  <si>
    <t xml:space="preserve">2.4.Mazināt mutes dobuma infekciju riskus grūtniecēm </t>
  </si>
  <si>
    <t>Izvērtētas iespējas nodrošināt grūtnieču pieejamību valsts apmaksātiem zobārstniecības pakalpojumiem</t>
  </si>
  <si>
    <t>2.5.Izstrādāt mehānismu kvalitatīva  jaundzimušo skrīninga (fenilalanīna un tireotropā hormona noteikšana asinīs)   izpildei dzemdību nodaļās un plānotās ārpusstacionāra dzemdībās dzimušajiem</t>
  </si>
  <si>
    <t xml:space="preserve">Nodrošināta jaundzimušo 
skrīninga (fenilalanīna un tireotropā hormona noteikšana asinīs)   izpilde.
</t>
  </si>
  <si>
    <t>Jaundzimušo skrīnings veikts 99% jaundzimušo</t>
  </si>
  <si>
    <t>Izvērtētas iespējas paplašināt jaundzimušo skrīningu</t>
  </si>
  <si>
    <t>Izstrādāts mehānisms kvalitatīva jaundzimušo skrīninga nodrošināšanai.</t>
  </si>
  <si>
    <t>2.6.1.Īstenot sabiedrības informēšanu par jaundzimušo skrīningu.</t>
  </si>
  <si>
    <t>Uzlabojas jauno vecāku informētība un izpratne par tās nepieciešamību un agrīnu slimību noteikšanas nozīmi.</t>
  </si>
  <si>
    <t xml:space="preserve">Izstrādāta infografika </t>
  </si>
  <si>
    <t>Uzlabojas ārstniecības personu zināšanas par skrīninga jautājumiem un nepieciešamo atbalsta sniegšanu pacientu ģimenēm.</t>
  </si>
  <si>
    <t xml:space="preserve">2.8.Izvērtēt grūtnieču, dzemdētāju, nedēļnieču pārvešanu uz augstāka līmeņa ārstniecības iestādi atbilstoši medicīniskajām indikācijām. </t>
  </si>
  <si>
    <t>Augsta riska pacientiem tiek nodrošināta ārstēšana un aprūpe atbilstoši medicīniskajām indikācijām.</t>
  </si>
  <si>
    <t>2.9.Izskatīt gadījumus  par augsta riska jaundzimušajiem, kurus pārved uz PAC, analizējot indikācijas pārvešanai, savlaicīgumu, sarežģījumus.</t>
  </si>
  <si>
    <t>2.10.Attīstīt valstī vienotu, koordinētu, visām jaundzimušo aprūpē iesaistītajām ārstniecības  iestādēm  saistošu jaundzimušo pārvešanas/transportēšanas sistēmu.</t>
  </si>
  <si>
    <t>Uzlabota grūtniecības perioda  un dzemdību aprūpes organizācija</t>
  </si>
  <si>
    <t>Sagatavoti priekšlikumi grozījumiem NA.</t>
  </si>
  <si>
    <t>2.12.Ieviest perinatālās mirstības konfidenciālo analīzi (audits).</t>
  </si>
  <si>
    <t>Uzlabota dzemdību un jaundzimušo aprūpes organizācija.</t>
  </si>
  <si>
    <t>Ārstniecības iestādes ietvaros tiek analizēti visi perinatālās mirstības gadījumi.</t>
  </si>
  <si>
    <t>Nacionālā līmenī tiek analizēti gadījumi, kad miris iznests jaundzimušais</t>
  </si>
  <si>
    <t>2.13.Pārskatīt un aktualizēt medicīnisko dokumentāciju, grūtnieču un dzemdētāju aprūpē, jaundzimušo un bērnu veselības aprūpē.</t>
  </si>
  <si>
    <t>Pilnveidota antenatālās un intranatālās aprūpes dokumentācija – grūtnieču novērošanas karte un mātes pase, izstrādāta un ieviesta riska izvērtēšanas dokumentēšanas kārtība un dinamika, DzVT/PE riska izvērtēšanas karte, agrīnas trauksmes skala</t>
  </si>
  <si>
    <t>2.14.Uzlabot jaundzimušo veselības aprūpes pēctecību posmā dzemdību nodaļa – ģimenes ārsts (informācijas nodošana un saņemšana)</t>
  </si>
  <si>
    <t xml:space="preserve">Izvērtēti trūkumi esošajā kārtībā, kā tiek nodrošināta jaundzimušā aprūpes pēc izrakstīšanās no dzemdību nodaļas    </t>
  </si>
  <si>
    <t>Sagatavoti priekšlikumi kārtības uzlabošanai, kādā tiek nodrošināta jaundzimušā aprūpe pēc izrakstīšanās no dzemdību nodaļas un apzinātas iespējas izstrādāt IT risinājumu elektroniskai informācijas apmaiņai starp dzemdību nodaļu un ģimenes ārstu</t>
  </si>
  <si>
    <t>Izvērtēti trūkumi esošajā kārtībā, kā tiek nodrošināta sadarbība ar sociāliem dienestiem un ārstniecības iestādi</t>
  </si>
  <si>
    <t>Sagatavoti priekšlikumi kārtības uzlabošanai, kādā tiek iesaistīts sociālais dienests problēmsituācijās</t>
  </si>
  <si>
    <t xml:space="preserve">3.1.Uzlabot bērnu profilaktiskās apskates, paredzot papildu izmeklējumus veselības problēmu agrīnai identificēšanai </t>
  </si>
  <si>
    <t>Papildus izmeklējumi agrīnai sirds un asinsvadu slimību diagnostikai</t>
  </si>
  <si>
    <t xml:space="preserve">Izvērtēta un precizēta profilaktiskā redzes pārbaude  bērniem </t>
  </si>
  <si>
    <t xml:space="preserve">Noteiktas indikācijas un regularitāte vizītēm pie primārās aprūpes pediatra.  </t>
  </si>
  <si>
    <t xml:space="preserve">Nodrošināta pediatra  kā tiešās pieejamības speciālista ambulatoro  pakalpojumu pieejamība bērniem tuvāk dzīvesvietai, “ideālās” ģimenes ārsta prakses modeļa ietvaros ģimenes ārstu praksēm piesaistot pediatru. </t>
  </si>
  <si>
    <t>Izveidota sistēma bērnu sadalījumam veselības grupās, ievērojot vienotus kritērijus un uzskaites veidu.</t>
  </si>
  <si>
    <t>4.1.Izstrādāt kritērijus bērnu sadalījumam veselības grupās un datu sniegšanas kārtību.</t>
  </si>
  <si>
    <t>Izstrādāti kritēriji bērnu iekļaušanai veselības grupās.</t>
  </si>
  <si>
    <t>Izstrādāti priekšlikumi datu sniegšanai un  apkopošanai vienotās veselības informācijas sistēmas kontekstā</t>
  </si>
  <si>
    <t xml:space="preserve">4.2.Izveidot vienotu mirušo bērnu gadījumu analīzes formu, katru gadījumu analizējot pacientu drošības aspektā. </t>
  </si>
  <si>
    <t>Izveidota vienota forma (pieeja) mirušo bērnu gadījumu analīzei</t>
  </si>
  <si>
    <t>Novērsti pacientu drošības riski ārstniecības iestādē</t>
  </si>
  <si>
    <t>Noteikts plānoto ambulatoro apmeklējumu pie speciālista periodiskums un nepieciešamie izmeklējumi.</t>
  </si>
  <si>
    <t>Aktualizēt un pilnveidot priekšlaikus dzimušo bērnu dinamiskās novērošanas kārtību</t>
  </si>
  <si>
    <t>Noteikti speciālisti, kas nodrošina multdisciplināru priekšlaikus dzimušo bērnu dinamisko novērošanu.</t>
  </si>
  <si>
    <t>Uzlabota  priekšlaikus dzimušo bērnu veselības aprūpes un dinamiskā novērošanas  pieejamība reģionālajos perinatālās aprūpes centros.</t>
  </si>
  <si>
    <t>4.5.Nodrošināt priekšlaikus dzimušo jaundzimušo ārstniecības un aprūpes uzraudzību un izsekojamību dinamiskās novērošanas programmas ietvaros.</t>
  </si>
  <si>
    <t>Izstrādāta priekšlaikus dzimuša bērna dinamiskās novērošanas veidlapa</t>
  </si>
  <si>
    <t xml:space="preserve">Priekšlaikus dzimušo jaundzimušo ārstniecības un aprūpes monitorēšana. </t>
  </si>
  <si>
    <t>Izstrādāta funkcionēšanas traucējumu atpazīšanas, novērtēšanas, individuālā rehabilitācijas plāna izveidošanas un rehabilitācijas uzsākšanas kārtība.</t>
  </si>
  <si>
    <t xml:space="preserve">Izstrādāti funkcionēšanas traucējumu novērtēšanas un rehabilitācijas uzsākšanas algoritmi.
algoritmi jeb pacienta ceļa karte
</t>
  </si>
  <si>
    <t>Sagatavoti metodiski ieteikumi ģimenes ārstiem un pediatriem par agrīnu bērnu attīstības traucējumu atpazīšanu</t>
  </si>
  <si>
    <t>Izvērtēta medicīniskās rehabilitācijas pakalpojumu, t.sk., multidisciplināro, pieejamība BKUS un citāsrehabilitācijas  iestādēs t.sk. reģionos</t>
  </si>
  <si>
    <t xml:space="preserve">Sagatavoti priekšlikumi grozījumiem NA
</t>
  </si>
  <si>
    <t>Nodrošināta pieejamība pacienta funkcionēšanas līmenim atbilstošu monoprofesionālo vai multiprofesionālo (multidisciplināro) rehabilitācijas medicīnas pakalpojumu saņemšanai.</t>
  </si>
  <si>
    <t>Izstrādātas un definētas specializētas rehabilitācijas programmas, konkretizējot pacientu mērķgrupu (piemēram, cerebrālās triekas, skoliozes, mielomeningoceles, onkoloģisko saslimšanu, neiromuskulāro saslimšanu, agrīnās rehabilitācijas u.c.), izmantojamās tehnoloģijas, novērtēšanas instrumentus un sasniedzamos rezultātus.</t>
  </si>
  <si>
    <t>Uzlabota pacientu drošība un pakalpojuma kvalitāte bērnu medicīniskās rehabilitācijas iestādēs</t>
  </si>
  <si>
    <t>Ņemot vērā stacionāro ārstniecības iestāžu dalījumu pa pakalpojumu līmeņiem, izstrādāti priekšlikumi obligātajām prasībām medicīniskās rehabilitācijas un tehniskās ortopēdijas iestādēm</t>
  </si>
  <si>
    <t>Uzlabota medicīniskās rehabilitācijas dinamiskās novērošanas sistēma, ievērojot vienotus kritērijus un uzskaites veidus</t>
  </si>
  <si>
    <t>Izstrādāti kritēriji bērnu ar funkcionēšanas traucējumiem iekļaušanai medicīniskās rehabilitācijas dinamiskajā novērošanā</t>
  </si>
  <si>
    <t xml:space="preserve">Izvērtēta iespēja nodrošināt operatīvu datu ievadi e–veselībā, tai skaitā SFK-BJ 
koda iekļaušana pacienta datos un medicīniskajos dokumentos
</t>
  </si>
  <si>
    <t xml:space="preserve">Sagatavoti priekšlikumi rehabilitācijas dinamiskās novērošanas programmasievadei e-veselības sistēmā </t>
  </si>
  <si>
    <t>Atlīdzība</t>
  </si>
  <si>
    <t>Neonatologu brigāde (24 h)</t>
  </si>
  <si>
    <t>Ārsts - neonatologs</t>
  </si>
  <si>
    <t xml:space="preserve">Bērnu māsa </t>
  </si>
  <si>
    <t>OMT vadītājs</t>
  </si>
  <si>
    <t>Preces un pakalpojumi neonatologu brigādes darba nodrošināšanai</t>
  </si>
  <si>
    <t>Preces vai pakalpojuma nosaukums</t>
  </si>
  <si>
    <t>Degviela</t>
  </si>
  <si>
    <t>OMT uzturēšana un remonts (t.sk.apdroš.)</t>
  </si>
  <si>
    <t>Medicīniskā aprīkojuma uzturēšana</t>
  </si>
  <si>
    <t>Sakaru un IT pakalpojumi</t>
  </si>
  <si>
    <t>Medicīniskais inventārs* un medikamenti</t>
  </si>
  <si>
    <t>Preču un pakalpojumu iegāde</t>
  </si>
  <si>
    <t xml:space="preserve"> Uzturēšanas izdevumi gadā</t>
  </si>
  <si>
    <t>Pamatlīdzekļu iegāde</t>
  </si>
  <si>
    <t>Prognozējamās OMT izmaksas kopā</t>
  </si>
  <si>
    <t>Jaudzimušo transporta inkubatora komplekss ar integrētiem moduļiem:
PMV iekārta ar integrētu mitrinātājusistēmu;
Saspiestā gaisa kompresors;
Novērošanas monitors vitālo parametru kontrolei;
Elektriskais vakuumsūknis;</t>
  </si>
  <si>
    <t>Jaundzimušo hipotermijas iekārta</t>
  </si>
  <si>
    <t>Encefalogrāfijas iekārta</t>
  </si>
  <si>
    <t>Mehāniskā jaundzimušo atdzīvināšanas iekārta</t>
  </si>
  <si>
    <t>Prognozējamās jaudzimušo transporta inkubatora kompleksa ar aprīkojumu iegādes izmaksas kopā</t>
  </si>
  <si>
    <t>Kopā pamatlīdzekļu  iegāde neonatologu brigādes darba nodrošināšanai</t>
  </si>
  <si>
    <t>*Jaundzimušo ventilēšanas kontūras, monitorēšanas elektrodi, pulsa oksinometra sensori, ādas un rektālās temperatūras zondes aukstuma iekārtai, dzesēšanas matracis un šķidrums, medikamenti (prostins, alveofakts) u.c.</t>
  </si>
  <si>
    <t>** OMT ar lielāku dzinēja jaudu, automātisko pārnesumkārbu, atbilstību EURO6 dzinēja izmešu prasībām u.tml.</t>
  </si>
  <si>
    <t>Pielikums 2.8</t>
  </si>
  <si>
    <t>Operatīvais medicīniskais transportlīdzeklis** neonatologu brigādei</t>
  </si>
  <si>
    <t>Nestuves ar automātisku ielādi/izkraušanu no OMT</t>
  </si>
  <si>
    <r>
      <t>Mēnešalgas likme,</t>
    </r>
    <r>
      <rPr>
        <i/>
        <sz val="9"/>
        <color theme="1"/>
        <rFont val="Times New Roman"/>
        <family val="1"/>
        <charset val="186"/>
      </rPr>
      <t xml:space="preserve"> euro</t>
    </r>
  </si>
  <si>
    <r>
      <t xml:space="preserve">Piemaksa par darbu īpašos riska apstākļos 17%, </t>
    </r>
    <r>
      <rPr>
        <i/>
        <sz val="9"/>
        <color theme="1"/>
        <rFont val="Times New Roman"/>
        <family val="1"/>
        <charset val="186"/>
      </rPr>
      <t>euro</t>
    </r>
  </si>
  <si>
    <r>
      <t xml:space="preserve"> Piemaksa par darbu naktī, </t>
    </r>
    <r>
      <rPr>
        <i/>
        <sz val="9"/>
        <color theme="1"/>
        <rFont val="Times New Roman"/>
        <family val="1"/>
        <charset val="186"/>
      </rPr>
      <t>euro</t>
    </r>
  </si>
  <si>
    <r>
      <t>Citas piemaksas (par darbu svētku dienās, virsstundām u.c.),</t>
    </r>
    <r>
      <rPr>
        <i/>
        <sz val="9"/>
        <color theme="1"/>
        <rFont val="Times New Roman"/>
        <family val="1"/>
        <charset val="186"/>
      </rPr>
      <t xml:space="preserve"> euro</t>
    </r>
  </si>
  <si>
    <r>
      <t xml:space="preserve">Kopā atalgojums, </t>
    </r>
    <r>
      <rPr>
        <i/>
        <sz val="9"/>
        <color theme="1"/>
        <rFont val="Times New Roman"/>
        <family val="1"/>
        <charset val="186"/>
      </rPr>
      <t>euro</t>
    </r>
  </si>
  <si>
    <r>
      <t xml:space="preserve">DD VSAOI 23,59%, </t>
    </r>
    <r>
      <rPr>
        <i/>
        <sz val="9"/>
        <color theme="1"/>
        <rFont val="Times New Roman"/>
        <family val="1"/>
        <charset val="186"/>
      </rPr>
      <t>euro</t>
    </r>
  </si>
  <si>
    <r>
      <t>Kopā atlīdzība  uz vienu slodzi katram amatam mēnesī,</t>
    </r>
    <r>
      <rPr>
        <i/>
        <sz val="9"/>
        <color theme="1"/>
        <rFont val="Times New Roman"/>
        <family val="1"/>
        <charset val="186"/>
      </rPr>
      <t xml:space="preserve"> euro</t>
    </r>
  </si>
  <si>
    <t>Slodžu skaits katram amatam</t>
  </si>
  <si>
    <r>
      <t xml:space="preserve">Atlīdzība mēnesī, </t>
    </r>
    <r>
      <rPr>
        <i/>
        <sz val="9"/>
        <color theme="1"/>
        <rFont val="Times New Roman"/>
        <family val="1"/>
        <charset val="186"/>
      </rPr>
      <t>euro</t>
    </r>
  </si>
  <si>
    <r>
      <t xml:space="preserve">Atlīdzība gadā, </t>
    </r>
    <r>
      <rPr>
        <i/>
        <sz val="9"/>
        <color theme="1"/>
        <rFont val="Times New Roman"/>
        <family val="1"/>
        <charset val="186"/>
      </rPr>
      <t>euro</t>
    </r>
  </si>
  <si>
    <t>euro</t>
  </si>
  <si>
    <t>(finansējums priekš pamatlīdzekļu iegādes neonatologu brigādes darba nodrošināšanai ir nepieciešams tikai 2018.gadā)</t>
  </si>
  <si>
    <t xml:space="preserve">                               1.4.Vakcinācija</t>
  </si>
  <si>
    <t>Kopā:</t>
  </si>
  <si>
    <t>Izmaksu pozīcija</t>
  </si>
  <si>
    <t>Nr.p.k.</t>
  </si>
  <si>
    <t>Manipulācija</t>
  </si>
  <si>
    <t>Manipulācijas kods</t>
  </si>
  <si>
    <t>Apjoms gadā</t>
  </si>
  <si>
    <t>NVD apmaksāts  (A) / neapmaksāts  (N)</t>
  </si>
  <si>
    <t>Paplašināts jaundzimušo skrīnings (ar cistiskā fibroze, galaktozēmiju, biotinidāzes deficītu, virsnieru garozas hiperplāziju)</t>
  </si>
  <si>
    <t>Papildus plānotie izmeklējumi</t>
  </si>
  <si>
    <t>Cistiskā fibroze</t>
  </si>
  <si>
    <t>−</t>
  </si>
  <si>
    <t>N</t>
  </si>
  <si>
    <t>Galaktozēmija</t>
  </si>
  <si>
    <t>Biotinidāzes deficīts</t>
  </si>
  <si>
    <t>Virsnieru garozas hiperplāzija</t>
  </si>
  <si>
    <t>Pielikums 2.6_1</t>
  </si>
  <si>
    <r>
      <t xml:space="preserve">Vakcīnas cena, </t>
    </r>
    <r>
      <rPr>
        <i/>
        <sz val="9"/>
        <color theme="1"/>
        <rFont val="Times New Roman"/>
        <family val="1"/>
        <charset val="186"/>
      </rPr>
      <t>euro</t>
    </r>
  </si>
  <si>
    <r>
      <t xml:space="preserve">Kopā, </t>
    </r>
    <r>
      <rPr>
        <i/>
        <sz val="9"/>
        <color theme="1"/>
        <rFont val="Times New Roman"/>
        <family val="1"/>
        <charset val="186"/>
      </rPr>
      <t>euro</t>
    </r>
  </si>
  <si>
    <t>3460 x (11,66+ 0,78+ 1,42) = 47956</t>
  </si>
  <si>
    <t>Kopā uz vienu brigādi, euro</t>
  </si>
  <si>
    <t>Kopā uzturēšanas izdevumi, euro</t>
  </si>
  <si>
    <t>Noteikt lipidogrammu bērniem 9-11 gadu vec. (kopējais holesterīns, ABL, ZBL)</t>
  </si>
  <si>
    <t>Manipulācijas nosaukums</t>
  </si>
  <si>
    <t>Bērnu vecums uz 01.01.2017</t>
  </si>
  <si>
    <t>Bērnu skaits uz 01.01.2017 (CSP)</t>
  </si>
  <si>
    <t xml:space="preserve">Plānotais bērnu skaits, kuriem tiks veikts izmeklējums kalendārā gadā </t>
  </si>
  <si>
    <t>ABL – holesterīns (tiešā metode)</t>
  </si>
  <si>
    <t>8-10 gadi</t>
  </si>
  <si>
    <t>Kopējais holesterīna līmenis asinīs - koncentrācija mazāka vai vienāda ar 5mmol/L</t>
  </si>
  <si>
    <t>ZBL holesterīna līmenis asinīs – koncentrācija, mazāka par 2,0 mmol/L (tiešā metode)</t>
  </si>
  <si>
    <t>Asins ņemšana ar slēgtu sistēmu vienā stobriņā</t>
  </si>
  <si>
    <t>Bērniem pirms skolas gaitu uzsākšanas (7 gadu vec.) tiek veikta EKG</t>
  </si>
  <si>
    <t>06003</t>
  </si>
  <si>
    <t>Elektrokardiogrammas ar 12 novadījumiem pieraksts</t>
  </si>
  <si>
    <t>6 gadi</t>
  </si>
  <si>
    <t>06004</t>
  </si>
  <si>
    <t>Elektrokardiogrammas ar 12 novadījumiem apraksts</t>
  </si>
  <si>
    <t>Pielikums 3.1_2</t>
  </si>
  <si>
    <t>Grūtnieču skaits (dzemdību skaits 2016.gads, CSP)</t>
  </si>
  <si>
    <t>* 7.7 % grūtnieču 1-2x zobārstniecība akūtā aprūpe bez higiēnas</t>
  </si>
  <si>
    <t>Pielikums 2.4</t>
  </si>
  <si>
    <t>Grūtnieču skaits, kam būs nepieciešami zobārstniecības paaklpojumi *</t>
  </si>
  <si>
    <t>Grūtnieču skaits (dzemdību skaits 2016.gads, CSP), kam būs nepieciešams izmeklējums</t>
  </si>
  <si>
    <t>Urīna uzsējums uz mikrofloru un mikroorganismu skaita noteikšana – negatīvs</t>
  </si>
  <si>
    <t>Urīna uzsējums uz mikrofloru un mikroorganismu skaita noteikšana – pozitīvs *</t>
  </si>
  <si>
    <t>Glikozes slodzes tests</t>
  </si>
  <si>
    <t>* atbilstoši informācijai NVD Vadības informācijas sitēmā 2016.gadā 29% no veiktiem izmeklējumiem</t>
  </si>
  <si>
    <t>Speciālists</t>
  </si>
  <si>
    <t>Grūtnieču skaits (dzemdību skaits ar blakus saslimšanu "cukura diabēts" 2015.gads, SPKC), kam būs nepieciešams izmeklējums</t>
  </si>
  <si>
    <t>Dietologs</t>
  </si>
  <si>
    <t>t.sk. ar grūtniecības cukura diabētu, kas iestājies grūtniecības laikā</t>
  </si>
  <si>
    <t>t.sk. ar grūtniecības cukura diabētu, kas iestājies grūtniecības laikā,  euro</t>
  </si>
  <si>
    <t>Valsts kompensētā pacientu iemaksa, euro</t>
  </si>
  <si>
    <t>Izvērtēta nepieciešamība papildināt grūtniecības laikā nozīmējamos izmeklējumus (tai skaitā, urīna uzsējums, orālais glikozes tolerances tests (OGTT) visām grūtniecēm</t>
  </si>
  <si>
    <t>Diētas ārsta konsultācija sievietēm ar cukura diabētu, aptaukošanos.</t>
  </si>
  <si>
    <t>Pielikums 2.1_1</t>
  </si>
  <si>
    <t>Grūtnieču skaits (dzemdību skaits 2016.gadā, ja mātes vecums 35 gadi un vairāk, SPKC), kam būs nepieciešams izmeklējums</t>
  </si>
  <si>
    <t>06042</t>
  </si>
  <si>
    <t>Doplerogrāfiskās manipulācijas grūtnieces un augļa izmeklēšanā</t>
  </si>
  <si>
    <t>Visām grūtniecēm, vecākām par 35 gadiem, veic arī augļa padziļinātu izmeklēšanu ar dopleru (papildus doplers):</t>
  </si>
  <si>
    <t>7,26 (3-komponentu vakcīna)</t>
  </si>
  <si>
    <t>6431 x (7,26+ 0,78+ 1,42) = 60837</t>
  </si>
  <si>
    <t>3460 x (7,26+ 0,78+ 1,42) = 32732</t>
  </si>
  <si>
    <t>33.04.00 "Centralizēta medikamentu un materiālu iegāde"</t>
  </si>
  <si>
    <t>33.16.00 "Pārējo ambulatoro veselības aprūpes pakalpojumu nodrošināšana"</t>
  </si>
  <si>
    <t>33.15.00 "Laboratorisko izmeklējumu nodrošināšana ambulatorajā aprūpē"</t>
  </si>
  <si>
    <t>33.14.00 "Primārās ambulatorās veselības aprūpes nodrošināšana"</t>
  </si>
  <si>
    <t>39.04.00 "Neatliekamā medicīniskā palīdzība"</t>
  </si>
  <si>
    <t>Paredzamais pacientu skaits, gadā</t>
  </si>
  <si>
    <t>-</t>
  </si>
  <si>
    <t>Amonjaka līmeņa noteikšana metabolo slimību diagnostikas un slimības dinamikas izvērtēšanai ambulatorā pacientu aprūpes etapā.</t>
  </si>
  <si>
    <t>Pielikums 2.6_2</t>
  </si>
  <si>
    <t>Pielikums 2.2</t>
  </si>
  <si>
    <t>46.01.00 "Uzraudzība un kontrole"</t>
  </si>
  <si>
    <r>
      <t xml:space="preserve">Finansējuma sadalījums pa apakšprogrammām, </t>
    </r>
    <r>
      <rPr>
        <i/>
        <sz val="9"/>
        <rFont val="Times New Roman"/>
        <family val="1"/>
        <charset val="186"/>
      </rPr>
      <t>euro</t>
    </r>
  </si>
  <si>
    <r>
      <t xml:space="preserve">Tarifs, </t>
    </r>
    <r>
      <rPr>
        <i/>
        <sz val="9"/>
        <color theme="1"/>
        <rFont val="Times New Roman"/>
        <family val="1"/>
        <charset val="186"/>
      </rPr>
      <t>euro</t>
    </r>
  </si>
  <si>
    <r>
      <t xml:space="preserve">Nepieciešamais finansējums gadā, </t>
    </r>
    <r>
      <rPr>
        <i/>
        <sz val="9"/>
        <color theme="1"/>
        <rFont val="Times New Roman"/>
        <family val="1"/>
        <charset val="186"/>
      </rPr>
      <t>euro</t>
    </r>
  </si>
  <si>
    <r>
      <t xml:space="preserve">Vidējās pacienta (bērna) valsts zobārstniecības pakalpojumu izmaksas 2016.gadā pie zobārsta, </t>
    </r>
    <r>
      <rPr>
        <i/>
        <sz val="9"/>
        <color theme="1"/>
        <rFont val="Times New Roman"/>
        <family val="1"/>
        <charset val="186"/>
      </rPr>
      <t>euro</t>
    </r>
  </si>
  <si>
    <r>
      <t xml:space="preserve">cena ar PVN, </t>
    </r>
    <r>
      <rPr>
        <i/>
        <sz val="9"/>
        <color theme="1"/>
        <rFont val="Times New Roman"/>
        <family val="1"/>
        <charset val="186"/>
      </rPr>
      <t>euro</t>
    </r>
  </si>
  <si>
    <r>
      <t xml:space="preserve">Summa gadā, </t>
    </r>
    <r>
      <rPr>
        <i/>
        <sz val="9"/>
        <color theme="1"/>
        <rFont val="Times New Roman"/>
        <family val="1"/>
        <charset val="186"/>
      </rPr>
      <t>euro</t>
    </r>
  </si>
  <si>
    <r>
      <t>Kopā,</t>
    </r>
    <r>
      <rPr>
        <b/>
        <i/>
        <sz val="9"/>
        <color theme="1"/>
        <rFont val="Times New Roman"/>
        <family val="1"/>
        <charset val="186"/>
      </rPr>
      <t xml:space="preserve"> euro</t>
    </r>
    <r>
      <rPr>
        <b/>
        <sz val="9"/>
        <color theme="1"/>
        <rFont val="Times New Roman"/>
        <family val="1"/>
        <charset val="186"/>
      </rPr>
      <t>:</t>
    </r>
  </si>
  <si>
    <r>
      <t xml:space="preserve">Pašizmaksa, </t>
    </r>
    <r>
      <rPr>
        <i/>
        <sz val="9"/>
        <color theme="1"/>
        <rFont val="Times New Roman"/>
        <family val="1"/>
        <charset val="186"/>
      </rPr>
      <t>euro</t>
    </r>
  </si>
  <si>
    <r>
      <t xml:space="preserve">Darba devēja VSAOI: 1 534 </t>
    </r>
    <r>
      <rPr>
        <i/>
        <sz val="9"/>
        <rFont val="Times New Roman"/>
        <family val="1"/>
        <charset val="186"/>
      </rPr>
      <t>euro</t>
    </r>
    <r>
      <rPr>
        <sz val="9"/>
        <rFont val="Times New Roman"/>
        <family val="1"/>
        <charset val="186"/>
      </rPr>
      <t xml:space="preserve"> ((4962,86+1540,00)x 23.59%) = 1534,02</t>
    </r>
  </si>
  <si>
    <r>
      <t xml:space="preserve">Darba devēja veselības apdrošināšana: 102 </t>
    </r>
    <r>
      <rPr>
        <i/>
        <sz val="9"/>
        <rFont val="Times New Roman"/>
        <family val="1"/>
        <charset val="186"/>
      </rPr>
      <t>euro</t>
    </r>
    <r>
      <rPr>
        <sz val="9"/>
        <rFont val="Times New Roman"/>
        <family val="1"/>
        <charset val="186"/>
      </rPr>
      <t xml:space="preserve"> (213,43 </t>
    </r>
    <r>
      <rPr>
        <i/>
        <sz val="9"/>
        <rFont val="Times New Roman"/>
        <family val="1"/>
        <charset val="186"/>
      </rPr>
      <t>euro</t>
    </r>
    <r>
      <rPr>
        <sz val="9"/>
        <rFont val="Times New Roman"/>
        <family val="1"/>
        <charset val="186"/>
      </rPr>
      <t xml:space="preserve"> gadā / 2016 [darba stundu skaits gadā] x 960 [nostrādātās darba stundas] = 101,63)</t>
    </r>
  </si>
  <si>
    <r>
      <t>Transporta nodrošināšana 6 izbraukumiem uz ārstniecības iestādēm visā Latvijas teritorijā. Transporta nodrošināšanas izmaksas: 320</t>
    </r>
    <r>
      <rPr>
        <i/>
        <sz val="9"/>
        <rFont val="Times New Roman"/>
        <family val="1"/>
        <charset val="186"/>
      </rPr>
      <t xml:space="preserve"> euro </t>
    </r>
    <r>
      <rPr>
        <sz val="9"/>
        <rFont val="Times New Roman"/>
        <family val="1"/>
        <charset val="186"/>
      </rPr>
      <t xml:space="preserve">(130 km x 6 braucieni = 780 km; 0,41 </t>
    </r>
    <r>
      <rPr>
        <i/>
        <sz val="9"/>
        <rFont val="Times New Roman"/>
        <family val="1"/>
        <charset val="186"/>
      </rPr>
      <t>euro</t>
    </r>
    <r>
      <rPr>
        <sz val="9"/>
        <rFont val="Times New Roman"/>
        <family val="1"/>
        <charset val="186"/>
      </rPr>
      <t xml:space="preserve"> x 780 km = 319,80 </t>
    </r>
    <r>
      <rPr>
        <i/>
        <sz val="9"/>
        <rFont val="Times New Roman"/>
        <family val="1"/>
        <charset val="186"/>
      </rPr>
      <t>euro</t>
    </r>
    <r>
      <rPr>
        <sz val="9"/>
        <rFont val="Times New Roman"/>
        <family val="1"/>
        <charset val="186"/>
      </rPr>
      <t xml:space="preserve"> t.sk. 21% PVN 55,50)</t>
    </r>
  </si>
  <si>
    <r>
      <t>Nepieciešamais finansējums gadā,</t>
    </r>
    <r>
      <rPr>
        <i/>
        <sz val="9"/>
        <color theme="1"/>
        <rFont val="Times New Roman"/>
        <family val="1"/>
        <charset val="186"/>
      </rPr>
      <t xml:space="preserve"> euro</t>
    </r>
  </si>
  <si>
    <r>
      <t xml:space="preserve">No valsts budžeta kompensējamā pacienta iemaksa, </t>
    </r>
    <r>
      <rPr>
        <i/>
        <sz val="9"/>
        <color theme="1"/>
        <rFont val="Times New Roman"/>
        <family val="1"/>
        <charset val="186"/>
      </rPr>
      <t>euro</t>
    </r>
  </si>
  <si>
    <r>
      <t xml:space="preserve">Kopā nepieciešamais finansējums gadā, </t>
    </r>
    <r>
      <rPr>
        <i/>
        <sz val="9"/>
        <color theme="1"/>
        <rFont val="Times New Roman"/>
        <family val="1"/>
        <charset val="186"/>
      </rPr>
      <t>euro</t>
    </r>
  </si>
  <si>
    <r>
      <t>Kopā,</t>
    </r>
    <r>
      <rPr>
        <i/>
        <sz val="9"/>
        <color theme="1"/>
        <rFont val="Times New Roman"/>
        <family val="1"/>
        <charset val="186"/>
      </rPr>
      <t xml:space="preserve"> euro</t>
    </r>
    <r>
      <rPr>
        <sz val="9"/>
        <color theme="1"/>
        <rFont val="Times New Roman"/>
        <family val="1"/>
        <charset val="186"/>
      </rPr>
      <t>:</t>
    </r>
  </si>
  <si>
    <r>
      <t xml:space="preserve">Kopā, </t>
    </r>
    <r>
      <rPr>
        <i/>
        <sz val="9"/>
        <color theme="1"/>
        <rFont val="Times New Roman"/>
        <family val="1"/>
        <charset val="186"/>
      </rPr>
      <t>euro</t>
    </r>
    <r>
      <rPr>
        <sz val="9"/>
        <color theme="1"/>
        <rFont val="Times New Roman"/>
        <family val="1"/>
        <charset val="186"/>
      </rPr>
      <t>:</t>
    </r>
  </si>
  <si>
    <r>
      <t xml:space="preserve">Nepieciešamais finansējums 2018. gadā, </t>
    </r>
    <r>
      <rPr>
        <i/>
        <sz val="9"/>
        <color theme="1"/>
        <rFont val="Times New Roman"/>
        <family val="1"/>
        <charset val="186"/>
      </rPr>
      <t>euro</t>
    </r>
  </si>
  <si>
    <r>
      <t xml:space="preserve">Nepieciešamais finansējums 2019.gadā, </t>
    </r>
    <r>
      <rPr>
        <i/>
        <sz val="9"/>
        <color theme="1"/>
        <rFont val="Times New Roman"/>
        <family val="1"/>
        <charset val="186"/>
      </rPr>
      <t>euro</t>
    </r>
    <r>
      <rPr>
        <sz val="9"/>
        <color theme="1"/>
        <rFont val="Times New Roman"/>
        <family val="1"/>
        <charset val="186"/>
      </rPr>
      <t xml:space="preserve"> (10% pieaugums no iepriekšējā gada)</t>
    </r>
  </si>
  <si>
    <r>
      <t xml:space="preserve">Nepieciešamais finansējums 2020.gadā, </t>
    </r>
    <r>
      <rPr>
        <i/>
        <sz val="9"/>
        <color theme="1"/>
        <rFont val="Times New Roman"/>
        <family val="1"/>
        <charset val="186"/>
      </rPr>
      <t>euro</t>
    </r>
    <r>
      <rPr>
        <sz val="9"/>
        <color theme="1"/>
        <rFont val="Times New Roman"/>
        <family val="1"/>
        <charset val="186"/>
      </rPr>
      <t xml:space="preserve"> (10% pieaugums no iepriekšējā gada)</t>
    </r>
  </si>
  <si>
    <r>
      <t xml:space="preserve">Nepieciešamais finansējums, </t>
    </r>
    <r>
      <rPr>
        <i/>
        <sz val="9"/>
        <color theme="1"/>
        <rFont val="Times New Roman"/>
        <family val="1"/>
        <charset val="186"/>
      </rPr>
      <t>euro</t>
    </r>
    <r>
      <rPr>
        <sz val="9"/>
        <color theme="1"/>
        <rFont val="Times New Roman"/>
        <family val="1"/>
        <charset val="186"/>
      </rPr>
      <t xml:space="preserve"> 2018. gadā</t>
    </r>
  </si>
  <si>
    <r>
      <t>Nepieciešamais finansējums,</t>
    </r>
    <r>
      <rPr>
        <i/>
        <sz val="9"/>
        <color theme="1"/>
        <rFont val="Times New Roman"/>
        <family val="1"/>
        <charset val="186"/>
      </rPr>
      <t xml:space="preserve"> euro</t>
    </r>
    <r>
      <rPr>
        <sz val="9"/>
        <color theme="1"/>
        <rFont val="Times New Roman"/>
        <family val="1"/>
        <charset val="186"/>
      </rPr>
      <t xml:space="preserve"> 2019. gadā (30% pieaugums no iepriekšējā gada)</t>
    </r>
  </si>
  <si>
    <r>
      <t xml:space="preserve">Nepieciešamais finansējums, </t>
    </r>
    <r>
      <rPr>
        <i/>
        <sz val="9"/>
        <color theme="1"/>
        <rFont val="Times New Roman"/>
        <family val="1"/>
        <charset val="186"/>
      </rPr>
      <t>euro</t>
    </r>
    <r>
      <rPr>
        <sz val="9"/>
        <color theme="1"/>
        <rFont val="Times New Roman"/>
        <family val="1"/>
        <charset val="186"/>
      </rPr>
      <t xml:space="preserve"> 2020. gadā (30% pieaugums no iepriekšējā gada)</t>
    </r>
  </si>
  <si>
    <t>Bērniem ar aptaukošanos (ĶMI &gt; 95.pc attiecībā pret vecumu un dzimumu) tiek veikts orālais glikozes tolerances tests reizi 2 gados.</t>
  </si>
  <si>
    <t>Pielikums 3.1_3</t>
  </si>
  <si>
    <t>*Pēc Latvijas skolēnu veselības paraduma pētījuma 2015./2016.mācību gada aptaujas datiem - 21,7% 7-gadīgo skolēnu bija lieka ķermeņa masa un aptaukošanās (23,9% zēnu un 19,5% meiteņu) un attiecīgi 25,8% deviņgadīgo skolēnu (29,3% zēnu un 22,2% meiteņu).</t>
  </si>
  <si>
    <t>Kontracepcija ar i/m hormonālām injekcijām</t>
  </si>
  <si>
    <t>Manipulāciju skaits</t>
  </si>
  <si>
    <t>4 injekcijas gadā</t>
  </si>
  <si>
    <t>5.52 euro x 4 (reizi 3 mēnešos) = 22.08 euro/gadā</t>
  </si>
  <si>
    <t>Nav izmaksu</t>
  </si>
  <si>
    <r>
      <t xml:space="preserve">1 manipulācijas izmaksas, </t>
    </r>
    <r>
      <rPr>
        <i/>
        <sz val="9"/>
        <color theme="1"/>
        <rFont val="Times New Roman"/>
        <family val="1"/>
        <charset val="186"/>
      </rPr>
      <t>euro</t>
    </r>
  </si>
  <si>
    <r>
      <t xml:space="preserve">Manipulācijas kopējās izmaksas 1 sievietei, </t>
    </r>
    <r>
      <rPr>
        <i/>
        <sz val="9"/>
        <color theme="1"/>
        <rFont val="Times New Roman"/>
        <family val="1"/>
        <charset val="186"/>
      </rPr>
      <t>euro</t>
    </r>
  </si>
  <si>
    <r>
      <t xml:space="preserve">Ginekologa konsultācija 1 sievietei, </t>
    </r>
    <r>
      <rPr>
        <i/>
        <sz val="9"/>
        <color theme="1"/>
        <rFont val="Times New Roman"/>
        <family val="1"/>
        <charset val="186"/>
      </rPr>
      <t>euro</t>
    </r>
  </si>
  <si>
    <r>
      <t xml:space="preserve">Laboratoriskie izmeklējumi 1 sievietei, </t>
    </r>
    <r>
      <rPr>
        <i/>
        <sz val="9"/>
        <color theme="1"/>
        <rFont val="Times New Roman"/>
        <family val="1"/>
        <charset val="186"/>
      </rPr>
      <t>euro</t>
    </r>
  </si>
  <si>
    <r>
      <t>Kontracepcijas kopējās izmaksas 1 sievietei gadā,</t>
    </r>
    <r>
      <rPr>
        <i/>
        <sz val="9"/>
        <color theme="1"/>
        <rFont val="Times New Roman"/>
        <family val="1"/>
        <charset val="186"/>
      </rPr>
      <t xml:space="preserve"> euro</t>
    </r>
  </si>
  <si>
    <r>
      <t>Plānotās izmaksas, nodrošinot kompensāciju 8000 sievietēm gadā (izmantojot izvēles procentuālo iedalījumu - 70% kontracepcijai ar i/m hormunālām injekcijām un 30% kontracepcijai izmantojot spirāli),</t>
    </r>
    <r>
      <rPr>
        <i/>
        <sz val="9"/>
        <color theme="1"/>
        <rFont val="Times New Roman"/>
        <family val="1"/>
        <charset val="186"/>
      </rPr>
      <t xml:space="preserve"> euro</t>
    </r>
  </si>
  <si>
    <t>Kontracepcija izmantojot spirāli</t>
  </si>
  <si>
    <t>Aizsardzības periods</t>
  </si>
  <si>
    <t>1 gads</t>
  </si>
  <si>
    <t>5 gadi</t>
  </si>
  <si>
    <t>1 reizi 5 gados</t>
  </si>
  <si>
    <t>Pielikums 2.3</t>
  </si>
  <si>
    <r>
      <t xml:space="preserve">Nepieciešamais finansējums gadā kopā, </t>
    </r>
    <r>
      <rPr>
        <i/>
        <sz val="9"/>
        <color theme="1"/>
        <rFont val="Times New Roman"/>
        <family val="1"/>
        <charset val="186"/>
      </rPr>
      <t>euro</t>
    </r>
  </si>
  <si>
    <r>
      <t xml:space="preserve">0.42 </t>
    </r>
    <r>
      <rPr>
        <i/>
        <sz val="9"/>
        <color theme="1"/>
        <rFont val="Times New Roman"/>
        <family val="1"/>
        <charset val="186"/>
      </rPr>
      <t>euro</t>
    </r>
    <r>
      <rPr>
        <sz val="9"/>
        <color theme="1"/>
        <rFont val="Times New Roman"/>
        <family val="1"/>
        <charset val="186"/>
      </rPr>
      <t xml:space="preserve"> (hemoglobīns) + 4.47 </t>
    </r>
    <r>
      <rPr>
        <i/>
        <sz val="9"/>
        <color theme="1"/>
        <rFont val="Times New Roman"/>
        <family val="1"/>
        <charset val="186"/>
      </rPr>
      <t>euro</t>
    </r>
    <r>
      <rPr>
        <sz val="9"/>
        <color theme="1"/>
        <rFont val="Times New Roman"/>
        <family val="1"/>
        <charset val="186"/>
      </rPr>
      <t xml:space="preserve"> (gonoreja) + 11.85 </t>
    </r>
    <r>
      <rPr>
        <i/>
        <sz val="9"/>
        <color theme="1"/>
        <rFont val="Times New Roman"/>
        <family val="1"/>
        <charset val="186"/>
      </rPr>
      <t>euro</t>
    </r>
    <r>
      <rPr>
        <sz val="9"/>
        <color theme="1"/>
        <rFont val="Times New Roman"/>
        <family val="1"/>
        <charset val="186"/>
      </rPr>
      <t xml:space="preserve"> (hlamīdija) = 16.74 </t>
    </r>
    <r>
      <rPr>
        <i/>
        <sz val="9"/>
        <color theme="1"/>
        <rFont val="Times New Roman"/>
        <family val="1"/>
        <charset val="186"/>
      </rPr>
      <t>euro</t>
    </r>
  </si>
  <si>
    <r>
      <t xml:space="preserve">7.14 </t>
    </r>
    <r>
      <rPr>
        <i/>
        <sz val="9"/>
        <color theme="1"/>
        <rFont val="Times New Roman"/>
        <family val="1"/>
        <charset val="186"/>
      </rPr>
      <t>euro</t>
    </r>
    <r>
      <rPr>
        <sz val="9"/>
        <color theme="1"/>
        <rFont val="Times New Roman"/>
        <family val="1"/>
        <charset val="186"/>
      </rPr>
      <t xml:space="preserve"> (ginekologa aprūpes epizode) + 4.27 </t>
    </r>
    <r>
      <rPr>
        <i/>
        <sz val="9"/>
        <color theme="1"/>
        <rFont val="Times New Roman"/>
        <family val="1"/>
        <charset val="186"/>
      </rPr>
      <t>euro</t>
    </r>
    <r>
      <rPr>
        <sz val="9"/>
        <color theme="1"/>
        <rFont val="Times New Roman"/>
        <family val="1"/>
        <charset val="186"/>
      </rPr>
      <t xml:space="preserve"> (pacienta iemaksa) = 11.41 </t>
    </r>
    <r>
      <rPr>
        <i/>
        <sz val="9"/>
        <color theme="1"/>
        <rFont val="Times New Roman"/>
        <family val="1"/>
        <charset val="186"/>
      </rPr>
      <t>euro</t>
    </r>
    <r>
      <rPr>
        <sz val="9"/>
        <color theme="1"/>
        <rFont val="Times New Roman"/>
        <family val="1"/>
        <charset val="186"/>
      </rPr>
      <t xml:space="preserve">   11.41 </t>
    </r>
    <r>
      <rPr>
        <i/>
        <sz val="9"/>
        <color theme="1"/>
        <rFont val="Times New Roman"/>
        <family val="1"/>
        <charset val="186"/>
      </rPr>
      <t>euro</t>
    </r>
    <r>
      <rPr>
        <sz val="9"/>
        <color theme="1"/>
        <rFont val="Times New Roman"/>
        <family val="1"/>
        <charset val="186"/>
      </rPr>
      <t xml:space="preserve"> x 4 (4 injekcijas gadā) = 45.64 </t>
    </r>
    <r>
      <rPr>
        <i/>
        <sz val="9"/>
        <color theme="1"/>
        <rFont val="Times New Roman"/>
        <family val="1"/>
        <charset val="186"/>
      </rPr>
      <t>euro</t>
    </r>
    <r>
      <rPr>
        <sz val="9"/>
        <color theme="1"/>
        <rFont val="Times New Roman"/>
        <family val="1"/>
        <charset val="186"/>
      </rPr>
      <t>/gadā</t>
    </r>
  </si>
  <si>
    <r>
      <t xml:space="preserve">22.82 </t>
    </r>
    <r>
      <rPr>
        <i/>
        <sz val="9"/>
        <color theme="1"/>
        <rFont val="Times New Roman"/>
        <family val="1"/>
        <charset val="186"/>
      </rPr>
      <t>euro</t>
    </r>
    <r>
      <rPr>
        <sz val="9"/>
        <color theme="1"/>
        <rFont val="Times New Roman"/>
        <family val="1"/>
        <charset val="186"/>
      </rPr>
      <t xml:space="preserve"> (ginekologa aprūpes epizode + pacienta iemaksa) euro, ja nodrošina 2 ginekologa vizītes</t>
    </r>
  </si>
  <si>
    <r>
      <t xml:space="preserve">24.87 </t>
    </r>
    <r>
      <rPr>
        <i/>
        <sz val="9"/>
        <color theme="1"/>
        <rFont val="Times New Roman"/>
        <family val="1"/>
        <charset val="186"/>
      </rPr>
      <t>euro</t>
    </r>
    <r>
      <rPr>
        <sz val="9"/>
        <color theme="1"/>
        <rFont val="Times New Roman"/>
        <family val="1"/>
        <charset val="186"/>
      </rPr>
      <t>/ prognozējot uz 5 gadiem</t>
    </r>
  </si>
  <si>
    <r>
      <t xml:space="preserve">4.87 </t>
    </r>
    <r>
      <rPr>
        <i/>
        <sz val="9"/>
        <color theme="1"/>
        <rFont val="Times New Roman"/>
        <family val="1"/>
        <charset val="186"/>
      </rPr>
      <t>euro</t>
    </r>
    <r>
      <rPr>
        <sz val="9"/>
        <color theme="1"/>
        <rFont val="Times New Roman"/>
        <family val="1"/>
        <charset val="186"/>
      </rPr>
      <t xml:space="preserve"> (spirāles ievadīšana) + 20.00 </t>
    </r>
    <r>
      <rPr>
        <i/>
        <sz val="9"/>
        <color theme="1"/>
        <rFont val="Times New Roman"/>
        <family val="1"/>
        <charset val="186"/>
      </rPr>
      <t>euro</t>
    </r>
    <r>
      <rPr>
        <sz val="9"/>
        <color theme="1"/>
        <rFont val="Times New Roman"/>
        <family val="1"/>
        <charset val="186"/>
      </rPr>
      <t xml:space="preserve"> (spirāle bez zāļu satura) = 24.87 </t>
    </r>
    <r>
      <rPr>
        <i/>
        <sz val="9"/>
        <color theme="1"/>
        <rFont val="Times New Roman"/>
        <family val="1"/>
        <charset val="186"/>
      </rPr>
      <t>euro</t>
    </r>
  </si>
  <si>
    <r>
      <t xml:space="preserve">0.54 </t>
    </r>
    <r>
      <rPr>
        <i/>
        <sz val="9"/>
        <color theme="1"/>
        <rFont val="Times New Roman"/>
        <family val="1"/>
        <charset val="186"/>
      </rPr>
      <t>euro</t>
    </r>
    <r>
      <rPr>
        <sz val="9"/>
        <color theme="1"/>
        <rFont val="Times New Roman"/>
        <family val="1"/>
        <charset val="186"/>
      </rPr>
      <t xml:space="preserve"> (injekcija) + 4.98 </t>
    </r>
    <r>
      <rPr>
        <i/>
        <sz val="9"/>
        <color theme="1"/>
        <rFont val="Times New Roman"/>
        <family val="1"/>
        <charset val="186"/>
      </rPr>
      <t>euro</t>
    </r>
    <r>
      <rPr>
        <sz val="9"/>
        <color theme="1"/>
        <rFont val="Times New Roman"/>
        <family val="1"/>
        <charset val="186"/>
      </rPr>
      <t xml:space="preserve"> (medikamenti) = 5.52 </t>
    </r>
    <r>
      <rPr>
        <i/>
        <sz val="9"/>
        <color theme="1"/>
        <rFont val="Times New Roman"/>
        <family val="1"/>
        <charset val="186"/>
      </rPr>
      <t>euro</t>
    </r>
  </si>
  <si>
    <r>
      <t xml:space="preserve">Ārsts eksperts* (10. saime, III līmenis, 10.algu grupa, 3. kategorija, mēnešalga 1158 </t>
    </r>
    <r>
      <rPr>
        <i/>
        <sz val="9"/>
        <rFont val="Times New Roman"/>
        <family val="1"/>
        <charset val="186"/>
      </rPr>
      <t>euro</t>
    </r>
    <r>
      <rPr>
        <sz val="9"/>
        <rFont val="Times New Roman"/>
        <family val="1"/>
        <charset val="186"/>
      </rPr>
      <t xml:space="preserve">), 120 darba stundas, 6 gadījumi – 4 963 </t>
    </r>
    <r>
      <rPr>
        <i/>
        <sz val="9"/>
        <rFont val="Times New Roman"/>
        <family val="1"/>
        <charset val="186"/>
      </rPr>
      <t>euro</t>
    </r>
    <r>
      <rPr>
        <sz val="9"/>
        <rFont val="Times New Roman"/>
        <family val="1"/>
        <charset val="186"/>
      </rPr>
      <t>.  (1158 / 168 [vidējais darba stundu skaits mēnesī] x 120 [darba stundas] x 6 [gadījumi]=  4 962,86</t>
    </r>
  </si>
  <si>
    <r>
      <t xml:space="preserve">Vecākais inspektors* (26.3. saime, IV līmenis, 11.algu grupa, 3. kategorija, mēnešalga 1078 </t>
    </r>
    <r>
      <rPr>
        <i/>
        <sz val="9"/>
        <rFont val="Times New Roman"/>
        <family val="1"/>
        <charset val="186"/>
      </rPr>
      <t>euro</t>
    </r>
    <r>
      <rPr>
        <sz val="9"/>
        <rFont val="Times New Roman"/>
        <family val="1"/>
        <charset val="186"/>
      </rPr>
      <t xml:space="preserve">), 40 darba stundas, 6 gadījumi – 1 540 </t>
    </r>
    <r>
      <rPr>
        <i/>
        <sz val="9"/>
        <rFont val="Times New Roman"/>
        <family val="1"/>
        <charset val="186"/>
      </rPr>
      <t>euro</t>
    </r>
    <r>
      <rPr>
        <sz val="9"/>
        <rFont val="Times New Roman"/>
        <family val="1"/>
        <charset val="186"/>
      </rPr>
      <t>. (1078 / 168 [vidējais darba stundu skaits mēnesī] x 40 [darba stundas] x 6 [gadījumi]= 1 540,00</t>
    </r>
  </si>
  <si>
    <t>*Amata vietas tiks veidotas esošo nozarei noteikto amata vietu ietvaros (papildus amatu vietu izveide resorā nav plānota)</t>
  </si>
  <si>
    <t>Kabinetu skaits</t>
  </si>
  <si>
    <r>
      <t xml:space="preserve">Kopā, </t>
    </r>
    <r>
      <rPr>
        <i/>
        <sz val="9"/>
        <rFont val="Times New Roman"/>
        <family val="1"/>
        <charset val="186"/>
      </rPr>
      <t>euro</t>
    </r>
  </si>
  <si>
    <t>Iekārtas</t>
  </si>
  <si>
    <t>Iekārta</t>
  </si>
  <si>
    <t>Vienība</t>
  </si>
  <si>
    <t>PVN, %</t>
  </si>
  <si>
    <t>Fluoroskan analizators</t>
  </si>
  <si>
    <t xml:space="preserve">Mikroplašu mazgātājs </t>
  </si>
  <si>
    <t xml:space="preserve">Mikroplašu inkubators </t>
  </si>
  <si>
    <t>Filtrpapīru disku sagatavošanas sistēma</t>
  </si>
  <si>
    <t xml:space="preserve">Mikroplašu maisītājs </t>
  </si>
  <si>
    <t>Disku noņēmējs</t>
  </si>
  <si>
    <r>
      <t xml:space="preserve">1 vienības cena bez PVN, </t>
    </r>
    <r>
      <rPr>
        <i/>
        <sz val="9"/>
        <color indexed="8"/>
        <rFont val="Times New Roman"/>
        <family val="1"/>
        <charset val="186"/>
      </rPr>
      <t>euro</t>
    </r>
  </si>
  <si>
    <r>
      <t xml:space="preserve">1 vienības cena, </t>
    </r>
    <r>
      <rPr>
        <i/>
        <sz val="9"/>
        <color indexed="8"/>
        <rFont val="Times New Roman"/>
        <family val="1"/>
        <charset val="186"/>
      </rPr>
      <t>euro</t>
    </r>
    <r>
      <rPr>
        <sz val="9"/>
        <color indexed="8"/>
        <rFont val="Times New Roman"/>
        <family val="1"/>
        <charset val="186"/>
      </rPr>
      <t xml:space="preserve"> t.s.PVN</t>
    </r>
  </si>
  <si>
    <r>
      <t xml:space="preserve">Kopā, </t>
    </r>
    <r>
      <rPr>
        <i/>
        <sz val="9"/>
        <color indexed="8"/>
        <rFont val="Times New Roman"/>
        <family val="1"/>
        <charset val="186"/>
      </rPr>
      <t>euro</t>
    </r>
  </si>
  <si>
    <r>
      <t xml:space="preserve">Papildus nepieciešamie materiāli /  reaģenti gadā, </t>
    </r>
    <r>
      <rPr>
        <i/>
        <sz val="9"/>
        <rFont val="Times New Roman"/>
        <family val="1"/>
        <charset val="186"/>
      </rPr>
      <t>euro</t>
    </r>
  </si>
  <si>
    <r>
      <t xml:space="preserve">Kopā, </t>
    </r>
    <r>
      <rPr>
        <i/>
        <sz val="9"/>
        <rFont val="Times New Roman"/>
        <family val="1"/>
        <charset val="186"/>
      </rPr>
      <t>euro</t>
    </r>
    <r>
      <rPr>
        <sz val="9"/>
        <rFont val="Times New Roman"/>
        <family val="1"/>
        <charset val="186"/>
      </rPr>
      <t xml:space="preserve"> (Iekārtas un papildus nepieciešmie materiāli/ reaģenti)</t>
    </r>
  </si>
  <si>
    <r>
      <t xml:space="preserve">Epizodes tarifs, </t>
    </r>
    <r>
      <rPr>
        <i/>
        <sz val="9"/>
        <color theme="1"/>
        <rFont val="Times New Roman"/>
        <family val="1"/>
        <charset val="186"/>
      </rPr>
      <t>euro</t>
    </r>
  </si>
  <si>
    <t>Pielikums 3.2_1</t>
  </si>
  <si>
    <t xml:space="preserve">Plānotais bērnu skaits, kuriem tiks veikts izmeklējums kalendārā gadā (lipidogrammas izmeklējumu nepieciešamas samazināt uz 20% bērnu no kopējā bērnu skaita attiecīgajā vecuma grupā)* </t>
  </si>
  <si>
    <t>*Bērni, kuriem profilaktiskās apskates laikā konstatēts kardiovaskulāro saslimšanu risks</t>
  </si>
  <si>
    <t>Fiksētās piemaksas aprēķins par neatliekamās palīdzības un pacientu uzņemšanas nodaļas darbību (viens posteņa aprēķins vienā slimnīcā)</t>
  </si>
  <si>
    <t xml:space="preserve">Mēnesī plānotās slodzes </t>
  </si>
  <si>
    <t>Cilvēkresursa nodrošinājums uzņemšanā</t>
  </si>
  <si>
    <t>Plānotās gada izmaksas atalgojumam</t>
  </si>
  <si>
    <t>Pediatrs/neonatalogs</t>
  </si>
  <si>
    <t>Ārsts</t>
  </si>
  <si>
    <t>Māsa</t>
  </si>
  <si>
    <t>Kabinetu finansējuma aprēķins ar 2017.g. apmaksas nosacījumiem (viena posteņa aprēķins ar pediatra/neonataloga pieejamību dienas režīmā - 8 stundas)</t>
  </si>
  <si>
    <t>N.p.k.</t>
  </si>
  <si>
    <t>Ārstniecības un pacientu aprūpes persona</t>
  </si>
  <si>
    <t>Personu skaits</t>
  </si>
  <si>
    <t>Slodzes apjoms</t>
  </si>
  <si>
    <t xml:space="preserve">Slodzes apjoms </t>
  </si>
  <si>
    <t xml:space="preserve">(12 II un III līmeņa slimīcas, skat.  TABULA Nr.3) </t>
  </si>
  <si>
    <t>(SIA,, Kuldīgas slimnīca " un SIA ,,Cēsu klīnika", skat. TABULA Nr.3)</t>
  </si>
  <si>
    <t>Papildus NVD paskaidro, ka atbilstoši noteikumos Nr.1529 noteiktajam,  kādi speciālisti nepieciešami un to skaitu, NVD nosaka līgumā ar ārstniecības iestādi, ņemot vērā stacionārās ārstniecības iestādes veidu, specializāciju, noslodzi un nepieciešamību nodrošināt neatliekamās palīdzības diennaksts pieejamību.</t>
  </si>
  <si>
    <t>TABULA Nr.3</t>
  </si>
  <si>
    <t>Rīgā:</t>
  </si>
  <si>
    <t xml:space="preserve">Slimnīcas līmenis </t>
  </si>
  <si>
    <t>1. VSIA "Bērnu klīniskā universitātes slimnīca"</t>
  </si>
  <si>
    <t>IV LĪMENIS</t>
  </si>
  <si>
    <t>2. VSIA "Paula Stradiņa klīniskā universitātes slimnīca"</t>
  </si>
  <si>
    <t>3. SIA  "Rīgas Austrumu klīniskā universitātes slimnīca"</t>
  </si>
  <si>
    <t>Nav</t>
  </si>
  <si>
    <t>4. SIA  "Jūrmalas slimnīca"</t>
  </si>
  <si>
    <t>II LĪMENIS</t>
  </si>
  <si>
    <t>5. SIA "Ogres rajona slimnīca"</t>
  </si>
  <si>
    <t>6. SIA "Tukuma slimnīca"</t>
  </si>
  <si>
    <t>I LĪMENIS</t>
  </si>
  <si>
    <t>8. SIA "Liepājas reģionālā slimnīca"</t>
  </si>
  <si>
    <t>III LĪMENIS</t>
  </si>
  <si>
    <t>9. SIA "Ziemeļkurzemes reģionālā slimnīca"</t>
  </si>
  <si>
    <t>10. SIA "Kuldīgas slimnīca"</t>
  </si>
  <si>
    <t>Latgalē:</t>
  </si>
  <si>
    <t>11. SIA "Daugavpils reģionālā slimnīca"</t>
  </si>
  <si>
    <t>12. SIA "Rēzeknes slimnīca"</t>
  </si>
  <si>
    <t>13. SIA "Preiļu slimnīca"</t>
  </si>
  <si>
    <t>14. SIA "Krāslavas slimnīca"</t>
  </si>
  <si>
    <t>15. SIA "Vidzemes slimnīca"</t>
  </si>
  <si>
    <t>16. Madonas novada pašvaldības SIA "Madonas slimnīca"</t>
  </si>
  <si>
    <t>17. SIA "Balvu un Gulbenes slimnīcu apvienība"</t>
  </si>
  <si>
    <t>18. SIA "Cēsu klīnika"</t>
  </si>
  <si>
    <t>19. SIA "Alūksnes slimnīca"</t>
  </si>
  <si>
    <t>20. SIA "Jelgavas pilsētas slimnīca"</t>
  </si>
  <si>
    <t>21. SIA "Jēkabpils reģionālā slimnīca"</t>
  </si>
  <si>
    <t>22. SIA "Dobeles un apkārtnes slimnīca"</t>
  </si>
  <si>
    <t>7. SIA Dzemdību nams</t>
  </si>
  <si>
    <r>
      <t xml:space="preserve">Svētku dienu atalgojumam (24h/d), </t>
    </r>
    <r>
      <rPr>
        <i/>
        <sz val="9"/>
        <color theme="1"/>
        <rFont val="Times New Roman"/>
        <family val="1"/>
        <charset val="186"/>
      </rPr>
      <t xml:space="preserve"> euro</t>
    </r>
  </si>
  <si>
    <t>Kopā, euro</t>
  </si>
  <si>
    <t>Valsts sociālās apdrošināšanas obligātās iemaksas, euro</t>
  </si>
  <si>
    <t>Finansējuma gada apjoms, euro</t>
  </si>
  <si>
    <t>Darbības nodrošināšanai nepieciešamie līdzekļi, euro</t>
  </si>
  <si>
    <t>Darba samaksa, euro</t>
  </si>
  <si>
    <t>Kurzemē:</t>
  </si>
  <si>
    <t>Vidzemē:</t>
  </si>
  <si>
    <t>Zemgalē:</t>
  </si>
  <si>
    <t>3.2.Izvērtēt pediatra  pieejamību BKUS un II un III līmeņa   slimnīcu uzņemšanas nodaļās un primārajā aprūpē</t>
  </si>
  <si>
    <t>Nodrošināta pediatra kā tiešās pieejamības speciālista palīdzības  pieejamība BKUS un II un III līmeņa slimnīcās, tai skaitā neatliekamās medicīniskās palīdzības situācijās.</t>
  </si>
  <si>
    <r>
      <t xml:space="preserve">Nepieciešamais finansējums gadā kopā, </t>
    </r>
    <r>
      <rPr>
        <i/>
        <sz val="9"/>
        <rFont val="Times New Roman"/>
        <family val="1"/>
        <charset val="186"/>
      </rPr>
      <t>euro</t>
    </r>
    <r>
      <rPr>
        <sz val="9"/>
        <rFont val="Times New Roman"/>
        <family val="1"/>
        <charset val="186"/>
      </rPr>
      <t>:</t>
    </r>
  </si>
  <si>
    <t>Nakts atalgojumam (8h/d), euro</t>
  </si>
  <si>
    <t>Pielikums "Plānam Mātes un bērna veselības uzlabošanas plāns 2018. - 2020.gadam"</t>
  </si>
  <si>
    <t>Pielikums 2.5</t>
  </si>
  <si>
    <t>cena ar PVN, euro</t>
  </si>
  <si>
    <t>Laboratorijā esošie izmeklējumi</t>
  </si>
  <si>
    <t>Fenilalanīns (FKU)</t>
  </si>
  <si>
    <t>A</t>
  </si>
  <si>
    <t>Tireotropais hormons (TSH)</t>
  </si>
  <si>
    <r>
      <t xml:space="preserve">Kopā, </t>
    </r>
    <r>
      <rPr>
        <i/>
        <sz val="9"/>
        <color theme="1"/>
        <rFont val="Times New Roman"/>
        <family val="1"/>
        <charset val="186"/>
      </rPr>
      <t>euro</t>
    </r>
    <r>
      <rPr>
        <sz val="9"/>
        <color theme="1"/>
        <rFont val="Times New Roman"/>
        <family val="1"/>
        <charset val="186"/>
      </rPr>
      <t xml:space="preserve">: </t>
    </r>
  </si>
  <si>
    <t>Pielikums 1.3</t>
  </si>
  <si>
    <t>Pielikums 1.4.1</t>
  </si>
  <si>
    <t>46.03.00 "Slimību profilakses nodrošināšana"</t>
  </si>
  <si>
    <t>Pielikums 1.4.2</t>
  </si>
  <si>
    <t>iekārtu iegāde 2018.gadā</t>
  </si>
  <si>
    <t>Kods</t>
  </si>
  <si>
    <t>Izmaksu veids (tiešās/ netiešās)</t>
  </si>
  <si>
    <t xml:space="preserve"> Daudzums</t>
  </si>
  <si>
    <t>13.2.1.1.</t>
  </si>
  <si>
    <t>Organizēta pacientu izglītošana grupās, ko īsteno ģimenes ārstu praksē strādājoša māsa vai ārsta palīgs</t>
  </si>
  <si>
    <t>tiešās</t>
  </si>
  <si>
    <t>dalībnieki</t>
  </si>
  <si>
    <t>pasākumi</t>
  </si>
  <si>
    <t>13.3.1.6.</t>
  </si>
  <si>
    <t>kampaņa trīs gadu periodā</t>
  </si>
  <si>
    <t>Kampaņas plānošana un izstrāde (ietilpst video, informatīvo bukletu un interaktīvā risinājuma sagatavošana un citi plānošanas darbi)*</t>
  </si>
  <si>
    <t>Kampaņas īstenošana divos posmos (ietilpst mediju pasākumu īstenošana, reģionālo pasākumu īstenošana, vebināra īstenošana un citi pakalpojumi)*</t>
  </si>
  <si>
    <t>Pēckampaņas novērtējums*</t>
  </si>
  <si>
    <t>*informācija no Slimību profilakses centra datu bāzes</t>
  </si>
  <si>
    <t xml:space="preserve">Plakāta "Pasargā sevi un apkārtējos - vakcinējies pret gripu" izvietošana Rīgas zemās grīdas transportos un vilcienos* </t>
  </si>
  <si>
    <t>Raidījuma pārraidīšana Māmiņu klubā online TV un diskusisjas par vakcināciju*</t>
  </si>
  <si>
    <t>Izmaksu pozīcijas nosaukums</t>
  </si>
  <si>
    <t xml:space="preserve">Mērvienība </t>
  </si>
  <si>
    <t>13.3.1.5.</t>
  </si>
  <si>
    <t>Pasākumi  seksuālās un reproduktīvās veselības veicināšanai</t>
  </si>
  <si>
    <t>Sabiedrības informēšanas kampaņa, lai aicinātu iedzīvotājus vērsties pie ģimenes ārsta regulāri veikt profilaktiskās pārbaudes</t>
  </si>
  <si>
    <t>13.3.1.8.</t>
  </si>
  <si>
    <t>Programma pirmsskolas un sākumskolas vecuma bērniem Latvijā par mutes un zobu veselības veicināšanu (saistībā ar uztura paradumiem)</t>
  </si>
  <si>
    <t>Muzejpedagoģiskie pasākumi par slimību profilakses, atkarību mazināšanas, fizisko aktivitāšu veicināšanas, seksuālās un reproduktīvās veselības un veselīga uztura jautājumiem</t>
  </si>
  <si>
    <t>13.4.1.4.</t>
  </si>
  <si>
    <t>Pielikums 1.1</t>
  </si>
  <si>
    <r>
      <t xml:space="preserve">Attiecināmās izmaksas, </t>
    </r>
    <r>
      <rPr>
        <i/>
        <sz val="9"/>
        <rFont val="Times New Roman"/>
        <family val="1"/>
        <charset val="186"/>
      </rPr>
      <t>euro</t>
    </r>
  </si>
  <si>
    <r>
      <t>2018.gads,</t>
    </r>
    <r>
      <rPr>
        <i/>
        <sz val="9"/>
        <rFont val="Times New Roman"/>
        <family val="1"/>
        <charset val="186"/>
      </rPr>
      <t xml:space="preserve"> euro</t>
    </r>
  </si>
  <si>
    <r>
      <t xml:space="preserve">No 2018.g. māte un bērns, </t>
    </r>
    <r>
      <rPr>
        <i/>
        <sz val="9"/>
        <rFont val="Times New Roman"/>
        <family val="1"/>
        <charset val="186"/>
      </rPr>
      <t>euro</t>
    </r>
  </si>
  <si>
    <r>
      <t xml:space="preserve">2019.gads, </t>
    </r>
    <r>
      <rPr>
        <i/>
        <sz val="9"/>
        <rFont val="Times New Roman"/>
        <family val="1"/>
        <charset val="186"/>
      </rPr>
      <t>euro</t>
    </r>
  </si>
  <si>
    <r>
      <t xml:space="preserve">No 2019.g. māte un bērns, </t>
    </r>
    <r>
      <rPr>
        <i/>
        <sz val="9"/>
        <rFont val="Times New Roman"/>
        <family val="1"/>
        <charset val="186"/>
      </rPr>
      <t>euro</t>
    </r>
  </si>
  <si>
    <r>
      <t>Kopā,</t>
    </r>
    <r>
      <rPr>
        <i/>
        <sz val="9"/>
        <rFont val="Times New Roman"/>
        <family val="1"/>
        <charset val="186"/>
      </rPr>
      <t xml:space="preserve"> euro</t>
    </r>
    <r>
      <rPr>
        <sz val="9"/>
        <rFont val="Times New Roman"/>
        <family val="1"/>
        <charset val="186"/>
      </rPr>
      <t>:</t>
    </r>
  </si>
  <si>
    <t>63.07.00  "Eiropas Sociālā fonda (ESF) projektu  īstenošana (2014-2020)"</t>
  </si>
  <si>
    <t>Pielikums 2.6.2</t>
  </si>
  <si>
    <r>
      <t>Amonjaka noteikšana</t>
    </r>
    <r>
      <rPr>
        <b/>
        <sz val="11"/>
        <color theme="1"/>
        <rFont val="Times New Roman"/>
        <family val="1"/>
        <charset val="186"/>
      </rPr>
      <t xml:space="preserve"> </t>
    </r>
    <r>
      <rPr>
        <sz val="11"/>
        <color theme="1"/>
        <rFont val="Times New Roman"/>
        <family val="1"/>
        <charset val="186"/>
      </rPr>
      <t>riska grupas jaundzimušajiem</t>
    </r>
    <r>
      <rPr>
        <b/>
        <sz val="11"/>
        <color theme="1"/>
        <rFont val="Times New Roman"/>
        <family val="1"/>
        <charset val="186"/>
      </rPr>
      <t xml:space="preserve"> </t>
    </r>
  </si>
  <si>
    <r>
      <t xml:space="preserve">4.3.Izstrādāt dinamiskās novērošanas kārtību bērniem ar  hroniskām  slimībām </t>
    </r>
    <r>
      <rPr>
        <i/>
        <sz val="11"/>
        <color theme="1"/>
        <rFont val="Times New Roman"/>
        <family val="1"/>
        <charset val="186"/>
      </rPr>
      <t>(nefroloģija, dermatoloģija, reimatoloģija, pneimanoloģija/alergoloģija, endokrinoloģija, kardioloģija, gastroenteroloģija, hematoloģija)</t>
    </r>
  </si>
  <si>
    <r>
      <t>Izveidota vienota priekšlaikus dzimušo (līdz 34. gestācijas nedēļai)</t>
    </r>
    <r>
      <rPr>
        <sz val="11"/>
        <color theme="1"/>
        <rFont val="Arial"/>
        <family val="2"/>
        <charset val="186"/>
      </rPr>
      <t xml:space="preserve"> </t>
    </r>
    <r>
      <rPr>
        <sz val="11"/>
        <color theme="1"/>
        <rFont val="Times New Roman"/>
        <family val="1"/>
        <charset val="186"/>
      </rPr>
      <t>bērnu dinamiskās novērošanas programmas datu bāze.</t>
    </r>
  </si>
  <si>
    <t>Pasākuma veids</t>
  </si>
  <si>
    <t xml:space="preserve">Tiešraides - speciālistu diskusija "Kāpēc jāvakcinējas" organizēšana* </t>
  </si>
  <si>
    <r>
      <t xml:space="preserve">Izmaksas kopā, </t>
    </r>
    <r>
      <rPr>
        <i/>
        <sz val="9"/>
        <color theme="1"/>
        <rFont val="Times New Roman"/>
        <family val="1"/>
        <charset val="186"/>
      </rPr>
      <t>euro</t>
    </r>
  </si>
  <si>
    <t>Nr. p. k.</t>
  </si>
  <si>
    <t>Metodes ieviešanai un aprobācijai nepieciešamie ārstnieciskie līdzekļi/ pasākumi</t>
  </si>
  <si>
    <t>Reaģenti</t>
  </si>
  <si>
    <t>Ieviešana</t>
  </si>
  <si>
    <t>Aprobācija</t>
  </si>
  <si>
    <t>Kvalitātes kontroles materiāli</t>
  </si>
  <si>
    <t>Pielikums 2.6._3</t>
  </si>
  <si>
    <r>
      <t xml:space="preserve">Summa gadā, </t>
    </r>
    <r>
      <rPr>
        <i/>
        <sz val="9"/>
        <color indexed="8"/>
        <rFont val="Times New Roman"/>
        <family val="1"/>
        <charset val="186"/>
      </rPr>
      <t>euro</t>
    </r>
  </si>
  <si>
    <r>
      <t xml:space="preserve">Kopā, </t>
    </r>
    <r>
      <rPr>
        <i/>
        <sz val="9"/>
        <rFont val="Times New Roman"/>
        <family val="1"/>
        <charset val="186"/>
      </rPr>
      <t>euro</t>
    </r>
    <r>
      <rPr>
        <sz val="9"/>
        <rFont val="Times New Roman"/>
        <family val="1"/>
        <charset val="186"/>
      </rPr>
      <t>:</t>
    </r>
  </si>
  <si>
    <r>
      <t xml:space="preserve">Kopā, </t>
    </r>
    <r>
      <rPr>
        <i/>
        <sz val="9"/>
        <rFont val="Times New Roman"/>
        <family val="1"/>
        <charset val="186"/>
      </rPr>
      <t>euro</t>
    </r>
    <r>
      <rPr>
        <sz val="9"/>
        <rFont val="Times New Roman"/>
        <family val="1"/>
        <charset val="186"/>
      </rPr>
      <t xml:space="preserve">: 14 </t>
    </r>
  </si>
  <si>
    <r>
      <t xml:space="preserve">NVD norāda, ka pašreiz no II un III līmeņa slimnīcām pediatrs/neonatalogs nav pieejams SIA,, Kuldīgas slimnīca“ un SIA ,, Cēsu klīnika“ . Papildus nepieciešamais finansējums, lai  minēto slimīcu uzņemšanas nodaļās nodrošinātu diennaksts pediatra/neonataloga pieejamību ir: 135 425.76 x 2 = 270 852 </t>
    </r>
    <r>
      <rPr>
        <i/>
        <sz val="9"/>
        <color theme="1"/>
        <rFont val="Times New Roman"/>
        <family val="1"/>
        <charset val="186"/>
      </rPr>
      <t>euro</t>
    </r>
    <r>
      <rPr>
        <sz val="9"/>
        <color theme="1"/>
        <rFont val="Times New Roman"/>
        <family val="1"/>
        <charset val="186"/>
      </rPr>
      <t xml:space="preserve"> gadā</t>
    </r>
  </si>
  <si>
    <t xml:space="preserve">Bērnu skaits (20% no bērnu kopējā skaita* (kopējais bērnu (0-17 gadi) skaits 356 527 CSP dati, kam būs nepieciešams izmeklējums </t>
  </si>
  <si>
    <r>
      <t>Kopā,</t>
    </r>
    <r>
      <rPr>
        <i/>
        <sz val="9"/>
        <color indexed="8"/>
        <rFont val="Times New Roman"/>
        <family val="1"/>
        <charset val="186"/>
      </rPr>
      <t xml:space="preserve"> euro</t>
    </r>
    <r>
      <rPr>
        <sz val="9"/>
        <color indexed="8"/>
        <rFont val="Times New Roman"/>
        <family val="1"/>
        <charset val="186"/>
      </rPr>
      <t>:</t>
    </r>
  </si>
  <si>
    <t xml:space="preserve">1)Ietekme zobārstniecības pakalpojumu tarifiem </t>
  </si>
  <si>
    <t>2016.g. tarifu apjoms ar NVD tarifiem</t>
  </si>
  <si>
    <t>2016.g. tarifu apjoms  ar LZA izmaksām aprēķinātiem atbilstoši NVD iekšējiem normatīviem aktiem</t>
  </si>
  <si>
    <t>Tarifa pieaugums</t>
  </si>
  <si>
    <t>Finansējuma pieaugums</t>
  </si>
  <si>
    <t>Veiktais man.sk.2016 bez 69 pac.gr.</t>
  </si>
  <si>
    <t>%</t>
  </si>
  <si>
    <t>70001</t>
  </si>
  <si>
    <t>Darba vietas sagatavošana katrā apmeklējumā, kas ietver vienreizlietojamos materiālus, kā arī instrumentu trijnieku, personāla sagatavošanas darbus, Ortodonti uzrāda pie diagnostikas un ārstēšanas plāna sastādīšanas</t>
  </si>
  <si>
    <t>70002</t>
  </si>
  <si>
    <t>Pacienta pirmreizēja, pilnīga izmeklēšana un anamnēzes datu ievākšana, Samaksa tiek veikta vienu reizi, pacientam ierodoties prakses vietā, Manipulācijas izmaksās nav ietverti rentgendiagnostiskie izmeklējumi, Ortodonti uzrāda pie diagnostikas un ārstēšanas plāna sastādīšanas, Epidemioloģisko projektu gadījumos mutes veselības centru apskatēs manipulāciju uzrāda zobārsti, Samaksa par manipulāciju netiek veikta, ja to uzrāda zobu higiēnisti</t>
  </si>
  <si>
    <t>70003</t>
  </si>
  <si>
    <t>Atkārtota izmeklēšana ar izmaiņu konstatāciju, Samaksa par manipulāciju tiek veikta, ja vienam pacientam to uzrāda ne biežāk kā vienu reizi sešu mēnešu laikā, Samaksa par manipulāciju netiek veikta, ja to uzrāda zobu higiēnisti</t>
  </si>
  <si>
    <t>70005</t>
  </si>
  <si>
    <t>Zobu higiēnas indeksa noteikšana pirms profesionālās zobu higiēnas vai periodonta saslimšanu ārstēšanas, Samaksa par manipulāciju tiek veikta, ja vienam pacientam to uzrāda ne biežāk kā divas reizes gadā, Manipulāciju izmanto arī mutes veselības centru zobu higiēnisti informatīvo apskašu gadījumos</t>
  </si>
  <si>
    <t>70008</t>
  </si>
  <si>
    <t>Pirmreizēja pilnīga periodonta izmeklēšana, ko veic periodontologs vai speciālists vienam pacientam vienu reizi gadā</t>
  </si>
  <si>
    <t>70009</t>
  </si>
  <si>
    <t>Atkārtota periodonta izmeklēšana , ko veic periodontologs vai speciālists, salīdzinot ar pirmreizējās periodonta izmeklēšanas rezultātiem</t>
  </si>
  <si>
    <t>70011</t>
  </si>
  <si>
    <t>Priekšstata vai profila fotogrāfija, Ortodonti uzrāda pie diagnostikas un ārstēšanas plāna sastādīšanas</t>
  </si>
  <si>
    <t>70012</t>
  </si>
  <si>
    <t>Oklūzijas vertikālās dimensijas novērtējums</t>
  </si>
  <si>
    <t>70013</t>
  </si>
  <si>
    <t>Oklūzijas analīze, Ortodonti uzrāda pie diagnostikas un ārstēšanas plāna sastādīšanas</t>
  </si>
  <si>
    <t>70014</t>
  </si>
  <si>
    <t>Zobu vitalitātes noteikšana vienam zobam</t>
  </si>
  <si>
    <t>70016</t>
  </si>
  <si>
    <t>Speciālista konsultācija subspecialitātēs, Ortodonti uzrāda pie diagnostikas un ārstēšanas plāna sastādīšanas</t>
  </si>
  <si>
    <t>70018</t>
  </si>
  <si>
    <t>Ārstēšanas plānošana protezēšanai un/vai ortodontijai pēc pacienta klīniskās un rentgenoloģiskās izmeklēšanas, Ortodonti uzrāda pie diagnostikas un ārstēšanas plāna sastādīšanas</t>
  </si>
  <si>
    <t>70023</t>
  </si>
  <si>
    <t>Punkcija</t>
  </si>
  <si>
    <t>70024</t>
  </si>
  <si>
    <t>Nospiedums vai nokasījums citoloģiskai izmeklēšanai</t>
  </si>
  <si>
    <t>70025</t>
  </si>
  <si>
    <t>Biopsija</t>
  </si>
  <si>
    <t>70027</t>
  </si>
  <si>
    <t>Neartikulētie veiduļi, Ortodonti uzrāda pie diagnostikas un ārstēšanas plāna sastādīšanas</t>
  </si>
  <si>
    <t>70028</t>
  </si>
  <si>
    <t>Artikulētie veiduļi, Ortodonti uzrāda pie diagnostikas un ārstēšanas plāna sastādīšanas</t>
  </si>
  <si>
    <t>70029</t>
  </si>
  <si>
    <t>Ortodontiskie veiduļi, Ortodonti uzrāda pie diagnostikas un ārstēšanas plāna sastādīšanas</t>
  </si>
  <si>
    <t>70030</t>
  </si>
  <si>
    <t>Veiduļu mērījumi un analīze, Ortodonti uzrāda pie diagnostikas un ārstēšanas plāna sastādīšanas</t>
  </si>
  <si>
    <t>70031</t>
  </si>
  <si>
    <t>Veiduļu vaskošana diagnostiskos nolūkos (par sekstantu)</t>
  </si>
  <si>
    <t>70032</t>
  </si>
  <si>
    <t>Nospieduma atliešana, Ortodonti uzrāda pie diagnostikas un ārstēšanas plāna sastādīšanas</t>
  </si>
  <si>
    <t>70050</t>
  </si>
  <si>
    <t>Periapikāls rentgens - viens uzņēmums, Samaksa par manipulāciju tiek veikta, ja to uzrāda vienu reizi viena apmeklējuma laikā</t>
  </si>
  <si>
    <t>70051</t>
  </si>
  <si>
    <t>Periapikāls rentgens - katrs nākamais uzņēmums</t>
  </si>
  <si>
    <t>70052</t>
  </si>
  <si>
    <t>Dentālā rentgenuzņēmuma rakstisks novērtējums, Ortodonti uzrāda pie diagnostikas un ārstēšanas plāna sastādīšanas</t>
  </si>
  <si>
    <t>70053</t>
  </si>
  <si>
    <t>Interproksimāls (BW) rentgens - viens uzņēmums, Samaksa par manipulāciju tiek veikta, ja to uzrāda vienu reizi viena apmeklējuma laikā</t>
  </si>
  <si>
    <t>70054</t>
  </si>
  <si>
    <t>Interproksimāls (BW) rentgens - katrs nākamais uzņēmums</t>
  </si>
  <si>
    <t>70055</t>
  </si>
  <si>
    <t>Augšžokļa un apakšžokļa panorāmas slāņuzņēmums (ortopantomogramma), Ortodonti uzrāda pie diagnostikas un ārstēšanas plāna sastādīšanas</t>
  </si>
  <si>
    <t>70057</t>
  </si>
  <si>
    <t>Apakšžokļa dažādu rajonu rentgenuzņēmums</t>
  </si>
  <si>
    <t>70058</t>
  </si>
  <si>
    <t>Deguna blakusdobumu rentgenogramma vienā plaknē</t>
  </si>
  <si>
    <t>70059</t>
  </si>
  <si>
    <t>Vaiga kaulu rentgenogramma</t>
  </si>
  <si>
    <t>70061</t>
  </si>
  <si>
    <t>Digitālā cefalogrāfija (telerentgenogramma)</t>
  </si>
  <si>
    <t>70063</t>
  </si>
  <si>
    <t>Locītavas galviņu rentgenuzņēmums</t>
  </si>
  <si>
    <t>70071</t>
  </si>
  <si>
    <t>Katra zoba rentgenuzņēmums rentgenkabinetā</t>
  </si>
  <si>
    <t>70101</t>
  </si>
  <si>
    <t>Higiēnas instrukcija un motivācija, pielietojot mutes dobuma kopšanas un profilakses uzskates līdzekļus un sniedzot informāciju vecākiem par bērna zobu stāvokli, Ortodonti uzrāda pie diagnostikas un ārstēšanas plāna sastādīšanas</t>
  </si>
  <si>
    <t>70103</t>
  </si>
  <si>
    <t>Zobu virsmu apstrāde ar pretkariesa līdzekļiem - gēla vai putu aplikācija, Neuzrādīt kopā ar manipulācijām 70104, 70105</t>
  </si>
  <si>
    <t>70104</t>
  </si>
  <si>
    <t>Zobu virsmu pārklāšana ar fluorlaku visā mutē, Neuzrādīt kopā ar manipulācijām 70103, 70105</t>
  </si>
  <si>
    <t>70108</t>
  </si>
  <si>
    <t>Zobu mīkstā aplikuma noņemšana visā mutē Neuzrādīt kopā ar manipulācijām 70110, 70503 vai 70504</t>
  </si>
  <si>
    <t>70109</t>
  </si>
  <si>
    <t>Zobu pulēšana visā mutē</t>
  </si>
  <si>
    <t>70110</t>
  </si>
  <si>
    <t>Zobu cietā pigmenta noņemšana visā mutē Neuzrādīt kopā ar manipulācijām 70108, 70503, 70504</t>
  </si>
  <si>
    <t>70201</t>
  </si>
  <si>
    <t>Zoba kavitātes veidošana un pagaidu slēgšana, ko veic gadījumos, ja plānots izgatavot inleju vai citu protēžu elementu, kā arī dziļā kariesa gadījumā</t>
  </si>
  <si>
    <t>70202</t>
  </si>
  <si>
    <t>Vienas parapulpāras tapas vai kanāla skrūves ielikšana</t>
  </si>
  <si>
    <t>70203</t>
  </si>
  <si>
    <t>Piena zobi, amalgama, 1 virsma</t>
  </si>
  <si>
    <t>70204</t>
  </si>
  <si>
    <t>Piena zobi, amalgama, 2 virsmas</t>
  </si>
  <si>
    <t>70205</t>
  </si>
  <si>
    <t>Piena zobi, amalgama, 3 virsmas</t>
  </si>
  <si>
    <t>70206</t>
  </si>
  <si>
    <t>Piena zobi, amalgama, 4 virsmas</t>
  </si>
  <si>
    <t>70207</t>
  </si>
  <si>
    <t>Piena zobi, stikla jonomērs, 1 virsma</t>
  </si>
  <si>
    <t>70208</t>
  </si>
  <si>
    <t>Piena zobi, stikla jonomērs, 2 virsmas</t>
  </si>
  <si>
    <t>70211</t>
  </si>
  <si>
    <t>Piena zobi, kompomērs, 1 virsma</t>
  </si>
  <si>
    <t>70212</t>
  </si>
  <si>
    <t>Piena zobi, kompomērs, 2 virsmas</t>
  </si>
  <si>
    <t>70221</t>
  </si>
  <si>
    <t>Piena zobi, molāri, standarta metāla kronis</t>
  </si>
  <si>
    <t>70222</t>
  </si>
  <si>
    <t>Amalgama, incisīvi un premolāri, 1 virsma</t>
  </si>
  <si>
    <t>70223</t>
  </si>
  <si>
    <t>Amalgama, premolāri, 2 virsmas</t>
  </si>
  <si>
    <t>70224</t>
  </si>
  <si>
    <t>Amalgama, premolāri, 3 virsmas</t>
  </si>
  <si>
    <t>70225</t>
  </si>
  <si>
    <t>Amalgama, premolāri, 4 virsmas</t>
  </si>
  <si>
    <t>70227</t>
  </si>
  <si>
    <t>Amalgama, molāri, 1 virsma</t>
  </si>
  <si>
    <t>70228</t>
  </si>
  <si>
    <t>Amalgama, molāri, 2 virsmas</t>
  </si>
  <si>
    <t>70229</t>
  </si>
  <si>
    <t>Amalgama, molāri, 3 virsmas</t>
  </si>
  <si>
    <t>70230</t>
  </si>
  <si>
    <t>Amalgama, molāri, 4 un vairāk virsmas</t>
  </si>
  <si>
    <t>70232</t>
  </si>
  <si>
    <t>Stikla jonomērs, incisīvi, 1 virsma</t>
  </si>
  <si>
    <t>70233</t>
  </si>
  <si>
    <t>Stikla jonomērs, incisīvi, 2 virsmas</t>
  </si>
  <si>
    <t>70234</t>
  </si>
  <si>
    <t>Stikla jonomērs, premolāri, 1 virsma</t>
  </si>
  <si>
    <t>70235</t>
  </si>
  <si>
    <t>Stikla jonomērs, molāri, 1 virsma</t>
  </si>
  <si>
    <t>70238</t>
  </si>
  <si>
    <t>Kompomērs, premolāri, 1 virsma</t>
  </si>
  <si>
    <t>70239</t>
  </si>
  <si>
    <t>Kompomērs, molāri, 1 virsma</t>
  </si>
  <si>
    <t>70240</t>
  </si>
  <si>
    <t>Kompozīts, incisīvi, 1 virsma, izmantojot tikai gaismā cietējošus kompozīta materiālus</t>
  </si>
  <si>
    <t>70241</t>
  </si>
  <si>
    <t>Kompozīts, incisīvi, 2 virsmas, izmantojot tikai gaismā cietējošus kompozīta materiālus</t>
  </si>
  <si>
    <t>70242</t>
  </si>
  <si>
    <t>Kompozīts, incisīvi, 3 virsmas, izmantojot tikai gaismā cietējošus kompozīta materiālus</t>
  </si>
  <si>
    <t>70243</t>
  </si>
  <si>
    <t>Kompozīts, incisīvi, 4 virsmas, izmantojot tikai gaismā cietējošus kompozīta materiālus</t>
  </si>
  <si>
    <t>70244</t>
  </si>
  <si>
    <t>Kompozīts, incisīvi, 5 virsmas, izmantojot tikai gaismā cietējošus kompozīta materiālus</t>
  </si>
  <si>
    <t>70256</t>
  </si>
  <si>
    <t>Piemaksa par amalgamas saiti</t>
  </si>
  <si>
    <t>70301</t>
  </si>
  <si>
    <t>Piena zobi, vitālā pulpotomija molāriem</t>
  </si>
  <si>
    <t>70302</t>
  </si>
  <si>
    <t>Piena zobi, mortālā pulpotomija molāriem - pirmais seanss, pulpas devitalizācija, Izmaksās iekļauta kavitātes pagaidu slēgšana</t>
  </si>
  <si>
    <t>70303</t>
  </si>
  <si>
    <t>Piena zobi, mortālā pulpotomija molāriem –otrais seanss</t>
  </si>
  <si>
    <t>70304</t>
  </si>
  <si>
    <t>Piena zobi, pulpektomija incisīviem ar saknes kanāla apstrādi, Izmaksās iekļauta kavitātes pagaidu slēgšana</t>
  </si>
  <si>
    <t>70305</t>
  </si>
  <si>
    <t>Piena zobi, pulpektomija incisīviem, sakņu kanālu pildīšana, Izmaksās iekļauta kanālu apstrāde un kavitātes pagaidu slēgšana</t>
  </si>
  <si>
    <t>70308</t>
  </si>
  <si>
    <t>Vitālā pulpotomija (apeksģenēze) pastāvīgiem zobiem ar nenoformētām saknēm, pēc kroņa daļas pulpas amputācijas, izmantojot kalcija preparātus</t>
  </si>
  <si>
    <t>70309</t>
  </si>
  <si>
    <t>Pulpas tiešā pārklāšana, ko lieto pie traumām bērnu zobiem, ja pulpas atvērums nav lielāks par 1mm</t>
  </si>
  <si>
    <t>70311</t>
  </si>
  <si>
    <t>Apeksfiksācija viensaknes zobiem ar nenoformētām saknēm - pirmais seanss</t>
  </si>
  <si>
    <t>70312</t>
  </si>
  <si>
    <t>Apeksfiksācija divsakņu zobiem ar nenoformētām saknēm - pirmais seanss</t>
  </si>
  <si>
    <t>70313</t>
  </si>
  <si>
    <t>Apeksfiksācija trīssakņu zobiem ar nenoformētām saknēm - pirmais seanss</t>
  </si>
  <si>
    <t>70314</t>
  </si>
  <si>
    <t>Apeksfiksācija zobiem ar nenoformētām saknēm ar anatomisku papildu kanālu - pirmais seanss</t>
  </si>
  <si>
    <t>70315</t>
  </si>
  <si>
    <t>Apeksfiksācija viensaknes zobiem ar nenoformētām saknēm - katrs nākamais seanss</t>
  </si>
  <si>
    <t>70316</t>
  </si>
  <si>
    <t>Apeksfiksācija divsakņu zobiem ar nenoformētām saknēm - katrs nākamais seanss</t>
  </si>
  <si>
    <t>70317</t>
  </si>
  <si>
    <t>Apeksfiksācija trīssakņu zobiem ar nenoformētām saknēm - katrs nākamais seanss</t>
  </si>
  <si>
    <t>70318</t>
  </si>
  <si>
    <t>Apeksfiksācija zobiem ar nenoformētām saknēm ar anatomisku papildu kanālu - katrs nākamais seanss</t>
  </si>
  <si>
    <t>70319</t>
  </si>
  <si>
    <t>Vitālā pulpotomija noformētiem premolāriem un molāriem kā neatliekamā palīdzība pie neatgriezeniska pulpīta, ja nav laika izdarīt pulpektomiju</t>
  </si>
  <si>
    <t>70320</t>
  </si>
  <si>
    <t>Akūtā pulpektomija viensaknes zobam, kā neatliekamā palīdzība pie neatgriezeniska pulpīta vai pulpas traumas</t>
  </si>
  <si>
    <t>70321</t>
  </si>
  <si>
    <t>Akūtā pulpektomija divsakņu zobam, kā neatliekamā palīdzība pie neatgriezeniska pulpīta vai pulpas traumas</t>
  </si>
  <si>
    <t>70322</t>
  </si>
  <si>
    <t>Akūtā pulpektomija trīssakņu zobam, kā neatliekamā palīdzība pie neatgriezeniska pulpīta vai pulpas traumas</t>
  </si>
  <si>
    <t>70323</t>
  </si>
  <si>
    <t>Akūtā pulpektomija zobam ar anatomisku papildu kanālu, kā neatliekamā palīdzība pie neatgriezeniska pulpīta vai pulpas traumas</t>
  </si>
  <si>
    <t>70324</t>
  </si>
  <si>
    <t>Akūta nedzīva zoba atvēršana un drenēšana viensaknes zobam, kā neatliekamā palīdzība akūta, nedzīva zoba gadījumā</t>
  </si>
  <si>
    <t>70325</t>
  </si>
  <si>
    <t>Akūta nedzīva zoba atvēršana un drenēšana divsakņu zobam, kā neatliekamā palīdzība akūta, nedzīva zoba gadījumā</t>
  </si>
  <si>
    <t>70326</t>
  </si>
  <si>
    <t>Akūta nedzīva zoba atvēršana un drenēšana trīssakņu zobam, kā neatliekamā palīdzība akūta, nedzīva zoba gadījumā</t>
  </si>
  <si>
    <t>70327</t>
  </si>
  <si>
    <t>Akūta nedzīva zoba atvēršana un drenēšana zobam ar anatomisku papildu kanālu, kā neatliekamā palīdzība akūta, nedzīva zoba gadījumā</t>
  </si>
  <si>
    <t>70328</t>
  </si>
  <si>
    <t>Saknes kanāla apstrāde viensaknes zobam, Veicama vienā seansā, izņemot gadījumus, kad konstatēta strutu izdalīšanās</t>
  </si>
  <si>
    <t>70329</t>
  </si>
  <si>
    <t>Saknes kanāla pildīšana viensaknes zobam</t>
  </si>
  <si>
    <t>70330</t>
  </si>
  <si>
    <t>Sakņu kanālu apstrāde divsakņu zobam, Veicama vienā seansā, izņemot gadījumus, kad konstatēta strutu izdalīšanās</t>
  </si>
  <si>
    <t>70331</t>
  </si>
  <si>
    <t>Sakņu kanālu pildīšana divsakņu zobam</t>
  </si>
  <si>
    <t>70332</t>
  </si>
  <si>
    <t>Sakņu kanālu apstrāde trīssakņu zobam</t>
  </si>
  <si>
    <t>70333</t>
  </si>
  <si>
    <t>Sakņu kanālu pildīšana trīssakņu zobam</t>
  </si>
  <si>
    <t>70334</t>
  </si>
  <si>
    <t>Saknes kanāla apstrāde zobam ar anatomisku papildu kanālu</t>
  </si>
  <si>
    <t>70335</t>
  </si>
  <si>
    <t>Saknes kanāla pildīšana zobam ar anatomisku papildu kanālu</t>
  </si>
  <si>
    <t>70336</t>
  </si>
  <si>
    <t>Sakņu kanāla pārārstēšana viensaknes zobam</t>
  </si>
  <si>
    <t>70337</t>
  </si>
  <si>
    <t>Sakņu kanāla pārārstēšana divsakņu zobam</t>
  </si>
  <si>
    <t>70338</t>
  </si>
  <si>
    <t>Sakņu kanāla pārārstēšana trīssakņu zobam</t>
  </si>
  <si>
    <t>70339</t>
  </si>
  <si>
    <t>Sakņu kanāla pārārstēšana zobam ar anatomisku papildu kanālu</t>
  </si>
  <si>
    <t>70340</t>
  </si>
  <si>
    <t>Endodontiski ārstējamā zoba kroņa atjaunošana pirms koferdama uzlikšanas</t>
  </si>
  <si>
    <t>70341</t>
  </si>
  <si>
    <t>Endodontiski ārstējama zoba atvēršana caur kroni</t>
  </si>
  <si>
    <t>70400</t>
  </si>
  <si>
    <t>Kustīga piena zoba ekstrakcija</t>
  </si>
  <si>
    <t>70401</t>
  </si>
  <si>
    <t>Viensaknes zoba ekstrakcija, ieskaitot brūces apdari</t>
  </si>
  <si>
    <t>70402</t>
  </si>
  <si>
    <t>Daudzsakņu zoba ekstrakcija, ieskaitot brūces apdari</t>
  </si>
  <si>
    <t>70403</t>
  </si>
  <si>
    <t>Kaula nolīdzināšana, izkasīšana, šuve, tamponēšana - īpaši sniegta zobārstnieciskā palīdzība atsevišķā seansā vienā žokļa pusē vai priekšzobu rajonā</t>
  </si>
  <si>
    <t>70404</t>
  </si>
  <si>
    <t>Viensaknes zoba ekstrakcija ar osteotomiju, ieskaitot brūces apdari</t>
  </si>
  <si>
    <t>70405</t>
  </si>
  <si>
    <t>Daudzsakņu zoba ekstrakcija ar osteotomiju, ieskaitot brūces apdari</t>
  </si>
  <si>
    <t>70406</t>
  </si>
  <si>
    <t>Novirzīta vai retinēta zoba ekstrakcija ar osteotomiju, ieskaitot brūces apdari</t>
  </si>
  <si>
    <t>70407</t>
  </si>
  <si>
    <t>Novirzīta vai retinēta zoba atsegšana ortodontiskai regulēšanai</t>
  </si>
  <si>
    <t>70408</t>
  </si>
  <si>
    <t>Hemirezekcija</t>
  </si>
  <si>
    <t>70409</t>
  </si>
  <si>
    <t>Atvērta intakta žokļa dobuma plastiska noslēgšana ar vienkāršas smaganu plastikas palīdzību</t>
  </si>
  <si>
    <t>70410</t>
  </si>
  <si>
    <t>Alveolārā izauguma trepanācija</t>
  </si>
  <si>
    <t>70411</t>
  </si>
  <si>
    <t>Alveolārā izauguma sekvestrektomija</t>
  </si>
  <si>
    <t>70412</t>
  </si>
  <si>
    <t>Zoba saknes gala rezekcija incisīvam</t>
  </si>
  <si>
    <t>70413</t>
  </si>
  <si>
    <t>Zoba saknes gala rezekcija premolāram</t>
  </si>
  <si>
    <t>70414</t>
  </si>
  <si>
    <t>Zoba saknes gala rezekcija molāriem</t>
  </si>
  <si>
    <t>70415</t>
  </si>
  <si>
    <t>Zoba saknes gala rezekcija katram nākamajam blakus zobam vienā un tajā pašā žokļa pusē un seansā</t>
  </si>
  <si>
    <t>70416</t>
  </si>
  <si>
    <t>Retrogrāda kanāla plombēšana</t>
  </si>
  <si>
    <t>70417</t>
  </si>
  <si>
    <t>Cistektomija diametrā līdz 1 cm</t>
  </si>
  <si>
    <t>70418</t>
  </si>
  <si>
    <t>Zoba replantācija</t>
  </si>
  <si>
    <t>70419</t>
  </si>
  <si>
    <t>Asiņošanas apturēšana pēc zoba ekstrakcijas, ko pielieto atsevišķā seansā kā ekstrakcijas brūces slēgšanu ar šuvēm</t>
  </si>
  <si>
    <t>70420</t>
  </si>
  <si>
    <t>Lēveru veidošana</t>
  </si>
  <si>
    <t>70421</t>
  </si>
  <si>
    <t>Gļotādas brūču primāra ķirurģiska apdare, ko pielieto traumu gadījumos un pēc manipulācijas 70420 veikšanas</t>
  </si>
  <si>
    <t>70422</t>
  </si>
  <si>
    <t>Svešķermeņa izņemšana no zemgļotādas pēc tās atvēršanas ar griezuma palīdzību</t>
  </si>
  <si>
    <t>70423</t>
  </si>
  <si>
    <t>Svešķermeņa izņemšana, kurš atrodas zem gļotādas un ir sataustāms un redzams</t>
  </si>
  <si>
    <t>70424</t>
  </si>
  <si>
    <t>1 luksēta zoba repozīcija un retenzija ar kompozīta materiālu</t>
  </si>
  <si>
    <t>70425</t>
  </si>
  <si>
    <t>1 luksēta zoba repozīcija un retenzija ar individuālo metāla šinu</t>
  </si>
  <si>
    <t>70426</t>
  </si>
  <si>
    <t>1 luksēta zoba repozīcija un retenzija ar viena breketa uzlikšanu, bez breketa vērtības</t>
  </si>
  <si>
    <t>70427</t>
  </si>
  <si>
    <t>2 un vairāk luksētu zobu repozīcija un retenzija ar kompozīta materiālu</t>
  </si>
  <si>
    <t>70428</t>
  </si>
  <si>
    <t>2 un vairāk luksētu zobu repozīcija un retenzija ar individuālo metāla šinu</t>
  </si>
  <si>
    <t>70429</t>
  </si>
  <si>
    <t>2 un vairāk luksētu zobu repozīcija un retenzija ar viena breketa uzlikšanu, bez breketa izmaksas</t>
  </si>
  <si>
    <t>70430</t>
  </si>
  <si>
    <t>Fiksācijas šinas noņemšana</t>
  </si>
  <si>
    <t>70431</t>
  </si>
  <si>
    <t>Žokļu imobilizācija kā pagaidu fiksācijas metode žokļu lūzumu vai luksāciju gadījumos - e/o pārsējs</t>
  </si>
  <si>
    <t>70432</t>
  </si>
  <si>
    <t>Žokļu šinas uzlikšana veselam žoklim lūzuma vai luksācijas gadījumā</t>
  </si>
  <si>
    <t>70433</t>
  </si>
  <si>
    <t>Žokļu šinas uzlikšana lauztam žoklim lūzuma vai luksācijas gadījumā</t>
  </si>
  <si>
    <t>70434</t>
  </si>
  <si>
    <t>Aivi ligatūru uzlikšana veselam žoklim</t>
  </si>
  <si>
    <t>70435</t>
  </si>
  <si>
    <t>Aivi ligatūru uzlikšana lauztam žoklim</t>
  </si>
  <si>
    <t>70436</t>
  </si>
  <si>
    <t>Odontomas izņemšana alveolārajā izaugumā</t>
  </si>
  <si>
    <t>70437</t>
  </si>
  <si>
    <t>Virspusēja, subperiostāla alveolārā izauguma rajonā lokalizēta abscesa i/o atvēršana</t>
  </si>
  <si>
    <t>70438</t>
  </si>
  <si>
    <t>Dziļi lokalizēta abscesa i/o atvēršana</t>
  </si>
  <si>
    <t>70439</t>
  </si>
  <si>
    <t>Hematomas i/o atvēršana</t>
  </si>
  <si>
    <t>70440</t>
  </si>
  <si>
    <t>Ārstēšana pēc ķirurģiskās iejaukšanās vienā žokļa pusē vai priekšzobu rajonā - pastāvīgi sniegta zobārstnieciskā palīdzība pēc zoba ekstrakcijas un pēc tīrajām operācijām</t>
  </si>
  <si>
    <t>70441</t>
  </si>
  <si>
    <t>Ārstēšana pēc ķirurģiskās iejaukšanās vienā žokļa pusē vai priekšzobu rajonā - pastāvīgi sniegta zobārstnieciskā palīdzība pie strutojošām brūcēm</t>
  </si>
  <si>
    <t>70442</t>
  </si>
  <si>
    <t>Alveolas kiretāža</t>
  </si>
  <si>
    <t>70443</t>
  </si>
  <si>
    <t>Lūpas saitītes atbrīvošana ar ekscīziju</t>
  </si>
  <si>
    <t>70444</t>
  </si>
  <si>
    <t>Lūpas saitītes atbrīvošana ar V plastiku</t>
  </si>
  <si>
    <t>70445</t>
  </si>
  <si>
    <t>Lūpas saitītes atbrīvošana ar Z plastiku</t>
  </si>
  <si>
    <t>70446</t>
  </si>
  <si>
    <t>Mēles saitītes ekscīzija</t>
  </si>
  <si>
    <t>70447</t>
  </si>
  <si>
    <t>Traucējošu gļotādas saišu, muskuļu piestiprinājuma vietu vai deformēta alveolārā izauguma daļas novēršana priekšzobu rajonā vai vienā žokļa pusē vienā seansā</t>
  </si>
  <si>
    <t>70448</t>
  </si>
  <si>
    <t>Vestibulum plastika priekšzobu rajonā vai vienā žokļa pusē</t>
  </si>
  <si>
    <t>70449</t>
  </si>
  <si>
    <t>Gļotādas ekscīzija vai kauterizācija nelielā apmērā, Samaksa par šo manipulāciju tiek veikta, ja to neuzrāda vienlaikus ar citām zobārstniecības manipulācijām</t>
  </si>
  <si>
    <t>70450</t>
  </si>
  <si>
    <t>Gļotādas veidojumu ekscīzija lielākā apmērā</t>
  </si>
  <si>
    <t>70451</t>
  </si>
  <si>
    <t>Fibromas vai papilomas izoperēšana</t>
  </si>
  <si>
    <t>70452</t>
  </si>
  <si>
    <t>Gļotu cistas izoperēšana</t>
  </si>
  <si>
    <t>70453</t>
  </si>
  <si>
    <t>Epulis izoperēšana</t>
  </si>
  <si>
    <t>70454</t>
  </si>
  <si>
    <t>Alveolārā izauguma kaula rezekcija viena apmeklējuma laikā, lai sagatavotu vietu zobu protēzei priekšzobu rajonā vai vienā žokļa pusē</t>
  </si>
  <si>
    <t>70455</t>
  </si>
  <si>
    <t>Tuberplastika vienā pusē</t>
  </si>
  <si>
    <t>70456</t>
  </si>
  <si>
    <t>Gļotādas slimību lokāli medikamentoza ārstēšana vai protēžu nospieduma vietas ārstēšana vienā seansā</t>
  </si>
  <si>
    <t>70460</t>
  </si>
  <si>
    <t>Šuvju noņemšana</t>
  </si>
  <si>
    <t>70501</t>
  </si>
  <si>
    <t>Akūtas, nekomplicētas orālās infekcijas ārstēšana viena apmeklējuma laikā</t>
  </si>
  <si>
    <t>70502</t>
  </si>
  <si>
    <t>Akūtas, nekomplicētas orālās infekcijas ārstēšana divu apmeklējumu laikā</t>
  </si>
  <si>
    <t>70503</t>
  </si>
  <si>
    <t>Zobakmens noņemšana -vienā laika vienībā (15 min,) Samaksa par manipulāciju tiek veikta, ja to uzrāda zobu higiēnisti, veicot profesionālo mutes higiēnu bērniem līdz 18 gadu vecumam vai Černobiļas atomelektrostacijas avārijas seku likvidēšanas dalībniekiem, Černobiļas atomelektrostacijas avārijas rezultātā cietušajām personām, Manipulāciju uzrāda zobārsti, kuriem līgumā ar dienestu tas ir atļauts</t>
  </si>
  <si>
    <t>70504</t>
  </si>
  <si>
    <t>Zobakmens noņemšana - divās laika vienībās (30 min,) Samaksa par manipulāciju tiek veikta, ja to uzrāda zobu higiēnisti, veicot profesionālo mutes higiēnu bērniem līdz 18 gadu vecumam vai Černobiļas atomelektrostacijas avārijas seku likvidēšanas dalībniekiem, Černobiļas atomelektrostacijas avārijas rezultātā cietušajām personām, Manipulāciju uzrāda zobārsti, kuriem līgumā ar dienestu tas ir atļauts</t>
  </si>
  <si>
    <t>70505</t>
  </si>
  <si>
    <t>Zobakmens noņemšana -četrās laika vienībās (60 min,) Samaksa par manipulāciju tiek veikta, ja to uzrāda zobu higiēnisti, veicot profesionālo mutes higiēnu Černobiļas atomelektrostacijas avārijas seku likvidēšanas dalībniekiem, Černobiļas atomelektrostacijas avārijas rezultātā cietušajām personām, Manipulāciju uzrāda zobārsti, kuriem līgumā ar dienestu tas ir atļauts</t>
  </si>
  <si>
    <t>70506</t>
  </si>
  <si>
    <t>Zobakmens noņemšana - sešās laika vienībās (90 min,) Samaksa par manipulāciju tiek veikta, ja to uzrāda zobu higiēnisti, veicot profesionālo mutes higiēnu Černobiļas atomelektrostacijas avārijas seku likvidēšanas dalībniekiem, Černobiļas atomelektrostacijas avārijas rezultātā cietušajām personām, Manipulāciju uzrāda zobārsti, kuriem līgumā ar dienestu tas ir atļauts</t>
  </si>
  <si>
    <t>70507</t>
  </si>
  <si>
    <t>Zobu sakņu pulēšana - vienā laika vienībā (15 min,) Samaksa par manipulāciju tiek veikta, ja to uzrāda zobu higiēnisti, veicot zobu sakņu pilnīgu mehānisku apstrādi Černobiļas atomelektrostacijas avārijas seku likvidēšanas dalībniekiem, Černobiļas atomelektrostacijas avārijas rezultātā cietušajām personām, Manipulāciju uzrāda zobārsti, kuriem līgumā ar dienestu tas ir atļauts</t>
  </si>
  <si>
    <t>70508</t>
  </si>
  <si>
    <t>Zobu sakņu pulēšana - divās laika vienībās (30 min,) Samaksa par manipulāciju tiek veikta, ja to uzrāda zobu higiēnisti, veicot zobu sakņu pilnīgu mehānisku apstrādi Černobiļas atomelektrostacijas avārijas seku likvidēšanas dalībniekiem, Černobiļas atomelektrostacijas avārijas rezultātā cietušajām personām, Manipulāciju uzrāda zobārsti, kuriem līgumā ar dienestu tas ir atļauts</t>
  </si>
  <si>
    <t>70509</t>
  </si>
  <si>
    <t>Zobu sakņu pulēšana - četrās laika vienībās (60 min,) Samaksa par manipulāciju tiek veikta, ja to uzrāda zobu higiēnisti, veicot zobu sakņu pilnīgu mehānisku apstrādi Černobiļas atomelektrostacijas avārijas seku likvidēšanas dalībniekiem, Černobiļas atomelektrostacijas avārijas rezultātā cietušajām personām četru apmeklējumu laikā, Manipulāciju uzrāda zobārsti, kuriem līgumā ar dienestu tas ir atļauts</t>
  </si>
  <si>
    <t>70510</t>
  </si>
  <si>
    <t>Zobu sakņu pulēšana - sešās laika vienībās (90 min,) Samaksa par manipulāciju tiek veikta, ja to uzrāda zobu higiēnisti, veicot zobu sakņu pilnīgu mehānisku apstrādi Černobiļas atomelektrostacijas avārijas seku likvidēšanas dalībniekiem, Černobiļas atomelektrostacijas avārijas rezultātā cietušajām personām sešu apmeklējumu laikā, Manipulāciju uzrāda zobārsti, kuriem līgumā ar dienestu tas ir atļauts</t>
  </si>
  <si>
    <t>70511</t>
  </si>
  <si>
    <t>Smaganu kabatu skalošana ar antibakteriāliem šķīdumiem vienā laika vienībā (15 min,) Samaksa par manipulāciju tiek veikta, ja to uzrāda zobu higiēnisti, izpildot ārsta norādījumu</t>
  </si>
  <si>
    <t>70512</t>
  </si>
  <si>
    <t>Smaganu kabatu skalošana ar antibakteriāliem šķīdumiem –divās laika vienībās (30 min,) Samaksa par manipulāciju tiek veikta, ja to uzrāda zobu higiēnisti, izpildot ārsta norādījumu</t>
  </si>
  <si>
    <t>70513</t>
  </si>
  <si>
    <t>Lokālu medikamentu (gēlu) ievietošana smaganu kabatā vienam zobam Samaksa par manipulāciju tiek veikta, ja to uzrāda zobu higiēnisti, izpildot ārsta norādījumu</t>
  </si>
  <si>
    <t>70514</t>
  </si>
  <si>
    <t>Šķiedrveida lokālo medikamentu ievietošana ar izņemšanu no smaganu kabatas vienam zobam</t>
  </si>
  <si>
    <t>70515</t>
  </si>
  <si>
    <t>Smaganu kabatas kiretāža vienam zobam</t>
  </si>
  <si>
    <t>70516</t>
  </si>
  <si>
    <t>Smaganu kabatas kiretāža - katram nākamajam zobam</t>
  </si>
  <si>
    <t>70517</t>
  </si>
  <si>
    <t>Gingivoplastika - vienam sekstantam</t>
  </si>
  <si>
    <t>70518</t>
  </si>
  <si>
    <t>Nekomplicēta gingivektomija - vienam sekstantam</t>
  </si>
  <si>
    <t>70519</t>
  </si>
  <si>
    <t>Gingivektomija ar kiretāžu - vienam sekstantam</t>
  </si>
  <si>
    <t>70520</t>
  </si>
  <si>
    <t>Smaganu malas fibrotomija - vienam zobam</t>
  </si>
  <si>
    <t>70521</t>
  </si>
  <si>
    <t>Smaganu malas fibrotomija - katrs nākamais zobs</t>
  </si>
  <si>
    <t>70522</t>
  </si>
  <si>
    <t>Kaula defekta kiretāža ar lēvera veidošanu - vienam sekstantam</t>
  </si>
  <si>
    <t>70523</t>
  </si>
  <si>
    <t>Kaula defekta kiretāža un osteoplastika ar lēvera veidošanu - vienam sekstantam</t>
  </si>
  <si>
    <t>70524</t>
  </si>
  <si>
    <t>Osteoplastika/ostektomija ar lēvera veidošanu – vienam sekstantam</t>
  </si>
  <si>
    <t>70525</t>
  </si>
  <si>
    <t>Diagnostika ar lēvera veidošanu</t>
  </si>
  <si>
    <t>70526</t>
  </si>
  <si>
    <t>Mīksto audu transplantācija uz asinsvadu kājiņas - laterāli, koronāli pārvietots lēvers</t>
  </si>
  <si>
    <t>70527</t>
  </si>
  <si>
    <t>Brīvo, mīksto, dažāda biezuma audu transplantācija</t>
  </si>
  <si>
    <t>70528</t>
  </si>
  <si>
    <t>Brīvo saistaudu transplantācija</t>
  </si>
  <si>
    <t>70529</t>
  </si>
  <si>
    <t>Kaula autotransplantāta ievietošana ar lēvera veidošanu</t>
  </si>
  <si>
    <t>70530</t>
  </si>
  <si>
    <t>Kaula allotransplantāta ievietošana ar lēvera veidošanu, Izmaksās nav iekļauta materiālu vērtība</t>
  </si>
  <si>
    <t>70531</t>
  </si>
  <si>
    <t>Vadāmā audu reģenerācija, Izmaksās nav iekļauta materiālu vērtība</t>
  </si>
  <si>
    <t>70532</t>
  </si>
  <si>
    <t>Cietējošā smaganu pārsēja uzlikšana viena apmeklējuma laikā</t>
  </si>
  <si>
    <t>70533</t>
  </si>
  <si>
    <t>Cietējošā smaganu pārsēja uzlikšana divu apmeklējumu laikā</t>
  </si>
  <si>
    <t>70534</t>
  </si>
  <si>
    <t>Cietējošā smaganu pārsēja maiņa viena apmeklējuma laikā</t>
  </si>
  <si>
    <t>70535</t>
  </si>
  <si>
    <t>Periodontāla abscesa vai perikoronīta ārstēšana viena apmeklējuma laikā</t>
  </si>
  <si>
    <t>70536</t>
  </si>
  <si>
    <t>Periodontāla abscesa vai perikoronīta ārstēšana divu apmeklējumu laikā</t>
  </si>
  <si>
    <t>70537</t>
  </si>
  <si>
    <t>Periodontāla abscesa vai perikoronīta ārstēšana triju apmeklējumu laikā</t>
  </si>
  <si>
    <t>70538</t>
  </si>
  <si>
    <t>Zobu šinēšana ar gaismā cietējošiem kompozītu materiāliem - 3 zobiem</t>
  </si>
  <si>
    <t>70539</t>
  </si>
  <si>
    <t>Zobu šinēšana ar gaismā cietējošiem kompozītu materiāliem - 4 zobiem</t>
  </si>
  <si>
    <t>70540</t>
  </si>
  <si>
    <t>Zobu šinēšana ar gaismā cietējošiem kompozītu materiāliem - 5 zobiem</t>
  </si>
  <si>
    <t>70541</t>
  </si>
  <si>
    <t>Zobu šinēšana ar gaismā cietējošiem kompozītu materiāliem - 6 zobiem</t>
  </si>
  <si>
    <t>70542</t>
  </si>
  <si>
    <t>Zobu šinēšana ar gaismā cietējošiem kompozītu materiāliem - 7 zobiem</t>
  </si>
  <si>
    <t>70543</t>
  </si>
  <si>
    <t>Zobu šinēšana ar gaismā cietējošiem kompozītu materiāliem - 8 zobiem</t>
  </si>
  <si>
    <t>70544</t>
  </si>
  <si>
    <t>Zobu šinēšana ar metāla stiepli un gaismā cietējošiem kompozītu materiāliem - 3 zobiem</t>
  </si>
  <si>
    <t>70545</t>
  </si>
  <si>
    <t>Zobu šinēšana ar metāla stiepli un gaismā cietējošiem kompozītu materiāliem - 4 zobiem</t>
  </si>
  <si>
    <t>70546</t>
  </si>
  <si>
    <t>Zobu šinēšana ar metāla stiepli un gaismā cietējošiem kompozītu materiāliem - 5 zobiem</t>
  </si>
  <si>
    <t>70547</t>
  </si>
  <si>
    <t>Zobu šinēšana ar metāla stiepli un gaismā cietējošiem kompozītu materiāliem - 6 zobiem</t>
  </si>
  <si>
    <t>70548</t>
  </si>
  <si>
    <t>Zobu šinēšana ar metāla stiepli un gaismā cietējošiem kompozītu materiāliem - 7 zobiem</t>
  </si>
  <si>
    <t>70549</t>
  </si>
  <si>
    <t>Zobu šinēšana ar metāla stiepli un gaismā cietējošiem kompozītu materiāliem - 8 zobiem</t>
  </si>
  <si>
    <t>70550</t>
  </si>
  <si>
    <t>Zobu šinēšana ar šķiedru un gaismā cietējošiem kompozītu materiāliem - 3 zobiem</t>
  </si>
  <si>
    <t>70551</t>
  </si>
  <si>
    <t>Zobu šinēšana ar šķiedru un gaismā cietējošiem kompozītu materiāliem - 4 zobiem</t>
  </si>
  <si>
    <t>70552</t>
  </si>
  <si>
    <t>Zobu šinēšana ar šķiedru un gaismā cietējošiem kompozītu materiāliem - 5 zobiem</t>
  </si>
  <si>
    <t>70553</t>
  </si>
  <si>
    <t>Zobu šinēšana ar šķiedru un gaismā cietējošiem kompozītu materiāliem - 6 zobiem</t>
  </si>
  <si>
    <t>70554</t>
  </si>
  <si>
    <t>Zobu šinēšana ar šķiedru un gaismā cietējošiem kompozītu materiāliem - 7 zobiem</t>
  </si>
  <si>
    <t>70555</t>
  </si>
  <si>
    <t>Zobu šinēšana ar šķiedru un gaismā cietējošiem kompozītu materiāliem - 8 zobiem</t>
  </si>
  <si>
    <t>70556</t>
  </si>
  <si>
    <t>Oklūzijas korekcija - vienā laika vienībā</t>
  </si>
  <si>
    <t>70557</t>
  </si>
  <si>
    <t>Oklūzijas korekcija - divās laika vienībās</t>
  </si>
  <si>
    <t>70558</t>
  </si>
  <si>
    <t>Oklūzijas korekcija - trīs laika vienībās</t>
  </si>
  <si>
    <t>70559</t>
  </si>
  <si>
    <t>Oklūzijas korekcija - četrās laika vienībās</t>
  </si>
  <si>
    <t>70560</t>
  </si>
  <si>
    <t>Oklūzijas korekcija - piecās laika vienībās</t>
  </si>
  <si>
    <t>70561</t>
  </si>
  <si>
    <t>Oklūzijas korekcija - sešās laika vienībās</t>
  </si>
  <si>
    <t>70900</t>
  </si>
  <si>
    <t>Koferdama uzlikšana, noņemšana</t>
  </si>
  <si>
    <t>70901</t>
  </si>
  <si>
    <t>Virsmas anestēzija, ko pielieto pie manipulācijām, kuru izmaksās nav iekļauta cita veida anestēzija</t>
  </si>
  <si>
    <t>70902</t>
  </si>
  <si>
    <t>Intraligamentārā vai intraosālā anestēzija pie asinsrecēšanas traucējumiem</t>
  </si>
  <si>
    <t>70903</t>
  </si>
  <si>
    <t>Infiltrācijas anestēzija</t>
  </si>
  <si>
    <t>70904</t>
  </si>
  <si>
    <t>Intraorāla novada anestēzija</t>
  </si>
  <si>
    <t>70905</t>
  </si>
  <si>
    <t>Ekstraorāla novada anestēzija</t>
  </si>
  <si>
    <t>70906</t>
  </si>
  <si>
    <t>Injekcija zemādā, ādā, muskulī, zemgļotādā bez zāļu vērtības</t>
  </si>
  <si>
    <t>70907</t>
  </si>
  <si>
    <t>Injekcija vēnā</t>
  </si>
  <si>
    <t>70908</t>
  </si>
  <si>
    <t>Injekcija locītavā</t>
  </si>
  <si>
    <t>70922</t>
  </si>
  <si>
    <t>Piemaksa par darbu ar pacientiem ar garīgiem un psihiskiem traucējumiem, psiholoģiski sarežģītiem pacientiem un pacientiem narkozē</t>
  </si>
  <si>
    <t>70927</t>
  </si>
  <si>
    <t>Rehabilitācija pirms un pēc operācijām specializētajā bērnu dārzā bērniem ar iedzimtām sejas-žokļu šķeltnēm</t>
  </si>
  <si>
    <t>70928</t>
  </si>
  <si>
    <t>Piemaksa mobilā zobārstniecības kabineta ekspluatācijas izdevumu segšanai par katru pacientu, dienests izmanto zobārstniecības mobilā kabineta izdevumu segšanas aprēķiniem, Pakalpojuma sniedzēji šo manipulāciju neuzrāda</t>
  </si>
  <si>
    <t>70929</t>
  </si>
  <si>
    <t>Piemaksa  mobilā zobārstniecības kabineta, kurš tiek izmantots lokālā apvidū, ekspluatācijas izdevumu segšanai par katru pacientu, dienests izmanto zobārstniecības mobilā kabineta izdevumu segšanas aprēķiniem. Pakalpojuma sniedzēji šo manipulāciju neuzrāda</t>
  </si>
  <si>
    <t>Summas pieaugums, %</t>
  </si>
  <si>
    <t>t.sk. tarifu pārrēķins</t>
  </si>
  <si>
    <t>anestēzijas papildus manipulācijas (anestēzijas un/vai anestētiķa izņemšana no tarifiem)</t>
  </si>
  <si>
    <t>iekļaujot anestēziju 100%</t>
  </si>
  <si>
    <t>piemaksa par amalgamas saiti</t>
  </si>
  <si>
    <t>Anestēzija</t>
  </si>
  <si>
    <t>bērnu skaits, ja aptveres palielināšana līdz 70%</t>
  </si>
  <si>
    <t>Manipulāciju skaists kurās bija anestēzija</t>
  </si>
  <si>
    <t>koeficients</t>
  </si>
  <si>
    <t>2017.g. apmaksas nosacījumi</t>
  </si>
  <si>
    <t>70245</t>
  </si>
  <si>
    <t>Kompozīts, premolāri, 1 virsma</t>
  </si>
  <si>
    <t>70246</t>
  </si>
  <si>
    <t>Kompozīts, premolāri, 2 virsmas</t>
  </si>
  <si>
    <t>70247</t>
  </si>
  <si>
    <t>Kompozīts, premolāri, 3 virsmas</t>
  </si>
  <si>
    <t>70248</t>
  </si>
  <si>
    <t>Kompozīts, premolāri, 4 un vairāk virsmas</t>
  </si>
  <si>
    <t>70249</t>
  </si>
  <si>
    <t>Kompozīts, premolāri, klīniska kroņa atjaunošana</t>
  </si>
  <si>
    <t>70250</t>
  </si>
  <si>
    <t>Kompozīts, molāri, 1 virsma</t>
  </si>
  <si>
    <t>70251</t>
  </si>
  <si>
    <t>Kompozīts, molāri, 2 virsmas</t>
  </si>
  <si>
    <t>70252</t>
  </si>
  <si>
    <t>Kompozīts, molāri, 3 virsmas</t>
  </si>
  <si>
    <t>70253</t>
  </si>
  <si>
    <t>Kompozīts, molāri, 4 un vairāk virsmas</t>
  </si>
  <si>
    <t>70254</t>
  </si>
  <si>
    <t>Kompozīts, molāri, klīniska kroņa atjaunošana</t>
  </si>
  <si>
    <r>
      <t>2017.g.tarifs,</t>
    </r>
    <r>
      <rPr>
        <i/>
        <sz val="9"/>
        <rFont val="Times New Roman"/>
        <family val="1"/>
        <charset val="186"/>
      </rPr>
      <t xml:space="preserve"> euro</t>
    </r>
  </si>
  <si>
    <r>
      <t xml:space="preserve">Summa, </t>
    </r>
    <r>
      <rPr>
        <i/>
        <sz val="9"/>
        <rFont val="Times New Roman"/>
        <family val="1"/>
        <charset val="186"/>
      </rPr>
      <t>euro</t>
    </r>
  </si>
  <si>
    <r>
      <t xml:space="preserve">Tarifs, </t>
    </r>
    <r>
      <rPr>
        <i/>
        <sz val="9"/>
        <rFont val="Times New Roman"/>
        <family val="1"/>
        <charset val="186"/>
      </rPr>
      <t>euro</t>
    </r>
  </si>
  <si>
    <r>
      <t>Summa,</t>
    </r>
    <r>
      <rPr>
        <i/>
        <sz val="9"/>
        <rFont val="Times New Roman"/>
        <family val="1"/>
        <charset val="186"/>
      </rPr>
      <t xml:space="preserve"> euro</t>
    </r>
  </si>
  <si>
    <r>
      <t xml:space="preserve">Summas starpība, </t>
    </r>
    <r>
      <rPr>
        <i/>
        <sz val="9"/>
        <rFont val="Times New Roman"/>
        <family val="1"/>
        <charset val="186"/>
      </rPr>
      <t>euro</t>
    </r>
  </si>
  <si>
    <r>
      <t xml:space="preserve">Pakalpojumu pieejamības uzlabošanai 20% no kopējā finansējuma, </t>
    </r>
    <r>
      <rPr>
        <i/>
        <sz val="9"/>
        <rFont val="Times New Roman"/>
        <family val="1"/>
        <charset val="186"/>
      </rPr>
      <t>euro</t>
    </r>
  </si>
  <si>
    <r>
      <t xml:space="preserve">Nepieciešams, kopā, </t>
    </r>
    <r>
      <rPr>
        <i/>
        <sz val="9"/>
        <rFont val="Times New Roman"/>
        <family val="1"/>
        <charset val="186"/>
      </rPr>
      <t>euro</t>
    </r>
  </si>
  <si>
    <r>
      <t xml:space="preserve">finansējums 1 bērnam (ar tarifa pieaugumu), </t>
    </r>
    <r>
      <rPr>
        <i/>
        <sz val="9"/>
        <rFont val="Times New Roman"/>
        <family val="1"/>
        <charset val="186"/>
      </rPr>
      <t>euro</t>
    </r>
  </si>
  <si>
    <r>
      <t xml:space="preserve">nepieciešamais finansējums, </t>
    </r>
    <r>
      <rPr>
        <i/>
        <sz val="9"/>
        <rFont val="Times New Roman"/>
        <family val="1"/>
        <charset val="186"/>
      </rPr>
      <t>euro</t>
    </r>
  </si>
  <si>
    <t>bērnu skaits 2016.gadā</t>
  </si>
  <si>
    <t>pakalpojumu saņemušo bērnu skaits 2016.gadā</t>
  </si>
  <si>
    <t>bērnu zobārstniecības aptvere 2016.gadā, %</t>
  </si>
  <si>
    <r>
      <t xml:space="preserve">                       </t>
    </r>
    <r>
      <rPr>
        <i/>
        <sz val="11"/>
        <rFont val="Times New Roman"/>
        <family val="1"/>
        <charset val="186"/>
      </rPr>
      <t xml:space="preserve">  1.5.Bērnu mutes veselība</t>
    </r>
  </si>
  <si>
    <t>1.5.1.Izvērtēt pētījuma “Mutes veselība skolēniem Latvijā 2015./2016.m.g.” rezultātus un priekšlikumus agrīnai kariesa ārstēšanai un profilaksei.</t>
  </si>
  <si>
    <t>Pārskatīti esošie zobārstniecības tarifi, tai skaitā ņemot vērā Eiropas Parlamenta un Padomes 2017. gada 17. maija  Regulu 2017/852 par dzīvsudrabu un ar ko atceļ Regulu (EK) Nr. 1102/2008 prasības</t>
  </si>
  <si>
    <t>1.5.2.Uzlabot valsts apmaksātu zobārstniecības pakalpojumu pieejamību bērniem</t>
  </si>
  <si>
    <t>2) Jaunu zobārstniecības pakalpojumu iekļaušanu valsts apmaksāto pakalpojumu grozā</t>
  </si>
  <si>
    <t>3) Eiropas Parlamenta un Padomes 2017. gada 17. maija  Regulas 2017/852 par dzīvsudrabu un ar ko atceļ Regulu (EK) Nr. 1102/2008 prasību piemērošanu</t>
  </si>
  <si>
    <t>Pielikums 1.5.2_2</t>
  </si>
  <si>
    <t>13.4.1.5.</t>
  </si>
  <si>
    <t>Programma pirmskolas un sākumskolas pedagogiem par bērnu mutes un zobu veselības veicināšanu (saistībā ar veselīga uztura paradumiem)</t>
  </si>
  <si>
    <r>
      <t xml:space="preserve">Nepieciešamais finansējums 2018.gadā kopā, </t>
    </r>
    <r>
      <rPr>
        <i/>
        <sz val="9"/>
        <rFont val="Times New Roman"/>
        <family val="1"/>
        <charset val="186"/>
      </rPr>
      <t>euro</t>
    </r>
  </si>
  <si>
    <t>Apmācību organizēšanas izmaksas</t>
  </si>
  <si>
    <t>13.2.2.</t>
  </si>
  <si>
    <t>Pielikums 1.2</t>
  </si>
  <si>
    <r>
      <t xml:space="preserve">2018.gads, </t>
    </r>
    <r>
      <rPr>
        <i/>
        <sz val="9"/>
        <rFont val="Times New Roman"/>
        <family val="1"/>
        <charset val="186"/>
      </rPr>
      <t>euro</t>
    </r>
  </si>
  <si>
    <r>
      <t xml:space="preserve">No 2018.g. māte un bērns, </t>
    </r>
    <r>
      <rPr>
        <i/>
        <sz val="9"/>
        <rFont val="Times New Roman"/>
        <family val="1"/>
        <charset val="186"/>
      </rPr>
      <t>euro</t>
    </r>
    <r>
      <rPr>
        <sz val="9"/>
        <rFont val="Times New Roman"/>
        <family val="1"/>
        <charset val="186"/>
      </rPr>
      <t xml:space="preserve"> </t>
    </r>
  </si>
  <si>
    <r>
      <t>2019.gads,</t>
    </r>
    <r>
      <rPr>
        <i/>
        <sz val="9"/>
        <rFont val="Times New Roman"/>
        <family val="1"/>
        <charset val="186"/>
      </rPr>
      <t xml:space="preserve"> euro</t>
    </r>
  </si>
  <si>
    <r>
      <t xml:space="preserve">Epidemiologa  vid. alga  mēnesī 800 </t>
    </r>
    <r>
      <rPr>
        <i/>
        <sz val="9"/>
        <color theme="1"/>
        <rFont val="Times New Roman"/>
        <family val="1"/>
        <charset val="186"/>
      </rPr>
      <t>euro</t>
    </r>
    <r>
      <rPr>
        <sz val="9"/>
        <color theme="1"/>
        <rFont val="Times New Roman"/>
        <family val="1"/>
        <charset val="186"/>
      </rPr>
      <t xml:space="preserve"> + 192.72 </t>
    </r>
    <r>
      <rPr>
        <i/>
        <sz val="9"/>
        <color theme="1"/>
        <rFont val="Times New Roman"/>
        <family val="1"/>
        <charset val="186"/>
      </rPr>
      <t>euro</t>
    </r>
    <r>
      <rPr>
        <sz val="9"/>
        <color theme="1"/>
        <rFont val="Times New Roman"/>
        <family val="1"/>
        <charset val="186"/>
      </rPr>
      <t xml:space="preserve"> (VSOAI 24.09%) + uzturēšanas izdevumi 42 </t>
    </r>
    <r>
      <rPr>
        <i/>
        <sz val="9"/>
        <color theme="1"/>
        <rFont val="Times New Roman"/>
        <family val="1"/>
        <charset val="186"/>
      </rPr>
      <t>euro</t>
    </r>
    <r>
      <rPr>
        <sz val="9"/>
        <color theme="1"/>
        <rFont val="Times New Roman"/>
        <family val="1"/>
        <charset val="186"/>
      </rPr>
      <t xml:space="preserve"> = 1034.72 </t>
    </r>
    <r>
      <rPr>
        <i/>
        <sz val="9"/>
        <color theme="1"/>
        <rFont val="Times New Roman"/>
        <family val="1"/>
        <charset val="186"/>
      </rPr>
      <t>euro</t>
    </r>
    <r>
      <rPr>
        <sz val="9"/>
        <color theme="1"/>
        <rFont val="Times New Roman"/>
        <family val="1"/>
        <charset val="186"/>
      </rPr>
      <t xml:space="preserve">. 1034.72 / 22 (vid. darba dienu skaits mēnesī) x 30 (plānotās cilvēkdienas gadā) = 1411 </t>
    </r>
    <r>
      <rPr>
        <i/>
        <sz val="9"/>
        <color theme="1"/>
        <rFont val="Times New Roman"/>
        <family val="1"/>
        <charset val="186"/>
      </rPr>
      <t>euro</t>
    </r>
  </si>
  <si>
    <r>
      <rPr>
        <sz val="9"/>
        <color indexed="8"/>
        <rFont val="Times New Roman"/>
        <family val="1"/>
        <charset val="186"/>
      </rPr>
      <t>PVN</t>
    </r>
    <r>
      <rPr>
        <i/>
        <sz val="9"/>
        <color indexed="8"/>
        <rFont val="Times New Roman"/>
        <family val="1"/>
        <charset val="186"/>
      </rPr>
      <t>, euro</t>
    </r>
  </si>
  <si>
    <r>
      <t>Dienas atalgojumam (16h/d),</t>
    </r>
    <r>
      <rPr>
        <i/>
        <sz val="9"/>
        <color theme="1"/>
        <rFont val="Times New Roman"/>
        <family val="1"/>
        <charset val="186"/>
      </rPr>
      <t xml:space="preserve"> euro</t>
    </r>
  </si>
  <si>
    <r>
      <t xml:space="preserve">Mēnešalga, </t>
    </r>
    <r>
      <rPr>
        <i/>
        <sz val="9"/>
        <color theme="1"/>
        <rFont val="Times New Roman"/>
        <family val="1"/>
        <charset val="186"/>
      </rPr>
      <t>euro</t>
    </r>
  </si>
  <si>
    <r>
      <t xml:space="preserve"> Kopā,</t>
    </r>
    <r>
      <rPr>
        <i/>
        <sz val="9"/>
        <color theme="1"/>
        <rFont val="Times New Roman"/>
        <family val="1"/>
        <charset val="186"/>
      </rPr>
      <t xml:space="preserve"> </t>
    </r>
    <r>
      <rPr>
        <sz val="9"/>
        <color theme="1"/>
        <rFont val="Times New Roman"/>
        <family val="1"/>
        <charset val="186"/>
      </rPr>
      <t>euro</t>
    </r>
  </si>
  <si>
    <r>
      <t>Uzturēšanas maksājums gadam (atbilstoši 15. pielikumam),</t>
    </r>
    <r>
      <rPr>
        <i/>
        <sz val="9"/>
        <color theme="1"/>
        <rFont val="Times New Roman"/>
        <family val="1"/>
        <charset val="186"/>
      </rPr>
      <t xml:space="preserve"> </t>
    </r>
    <r>
      <rPr>
        <sz val="9"/>
        <color theme="1"/>
        <rFont val="Times New Roman"/>
        <family val="1"/>
        <charset val="186"/>
      </rPr>
      <t>euro</t>
    </r>
  </si>
  <si>
    <t xml:space="preserve">Ietekme uz budžetu, atjaunojot zobārstniecības pakalpojumu 70245-70254 manipulācijas </t>
  </si>
  <si>
    <t>Manipulāciju skaits bērniem vecumā 0-14 gadi (ieskaitot)*</t>
  </si>
  <si>
    <t>Tarifs ar LZA medikamentiem, EUR</t>
  </si>
  <si>
    <t>Finansējums, EUR</t>
  </si>
  <si>
    <t>KOPĀ</t>
  </si>
  <si>
    <t>* 2008.gada datu bāze</t>
  </si>
  <si>
    <t>Pavisam kopā papildus nepieciešamais finansējums 2018. gadā, euro</t>
  </si>
  <si>
    <r>
      <t xml:space="preserve">Pavisam kopā papildus nepieciešamais finansējums 2019. un 2020. gadā, </t>
    </r>
    <r>
      <rPr>
        <i/>
        <sz val="9"/>
        <rFont val="Times New Roman"/>
        <family val="1"/>
        <charset val="186"/>
      </rPr>
      <t>euro</t>
    </r>
  </si>
  <si>
    <t>manipulāciju skaits, kur bija anestēzija</t>
  </si>
  <si>
    <t xml:space="preserve">2.11.Pilnveidot Mātes mirstības konfidenciālās analīzes (audita) darbību.  
</t>
  </si>
  <si>
    <t>Izvērtēta iespēja noteikt kā  obligātu bērna individuālo augšanas līkņu izmantošanu ambulatorajās kartiņās primārajā aprūpē, veicot bērnu antropometriskos mērījumus.</t>
  </si>
  <si>
    <t xml:space="preserve">4.6.Nodrošināt agrīnu funkcionēšanas traucējumu atpazīšanu, savlaicīgas novērtēšanas un medicīniskās rehabilitācijas uzsākšanai, iespējamās invaliditātes mazināšanai vai novēršanai - augsta riska jaundzimušo grupā (augsta riska dzemdībās dzimušajiem un jaundzimušajiem ar prenatālām un postnatālām patoloģijām)  un bērniem, kuriem ir konstatēti funkcionēšanas ierobežojumi ar augstu invaliditātes risku. </t>
  </si>
  <si>
    <t>4.7.Nodrošināt medicīniskās rehabilitācijas  pakalpojumu, t.sk., multidisciplināro, pieejamību BKUS un citās  rehabilitācijas  iestādēs t.sk. reģionos</t>
  </si>
  <si>
    <t>4.8.Izvērtēt obligātās prasības bērnu medicīniskās rehabilitācijas iestāžu aprīkojuma un personāla nodrošinājumam</t>
  </si>
  <si>
    <t>4.9.Pilnveidot  medicīniskās rehabilitācijas dinamiskās novērošanas kārtību bērniem ar funkcionēšanas traucējumiem</t>
  </si>
  <si>
    <t xml:space="preserve">Izstrādāta medicīniskās rehabilitācijas pacientu rehabilitācijas algoritmu jeb pacienta ceļa karte, aprēķinot nepieciešamo finansējumu un izvērtējot iespējas to attiecināt arī uz citiem medicīniskās rehabilitācijas pakalpojumu sniedzējiem.
</t>
  </si>
  <si>
    <t>Pielikums 2.10.</t>
  </si>
  <si>
    <t>1.2. Izglītot ārstniecības personas (ģimenes ārstus, vecmātes, neonatalogus)  par zīdīšanas veicināšanas jautājumiem un atbalsta sniegšanu zīdošām mātēm, iekļaujot šo jautājumus tālākizglītības kursos, tādējādi veicinot zīdīšanu.</t>
  </si>
  <si>
    <t xml:space="preserve">Jaunu zobārstniecības pakalpojumu bērniem iekļaušana  valsts apmaksāto zobārstniecības pakalpojumu klāstā. </t>
  </si>
  <si>
    <t>Palielinājies zobārstniecības pakalpojumu sniedzēju skaits, kas nodrošina valsts apmaksātu zobārstniecību bērniem</t>
  </si>
  <si>
    <t xml:space="preserve">Sagatavoti priekšlikumi  grozījumiem NA paredzot:
1) Zobārstniecības pakalpojumu tarifu palielināšanu;
</t>
  </si>
  <si>
    <t xml:space="preserve">Uzlabojas ģimenes ārstu, pediatru un bērnu infektologu informētība par aktualitātēm vakcinācijas jomā. </t>
  </si>
  <si>
    <t>Sagatavoti priekšlikumi grozījumiem NA papildināt grūtniecības laikā nozīmējamos izmeklējumus (tai skaitā, urīna uzsējums, orālais glikozes tolerances tests (OGTT) visām grūtniecēm, diētas ārsta konsultācija sievietēm ar cukura diabētu, aptaukošanos)</t>
  </si>
  <si>
    <t xml:space="preserve">Uzlabotas grūtniecības risku savlaicīgas noteikšanas iespējas. </t>
  </si>
  <si>
    <t>Nodrošināta speciālistu pieejamība grūtniecēm pēc  “zaļā koridora” principa.</t>
  </si>
  <si>
    <t xml:space="preserve">Izvērtēta ultrasonogrāfisko izmeklējumu un I trimestra skrīninga aptvere, kvalitāte, atbilstība NA prasībām un nepieciešamie uzlabojumi. </t>
  </si>
  <si>
    <t>Sagatavoti priekšlikumi grozījumiem NA, izmeklējumu uzlabošanai.</t>
  </si>
  <si>
    <t>Sagatavoti priekšlikumi grozījumiem NA , kas nosaka kontracepcijas pakalpojuma saņemšanas un apmaksas kārtību sociālās atstumtības riskam pakļautām sievietēm.</t>
  </si>
  <si>
    <t>2.3.Nodrošināt valsts apmaksātu kontracepcijas pakalpojumu iespējas sociālās atstumtības riskam pakļautām sievietēm</t>
  </si>
  <si>
    <t>Sagatavoti priekšlikumi grozījumiem NA un izstrādāti nosacījumi, kuros gadījumos tiek apmaksāti zobārstniecības pakalpojumi grūtniecēm.</t>
  </si>
  <si>
    <t>2.6.Paplašināt jaundzimušo ģenētiski iedzimto slimību  skrīningu ar jauniem izmeklējumiem  agrīnai ārstējamu patoloģiju diagnosticēšanai</t>
  </si>
  <si>
    <t>Veikti tālākizglītības kursi  ārstniecības personām (ģimenes ārsti, dzemdību speciālisti, vecmātes, neonatalogi)  par jaundzimušo skrīningu un atbalsta sniegšanu vecākiem, kuru bērniem slimība diagnosticēta.</t>
  </si>
  <si>
    <t>Dzemdību nodaļu un PAC pacientu drošības un aprūpes kvalitātes paaugstināšana.</t>
  </si>
  <si>
    <t xml:space="preserve">2.7.Pārskatīt obligātās prasības dzemdību nodaļu un PAC aprīkojumam un personāla nodrošinājumam. </t>
  </si>
  <si>
    <t>Veiktas pārbaudes ārstniecības iestādēs, kas sniedz dzemdību pakalpojumus:  
2018.g. – 6 gadījumi dažādās ārstniecības iestādēs;
2019.g. – 6 gadījumi dažādās ārstniecības iestādēs;
2020.gadā - 6 gadījumi dažādās ārstniecības iestādēs
Sagatavots VI ziņojums ar to iepazīstinot arī ārstniecības iestādes, VM un NVD.</t>
  </si>
  <si>
    <t>Veikts klīniskais audits augsta riska jaundzimušo gadījumiem: 2018.g.–  2 gadījumiem; 2019.g. – 4 gadījumiem un 2020.g. –  4 gadījumiem.</t>
  </si>
  <si>
    <t>Izvērtēts PAC nodrošinājums un tā atbilstība  (aprīkojums, cilvēkresursi), kas nepieciešams, lai veiktu jaundzimušo medicīniskā transportēšana funkciju. Izveidota  otra neonatologu brigāde NMPD SMC un nodrošināta tās operatīva darbība.</t>
  </si>
  <si>
    <t>2.15.Uzlabot multisektoriālu sadarbību ar sociāliem dienestiem un pašvaldībām sociālā riska un neaprūpēto grūtnieču un jaundzimušo identificēšanai.</t>
  </si>
  <si>
    <t>Vienotas visu bērnu mirstības gadījumu analīzes sistēmas izveide ārstniecības iestādē.</t>
  </si>
  <si>
    <t xml:space="preserve">4.4.Uzlabot priekšlaikus dzimušo bērnu veselības aprūpi dinamikā un aprūpes  pēctecību.
</t>
  </si>
  <si>
    <t>2.6.2. Izglītot ārstniecības personas (ģimenes ārstus, vecmātes, dzemdību speciālistus, neonatalogus) par jaundzimušo skrīningu un atbalsta sniegšanu vecākiem, kuru bērniem diagnosticēta slimība, iekļaujot šos jautājumus tālākizglītības kursos.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</si>
</sst>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0.000"/>
    <numFmt numFmtId="166" formatCode="0.0"/>
  </numFmts>
  <fonts count="48" x14ac:knownFonts="1">
    <font>
      <sz val="11"/>
      <color theme="1"/>
      <name val="Calibri"/>
      <family val="2"/>
      <charset val="186"/>
      <scheme val="minor"/>
    </font>
    <font>
      <sz val="12"/>
      <name val="Times New Roman"/>
      <family val="1"/>
      <charset val="186"/>
    </font>
    <font>
      <sz val="11"/>
      <color theme="1"/>
      <name val="Calibri"/>
      <family val="2"/>
      <charset val="186"/>
      <scheme val="minor"/>
    </font>
    <font>
      <b/>
      <sz val="12"/>
      <name val="Times New Roman"/>
      <family val="1"/>
      <charset val="186"/>
    </font>
    <font>
      <strike/>
      <sz val="12"/>
      <name val="Times New Roman"/>
      <family val="1"/>
      <charset val="186"/>
    </font>
    <font>
      <sz val="12"/>
      <name val="Calibri"/>
      <family val="2"/>
      <charset val="186"/>
      <scheme val="minor"/>
    </font>
    <font>
      <sz val="12"/>
      <name val="Times New Roman"/>
      <family val="1"/>
    </font>
    <font>
      <sz val="12"/>
      <color rgb="FFFF0000"/>
      <name val="Times New Roman"/>
      <family val="1"/>
    </font>
    <font>
      <b/>
      <strike/>
      <sz val="12"/>
      <name val="Times New Roman"/>
      <family val="1"/>
      <charset val="186"/>
    </font>
    <font>
      <sz val="10"/>
      <color indexed="8"/>
      <name val="Helvetica"/>
    </font>
    <font>
      <sz val="11"/>
      <color rgb="FF000000"/>
      <name val="Calibri"/>
      <family val="2"/>
      <charset val="186"/>
    </font>
    <font>
      <sz val="10"/>
      <name val="Arial"/>
      <family val="2"/>
      <charset val="186"/>
    </font>
    <font>
      <sz val="10"/>
      <name val="Times New Roman"/>
      <family val="1"/>
      <charset val="186"/>
    </font>
    <font>
      <b/>
      <sz val="11"/>
      <name val="Times New Roman"/>
      <family val="1"/>
      <charset val="186"/>
    </font>
    <font>
      <sz val="11"/>
      <name val="Times New Roman"/>
      <family val="1"/>
      <charset val="186"/>
    </font>
    <font>
      <sz val="11"/>
      <color rgb="FFFF0000"/>
      <name val="Times New Roman"/>
      <family val="1"/>
    </font>
    <font>
      <sz val="11"/>
      <color rgb="FFFF0000"/>
      <name val="Times New Roman"/>
      <family val="1"/>
      <charset val="186"/>
    </font>
    <font>
      <sz val="11"/>
      <name val="Times New Roman"/>
      <family val="1"/>
    </font>
    <font>
      <b/>
      <sz val="11"/>
      <color rgb="FFFF0000"/>
      <name val="Times New Roman"/>
      <family val="1"/>
      <charset val="186"/>
    </font>
    <font>
      <i/>
      <sz val="11"/>
      <name val="Times New Roman"/>
      <family val="1"/>
      <charset val="186"/>
    </font>
    <font>
      <b/>
      <sz val="12"/>
      <name val="Calibri"/>
      <family val="2"/>
      <scheme val="minor"/>
    </font>
    <font>
      <sz val="12"/>
      <color theme="1"/>
      <name val="Times New Roman"/>
      <family val="1"/>
      <charset val="186"/>
    </font>
    <font>
      <u/>
      <sz val="11"/>
      <color theme="10"/>
      <name val="Calibri"/>
      <family val="2"/>
      <charset val="186"/>
      <scheme val="minor"/>
    </font>
    <font>
      <sz val="9"/>
      <color theme="1"/>
      <name val="Times New Roman"/>
      <family val="1"/>
      <charset val="186"/>
    </font>
    <font>
      <b/>
      <sz val="9"/>
      <color theme="1"/>
      <name val="Times New Roman"/>
      <family val="1"/>
      <charset val="186"/>
    </font>
    <font>
      <vertAlign val="superscript"/>
      <sz val="10"/>
      <name val="Times New Roman"/>
      <family val="1"/>
      <charset val="186"/>
    </font>
    <font>
      <sz val="9"/>
      <name val="Times New Roman"/>
      <family val="1"/>
      <charset val="186"/>
    </font>
    <font>
      <b/>
      <sz val="9"/>
      <name val="Times New Roman"/>
      <family val="1"/>
      <charset val="186"/>
    </font>
    <font>
      <vertAlign val="superscript"/>
      <sz val="9"/>
      <name val="Times New Roman"/>
      <family val="1"/>
      <charset val="186"/>
    </font>
    <font>
      <sz val="11"/>
      <color rgb="FF000000"/>
      <name val="Times New Roman"/>
      <family val="1"/>
      <charset val="186"/>
    </font>
    <font>
      <b/>
      <i/>
      <sz val="9"/>
      <color theme="1"/>
      <name val="Times New Roman"/>
      <family val="1"/>
      <charset val="186"/>
    </font>
    <font>
      <sz val="10"/>
      <name val="Arial Cyr"/>
      <charset val="204"/>
    </font>
    <font>
      <i/>
      <sz val="9"/>
      <color theme="1"/>
      <name val="Times New Roman"/>
      <family val="1"/>
      <charset val="186"/>
    </font>
    <font>
      <sz val="9"/>
      <color rgb="FF000000"/>
      <name val="Times New Roman"/>
      <family val="1"/>
      <charset val="186"/>
    </font>
    <font>
      <b/>
      <sz val="11"/>
      <color theme="1"/>
      <name val="Times New Roman"/>
      <family val="1"/>
      <charset val="186"/>
    </font>
    <font>
      <sz val="9"/>
      <color theme="1"/>
      <name val="Calibri"/>
      <family val="2"/>
      <charset val="186"/>
      <scheme val="minor"/>
    </font>
    <font>
      <i/>
      <sz val="9"/>
      <name val="Times New Roman"/>
      <family val="1"/>
      <charset val="186"/>
    </font>
    <font>
      <sz val="9"/>
      <name val="Arial"/>
      <family val="2"/>
      <charset val="186"/>
    </font>
    <font>
      <i/>
      <sz val="9"/>
      <color indexed="8"/>
      <name val="Times New Roman"/>
      <family val="1"/>
      <charset val="186"/>
    </font>
    <font>
      <sz val="9"/>
      <color indexed="8"/>
      <name val="Times New Roman"/>
      <family val="1"/>
      <charset val="186"/>
    </font>
    <font>
      <sz val="9"/>
      <name val="Arial Narrow"/>
      <family val="2"/>
      <charset val="186"/>
    </font>
    <font>
      <sz val="11"/>
      <color theme="1"/>
      <name val="Times New Roman"/>
      <family val="1"/>
      <charset val="186"/>
    </font>
    <font>
      <sz val="11"/>
      <color theme="1"/>
      <name val="Arial"/>
      <family val="2"/>
      <charset val="186"/>
    </font>
    <font>
      <i/>
      <sz val="11"/>
      <color theme="1"/>
      <name val="Times New Roman"/>
      <family val="1"/>
      <charset val="186"/>
    </font>
    <font>
      <sz val="8"/>
      <color theme="1"/>
      <name val="Calibri"/>
      <family val="2"/>
      <charset val="186"/>
      <scheme val="minor"/>
    </font>
    <font>
      <b/>
      <sz val="10"/>
      <name val="Times New Roman"/>
      <family val="1"/>
      <charset val="186"/>
    </font>
    <font>
      <b/>
      <i/>
      <sz val="11"/>
      <name val="Times New Roman"/>
      <family val="1"/>
      <charset val="186"/>
    </font>
    <font>
      <b/>
      <i/>
      <sz val="9"/>
      <name val="Times New Roman"/>
      <family val="1"/>
      <charset val="186"/>
    </font>
  </fonts>
  <fills count="9">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rgb="FFFF99CC"/>
      </patternFill>
    </fill>
    <fill>
      <patternFill patternType="solid">
        <fgColor theme="0"/>
        <bgColor rgb="FF33CCCC"/>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6">
    <xf numFmtId="0" fontId="0" fillId="0" borderId="0"/>
    <xf numFmtId="43" fontId="2" fillId="0" borderId="0" applyFont="0" applyFill="0" applyBorder="0" applyAlignment="0" applyProtection="0"/>
    <xf numFmtId="0" fontId="9" fillId="0" borderId="0" applyNumberFormat="0" applyFill="0" applyBorder="0" applyProtection="0">
      <alignment vertical="top" wrapText="1"/>
    </xf>
    <xf numFmtId="0" fontId="10" fillId="0" borderId="0"/>
    <xf numFmtId="0" fontId="2" fillId="0" borderId="0"/>
    <xf numFmtId="0" fontId="11" fillId="0" borderId="0"/>
    <xf numFmtId="0" fontId="11" fillId="0" borderId="0"/>
    <xf numFmtId="9" fontId="2" fillId="0" borderId="0" applyFont="0" applyFill="0" applyBorder="0" applyAlignment="0" applyProtection="0"/>
    <xf numFmtId="0" fontId="22" fillId="0" borderId="0" applyNumberFormat="0" applyFill="0" applyBorder="0" applyAlignment="0" applyProtection="0"/>
    <xf numFmtId="0" fontId="31" fillId="0" borderId="0"/>
    <xf numFmtId="0" fontId="11" fillId="0" borderId="0"/>
    <xf numFmtId="0" fontId="11" fillId="0" borderId="0"/>
    <xf numFmtId="0" fontId="2" fillId="0" borderId="0"/>
    <xf numFmtId="43" fontId="2" fillId="0" borderId="0" applyFont="0" applyFill="0" applyBorder="0" applyAlignment="0" applyProtection="0"/>
    <xf numFmtId="43" fontId="11" fillId="0" borderId="0" applyFont="0" applyFill="0" applyBorder="0" applyAlignment="0" applyProtection="0"/>
    <xf numFmtId="9" fontId="2" fillId="0" borderId="0" applyFont="0" applyFill="0" applyBorder="0" applyAlignment="0" applyProtection="0"/>
  </cellStyleXfs>
  <cellXfs count="528">
    <xf numFmtId="0" fontId="0" fillId="0" borderId="0" xfId="0"/>
    <xf numFmtId="0" fontId="1" fillId="0" borderId="0" xfId="0" applyFont="1" applyAlignment="1">
      <alignment wrapText="1"/>
    </xf>
    <xf numFmtId="0" fontId="5" fillId="0" borderId="0" xfId="0" applyFont="1" applyAlignment="1">
      <alignment wrapText="1"/>
    </xf>
    <xf numFmtId="0" fontId="6" fillId="0" borderId="0" xfId="0" applyFont="1" applyBorder="1" applyAlignment="1">
      <alignment horizontal="left" vertical="center" wrapText="1"/>
    </xf>
    <xf numFmtId="0" fontId="5" fillId="0" borderId="0" xfId="0" applyFont="1" applyBorder="1" applyAlignment="1">
      <alignment wrapText="1"/>
    </xf>
    <xf numFmtId="0" fontId="6" fillId="0" borderId="0" xfId="0" applyFont="1" applyBorder="1" applyAlignment="1">
      <alignment horizontal="left" vertical="center" wrapText="1"/>
    </xf>
    <xf numFmtId="0" fontId="1" fillId="4" borderId="1" xfId="0" applyFont="1" applyFill="1" applyBorder="1" applyAlignment="1">
      <alignment wrapText="1"/>
    </xf>
    <xf numFmtId="0" fontId="1" fillId="3" borderId="1" xfId="0" applyFont="1" applyFill="1" applyBorder="1" applyAlignment="1">
      <alignment wrapText="1"/>
    </xf>
    <xf numFmtId="0" fontId="4" fillId="4" borderId="1" xfId="0" applyFont="1" applyFill="1" applyBorder="1" applyAlignment="1">
      <alignment wrapText="1"/>
    </xf>
    <xf numFmtId="164" fontId="1" fillId="5" borderId="1" xfId="1" applyNumberFormat="1" applyFont="1" applyFill="1" applyBorder="1" applyAlignment="1">
      <alignment horizontal="center" vertical="top" wrapText="1"/>
    </xf>
    <xf numFmtId="0" fontId="1" fillId="5" borderId="1" xfId="0" applyFont="1" applyFill="1" applyBorder="1" applyAlignment="1">
      <alignment wrapText="1"/>
    </xf>
    <xf numFmtId="0" fontId="8" fillId="5" borderId="1" xfId="0" applyFont="1" applyFill="1" applyBorder="1" applyAlignment="1">
      <alignment horizontal="center" wrapText="1"/>
    </xf>
    <xf numFmtId="0" fontId="6" fillId="0" borderId="0" xfId="0" applyFont="1" applyBorder="1" applyAlignment="1">
      <alignment horizontal="left" vertical="center" wrapText="1"/>
    </xf>
    <xf numFmtId="0" fontId="3" fillId="5" borderId="1" xfId="0" applyFont="1" applyFill="1" applyBorder="1" applyAlignment="1">
      <alignment wrapText="1"/>
    </xf>
    <xf numFmtId="0" fontId="6" fillId="0" borderId="0" xfId="0" applyFont="1" applyBorder="1" applyAlignment="1">
      <alignment vertical="center" wrapText="1"/>
    </xf>
    <xf numFmtId="0" fontId="1" fillId="4" borderId="0" xfId="0" applyFont="1" applyFill="1" applyBorder="1" applyAlignment="1">
      <alignment wrapText="1"/>
    </xf>
    <xf numFmtId="0" fontId="3" fillId="4" borderId="0" xfId="0" applyFont="1" applyFill="1" applyBorder="1" applyAlignment="1">
      <alignment wrapText="1"/>
    </xf>
    <xf numFmtId="0" fontId="4" fillId="4" borderId="0" xfId="0" applyFont="1" applyFill="1" applyBorder="1" applyAlignment="1">
      <alignment wrapText="1"/>
    </xf>
    <xf numFmtId="0" fontId="3" fillId="4" borderId="0" xfId="0" applyFont="1" applyFill="1" applyBorder="1" applyAlignment="1">
      <alignment horizontal="center" vertical="top" wrapText="1"/>
    </xf>
    <xf numFmtId="164" fontId="1" fillId="4" borderId="0" xfId="1" applyNumberFormat="1" applyFont="1" applyFill="1" applyBorder="1" applyAlignment="1">
      <alignment horizontal="center" vertical="top" wrapText="1"/>
    </xf>
    <xf numFmtId="0" fontId="5" fillId="4" borderId="0" xfId="0" applyFont="1" applyFill="1" applyAlignment="1">
      <alignment wrapText="1"/>
    </xf>
    <xf numFmtId="0" fontId="1" fillId="4" borderId="0" xfId="0" applyFont="1" applyFill="1" applyAlignment="1">
      <alignment wrapText="1"/>
    </xf>
    <xf numFmtId="0" fontId="7" fillId="0" borderId="0" xfId="0" applyFont="1" applyBorder="1" applyAlignment="1">
      <alignment vertical="center" wrapText="1"/>
    </xf>
    <xf numFmtId="0" fontId="6" fillId="4" borderId="0" xfId="0" applyFont="1" applyFill="1" applyBorder="1" applyAlignment="1">
      <alignment vertical="center" wrapText="1"/>
    </xf>
    <xf numFmtId="0" fontId="13" fillId="5" borderId="1" xfId="0" applyFont="1" applyFill="1" applyBorder="1" applyAlignment="1">
      <alignment vertical="top" wrapText="1"/>
    </xf>
    <xf numFmtId="0" fontId="14" fillId="5" borderId="1" xfId="0" applyFont="1" applyFill="1" applyBorder="1" applyAlignment="1">
      <alignment horizontal="center" vertical="top" wrapText="1"/>
    </xf>
    <xf numFmtId="164" fontId="14" fillId="5" borderId="1" xfId="1" applyNumberFormat="1" applyFont="1" applyFill="1" applyBorder="1" applyAlignment="1">
      <alignment horizontal="center" vertical="top" wrapText="1"/>
    </xf>
    <xf numFmtId="164" fontId="13" fillId="5" borderId="1" xfId="1" applyNumberFormat="1" applyFont="1" applyFill="1" applyBorder="1" applyAlignment="1">
      <alignment horizontal="center" vertical="top" wrapText="1"/>
    </xf>
    <xf numFmtId="0" fontId="14" fillId="3" borderId="1" xfId="0" applyFont="1" applyFill="1" applyBorder="1" applyAlignment="1">
      <alignment wrapText="1"/>
    </xf>
    <xf numFmtId="0" fontId="14" fillId="3" borderId="1" xfId="0" applyFont="1" applyFill="1" applyBorder="1" applyAlignment="1">
      <alignment horizontal="center" vertical="top" wrapText="1"/>
    </xf>
    <xf numFmtId="164" fontId="14" fillId="3" borderId="1" xfId="1" applyNumberFormat="1" applyFont="1" applyFill="1" applyBorder="1" applyAlignment="1">
      <alignment horizontal="center" vertical="top" wrapText="1"/>
    </xf>
    <xf numFmtId="164" fontId="13" fillId="3" borderId="1" xfId="1" applyNumberFormat="1" applyFont="1" applyFill="1" applyBorder="1" applyAlignment="1">
      <alignment horizontal="center" vertical="top" wrapText="1"/>
    </xf>
    <xf numFmtId="0" fontId="14" fillId="5" borderId="1" xfId="0" applyFont="1" applyFill="1" applyBorder="1" applyAlignment="1">
      <alignment horizontal="left" wrapText="1"/>
    </xf>
    <xf numFmtId="0" fontId="15" fillId="0" borderId="1" xfId="0" applyFont="1" applyFill="1" applyBorder="1" applyAlignment="1">
      <alignment horizontal="center" vertical="top" wrapText="1"/>
    </xf>
    <xf numFmtId="164" fontId="14" fillId="0" borderId="1" xfId="1" applyNumberFormat="1" applyFont="1" applyFill="1" applyBorder="1" applyAlignment="1">
      <alignment horizontal="center" vertical="top" wrapText="1"/>
    </xf>
    <xf numFmtId="0" fontId="15" fillId="5" borderId="1" xfId="0" applyFont="1" applyFill="1" applyBorder="1" applyAlignment="1">
      <alignment horizontal="center" vertical="top" wrapText="1"/>
    </xf>
    <xf numFmtId="0" fontId="13"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3" fillId="5" borderId="1" xfId="0" applyFont="1" applyFill="1" applyBorder="1" applyAlignment="1">
      <alignment horizontal="justify" vertical="top" wrapText="1"/>
    </xf>
    <xf numFmtId="164" fontId="13" fillId="5" borderId="1" xfId="1" applyNumberFormat="1" applyFont="1" applyFill="1" applyBorder="1" applyAlignment="1">
      <alignment horizontal="justify" vertical="top" wrapText="1"/>
    </xf>
    <xf numFmtId="0" fontId="14" fillId="5" borderId="1" xfId="0" applyFont="1" applyFill="1" applyBorder="1" applyAlignment="1">
      <alignment horizontal="justify" vertical="top" wrapText="1"/>
    </xf>
    <xf numFmtId="164" fontId="14" fillId="4" borderId="1" xfId="1" applyNumberFormat="1" applyFont="1" applyFill="1" applyBorder="1" applyAlignment="1">
      <alignment horizontal="justify" vertical="top" wrapText="1"/>
    </xf>
    <xf numFmtId="164" fontId="14" fillId="0" borderId="1" xfId="1" applyNumberFormat="1" applyFont="1" applyFill="1" applyBorder="1" applyAlignment="1">
      <alignment vertical="top" wrapText="1"/>
    </xf>
    <xf numFmtId="164" fontId="14" fillId="4" borderId="1" xfId="1" applyNumberFormat="1" applyFont="1" applyFill="1" applyBorder="1" applyAlignment="1">
      <alignment vertical="top" wrapText="1"/>
    </xf>
    <xf numFmtId="0" fontId="13" fillId="5" borderId="1" xfId="0" applyFont="1" applyFill="1" applyBorder="1" applyAlignment="1">
      <alignment horizontal="center" vertical="top" wrapText="1"/>
    </xf>
    <xf numFmtId="0" fontId="18" fillId="5" borderId="1" xfId="0" applyFont="1" applyFill="1" applyBorder="1" applyAlignment="1">
      <alignment horizontal="center" vertical="top" wrapText="1"/>
    </xf>
    <xf numFmtId="0" fontId="13" fillId="5" borderId="1" xfId="0" applyFont="1" applyFill="1" applyBorder="1" applyAlignment="1">
      <alignment vertical="center" wrapText="1"/>
    </xf>
    <xf numFmtId="164" fontId="14" fillId="5" borderId="1" xfId="1" applyNumberFormat="1" applyFont="1" applyFill="1" applyBorder="1" applyAlignment="1">
      <alignment vertical="top" wrapText="1"/>
    </xf>
    <xf numFmtId="164" fontId="13" fillId="5" borderId="1" xfId="1" applyNumberFormat="1" applyFont="1" applyFill="1" applyBorder="1" applyAlignment="1">
      <alignment vertical="top" wrapText="1"/>
    </xf>
    <xf numFmtId="0" fontId="17" fillId="4" borderId="1" xfId="0" applyFont="1" applyFill="1" applyBorder="1" applyAlignment="1">
      <alignment horizontal="left" vertical="top" wrapText="1"/>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3" fillId="5" borderId="3" xfId="0" applyFont="1" applyFill="1" applyBorder="1" applyAlignment="1">
      <alignment horizontal="center" vertical="center" wrapText="1"/>
    </xf>
    <xf numFmtId="0" fontId="13" fillId="5" borderId="3" xfId="0" applyFont="1" applyFill="1" applyBorder="1" applyAlignment="1">
      <alignment horizontal="left" vertical="top" wrapText="1"/>
    </xf>
    <xf numFmtId="0" fontId="13" fillId="5" borderId="2" xfId="0" applyFont="1" applyFill="1" applyBorder="1" applyAlignment="1">
      <alignment horizontal="center" vertical="center" wrapText="1"/>
    </xf>
    <xf numFmtId="0" fontId="13" fillId="5" borderId="2" xfId="0" applyFont="1" applyFill="1" applyBorder="1" applyAlignment="1">
      <alignment horizontal="left" vertical="top" wrapText="1"/>
    </xf>
    <xf numFmtId="0" fontId="13" fillId="5" borderId="2" xfId="0" applyFont="1" applyFill="1" applyBorder="1" applyAlignment="1">
      <alignment vertical="top" wrapText="1"/>
    </xf>
    <xf numFmtId="0" fontId="21" fillId="0" borderId="0" xfId="0" applyFont="1" applyAlignment="1">
      <alignment horizontal="justify" vertical="center"/>
    </xf>
    <xf numFmtId="0" fontId="26" fillId="0" borderId="1" xfId="0" applyFont="1" applyBorder="1" applyAlignment="1">
      <alignment horizontal="center" vertical="center" wrapText="1"/>
    </xf>
    <xf numFmtId="0" fontId="26" fillId="0" borderId="1" xfId="8" applyFont="1" applyBorder="1" applyAlignment="1">
      <alignment horizontal="left" vertical="center" wrapText="1"/>
    </xf>
    <xf numFmtId="0" fontId="23" fillId="0" borderId="0" xfId="0" applyFont="1"/>
    <xf numFmtId="164" fontId="13" fillId="4" borderId="1" xfId="1" applyNumberFormat="1" applyFont="1" applyFill="1" applyBorder="1" applyAlignment="1">
      <alignment horizontal="center" vertical="top" wrapText="1"/>
    </xf>
    <xf numFmtId="0" fontId="29" fillId="2" borderId="1" xfId="0" applyFont="1" applyFill="1" applyBorder="1" applyAlignment="1">
      <alignment horizontal="left" vertical="top" wrapText="1"/>
    </xf>
    <xf numFmtId="0" fontId="15" fillId="0" borderId="9" xfId="0" applyFont="1" applyFill="1" applyBorder="1" applyAlignment="1">
      <alignment horizontal="center" vertical="top" wrapText="1"/>
    </xf>
    <xf numFmtId="0" fontId="17" fillId="4" borderId="6" xfId="0" applyFont="1" applyFill="1" applyBorder="1" applyAlignment="1">
      <alignment horizontal="left" vertical="top" wrapText="1"/>
    </xf>
    <xf numFmtId="0" fontId="29" fillId="2" borderId="2" xfId="0" applyFont="1" applyFill="1" applyBorder="1" applyAlignment="1">
      <alignment horizontal="left" vertical="top" wrapText="1"/>
    </xf>
    <xf numFmtId="0" fontId="29" fillId="2" borderId="8" xfId="0" applyFont="1" applyFill="1" applyBorder="1" applyAlignment="1">
      <alignment horizontal="left" vertical="top" wrapText="1"/>
    </xf>
    <xf numFmtId="0" fontId="29" fillId="2" borderId="4" xfId="0" applyFont="1" applyFill="1" applyBorder="1" applyAlignment="1">
      <alignment horizontal="left" vertical="top" wrapText="1"/>
    </xf>
    <xf numFmtId="0" fontId="15" fillId="0" borderId="12" xfId="0" applyFont="1" applyFill="1" applyBorder="1" applyAlignment="1">
      <alignment horizontal="center" vertical="top" wrapText="1"/>
    </xf>
    <xf numFmtId="0" fontId="17" fillId="4" borderId="8" xfId="0" applyFont="1" applyFill="1" applyBorder="1" applyAlignment="1">
      <alignment horizontal="left" vertical="top" wrapText="1"/>
    </xf>
    <xf numFmtId="0" fontId="17" fillId="4" borderId="7" xfId="0" applyFont="1" applyFill="1" applyBorder="1" applyAlignment="1">
      <alignment horizontal="left" vertical="top" wrapText="1"/>
    </xf>
    <xf numFmtId="164" fontId="13" fillId="4" borderId="3" xfId="1" applyNumberFormat="1" applyFont="1" applyFill="1" applyBorder="1" applyAlignment="1">
      <alignment horizontal="center" vertical="top" wrapText="1"/>
    </xf>
    <xf numFmtId="164" fontId="13" fillId="4" borderId="2" xfId="1" applyNumberFormat="1" applyFont="1" applyFill="1" applyBorder="1" applyAlignment="1">
      <alignment horizontal="center" vertical="top" wrapText="1"/>
    </xf>
    <xf numFmtId="0" fontId="14" fillId="2" borderId="1" xfId="0" applyFont="1" applyFill="1" applyBorder="1" applyAlignment="1">
      <alignment horizontal="justify" vertical="top" wrapText="1"/>
    </xf>
    <xf numFmtId="0" fontId="14" fillId="2" borderId="2" xfId="0" applyFont="1" applyFill="1" applyBorder="1" applyAlignment="1">
      <alignment horizontal="justify" vertical="top" wrapText="1"/>
    </xf>
    <xf numFmtId="0" fontId="14" fillId="2" borderId="4" xfId="0" applyFont="1" applyFill="1" applyBorder="1" applyAlignment="1">
      <alignment horizontal="justify" vertical="top" wrapText="1"/>
    </xf>
    <xf numFmtId="164" fontId="14" fillId="4" borderId="3" xfId="1" applyNumberFormat="1" applyFont="1" applyFill="1" applyBorder="1" applyAlignment="1">
      <alignment horizontal="center" vertical="top" wrapText="1"/>
    </xf>
    <xf numFmtId="164" fontId="14" fillId="4" borderId="1" xfId="1" applyNumberFormat="1" applyFont="1" applyFill="1" applyBorder="1" applyAlignment="1">
      <alignment horizontal="center" vertical="top" wrapText="1"/>
    </xf>
    <xf numFmtId="0" fontId="17" fillId="5" borderId="1" xfId="0" applyFont="1" applyFill="1" applyBorder="1" applyAlignment="1">
      <alignment horizontal="left" vertical="top" wrapText="1"/>
    </xf>
    <xf numFmtId="0" fontId="12" fillId="0" borderId="0" xfId="0" applyFont="1"/>
    <xf numFmtId="0" fontId="24" fillId="0" borderId="0" xfId="0" applyFont="1" applyBorder="1" applyAlignment="1">
      <alignment horizontal="center"/>
    </xf>
    <xf numFmtId="4" fontId="23" fillId="0" borderId="1" xfId="0" applyNumberFormat="1" applyFont="1" applyBorder="1" applyAlignment="1">
      <alignment vertical="top" wrapText="1"/>
    </xf>
    <xf numFmtId="4" fontId="23" fillId="0" borderId="1" xfId="0" applyNumberFormat="1" applyFont="1" applyBorder="1"/>
    <xf numFmtId="0" fontId="24" fillId="0" borderId="0" xfId="0" applyFont="1" applyBorder="1"/>
    <xf numFmtId="4" fontId="24" fillId="0" borderId="0" xfId="0" applyNumberFormat="1" applyFont="1" applyBorder="1"/>
    <xf numFmtId="0" fontId="23" fillId="0" borderId="0" xfId="0" applyFont="1" applyBorder="1"/>
    <xf numFmtId="0" fontId="23" fillId="0" borderId="0" xfId="0" applyFont="1" applyBorder="1" applyAlignment="1">
      <alignment wrapText="1"/>
    </xf>
    <xf numFmtId="2" fontId="23" fillId="0" borderId="0" xfId="0" applyNumberFormat="1" applyFont="1"/>
    <xf numFmtId="165" fontId="23" fillId="0" borderId="0" xfId="0" applyNumberFormat="1" applyFont="1" applyBorder="1"/>
    <xf numFmtId="4" fontId="23" fillId="0" borderId="0" xfId="0" applyNumberFormat="1" applyFont="1" applyBorder="1"/>
    <xf numFmtId="165" fontId="24" fillId="0" borderId="0" xfId="0" applyNumberFormat="1" applyFont="1" applyBorder="1"/>
    <xf numFmtId="0" fontId="24" fillId="0" borderId="0" xfId="0" applyFont="1" applyBorder="1" applyAlignment="1">
      <alignment wrapText="1"/>
    </xf>
    <xf numFmtId="0" fontId="24" fillId="0" borderId="0" xfId="0" applyFont="1" applyAlignment="1">
      <alignment horizontal="center"/>
    </xf>
    <xf numFmtId="3" fontId="23" fillId="0" borderId="0" xfId="0" applyNumberFormat="1" applyFont="1" applyBorder="1"/>
    <xf numFmtId="3" fontId="23" fillId="0" borderId="0" xfId="0" applyNumberFormat="1" applyFont="1" applyFill="1" applyBorder="1"/>
    <xf numFmtId="3" fontId="24" fillId="4" borderId="0" xfId="0" applyNumberFormat="1" applyFont="1" applyFill="1" applyBorder="1"/>
    <xf numFmtId="0" fontId="26" fillId="0" borderId="0" xfId="0" applyFont="1"/>
    <xf numFmtId="0" fontId="26" fillId="0" borderId="0" xfId="0" applyFont="1" applyAlignment="1">
      <alignment horizontal="left"/>
    </xf>
    <xf numFmtId="0" fontId="26" fillId="0" borderId="1" xfId="0" applyFont="1" applyBorder="1" applyAlignment="1">
      <alignment horizontal="left" vertical="center" wrapText="1"/>
    </xf>
    <xf numFmtId="164" fontId="14" fillId="0" borderId="3" xfId="1" applyNumberFormat="1" applyFont="1" applyFill="1" applyBorder="1" applyAlignment="1">
      <alignment vertical="top" wrapText="1"/>
    </xf>
    <xf numFmtId="164" fontId="14" fillId="0" borderId="3" xfId="1" applyNumberFormat="1" applyFont="1" applyFill="1" applyBorder="1" applyAlignment="1">
      <alignment horizontal="center" vertical="top" wrapText="1"/>
    </xf>
    <xf numFmtId="164" fontId="14" fillId="4" borderId="3" xfId="1" applyNumberFormat="1" applyFont="1" applyFill="1" applyBorder="1" applyAlignment="1">
      <alignment vertical="top" wrapText="1"/>
    </xf>
    <xf numFmtId="0" fontId="15" fillId="5" borderId="9" xfId="0" applyFont="1" applyFill="1" applyBorder="1" applyAlignment="1">
      <alignment horizontal="center" vertical="top" wrapText="1"/>
    </xf>
    <xf numFmtId="0" fontId="13" fillId="5" borderId="10" xfId="0" applyFont="1" applyFill="1" applyBorder="1" applyAlignment="1">
      <alignment horizontal="center" vertical="center" wrapText="1"/>
    </xf>
    <xf numFmtId="0" fontId="13" fillId="5" borderId="8" xfId="0" applyFont="1" applyFill="1" applyBorder="1" applyAlignment="1">
      <alignment horizontal="left" vertical="top" wrapText="1"/>
    </xf>
    <xf numFmtId="0" fontId="15" fillId="5" borderId="3" xfId="0" applyFont="1" applyFill="1" applyBorder="1" applyAlignment="1">
      <alignment horizontal="center" vertical="top" wrapText="1"/>
    </xf>
    <xf numFmtId="0" fontId="29" fillId="5" borderId="8" xfId="0" applyFont="1" applyFill="1" applyBorder="1" applyAlignment="1">
      <alignment horizontal="left" vertical="top" wrapText="1"/>
    </xf>
    <xf numFmtId="4" fontId="26" fillId="0" borderId="1" xfId="0" applyNumberFormat="1" applyFont="1" applyBorder="1" applyAlignment="1">
      <alignment horizontal="center" vertical="center"/>
    </xf>
    <xf numFmtId="0" fontId="17" fillId="4" borderId="3" xfId="0" applyFont="1" applyFill="1" applyBorder="1" applyAlignment="1">
      <alignment horizontal="left" vertical="top" wrapText="1"/>
    </xf>
    <xf numFmtId="0" fontId="32" fillId="4" borderId="2" xfId="0" applyFont="1" applyFill="1" applyBorder="1" applyAlignment="1">
      <alignment horizontal="left" vertical="center" wrapText="1"/>
    </xf>
    <xf numFmtId="0" fontId="23" fillId="0" borderId="1" xfId="0" applyFont="1" applyBorder="1"/>
    <xf numFmtId="3" fontId="23" fillId="0" borderId="1" xfId="0" applyNumberFormat="1" applyFont="1" applyBorder="1" applyAlignment="1">
      <alignment horizontal="center" vertical="center"/>
    </xf>
    <xf numFmtId="3" fontId="24" fillId="0" borderId="1" xfId="0" applyNumberFormat="1" applyFont="1" applyBorder="1" applyAlignment="1">
      <alignment horizontal="center" vertical="center"/>
    </xf>
    <xf numFmtId="0" fontId="32" fillId="4" borderId="2" xfId="0" applyFont="1" applyFill="1" applyBorder="1" applyAlignment="1">
      <alignment horizontal="center" vertical="center" wrapText="1"/>
    </xf>
    <xf numFmtId="0" fontId="23" fillId="0" borderId="1" xfId="0" applyFont="1" applyBorder="1" applyAlignment="1">
      <alignment horizontal="center" vertical="center"/>
    </xf>
    <xf numFmtId="0" fontId="23" fillId="7" borderId="1" xfId="0" applyFont="1" applyFill="1" applyBorder="1" applyAlignment="1">
      <alignment horizontal="center" vertical="center" wrapText="1"/>
    </xf>
    <xf numFmtId="2" fontId="23" fillId="4" borderId="1" xfId="0" applyNumberFormat="1"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xf numFmtId="0" fontId="23" fillId="0" borderId="0" xfId="0" applyFont="1" applyBorder="1" applyAlignment="1">
      <alignment horizontal="left"/>
    </xf>
    <xf numFmtId="3" fontId="23" fillId="0" borderId="1" xfId="0" applyNumberFormat="1" applyFont="1" applyBorder="1" applyAlignment="1">
      <alignment horizontal="center" vertical="center" wrapText="1"/>
    </xf>
    <xf numFmtId="4" fontId="24" fillId="0" borderId="1" xfId="0" applyNumberFormat="1" applyFont="1" applyBorder="1"/>
    <xf numFmtId="0" fontId="32" fillId="0" borderId="1" xfId="0" applyFont="1" applyBorder="1" applyAlignment="1">
      <alignment horizontal="center" vertical="top" wrapText="1"/>
    </xf>
    <xf numFmtId="0" fontId="23" fillId="0" borderId="1" xfId="0" applyFont="1" applyBorder="1" applyAlignment="1">
      <alignment wrapText="1"/>
    </xf>
    <xf numFmtId="0" fontId="26" fillId="0" borderId="0" xfId="0" applyFont="1" applyBorder="1" applyAlignment="1">
      <alignment horizontal="left"/>
    </xf>
    <xf numFmtId="0" fontId="26" fillId="0" borderId="1" xfId="0" applyFont="1" applyBorder="1" applyAlignment="1">
      <alignment wrapText="1"/>
    </xf>
    <xf numFmtId="3" fontId="26" fillId="0" borderId="1" xfId="0" applyNumberFormat="1" applyFont="1" applyBorder="1"/>
    <xf numFmtId="0" fontId="26" fillId="0" borderId="1" xfId="0" applyFont="1" applyBorder="1"/>
    <xf numFmtId="0" fontId="23" fillId="4" borderId="1" xfId="0" applyFont="1" applyFill="1" applyBorder="1" applyAlignment="1">
      <alignment wrapText="1"/>
    </xf>
    <xf numFmtId="3" fontId="24" fillId="4" borderId="1" xfId="0" applyNumberFormat="1" applyFont="1" applyFill="1" applyBorder="1"/>
    <xf numFmtId="3" fontId="23" fillId="0" borderId="1" xfId="0" applyNumberFormat="1" applyFont="1" applyBorder="1"/>
    <xf numFmtId="0" fontId="23" fillId="0" borderId="1" xfId="0" applyFont="1" applyFill="1" applyBorder="1"/>
    <xf numFmtId="3" fontId="23" fillId="0" borderId="1" xfId="0" applyNumberFormat="1" applyFont="1" applyFill="1" applyBorder="1"/>
    <xf numFmtId="0" fontId="23" fillId="4" borderId="1" xfId="0" applyFont="1" applyFill="1" applyBorder="1"/>
    <xf numFmtId="0" fontId="23" fillId="0" borderId="0" xfId="0" applyFont="1" applyAlignment="1">
      <alignment horizontal="right"/>
    </xf>
    <xf numFmtId="3" fontId="34" fillId="0" borderId="0" xfId="0" applyNumberFormat="1" applyFont="1" applyBorder="1"/>
    <xf numFmtId="0" fontId="34" fillId="0" borderId="0" xfId="0" applyFont="1" applyBorder="1" applyAlignment="1">
      <alignment horizontal="center"/>
    </xf>
    <xf numFmtId="0" fontId="35" fillId="0" borderId="0" xfId="0" applyFont="1"/>
    <xf numFmtId="0" fontId="23" fillId="0" borderId="1" xfId="0" applyFont="1" applyBorder="1" applyAlignment="1">
      <alignment horizontal="center"/>
    </xf>
    <xf numFmtId="3" fontId="23" fillId="0" borderId="1" xfId="0" applyNumberFormat="1" applyFont="1" applyBorder="1" applyAlignment="1">
      <alignment horizontal="center"/>
    </xf>
    <xf numFmtId="3" fontId="24" fillId="0" borderId="0" xfId="0" applyNumberFormat="1" applyFont="1" applyBorder="1"/>
    <xf numFmtId="0" fontId="23" fillId="0" borderId="1" xfId="0" applyFont="1" applyBorder="1" applyAlignment="1">
      <alignment horizontal="left"/>
    </xf>
    <xf numFmtId="49" fontId="23" fillId="0" borderId="1" xfId="0" applyNumberFormat="1" applyFont="1" applyBorder="1" applyAlignment="1">
      <alignment horizontal="left"/>
    </xf>
    <xf numFmtId="0" fontId="23" fillId="0" borderId="1" xfId="0" applyFont="1" applyBorder="1" applyAlignment="1">
      <alignment horizontal="right"/>
    </xf>
    <xf numFmtId="3" fontId="24" fillId="0" borderId="1" xfId="0" applyNumberFormat="1" applyFont="1" applyBorder="1" applyAlignment="1">
      <alignment horizontal="center"/>
    </xf>
    <xf numFmtId="164" fontId="14" fillId="5" borderId="1" xfId="1" applyNumberFormat="1" applyFont="1" applyFill="1" applyBorder="1" applyAlignment="1">
      <alignment horizontal="justify" vertical="top" wrapText="1"/>
    </xf>
    <xf numFmtId="0" fontId="23" fillId="0" borderId="1" xfId="0" applyFont="1" applyFill="1" applyBorder="1" applyAlignment="1">
      <alignment horizontal="center" vertical="center" wrapText="1"/>
    </xf>
    <xf numFmtId="0" fontId="24" fillId="0" borderId="1" xfId="0" applyFont="1" applyBorder="1" applyAlignment="1">
      <alignment horizontal="center"/>
    </xf>
    <xf numFmtId="0" fontId="23" fillId="0" borderId="0" xfId="0" applyFont="1" applyAlignment="1">
      <alignment horizontal="center" vertical="center" wrapText="1"/>
    </xf>
    <xf numFmtId="0" fontId="32" fillId="0" borderId="0" xfId="0" applyFont="1"/>
    <xf numFmtId="0" fontId="32"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0" xfId="0" applyFont="1" applyAlignment="1">
      <alignment vertical="center"/>
    </xf>
    <xf numFmtId="0" fontId="33" fillId="0" borderId="0" xfId="0" applyFont="1" applyAlignment="1">
      <alignment horizontal="left" vertical="center" indent="1"/>
    </xf>
    <xf numFmtId="0" fontId="24" fillId="0" borderId="0" xfId="0" applyFont="1"/>
    <xf numFmtId="0" fontId="18" fillId="5" borderId="3" xfId="0" applyFont="1" applyFill="1" applyBorder="1" applyAlignment="1">
      <alignment horizontal="center" vertical="top" wrapText="1"/>
    </xf>
    <xf numFmtId="0" fontId="13" fillId="5" borderId="3" xfId="0" applyFont="1" applyFill="1" applyBorder="1" applyAlignment="1">
      <alignment vertical="top" wrapText="1"/>
    </xf>
    <xf numFmtId="0" fontId="23" fillId="0" borderId="1" xfId="0" applyFont="1" applyBorder="1" applyAlignment="1">
      <alignment horizontal="left" vertical="center" wrapText="1"/>
    </xf>
    <xf numFmtId="0" fontId="33" fillId="0" borderId="0" xfId="0" applyFont="1" applyBorder="1" applyAlignment="1">
      <alignment vertical="center"/>
    </xf>
    <xf numFmtId="0" fontId="26" fillId="0" borderId="0" xfId="8" applyFont="1" applyAlignment="1">
      <alignment horizontal="left" vertical="center"/>
    </xf>
    <xf numFmtId="0" fontId="23" fillId="6" borderId="1" xfId="0" applyFont="1" applyFill="1" applyBorder="1" applyAlignment="1">
      <alignment horizontal="center" vertical="center" wrapText="1"/>
    </xf>
    <xf numFmtId="0" fontId="23" fillId="0" borderId="0" xfId="0" applyFont="1" applyAlignment="1">
      <alignment horizontal="right"/>
    </xf>
    <xf numFmtId="0" fontId="26" fillId="4" borderId="1" xfId="0" applyFont="1" applyFill="1" applyBorder="1" applyAlignment="1">
      <alignment horizontal="left" vertical="center" wrapText="1"/>
    </xf>
    <xf numFmtId="1" fontId="23" fillId="0" borderId="1" xfId="0" applyNumberFormat="1" applyFont="1" applyBorder="1" applyAlignment="1">
      <alignment horizontal="center"/>
    </xf>
    <xf numFmtId="1" fontId="24" fillId="0" borderId="1" xfId="0" applyNumberFormat="1" applyFont="1" applyBorder="1" applyAlignment="1">
      <alignment horizontal="center"/>
    </xf>
    <xf numFmtId="0" fontId="26" fillId="4" borderId="1" xfId="0" applyFont="1" applyFill="1" applyBorder="1" applyAlignment="1">
      <alignment horizontal="center" vertical="center"/>
    </xf>
    <xf numFmtId="3" fontId="27" fillId="0" borderId="1" xfId="0" applyNumberFormat="1" applyFont="1" applyBorder="1" applyAlignment="1">
      <alignment horizontal="center"/>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3" fillId="0" borderId="0" xfId="0" applyFont="1" applyAlignment="1">
      <alignment horizontal="right"/>
    </xf>
    <xf numFmtId="1" fontId="24" fillId="0" borderId="1" xfId="0" applyNumberFormat="1" applyFont="1" applyBorder="1" applyAlignment="1">
      <alignment horizontal="center" vertical="center" wrapText="1"/>
    </xf>
    <xf numFmtId="1" fontId="24" fillId="0" borderId="1" xfId="0" applyNumberFormat="1" applyFont="1" applyBorder="1"/>
    <xf numFmtId="0" fontId="33" fillId="4" borderId="2" xfId="0" applyFont="1" applyFill="1" applyBorder="1" applyAlignment="1">
      <alignment horizontal="center" vertical="center"/>
    </xf>
    <xf numFmtId="3" fontId="26" fillId="4" borderId="2" xfId="0" applyNumberFormat="1" applyFont="1" applyFill="1" applyBorder="1" applyAlignment="1">
      <alignment horizontal="center" vertical="center"/>
    </xf>
    <xf numFmtId="0" fontId="23" fillId="4" borderId="2" xfId="0" applyFont="1" applyFill="1" applyBorder="1" applyAlignment="1">
      <alignment horizontal="center" vertical="center"/>
    </xf>
    <xf numFmtId="0" fontId="26" fillId="4" borderId="2" xfId="0" applyFont="1" applyFill="1" applyBorder="1" applyAlignment="1">
      <alignment horizontal="center" vertical="center"/>
    </xf>
    <xf numFmtId="0" fontId="37" fillId="0" borderId="0" xfId="5" applyFont="1"/>
    <xf numFmtId="0" fontId="38" fillId="6" borderId="1" xfId="0" applyFont="1" applyFill="1" applyBorder="1" applyAlignment="1">
      <alignment horizontal="center" vertical="center" wrapText="1"/>
    </xf>
    <xf numFmtId="0" fontId="23" fillId="0" borderId="2" xfId="0" applyFont="1" applyFill="1" applyBorder="1" applyAlignment="1">
      <alignment horizontal="center" vertical="center"/>
    </xf>
    <xf numFmtId="0" fontId="26" fillId="4" borderId="2" xfId="0" applyFont="1" applyFill="1" applyBorder="1" applyAlignment="1">
      <alignment horizontal="left" vertical="center"/>
    </xf>
    <xf numFmtId="0" fontId="39" fillId="6" borderId="1" xfId="0" applyFont="1" applyFill="1" applyBorder="1" applyAlignment="1">
      <alignment horizontal="center" vertical="center" wrapText="1"/>
    </xf>
    <xf numFmtId="0" fontId="32" fillId="0" borderId="1" xfId="0" applyFont="1" applyBorder="1" applyAlignment="1">
      <alignment horizontal="center"/>
    </xf>
    <xf numFmtId="0" fontId="33" fillId="0" borderId="1" xfId="0" quotePrefix="1" applyFont="1" applyBorder="1" applyAlignment="1">
      <alignment horizontal="center" vertical="center"/>
    </xf>
    <xf numFmtId="164" fontId="13" fillId="5" borderId="2" xfId="1" applyNumberFormat="1" applyFont="1" applyFill="1" applyBorder="1" applyAlignment="1">
      <alignment horizontal="justify" vertical="top" wrapText="1"/>
    </xf>
    <xf numFmtId="0" fontId="14" fillId="5" borderId="8" xfId="0" applyFont="1" applyFill="1" applyBorder="1" applyAlignment="1">
      <alignment horizontal="justify" vertical="top" wrapText="1"/>
    </xf>
    <xf numFmtId="0" fontId="14" fillId="4" borderId="1" xfId="0" applyFont="1" applyFill="1" applyBorder="1" applyAlignment="1">
      <alignment horizontal="justify" vertical="top" wrapText="1"/>
    </xf>
    <xf numFmtId="0" fontId="18" fillId="0" borderId="3" xfId="0" applyFont="1" applyFill="1" applyBorder="1" applyAlignment="1">
      <alignment horizontal="center" vertical="top" wrapText="1"/>
    </xf>
    <xf numFmtId="0" fontId="16" fillId="4" borderId="5" xfId="0" applyFont="1" applyFill="1" applyBorder="1" applyAlignment="1">
      <alignment horizontal="center" vertical="top" wrapText="1"/>
    </xf>
    <xf numFmtId="0" fontId="15" fillId="4" borderId="3" xfId="0" applyFont="1" applyFill="1" applyBorder="1" applyAlignment="1">
      <alignment horizontal="center" vertical="top" wrapText="1"/>
    </xf>
    <xf numFmtId="0" fontId="15" fillId="4" borderId="1" xfId="0" applyFont="1" applyFill="1" applyBorder="1" applyAlignment="1">
      <alignment horizontal="center" vertical="top" wrapText="1"/>
    </xf>
    <xf numFmtId="0" fontId="26" fillId="0" borderId="1" xfId="0" applyFont="1" applyBorder="1" applyAlignment="1">
      <alignment horizontal="left" vertical="center" wrapText="1"/>
    </xf>
    <xf numFmtId="0" fontId="23" fillId="0" borderId="0" xfId="2" applyFont="1" applyFill="1" applyBorder="1" applyAlignment="1">
      <alignment horizontal="left"/>
    </xf>
    <xf numFmtId="0" fontId="23" fillId="0" borderId="0" xfId="2" applyFont="1" applyBorder="1" applyAlignment="1">
      <alignment horizontal="left"/>
    </xf>
    <xf numFmtId="43" fontId="23" fillId="0" borderId="1" xfId="14" applyFont="1" applyFill="1" applyBorder="1" applyAlignment="1">
      <alignment horizontal="center" vertical="center" wrapText="1"/>
    </xf>
    <xf numFmtId="0" fontId="23" fillId="0" borderId="0" xfId="2" applyFont="1" applyBorder="1" applyAlignment="1">
      <alignment horizontal="left" vertical="center"/>
    </xf>
    <xf numFmtId="0" fontId="23" fillId="0" borderId="1" xfId="2" applyFont="1" applyFill="1" applyBorder="1" applyAlignment="1">
      <alignment horizontal="left"/>
    </xf>
    <xf numFmtId="43" fontId="24" fillId="0" borderId="1" xfId="14" applyFont="1" applyFill="1" applyBorder="1" applyAlignment="1">
      <alignment horizontal="left" vertical="center" wrapText="1"/>
    </xf>
    <xf numFmtId="43" fontId="24" fillId="0" borderId="1" xfId="14" applyFont="1" applyBorder="1" applyAlignment="1">
      <alignment horizontal="left" vertical="center" wrapText="1"/>
    </xf>
    <xf numFmtId="43" fontId="23" fillId="0" borderId="1" xfId="14" applyFont="1" applyFill="1" applyBorder="1" applyAlignment="1">
      <alignment horizontal="left" wrapText="1"/>
    </xf>
    <xf numFmtId="43" fontId="23" fillId="0" borderId="1" xfId="14" applyFont="1" applyBorder="1" applyAlignment="1">
      <alignment horizontal="left"/>
    </xf>
    <xf numFmtId="43" fontId="23" fillId="0" borderId="1" xfId="14" applyFont="1" applyBorder="1" applyAlignment="1">
      <alignment horizontal="center" wrapText="1"/>
    </xf>
    <xf numFmtId="43" fontId="23" fillId="0" borderId="1" xfId="14" applyFont="1" applyBorder="1" applyAlignment="1">
      <alignment horizontal="left" wrapText="1"/>
    </xf>
    <xf numFmtId="0" fontId="26" fillId="4" borderId="0" xfId="6" applyFont="1" applyFill="1" applyAlignment="1">
      <alignment vertical="center"/>
    </xf>
    <xf numFmtId="3" fontId="26" fillId="4" borderId="1" xfId="6" applyNumberFormat="1" applyFont="1" applyFill="1" applyBorder="1" applyAlignment="1">
      <alignment horizontal="center" vertical="center" wrapText="1"/>
    </xf>
    <xf numFmtId="0" fontId="26" fillId="4" borderId="1" xfId="6" applyFont="1" applyFill="1" applyBorder="1" applyAlignment="1">
      <alignment horizontal="center" vertical="center"/>
    </xf>
    <xf numFmtId="0" fontId="26" fillId="4" borderId="1" xfId="6" applyFont="1" applyFill="1" applyBorder="1" applyAlignment="1">
      <alignment horizontal="left" vertical="center"/>
    </xf>
    <xf numFmtId="166" fontId="26" fillId="4" borderId="1" xfId="6" applyNumberFormat="1" applyFont="1" applyFill="1" applyBorder="1" applyAlignment="1">
      <alignment horizontal="center" vertical="center" wrapText="1"/>
    </xf>
    <xf numFmtId="1" fontId="26" fillId="0" borderId="1" xfId="6" applyNumberFormat="1" applyFont="1" applyBorder="1" applyAlignment="1">
      <alignment horizontal="center" vertical="center"/>
    </xf>
    <xf numFmtId="0" fontId="26" fillId="0" borderId="0" xfId="6" applyFont="1"/>
    <xf numFmtId="0" fontId="26" fillId="0" borderId="0" xfId="6" applyFont="1" applyAlignment="1">
      <alignment vertical="center"/>
    </xf>
    <xf numFmtId="3" fontId="26" fillId="0" borderId="0" xfId="6" applyNumberFormat="1" applyFont="1" applyAlignment="1">
      <alignment vertical="center"/>
    </xf>
    <xf numFmtId="0" fontId="26" fillId="0" borderId="0" xfId="6" applyFont="1" applyAlignment="1">
      <alignment horizontal="right"/>
    </xf>
    <xf numFmtId="0" fontId="23" fillId="0" borderId="0" xfId="2" applyFont="1" applyBorder="1" applyAlignment="1">
      <alignment horizontal="center" vertical="center" wrapText="1"/>
    </xf>
    <xf numFmtId="0" fontId="24" fillId="0" borderId="0" xfId="2" applyFont="1" applyBorder="1" applyAlignment="1">
      <alignment horizontal="center" vertical="center" wrapText="1"/>
    </xf>
    <xf numFmtId="0" fontId="26" fillId="4" borderId="1" xfId="6" applyFont="1" applyFill="1" applyBorder="1" applyAlignment="1">
      <alignment horizontal="center" vertical="center" wrapText="1"/>
    </xf>
    <xf numFmtId="3" fontId="27" fillId="0" borderId="0" xfId="6" applyNumberFormat="1" applyFont="1" applyAlignment="1">
      <alignment vertical="center"/>
    </xf>
    <xf numFmtId="164" fontId="24" fillId="0" borderId="0" xfId="2" applyNumberFormat="1" applyFont="1" applyBorder="1" applyAlignment="1">
      <alignment horizontal="center" vertical="center" wrapText="1"/>
    </xf>
    <xf numFmtId="3" fontId="27" fillId="0" borderId="1" xfId="6" applyNumberFormat="1" applyFont="1" applyBorder="1" applyAlignment="1">
      <alignment vertical="center"/>
    </xf>
    <xf numFmtId="164" fontId="24" fillId="0" borderId="1" xfId="14" applyNumberFormat="1" applyFont="1" applyBorder="1" applyAlignment="1">
      <alignment horizontal="left" vertical="center" wrapText="1"/>
    </xf>
    <xf numFmtId="164" fontId="23" fillId="0" borderId="1" xfId="14" applyNumberFormat="1" applyFont="1" applyBorder="1" applyAlignment="1">
      <alignment horizontal="left" wrapText="1"/>
    </xf>
    <xf numFmtId="43" fontId="23" fillId="0" borderId="1" xfId="14" applyFont="1" applyBorder="1" applyAlignment="1">
      <alignment horizontal="left" vertical="center" wrapText="1"/>
    </xf>
    <xf numFmtId="43" fontId="23" fillId="0" borderId="1" xfId="14" applyFont="1" applyBorder="1" applyAlignment="1">
      <alignment horizontal="center" vertical="center" wrapText="1"/>
    </xf>
    <xf numFmtId="43" fontId="23" fillId="0" borderId="1" xfId="2" applyNumberFormat="1" applyFont="1" applyFill="1" applyBorder="1" applyAlignment="1">
      <alignment horizontal="center"/>
    </xf>
    <xf numFmtId="0" fontId="26" fillId="0" borderId="1" xfId="0" applyFont="1" applyBorder="1" applyAlignment="1">
      <alignment vertical="center"/>
    </xf>
    <xf numFmtId="0" fontId="26" fillId="0" borderId="1" xfId="0" applyFont="1" applyBorder="1" applyAlignment="1">
      <alignment vertical="top"/>
    </xf>
    <xf numFmtId="0" fontId="26" fillId="0" borderId="1" xfId="0" applyFont="1" applyBorder="1" applyAlignment="1">
      <alignment vertical="center" wrapText="1"/>
    </xf>
    <xf numFmtId="0" fontId="18" fillId="4" borderId="6" xfId="0" applyFont="1" applyFill="1" applyBorder="1" applyAlignment="1">
      <alignment horizontal="left" vertical="top" wrapText="1"/>
    </xf>
    <xf numFmtId="0" fontId="18" fillId="4" borderId="3" xfId="0" applyFont="1" applyFill="1" applyBorder="1" applyAlignment="1">
      <alignment horizontal="left" vertical="top" wrapText="1"/>
    </xf>
    <xf numFmtId="0" fontId="14" fillId="4" borderId="1" xfId="0" applyFont="1" applyFill="1" applyBorder="1" applyAlignment="1">
      <alignment horizontal="center" wrapText="1"/>
    </xf>
    <xf numFmtId="0" fontId="13" fillId="2" borderId="1" xfId="0" applyFont="1" applyFill="1" applyBorder="1" applyAlignment="1">
      <alignment horizontal="center" vertical="top" wrapText="1"/>
    </xf>
    <xf numFmtId="0" fontId="13" fillId="0" borderId="1" xfId="0" applyFont="1" applyBorder="1" applyAlignment="1">
      <alignment horizontal="center" vertical="top" wrapText="1"/>
    </xf>
    <xf numFmtId="0" fontId="23" fillId="0" borderId="1" xfId="0" applyFont="1" applyBorder="1" applyAlignment="1">
      <alignment horizontal="left" vertical="center" wrapText="1"/>
    </xf>
    <xf numFmtId="0" fontId="39" fillId="4" borderId="1" xfId="0" applyFont="1" applyFill="1" applyBorder="1" applyAlignment="1">
      <alignment horizontal="center" vertical="center" wrapText="1"/>
    </xf>
    <xf numFmtId="0" fontId="40" fillId="4" borderId="1" xfId="0" applyFont="1" applyFill="1" applyBorder="1" applyAlignment="1">
      <alignment horizontal="center" vertical="center" wrapText="1"/>
    </xf>
    <xf numFmtId="0" fontId="26" fillId="8" borderId="1" xfId="0" applyFont="1" applyFill="1" applyBorder="1" applyAlignment="1">
      <alignment horizontal="center" vertical="center"/>
    </xf>
    <xf numFmtId="2" fontId="33" fillId="4" borderId="1" xfId="0" applyNumberFormat="1" applyFont="1" applyFill="1" applyBorder="1" applyAlignment="1">
      <alignment horizontal="center" vertical="center" wrapText="1"/>
    </xf>
    <xf numFmtId="0" fontId="26" fillId="4"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23" fillId="0" borderId="0" xfId="0" applyFont="1" applyAlignment="1">
      <alignment horizontal="right"/>
    </xf>
    <xf numFmtId="0" fontId="15" fillId="5" borderId="5" xfId="0" applyFont="1" applyFill="1" applyBorder="1" applyAlignment="1">
      <alignment horizontal="center" vertical="top" wrapText="1"/>
    </xf>
    <xf numFmtId="0" fontId="44" fillId="0" borderId="0" xfId="0" applyFont="1"/>
    <xf numFmtId="0" fontId="27" fillId="0" borderId="0" xfId="0" applyFont="1" applyFill="1" applyBorder="1" applyAlignment="1">
      <alignment vertical="center" wrapText="1"/>
    </xf>
    <xf numFmtId="0" fontId="26" fillId="0" borderId="0" xfId="0" applyFont="1" applyFill="1" applyBorder="1" applyAlignment="1">
      <alignment horizontal="right" vertical="center" wrapText="1"/>
    </xf>
    <xf numFmtId="0" fontId="26" fillId="0" borderId="0" xfId="0" applyFont="1" applyAlignment="1">
      <alignment horizontal="center" vertical="center"/>
    </xf>
    <xf numFmtId="0" fontId="27"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4" borderId="0" xfId="0" applyFill="1"/>
    <xf numFmtId="49" fontId="26" fillId="4" borderId="1" xfId="0" applyNumberFormat="1" applyFont="1" applyFill="1" applyBorder="1" applyAlignment="1">
      <alignment horizontal="left" vertical="center" wrapText="1"/>
    </xf>
    <xf numFmtId="3" fontId="26" fillId="4" borderId="1" xfId="0" applyNumberFormat="1" applyFont="1" applyFill="1" applyBorder="1" applyAlignment="1">
      <alignment horizontal="center" wrapText="1"/>
    </xf>
    <xf numFmtId="0" fontId="26" fillId="4" borderId="1" xfId="0" applyFont="1" applyFill="1" applyBorder="1" applyAlignment="1">
      <alignment vertical="center" wrapText="1"/>
    </xf>
    <xf numFmtId="0" fontId="26" fillId="4" borderId="1" xfId="0" applyFont="1" applyFill="1" applyBorder="1" applyAlignment="1">
      <alignment horizontal="center" vertical="center" wrapText="1"/>
    </xf>
    <xf numFmtId="0" fontId="26" fillId="4" borderId="1" xfId="0" applyFont="1" applyFill="1" applyBorder="1" applyAlignment="1">
      <alignment horizontal="center" wrapText="1"/>
    </xf>
    <xf numFmtId="3" fontId="26" fillId="4" borderId="1" xfId="0" applyNumberFormat="1" applyFont="1" applyFill="1" applyBorder="1" applyAlignment="1">
      <alignment horizontal="center" vertical="center" wrapText="1"/>
    </xf>
    <xf numFmtId="0" fontId="14" fillId="4" borderId="1" xfId="0" applyFont="1" applyFill="1" applyBorder="1" applyAlignment="1">
      <alignment horizontal="left" vertical="top" wrapText="1"/>
    </xf>
    <xf numFmtId="0" fontId="14" fillId="4" borderId="3" xfId="0" applyFont="1" applyFill="1" applyBorder="1" applyAlignment="1">
      <alignment horizontal="left" vertical="top" wrapText="1"/>
    </xf>
    <xf numFmtId="0" fontId="14" fillId="2" borderId="1" xfId="0" applyFont="1" applyFill="1" applyBorder="1" applyAlignment="1">
      <alignment horizontal="left" vertical="top" wrapText="1"/>
    </xf>
    <xf numFmtId="0" fontId="41" fillId="4" borderId="1" xfId="0" applyFont="1" applyFill="1" applyBorder="1" applyAlignment="1">
      <alignment horizontal="justify" vertical="top" wrapText="1"/>
    </xf>
    <xf numFmtId="0" fontId="41" fillId="0" borderId="1" xfId="0" applyFont="1" applyBorder="1" applyAlignment="1">
      <alignment horizontal="justify" vertical="top" wrapText="1"/>
    </xf>
    <xf numFmtId="0" fontId="14" fillId="0" borderId="3" xfId="0" applyFont="1" applyBorder="1" applyAlignment="1">
      <alignment horizontal="left" vertical="top" wrapText="1"/>
    </xf>
    <xf numFmtId="0" fontId="14" fillId="0" borderId="3" xfId="0" applyFont="1" applyBorder="1" applyAlignment="1">
      <alignment vertical="top" wrapText="1"/>
    </xf>
    <xf numFmtId="0" fontId="41" fillId="4" borderId="3" xfId="0" applyFont="1" applyFill="1" applyBorder="1" applyAlignment="1">
      <alignment horizontal="justify" vertical="top" wrapText="1"/>
    </xf>
    <xf numFmtId="0" fontId="41" fillId="0" borderId="3" xfId="0" applyFont="1" applyBorder="1" applyAlignment="1">
      <alignment horizontal="justify" vertical="top" wrapText="1"/>
    </xf>
    <xf numFmtId="0" fontId="41" fillId="4" borderId="1" xfId="0" applyFont="1" applyFill="1" applyBorder="1" applyAlignment="1">
      <alignment horizontal="left" vertical="top" wrapText="1"/>
    </xf>
    <xf numFmtId="0" fontId="41" fillId="0" borderId="1" xfId="0" applyFont="1" applyBorder="1" applyAlignment="1">
      <alignment horizontal="left" vertical="top" wrapText="1"/>
    </xf>
    <xf numFmtId="0" fontId="18" fillId="0" borderId="9" xfId="0" applyFont="1" applyFill="1" applyBorder="1" applyAlignment="1">
      <alignment horizontal="center" vertical="top" wrapText="1"/>
    </xf>
    <xf numFmtId="0" fontId="29" fillId="4" borderId="2" xfId="0" applyFont="1" applyFill="1" applyBorder="1" applyAlignment="1">
      <alignment horizontal="left" vertical="top" wrapText="1"/>
    </xf>
    <xf numFmtId="0" fontId="29" fillId="4" borderId="10" xfId="0" applyFont="1" applyFill="1" applyBorder="1" applyAlignment="1">
      <alignment horizontal="left" vertical="top" wrapText="1"/>
    </xf>
    <xf numFmtId="0" fontId="41" fillId="2" borderId="1" xfId="0" applyFont="1" applyFill="1" applyBorder="1" applyAlignment="1">
      <alignment horizontal="left" vertical="top" wrapText="1"/>
    </xf>
    <xf numFmtId="0" fontId="18" fillId="5" borderId="9" xfId="0" applyFont="1" applyFill="1" applyBorder="1" applyAlignment="1">
      <alignment horizontal="center" vertical="top" wrapText="1"/>
    </xf>
    <xf numFmtId="0" fontId="41" fillId="5" borderId="1" xfId="0" applyFont="1" applyFill="1" applyBorder="1" applyAlignment="1">
      <alignment horizontal="left" vertical="top" wrapText="1"/>
    </xf>
    <xf numFmtId="0" fontId="29" fillId="5" borderId="2" xfId="0" applyFont="1" applyFill="1" applyBorder="1" applyAlignment="1">
      <alignment horizontal="left" vertical="top" wrapText="1"/>
    </xf>
    <xf numFmtId="0" fontId="41" fillId="4" borderId="1" xfId="0" applyFont="1" applyFill="1" applyBorder="1" applyAlignment="1">
      <alignment horizontal="justify" vertical="center" wrapText="1"/>
    </xf>
    <xf numFmtId="0" fontId="41" fillId="2" borderId="2" xfId="0" applyFont="1" applyFill="1" applyBorder="1" applyAlignment="1">
      <alignment horizontal="justify" vertical="center" wrapText="1"/>
    </xf>
    <xf numFmtId="0" fontId="41" fillId="2" borderId="2" xfId="0" applyFont="1" applyFill="1" applyBorder="1" applyAlignment="1">
      <alignment horizontal="justify" vertical="top" wrapText="1"/>
    </xf>
    <xf numFmtId="0" fontId="41" fillId="5" borderId="2" xfId="0" applyFont="1" applyFill="1" applyBorder="1" applyAlignment="1">
      <alignment horizontal="justify" vertical="top" wrapText="1"/>
    </xf>
    <xf numFmtId="0" fontId="29" fillId="5" borderId="10" xfId="0" applyFont="1" applyFill="1" applyBorder="1" applyAlignment="1">
      <alignment horizontal="left" vertical="top" wrapText="1"/>
    </xf>
    <xf numFmtId="0" fontId="41" fillId="0" borderId="2" xfId="0" applyFont="1" applyBorder="1" applyAlignment="1">
      <alignment horizontal="left" vertical="top" wrapText="1"/>
    </xf>
    <xf numFmtId="0" fontId="29" fillId="4" borderId="4" xfId="0" applyFont="1" applyFill="1" applyBorder="1" applyAlignment="1">
      <alignment horizontal="left" vertical="top" wrapText="1"/>
    </xf>
    <xf numFmtId="0" fontId="41" fillId="0" borderId="4" xfId="0" applyFont="1" applyBorder="1" applyAlignment="1">
      <alignment horizontal="left" vertical="top" wrapText="1"/>
    </xf>
    <xf numFmtId="0" fontId="14" fillId="4" borderId="3" xfId="0" applyFont="1" applyFill="1" applyBorder="1" applyAlignment="1">
      <alignment horizontal="justify" vertical="top" wrapText="1"/>
    </xf>
    <xf numFmtId="0" fontId="14" fillId="2" borderId="3" xfId="0" applyFont="1" applyFill="1" applyBorder="1" applyAlignment="1">
      <alignment horizontal="justify" vertical="top" wrapText="1"/>
    </xf>
    <xf numFmtId="0" fontId="41" fillId="2" borderId="3" xfId="0" applyFont="1" applyFill="1" applyBorder="1" applyAlignment="1">
      <alignment horizontal="justify" vertical="top" wrapText="1"/>
    </xf>
    <xf numFmtId="0" fontId="41" fillId="2" borderId="3" xfId="0" applyFont="1" applyFill="1" applyBorder="1" applyAlignment="1">
      <alignment horizontal="left" vertical="top" wrapText="1"/>
    </xf>
    <xf numFmtId="0" fontId="41" fillId="4" borderId="10" xfId="0" applyFont="1" applyFill="1" applyBorder="1" applyAlignment="1">
      <alignment horizontal="left" vertical="top" wrapText="1"/>
    </xf>
    <xf numFmtId="0" fontId="29" fillId="2" borderId="1" xfId="0" applyFont="1" applyFill="1" applyBorder="1" applyAlignment="1">
      <alignment horizontal="justify" vertical="center" wrapText="1"/>
    </xf>
    <xf numFmtId="0" fontId="41" fillId="2" borderId="3" xfId="0" applyFont="1" applyFill="1" applyBorder="1" applyAlignment="1">
      <alignment horizontal="justify" vertical="center" wrapText="1"/>
    </xf>
    <xf numFmtId="0" fontId="29" fillId="2" borderId="11" xfId="0" applyFont="1" applyFill="1" applyBorder="1" applyAlignment="1">
      <alignment horizontal="left" vertical="top" wrapText="1"/>
    </xf>
    <xf numFmtId="0" fontId="41" fillId="2" borderId="1" xfId="0" applyFont="1" applyFill="1" applyBorder="1" applyAlignment="1">
      <alignment horizontal="justify" vertical="top" wrapText="1"/>
    </xf>
    <xf numFmtId="0" fontId="29" fillId="2" borderId="1" xfId="0" applyFont="1" applyFill="1" applyBorder="1" applyAlignment="1">
      <alignment vertical="top" wrapText="1"/>
    </xf>
    <xf numFmtId="0" fontId="41" fillId="2" borderId="1" xfId="0" applyFont="1" applyFill="1" applyBorder="1" applyAlignment="1">
      <alignment vertical="top" wrapText="1"/>
    </xf>
    <xf numFmtId="0" fontId="41" fillId="2" borderId="10" xfId="0" applyFont="1" applyFill="1" applyBorder="1" applyAlignment="1">
      <alignment horizontal="justify" vertical="top" wrapText="1"/>
    </xf>
    <xf numFmtId="0" fontId="41" fillId="2" borderId="2" xfId="0" applyFont="1" applyFill="1" applyBorder="1" applyAlignment="1">
      <alignment horizontal="left" vertical="top" wrapText="1"/>
    </xf>
    <xf numFmtId="0" fontId="26" fillId="4" borderId="1" xfId="0" applyFont="1" applyFill="1" applyBorder="1" applyAlignment="1">
      <alignment horizontal="center" vertical="center" wrapText="1"/>
    </xf>
    <xf numFmtId="0" fontId="26" fillId="4" borderId="1" xfId="0" applyFont="1" applyFill="1" applyBorder="1" applyAlignment="1">
      <alignment vertical="center" wrapText="1"/>
    </xf>
    <xf numFmtId="0" fontId="26" fillId="4" borderId="1" xfId="0" applyFont="1" applyFill="1" applyBorder="1" applyAlignment="1">
      <alignment horizontal="center" vertical="center"/>
    </xf>
    <xf numFmtId="0" fontId="12" fillId="0" borderId="0" xfId="5" applyFont="1" applyFill="1" applyAlignment="1">
      <alignment vertical="center"/>
    </xf>
    <xf numFmtId="3" fontId="12" fillId="0" borderId="0" xfId="5" applyNumberFormat="1" applyFont="1" applyFill="1" applyAlignment="1">
      <alignment vertical="center"/>
    </xf>
    <xf numFmtId="0" fontId="45" fillId="0" borderId="0" xfId="5" applyFont="1" applyFill="1" applyAlignment="1">
      <alignment vertical="center"/>
    </xf>
    <xf numFmtId="0" fontId="14" fillId="0" borderId="0" xfId="0" applyFont="1" applyFill="1" applyBorder="1" applyAlignment="1">
      <alignment horizontal="center" vertical="center" wrapText="1"/>
    </xf>
    <xf numFmtId="0" fontId="46" fillId="0" borderId="0" xfId="5" applyFont="1" applyFill="1" applyBorder="1" applyAlignment="1">
      <alignment horizontal="center" vertical="center"/>
    </xf>
    <xf numFmtId="3" fontId="14" fillId="0" borderId="0" xfId="5" applyNumberFormat="1" applyFont="1" applyFill="1" applyBorder="1" applyAlignment="1">
      <alignment vertical="center"/>
    </xf>
    <xf numFmtId="3" fontId="16" fillId="0" borderId="0" xfId="5" applyNumberFormat="1" applyFont="1" applyFill="1" applyBorder="1" applyAlignment="1">
      <alignment vertical="center"/>
    </xf>
    <xf numFmtId="3" fontId="12" fillId="0" borderId="0" xfId="5" applyNumberFormat="1" applyFont="1" applyFill="1" applyBorder="1" applyAlignment="1">
      <alignment vertical="center"/>
    </xf>
    <xf numFmtId="0" fontId="12" fillId="0" borderId="0" xfId="5" applyFont="1" applyFill="1" applyBorder="1" applyAlignment="1">
      <alignment vertical="center"/>
    </xf>
    <xf numFmtId="0" fontId="41" fillId="0" borderId="0" xfId="0" applyFont="1" applyFill="1" applyBorder="1" applyAlignment="1">
      <alignment vertical="center"/>
    </xf>
    <xf numFmtId="0" fontId="12" fillId="0" borderId="0" xfId="5" applyFont="1" applyAlignment="1">
      <alignment vertical="center"/>
    </xf>
    <xf numFmtId="0" fontId="14" fillId="0" borderId="0" xfId="5" applyFont="1" applyAlignment="1">
      <alignment vertical="center"/>
    </xf>
    <xf numFmtId="0" fontId="26" fillId="0" borderId="0" xfId="5" applyFont="1" applyFill="1" applyAlignment="1">
      <alignment vertical="center"/>
    </xf>
    <xf numFmtId="3" fontId="26" fillId="0" borderId="0" xfId="5" applyNumberFormat="1" applyFont="1" applyFill="1" applyAlignment="1">
      <alignment vertical="center"/>
    </xf>
    <xf numFmtId="0" fontId="27" fillId="0" borderId="0" xfId="5" applyFont="1" applyFill="1" applyAlignment="1">
      <alignment vertical="center"/>
    </xf>
    <xf numFmtId="0" fontId="26" fillId="0" borderId="1" xfId="0" applyFont="1" applyFill="1" applyBorder="1" applyAlignment="1">
      <alignment horizontal="center" vertical="center" wrapText="1"/>
    </xf>
    <xf numFmtId="0" fontId="26" fillId="0" borderId="3" xfId="5" applyFont="1" applyFill="1" applyBorder="1" applyAlignment="1">
      <alignment horizontal="center" vertical="center" wrapText="1"/>
    </xf>
    <xf numFmtId="0" fontId="26" fillId="0" borderId="3" xfId="5" applyFont="1" applyFill="1" applyBorder="1" applyAlignment="1">
      <alignment horizontal="center" vertical="center"/>
    </xf>
    <xf numFmtId="49" fontId="26" fillId="0" borderId="1" xfId="5" applyNumberFormat="1" applyFont="1" applyFill="1" applyBorder="1" applyAlignment="1" applyProtection="1">
      <alignment horizontal="center" vertical="center" wrapText="1"/>
      <protection locked="0"/>
    </xf>
    <xf numFmtId="0" fontId="26" fillId="0" borderId="1" xfId="5" applyFont="1" applyFill="1" applyBorder="1" applyAlignment="1">
      <alignment vertical="center" wrapText="1"/>
    </xf>
    <xf numFmtId="0" fontId="26" fillId="0" borderId="1" xfId="5" applyFont="1" applyFill="1" applyBorder="1" applyAlignment="1">
      <alignment vertical="center"/>
    </xf>
    <xf numFmtId="3" fontId="26" fillId="0" borderId="1" xfId="5" applyNumberFormat="1" applyFont="1" applyFill="1" applyBorder="1" applyAlignment="1">
      <alignment vertical="center"/>
    </xf>
    <xf numFmtId="49" fontId="26" fillId="0" borderId="4" xfId="5" applyNumberFormat="1" applyFont="1" applyFill="1" applyBorder="1" applyAlignment="1" applyProtection="1">
      <alignment horizontal="center" vertical="center" wrapText="1"/>
      <protection locked="0"/>
    </xf>
    <xf numFmtId="0" fontId="26" fillId="0" borderId="4" xfId="5" applyFont="1" applyFill="1" applyBorder="1" applyAlignment="1">
      <alignment vertical="center" wrapText="1"/>
    </xf>
    <xf numFmtId="49" fontId="26" fillId="0" borderId="2" xfId="5" applyNumberFormat="1" applyFont="1" applyFill="1" applyBorder="1" applyAlignment="1" applyProtection="1">
      <alignment horizontal="center" vertical="center" wrapText="1"/>
      <protection locked="0"/>
    </xf>
    <xf numFmtId="0" fontId="26" fillId="0" borderId="2" xfId="5" applyFont="1" applyFill="1" applyBorder="1" applyAlignment="1">
      <alignment vertical="center" wrapText="1"/>
    </xf>
    <xf numFmtId="0" fontId="26" fillId="0" borderId="1" xfId="5" applyFont="1" applyFill="1" applyBorder="1" applyAlignment="1">
      <alignment horizontal="center" vertical="center" wrapText="1"/>
    </xf>
    <xf numFmtId="0" fontId="27" fillId="0" borderId="0" xfId="5" applyFont="1" applyFill="1" applyBorder="1" applyAlignment="1">
      <alignment horizontal="center" vertical="center" wrapText="1"/>
    </xf>
    <xf numFmtId="2" fontId="36" fillId="0" borderId="0" xfId="5" applyNumberFormat="1" applyFont="1" applyFill="1" applyBorder="1" applyAlignment="1">
      <alignment vertical="center"/>
    </xf>
    <xf numFmtId="3" fontId="26" fillId="0" borderId="0" xfId="5" applyNumberFormat="1" applyFont="1" applyFill="1" applyBorder="1" applyAlignment="1">
      <alignment vertical="center"/>
    </xf>
    <xf numFmtId="166" fontId="47" fillId="0" borderId="0" xfId="5" applyNumberFormat="1" applyFont="1" applyFill="1" applyBorder="1" applyAlignment="1">
      <alignment vertical="center"/>
    </xf>
    <xf numFmtId="3" fontId="47" fillId="0" borderId="1" xfId="5" applyNumberFormat="1" applyFont="1" applyFill="1" applyBorder="1" applyAlignment="1">
      <alignment vertical="center"/>
    </xf>
    <xf numFmtId="9" fontId="26" fillId="0" borderId="0" xfId="15" applyFont="1" applyFill="1" applyBorder="1" applyAlignment="1">
      <alignment vertical="center"/>
    </xf>
    <xf numFmtId="0" fontId="27" fillId="0" borderId="0" xfId="5" applyFont="1" applyFill="1" applyBorder="1" applyAlignment="1">
      <alignment vertical="center"/>
    </xf>
    <xf numFmtId="0" fontId="23" fillId="0" borderId="0" xfId="0" applyFont="1" applyFill="1" applyBorder="1" applyAlignment="1">
      <alignment vertical="center"/>
    </xf>
    <xf numFmtId="166" fontId="26" fillId="0" borderId="1" xfId="5" applyNumberFormat="1" applyFont="1" applyFill="1" applyBorder="1" applyAlignment="1">
      <alignment vertical="center"/>
    </xf>
    <xf numFmtId="0" fontId="26" fillId="0" borderId="0" xfId="5" applyFont="1" applyFill="1" applyBorder="1" applyAlignment="1">
      <alignment vertical="center"/>
    </xf>
    <xf numFmtId="3" fontId="27" fillId="0" borderId="0" xfId="5" applyNumberFormat="1" applyFont="1" applyFill="1" applyBorder="1" applyAlignment="1">
      <alignment vertical="center"/>
    </xf>
    <xf numFmtId="3" fontId="27" fillId="0" borderId="1" xfId="5" applyNumberFormat="1" applyFont="1" applyFill="1" applyBorder="1" applyAlignment="1">
      <alignment vertical="center"/>
    </xf>
    <xf numFmtId="0" fontId="26" fillId="0" borderId="0" xfId="5" applyFont="1" applyFill="1" applyBorder="1" applyAlignment="1">
      <alignment horizontal="left" vertical="center"/>
    </xf>
    <xf numFmtId="0" fontId="23" fillId="0" borderId="0" xfId="0" applyFont="1" applyFill="1"/>
    <xf numFmtId="1" fontId="26" fillId="0" borderId="0" xfId="5" applyNumberFormat="1" applyFont="1" applyFill="1" applyBorder="1" applyAlignment="1">
      <alignment vertical="center"/>
    </xf>
    <xf numFmtId="10" fontId="26" fillId="0" borderId="0" xfId="15" applyNumberFormat="1" applyFont="1" applyFill="1" applyBorder="1" applyAlignment="1">
      <alignment vertical="center"/>
    </xf>
    <xf numFmtId="0" fontId="26" fillId="0" borderId="0" xfId="0" applyFont="1" applyFill="1"/>
    <xf numFmtId="49" fontId="26" fillId="0" borderId="1" xfId="5" applyNumberFormat="1" applyFont="1" applyFill="1" applyBorder="1" applyAlignment="1">
      <alignment horizontal="center" vertical="top"/>
    </xf>
    <xf numFmtId="0" fontId="26" fillId="0" borderId="5" xfId="5" applyFont="1" applyFill="1" applyBorder="1" applyAlignment="1">
      <alignment wrapText="1"/>
    </xf>
    <xf numFmtId="0" fontId="26" fillId="0" borderId="0" xfId="5" applyFont="1" applyAlignment="1">
      <alignment vertical="center"/>
    </xf>
    <xf numFmtId="0" fontId="26" fillId="0" borderId="5" xfId="0" applyFont="1" applyFill="1" applyBorder="1"/>
    <xf numFmtId="0" fontId="36" fillId="0" borderId="3" xfId="5" applyFont="1" applyFill="1" applyBorder="1" applyAlignment="1">
      <alignment horizontal="center" vertical="center"/>
    </xf>
    <xf numFmtId="0" fontId="26" fillId="0" borderId="1" xfId="5" applyFont="1" applyFill="1" applyBorder="1" applyAlignment="1">
      <alignment horizontal="center" vertical="center"/>
    </xf>
    <xf numFmtId="3" fontId="26" fillId="0" borderId="1" xfId="5" applyNumberFormat="1" applyFont="1" applyFill="1" applyBorder="1" applyAlignment="1">
      <alignment horizontal="center" vertical="center"/>
    </xf>
    <xf numFmtId="3" fontId="26" fillId="0" borderId="1" xfId="5" applyNumberFormat="1" applyFont="1" applyFill="1" applyBorder="1" applyAlignment="1">
      <alignment horizontal="center" vertical="center" wrapText="1"/>
    </xf>
    <xf numFmtId="2" fontId="26" fillId="0" borderId="1" xfId="5" applyNumberFormat="1" applyFont="1" applyFill="1" applyBorder="1" applyAlignment="1">
      <alignment horizontal="center" vertical="center" wrapText="1"/>
    </xf>
    <xf numFmtId="166" fontId="26" fillId="0" borderId="1" xfId="5" applyNumberFormat="1" applyFont="1" applyFill="1" applyBorder="1" applyAlignment="1">
      <alignment horizontal="center" vertical="center" wrapText="1"/>
    </xf>
    <xf numFmtId="0" fontId="26" fillId="0" borderId="0" xfId="5" applyFont="1" applyFill="1" applyAlignment="1">
      <alignment horizontal="center" vertical="center" wrapText="1"/>
    </xf>
    <xf numFmtId="0" fontId="26" fillId="0" borderId="2" xfId="5" applyFont="1" applyFill="1" applyBorder="1" applyAlignment="1">
      <alignment horizontal="center" vertical="center" wrapText="1"/>
    </xf>
    <xf numFmtId="3" fontId="26" fillId="0" borderId="2" xfId="5" applyNumberFormat="1" applyFont="1" applyFill="1" applyBorder="1" applyAlignment="1">
      <alignment horizontal="center" vertical="center" wrapText="1"/>
    </xf>
    <xf numFmtId="2" fontId="26" fillId="0" borderId="2" xfId="5" applyNumberFormat="1" applyFont="1" applyFill="1" applyBorder="1" applyAlignment="1">
      <alignment horizontal="center" vertical="center" wrapText="1"/>
    </xf>
    <xf numFmtId="166" fontId="26" fillId="0" borderId="2" xfId="5" applyNumberFormat="1" applyFont="1" applyFill="1" applyBorder="1" applyAlignment="1">
      <alignment horizontal="center" vertical="center" wrapText="1"/>
    </xf>
    <xf numFmtId="4" fontId="26" fillId="0" borderId="1" xfId="5" applyNumberFormat="1" applyFont="1" applyFill="1" applyBorder="1" applyAlignment="1">
      <alignment horizontal="center" vertical="center"/>
    </xf>
    <xf numFmtId="3" fontId="23" fillId="0" borderId="1" xfId="0" applyNumberFormat="1" applyFont="1" applyFill="1" applyBorder="1" applyAlignment="1">
      <alignment vertical="center"/>
    </xf>
    <xf numFmtId="9" fontId="26" fillId="0" borderId="1" xfId="15" applyFont="1" applyFill="1" applyBorder="1" applyAlignment="1">
      <alignment horizontal="center" vertical="center"/>
    </xf>
    <xf numFmtId="1" fontId="26" fillId="0" borderId="1" xfId="5" applyNumberFormat="1" applyFont="1" applyFill="1" applyBorder="1" applyAlignment="1">
      <alignment horizontal="center" vertical="center"/>
    </xf>
    <xf numFmtId="0" fontId="26" fillId="0" borderId="5" xfId="5" applyFont="1" applyFill="1" applyBorder="1" applyAlignment="1">
      <alignment vertical="center"/>
    </xf>
    <xf numFmtId="0" fontId="26" fillId="0" borderId="13" xfId="5" applyFont="1" applyFill="1" applyBorder="1" applyAlignment="1">
      <alignment vertical="center"/>
    </xf>
    <xf numFmtId="3" fontId="26" fillId="0" borderId="13" xfId="5" applyNumberFormat="1" applyFont="1" applyFill="1" applyBorder="1" applyAlignment="1">
      <alignment vertical="center"/>
    </xf>
    <xf numFmtId="0" fontId="27" fillId="0" borderId="13" xfId="5" applyFont="1" applyFill="1" applyBorder="1" applyAlignment="1">
      <alignment vertical="center"/>
    </xf>
    <xf numFmtId="3" fontId="27" fillId="0" borderId="6" xfId="5" applyNumberFormat="1" applyFont="1" applyFill="1" applyBorder="1" applyAlignment="1">
      <alignment vertical="center"/>
    </xf>
    <xf numFmtId="0" fontId="1" fillId="0" borderId="5" xfId="0" applyFont="1" applyBorder="1" applyAlignment="1">
      <alignment horizontal="justify" vertical="top" wrapText="1"/>
    </xf>
    <xf numFmtId="0" fontId="1" fillId="0" borderId="1" xfId="0" applyFont="1" applyBorder="1" applyAlignment="1">
      <alignment horizontal="justify" vertical="top" wrapText="1"/>
    </xf>
    <xf numFmtId="0" fontId="1" fillId="0" borderId="6" xfId="0" applyFont="1" applyBorder="1" applyAlignment="1">
      <alignment horizontal="justify" vertical="top" wrapText="1"/>
    </xf>
    <xf numFmtId="0" fontId="1" fillId="0" borderId="8" xfId="0" applyFont="1" applyBorder="1" applyAlignment="1">
      <alignment horizontal="justify" vertical="top" wrapText="1"/>
    </xf>
    <xf numFmtId="0" fontId="13" fillId="5" borderId="12" xfId="0" applyFont="1" applyFill="1" applyBorder="1" applyAlignment="1">
      <alignment horizontal="center" vertical="center" wrapText="1"/>
    </xf>
    <xf numFmtId="1" fontId="27" fillId="0" borderId="0" xfId="0" applyNumberFormat="1" applyFont="1" applyAlignment="1">
      <alignment horizontal="center"/>
    </xf>
    <xf numFmtId="3" fontId="26" fillId="4" borderId="1" xfId="0" applyNumberFormat="1" applyFont="1" applyFill="1" applyBorder="1" applyAlignment="1">
      <alignment horizontal="center" vertical="center"/>
    </xf>
    <xf numFmtId="0" fontId="23" fillId="4" borderId="1" xfId="0" applyFont="1" applyFill="1" applyBorder="1" applyAlignment="1">
      <alignment horizontal="left" vertical="center"/>
    </xf>
    <xf numFmtId="0" fontId="23" fillId="4" borderId="1" xfId="0" applyFont="1" applyFill="1" applyBorder="1" applyAlignment="1">
      <alignment horizontal="left" vertical="top" wrapText="1"/>
    </xf>
    <xf numFmtId="3" fontId="23" fillId="4" borderId="1" xfId="0" applyNumberFormat="1" applyFont="1" applyFill="1" applyBorder="1" applyAlignment="1">
      <alignment horizontal="center" vertical="center"/>
    </xf>
    <xf numFmtId="1" fontId="23" fillId="4" borderId="1" xfId="0" applyNumberFormat="1" applyFont="1" applyFill="1" applyBorder="1" applyAlignment="1">
      <alignment horizontal="center" vertical="center"/>
    </xf>
    <xf numFmtId="0" fontId="26" fillId="0" borderId="0" xfId="5" applyFont="1" applyFill="1" applyBorder="1" applyAlignment="1">
      <alignment horizontal="center" vertical="center"/>
    </xf>
    <xf numFmtId="9" fontId="26" fillId="0" borderId="0" xfId="15" applyFont="1" applyFill="1" applyBorder="1" applyAlignment="1">
      <alignment horizontal="center" vertical="center"/>
    </xf>
    <xf numFmtId="0" fontId="12" fillId="0" borderId="0" xfId="0" applyFont="1" applyFill="1"/>
    <xf numFmtId="0" fontId="26" fillId="0" borderId="2" xfId="0" applyFont="1" applyFill="1" applyBorder="1" applyAlignment="1">
      <alignment horizontal="center" wrapText="1"/>
    </xf>
    <xf numFmtId="3" fontId="26" fillId="0" borderId="2" xfId="6" applyNumberFormat="1" applyFont="1" applyFill="1" applyBorder="1" applyAlignment="1">
      <alignment horizontal="center" vertical="center" wrapText="1"/>
    </xf>
    <xf numFmtId="3" fontId="26" fillId="0" borderId="1" xfId="0" applyNumberFormat="1" applyFont="1" applyFill="1" applyBorder="1" applyAlignment="1">
      <alignment horizontal="center" wrapText="1"/>
    </xf>
    <xf numFmtId="2" fontId="26" fillId="0" borderId="1" xfId="0" applyNumberFormat="1" applyFont="1" applyFill="1" applyBorder="1" applyAlignment="1">
      <alignment horizontal="center"/>
    </xf>
    <xf numFmtId="3" fontId="26" fillId="0" borderId="1" xfId="0" applyNumberFormat="1" applyFont="1" applyFill="1" applyBorder="1"/>
    <xf numFmtId="0" fontId="27" fillId="0" borderId="6" xfId="0" applyFont="1" applyFill="1" applyBorder="1" applyAlignment="1">
      <alignment horizontal="right"/>
    </xf>
    <xf numFmtId="3" fontId="27" fillId="0" borderId="1" xfId="0" applyNumberFormat="1" applyFont="1" applyFill="1" applyBorder="1" applyAlignment="1">
      <alignment horizontal="center" vertical="center" wrapText="1"/>
    </xf>
    <xf numFmtId="4" fontId="27" fillId="0" borderId="1" xfId="0" applyNumberFormat="1" applyFont="1" applyFill="1" applyBorder="1" applyAlignment="1">
      <alignment horizontal="center" vertical="center" wrapText="1"/>
    </xf>
    <xf numFmtId="164" fontId="14" fillId="4" borderId="5" xfId="1" applyNumberFormat="1" applyFont="1" applyFill="1" applyBorder="1" applyAlignment="1">
      <alignment horizontal="center" vertical="top" wrapText="1"/>
    </xf>
    <xf numFmtId="164" fontId="14" fillId="4" borderId="0" xfId="1" applyNumberFormat="1" applyFont="1" applyFill="1" applyBorder="1" applyAlignment="1">
      <alignment horizontal="center" vertical="top" wrapText="1"/>
    </xf>
    <xf numFmtId="0" fontId="41" fillId="2" borderId="1" xfId="0" applyFont="1" applyFill="1" applyBorder="1" applyAlignment="1">
      <alignment horizontal="left" vertical="top" wrapText="1"/>
    </xf>
    <xf numFmtId="0" fontId="41" fillId="4" borderId="2" xfId="0" applyFont="1" applyFill="1" applyBorder="1" applyAlignment="1">
      <alignment horizontal="left" vertical="top" wrapText="1"/>
    </xf>
    <xf numFmtId="0" fontId="1" fillId="0" borderId="1" xfId="0" applyFont="1" applyBorder="1" applyAlignment="1">
      <alignment horizontal="left" vertical="top" wrapText="1"/>
    </xf>
    <xf numFmtId="0" fontId="23" fillId="0" borderId="1" xfId="0" applyFont="1" applyBorder="1" applyAlignment="1"/>
    <xf numFmtId="0" fontId="20" fillId="0" borderId="0" xfId="0" applyFont="1" applyAlignment="1">
      <alignment horizontal="right" wrapText="1"/>
    </xf>
    <xf numFmtId="0" fontId="3" fillId="0" borderId="1" xfId="0" applyFont="1" applyBorder="1" applyAlignment="1">
      <alignment horizontal="center" vertical="top" wrapText="1"/>
    </xf>
    <xf numFmtId="0" fontId="3" fillId="0" borderId="0" xfId="0" applyFont="1" applyBorder="1" applyAlignment="1">
      <alignment horizontal="left" wrapText="1"/>
    </xf>
    <xf numFmtId="0" fontId="13" fillId="2" borderId="1" xfId="0" applyFont="1" applyFill="1" applyBorder="1" applyAlignment="1">
      <alignment horizontal="center" vertical="top" wrapText="1"/>
    </xf>
    <xf numFmtId="0" fontId="13" fillId="0" borderId="1" xfId="0" applyFont="1" applyBorder="1" applyAlignment="1">
      <alignment horizontal="center" vertical="top" wrapText="1"/>
    </xf>
    <xf numFmtId="0" fontId="41" fillId="4" borderId="3" xfId="0" applyFont="1" applyFill="1" applyBorder="1" applyAlignment="1">
      <alignment horizontal="left" vertical="top" wrapText="1"/>
    </xf>
    <xf numFmtId="0" fontId="41" fillId="4" borderId="4" xfId="0" applyFont="1" applyFill="1" applyBorder="1" applyAlignment="1">
      <alignment horizontal="left" vertical="top" wrapText="1"/>
    </xf>
    <xf numFmtId="0" fontId="14" fillId="4" borderId="3" xfId="0" applyFont="1" applyFill="1" applyBorder="1" applyAlignment="1">
      <alignment horizontal="left" vertical="top" wrapText="1"/>
    </xf>
    <xf numFmtId="0" fontId="14" fillId="4" borderId="4" xfId="0" applyFont="1" applyFill="1" applyBorder="1" applyAlignment="1">
      <alignment horizontal="left" vertical="top" wrapText="1"/>
    </xf>
    <xf numFmtId="0" fontId="14" fillId="4" borderId="2" xfId="0" applyFont="1" applyFill="1" applyBorder="1" applyAlignment="1">
      <alignment horizontal="left" vertical="top" wrapText="1"/>
    </xf>
    <xf numFmtId="0" fontId="14" fillId="4" borderId="1" xfId="0" applyFont="1" applyFill="1" applyBorder="1" applyAlignment="1">
      <alignment horizontal="left" vertical="top" wrapText="1"/>
    </xf>
    <xf numFmtId="0" fontId="41" fillId="4" borderId="2" xfId="0" applyFont="1" applyFill="1" applyBorder="1" applyAlignment="1">
      <alignment horizontal="left" vertical="top" wrapText="1"/>
    </xf>
    <xf numFmtId="0" fontId="41" fillId="4" borderId="9" xfId="0" applyFont="1" applyFill="1" applyBorder="1" applyAlignment="1">
      <alignment horizontal="left" vertical="top" wrapText="1"/>
    </xf>
    <xf numFmtId="0" fontId="41" fillId="4" borderId="10" xfId="0" applyFont="1" applyFill="1" applyBorder="1" applyAlignment="1">
      <alignment horizontal="left" vertical="top" wrapText="1"/>
    </xf>
    <xf numFmtId="0" fontId="19" fillId="5" borderId="5" xfId="0" applyFont="1" applyFill="1" applyBorder="1" applyAlignment="1">
      <alignment horizontal="left" vertical="top" wrapText="1"/>
    </xf>
    <xf numFmtId="0" fontId="19" fillId="5" borderId="13" xfId="0" applyFont="1" applyFill="1" applyBorder="1" applyAlignment="1">
      <alignment horizontal="left" vertical="top" wrapText="1"/>
    </xf>
    <xf numFmtId="0" fontId="19" fillId="5" borderId="6" xfId="0" applyFont="1" applyFill="1" applyBorder="1" applyAlignment="1">
      <alignment horizontal="left" vertical="top" wrapText="1"/>
    </xf>
    <xf numFmtId="0" fontId="29" fillId="2" borderId="7" xfId="0" applyFont="1" applyFill="1" applyBorder="1" applyAlignment="1">
      <alignment horizontal="center" vertical="top" wrapText="1"/>
    </xf>
    <xf numFmtId="0" fontId="29" fillId="2" borderId="8" xfId="0" applyFont="1" applyFill="1" applyBorder="1" applyAlignment="1">
      <alignment horizontal="center" vertical="top" wrapText="1"/>
    </xf>
    <xf numFmtId="0" fontId="29" fillId="4" borderId="3" xfId="0" applyFont="1" applyFill="1" applyBorder="1" applyAlignment="1">
      <alignment horizontal="left" vertical="top" wrapText="1"/>
    </xf>
    <xf numFmtId="0" fontId="29" fillId="4" borderId="4" xfId="0" applyFont="1" applyFill="1" applyBorder="1" applyAlignment="1">
      <alignment horizontal="left" vertical="top" wrapText="1"/>
    </xf>
    <xf numFmtId="0" fontId="29" fillId="4" borderId="2" xfId="0" applyFont="1" applyFill="1" applyBorder="1" applyAlignment="1">
      <alignment horizontal="left" vertical="top" wrapText="1"/>
    </xf>
    <xf numFmtId="0" fontId="29" fillId="4" borderId="9" xfId="0" applyFont="1" applyFill="1" applyBorder="1" applyAlignment="1">
      <alignment horizontal="left" vertical="top" wrapText="1"/>
    </xf>
    <xf numFmtId="0" fontId="29" fillId="4" borderId="10" xfId="0" applyFont="1" applyFill="1" applyBorder="1" applyAlignment="1">
      <alignment horizontal="left" vertical="top" wrapText="1"/>
    </xf>
    <xf numFmtId="0" fontId="41" fillId="0" borderId="3" xfId="0" applyFont="1" applyBorder="1" applyAlignment="1">
      <alignment horizontal="left" vertical="top" wrapText="1"/>
    </xf>
    <xf numFmtId="0" fontId="41" fillId="0" borderId="2" xfId="0" applyFont="1" applyBorder="1" applyAlignment="1">
      <alignment horizontal="left" vertical="top" wrapText="1"/>
    </xf>
    <xf numFmtId="0" fontId="41" fillId="2" borderId="1" xfId="0" applyFont="1" applyFill="1" applyBorder="1" applyAlignment="1">
      <alignment horizontal="left" vertical="top" wrapText="1"/>
    </xf>
    <xf numFmtId="0" fontId="18" fillId="5" borderId="5" xfId="0" applyFont="1" applyFill="1" applyBorder="1" applyAlignment="1">
      <alignment horizontal="left" vertical="top" wrapText="1"/>
    </xf>
    <xf numFmtId="0" fontId="18" fillId="5" borderId="13" xfId="0" applyFont="1" applyFill="1" applyBorder="1" applyAlignment="1">
      <alignment horizontal="left" vertical="top" wrapText="1"/>
    </xf>
    <xf numFmtId="0" fontId="18" fillId="5" borderId="6" xfId="0" applyFont="1" applyFill="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4" fillId="2" borderId="1"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4" xfId="0" applyFont="1" applyFill="1" applyBorder="1" applyAlignment="1">
      <alignment horizontal="left" vertical="top" wrapText="1"/>
    </xf>
    <xf numFmtId="0" fontId="41" fillId="2" borderId="3" xfId="0" applyFont="1" applyFill="1" applyBorder="1" applyAlignment="1">
      <alignment horizontal="left" vertical="top" wrapText="1"/>
    </xf>
    <xf numFmtId="0" fontId="41" fillId="2" borderId="2" xfId="0" applyFont="1" applyFill="1" applyBorder="1" applyAlignment="1">
      <alignment horizontal="left" vertical="top" wrapText="1"/>
    </xf>
    <xf numFmtId="0" fontId="26" fillId="4" borderId="1" xfId="0" applyFont="1" applyFill="1" applyBorder="1" applyAlignment="1">
      <alignment vertical="center" wrapText="1"/>
    </xf>
    <xf numFmtId="0" fontId="26" fillId="4" borderId="1" xfId="0" applyFont="1" applyFill="1" applyBorder="1" applyAlignment="1">
      <alignment horizontal="center" vertical="center" wrapText="1"/>
    </xf>
    <xf numFmtId="0" fontId="26" fillId="4" borderId="3" xfId="0" applyFont="1" applyFill="1" applyBorder="1" applyAlignment="1">
      <alignment horizontal="center" wrapText="1"/>
    </xf>
    <xf numFmtId="0" fontId="26" fillId="4" borderId="2" xfId="0" applyFont="1" applyFill="1" applyBorder="1" applyAlignment="1">
      <alignment horizontal="center" wrapText="1"/>
    </xf>
    <xf numFmtId="0" fontId="26" fillId="0" borderId="0" xfId="0" applyFont="1" applyFill="1" applyBorder="1" applyAlignment="1">
      <alignment horizontal="right" vertical="center" wrapText="1"/>
    </xf>
    <xf numFmtId="0" fontId="26" fillId="4" borderId="1" xfId="0" applyFont="1" applyFill="1" applyBorder="1" applyAlignment="1">
      <alignment horizontal="center" wrapText="1"/>
    </xf>
    <xf numFmtId="0" fontId="26" fillId="4" borderId="3"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3" fillId="0" borderId="5" xfId="0" applyFont="1" applyBorder="1" applyAlignment="1">
      <alignment horizontal="right"/>
    </xf>
    <xf numFmtId="0" fontId="23" fillId="0" borderId="6" xfId="0" applyFont="1" applyBorder="1" applyAlignment="1">
      <alignment horizontal="right"/>
    </xf>
    <xf numFmtId="0" fontId="23" fillId="0" borderId="1" xfId="0" applyFont="1" applyBorder="1" applyAlignment="1">
      <alignment horizontal="right" vertical="center" wrapText="1"/>
    </xf>
    <xf numFmtId="0" fontId="23" fillId="0" borderId="0" xfId="0" applyFont="1" applyBorder="1" applyAlignment="1">
      <alignment horizontal="right"/>
    </xf>
    <xf numFmtId="0" fontId="25" fillId="0" borderId="0" xfId="0" applyFont="1" applyAlignment="1">
      <alignment horizontal="left" vertical="center" wrapText="1"/>
    </xf>
    <xf numFmtId="0" fontId="26" fillId="0" borderId="1" xfId="8" applyFont="1" applyBorder="1" applyAlignment="1">
      <alignment horizontal="center" vertical="center"/>
    </xf>
    <xf numFmtId="0" fontId="26" fillId="0" borderId="0" xfId="8" applyFont="1" applyAlignment="1">
      <alignment horizontal="left" vertical="center"/>
    </xf>
    <xf numFmtId="0" fontId="26" fillId="0" borderId="1" xfId="0" applyFont="1" applyBorder="1" applyAlignment="1">
      <alignment horizontal="left" vertical="center" wrapText="1"/>
    </xf>
    <xf numFmtId="0" fontId="23" fillId="0" borderId="0" xfId="0" applyFont="1" applyAlignment="1">
      <alignment horizontal="right"/>
    </xf>
    <xf numFmtId="0" fontId="26" fillId="0" borderId="1" xfId="5" applyFont="1" applyFill="1" applyBorder="1" applyAlignment="1">
      <alignment horizontal="right" vertical="center"/>
    </xf>
    <xf numFmtId="0" fontId="26" fillId="0" borderId="0" xfId="5" applyFont="1" applyFill="1" applyBorder="1" applyAlignment="1">
      <alignment horizontal="left" vertical="center" wrapText="1"/>
    </xf>
    <xf numFmtId="0" fontId="26" fillId="0" borderId="3" xfId="5" applyFont="1" applyFill="1" applyBorder="1" applyAlignment="1">
      <alignment horizontal="center" vertical="center"/>
    </xf>
    <xf numFmtId="0" fontId="26" fillId="0" borderId="4" xfId="5" applyFont="1" applyFill="1" applyBorder="1" applyAlignment="1">
      <alignment horizontal="center" vertical="center"/>
    </xf>
    <xf numFmtId="0" fontId="26" fillId="0" borderId="2" xfId="5" applyFont="1" applyFill="1" applyBorder="1" applyAlignment="1">
      <alignment horizontal="center" vertical="center"/>
    </xf>
    <xf numFmtId="0" fontId="26" fillId="0" borderId="1" xfId="5" applyFont="1" applyFill="1" applyBorder="1" applyAlignment="1">
      <alignment horizontal="center" vertical="center" wrapText="1"/>
    </xf>
    <xf numFmtId="0" fontId="26" fillId="0" borderId="1" xfId="5" applyFont="1" applyFill="1" applyBorder="1" applyAlignment="1">
      <alignment horizontal="right" vertical="center" wrapText="1"/>
    </xf>
    <xf numFmtId="0" fontId="26" fillId="0" borderId="5" xfId="5" applyFont="1" applyFill="1" applyBorder="1" applyAlignment="1">
      <alignment horizontal="center" vertical="center" wrapText="1"/>
    </xf>
    <xf numFmtId="0" fontId="26" fillId="0" borderId="13" xfId="5" applyFont="1" applyFill="1" applyBorder="1" applyAlignment="1">
      <alignment horizontal="center" vertical="center" wrapText="1"/>
    </xf>
    <xf numFmtId="0" fontId="26" fillId="0" borderId="6" xfId="5"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6" xfId="0" applyFont="1" applyFill="1" applyBorder="1" applyAlignment="1">
      <alignment horizontal="center" vertical="center" wrapText="1"/>
    </xf>
    <xf numFmtId="3" fontId="26" fillId="0" borderId="1" xfId="6" applyNumberFormat="1" applyFont="1" applyFill="1" applyBorder="1" applyAlignment="1">
      <alignment horizontal="center" vertical="center" wrapText="1"/>
    </xf>
    <xf numFmtId="0" fontId="26" fillId="0" borderId="12" xfId="5" applyFont="1" applyFill="1" applyBorder="1" applyAlignment="1">
      <alignment horizontal="center" vertical="center"/>
    </xf>
    <xf numFmtId="0" fontId="26" fillId="0" borderId="10" xfId="5" applyFont="1" applyFill="1" applyBorder="1" applyAlignment="1">
      <alignment horizontal="center" vertical="center"/>
    </xf>
    <xf numFmtId="0" fontId="26" fillId="0" borderId="5" xfId="0" applyFont="1" applyFill="1" applyBorder="1" applyAlignment="1">
      <alignment horizontal="center"/>
    </xf>
    <xf numFmtId="0" fontId="26" fillId="0" borderId="6" xfId="0" applyFont="1" applyFill="1" applyBorder="1" applyAlignment="1">
      <alignment horizontal="center"/>
    </xf>
    <xf numFmtId="0" fontId="33" fillId="0" borderId="0" xfId="0" applyFont="1" applyBorder="1" applyAlignment="1">
      <alignment horizontal="left" vertical="center" wrapText="1"/>
    </xf>
    <xf numFmtId="0" fontId="32" fillId="0" borderId="5" xfId="0" applyFont="1" applyBorder="1" applyAlignment="1">
      <alignment horizontal="left" vertical="center" wrapText="1"/>
    </xf>
    <xf numFmtId="0" fontId="32" fillId="0" borderId="13" xfId="0" applyFont="1" applyBorder="1" applyAlignment="1">
      <alignment horizontal="left" vertical="center" wrapText="1"/>
    </xf>
    <xf numFmtId="0" fontId="32" fillId="0" borderId="6" xfId="0" applyFont="1" applyBorder="1" applyAlignment="1">
      <alignment horizontal="left" vertical="center" wrapText="1"/>
    </xf>
    <xf numFmtId="0" fontId="39" fillId="4" borderId="1" xfId="0" applyFont="1" applyFill="1" applyBorder="1" applyAlignment="1">
      <alignment horizontal="left" vertical="center" wrapText="1"/>
    </xf>
    <xf numFmtId="0" fontId="39" fillId="6" borderId="5" xfId="0" applyFont="1" applyFill="1" applyBorder="1" applyAlignment="1">
      <alignment horizontal="right" vertical="center" wrapText="1"/>
    </xf>
    <xf numFmtId="0" fontId="39" fillId="6" borderId="6" xfId="0" applyFont="1" applyFill="1" applyBorder="1" applyAlignment="1">
      <alignment horizontal="right" vertical="center" wrapText="1"/>
    </xf>
    <xf numFmtId="0" fontId="23" fillId="0" borderId="14" xfId="0" applyFont="1" applyBorder="1" applyAlignment="1">
      <alignment horizontal="right"/>
    </xf>
    <xf numFmtId="0" fontId="38" fillId="4" borderId="3" xfId="0" applyFont="1" applyFill="1" applyBorder="1" applyAlignment="1">
      <alignment horizontal="center" vertical="center" wrapText="1"/>
    </xf>
    <xf numFmtId="0" fontId="38" fillId="4" borderId="2" xfId="0" applyFont="1" applyFill="1" applyBorder="1" applyAlignment="1">
      <alignment horizontal="center" vertical="center" wrapText="1"/>
    </xf>
    <xf numFmtId="0" fontId="38" fillId="4" borderId="9" xfId="0" applyFont="1" applyFill="1" applyBorder="1" applyAlignment="1">
      <alignment horizontal="center" vertical="center" wrapText="1"/>
    </xf>
    <xf numFmtId="0" fontId="38" fillId="4" borderId="10" xfId="0" applyFont="1" applyFill="1" applyBorder="1" applyAlignment="1">
      <alignment horizontal="center" vertical="center" wrapText="1"/>
    </xf>
    <xf numFmtId="0" fontId="26" fillId="4" borderId="1" xfId="0" applyFont="1" applyFill="1" applyBorder="1" applyAlignment="1">
      <alignment horizontal="center" vertical="center" textRotation="90" wrapText="1"/>
    </xf>
    <xf numFmtId="0" fontId="26" fillId="4" borderId="5" xfId="0" applyFont="1" applyFill="1" applyBorder="1" applyAlignment="1">
      <alignment horizontal="center" vertical="center" textRotation="90" wrapText="1"/>
    </xf>
    <xf numFmtId="0" fontId="39" fillId="4" borderId="1" xfId="0" applyFont="1" applyFill="1" applyBorder="1" applyAlignment="1">
      <alignment horizontal="center" vertical="center" wrapText="1"/>
    </xf>
    <xf numFmtId="0" fontId="39" fillId="6" borderId="3" xfId="0" applyFont="1" applyFill="1" applyBorder="1" applyAlignment="1">
      <alignment horizontal="center" vertical="center" wrapText="1"/>
    </xf>
    <xf numFmtId="0" fontId="39" fillId="6" borderId="2" xfId="0" applyFont="1" applyFill="1" applyBorder="1" applyAlignment="1">
      <alignment horizontal="center" vertical="center" wrapText="1"/>
    </xf>
    <xf numFmtId="0" fontId="39" fillId="6" borderId="5" xfId="0" applyFont="1" applyFill="1" applyBorder="1" applyAlignment="1">
      <alignment horizontal="center" vertical="center" wrapText="1"/>
    </xf>
    <xf numFmtId="0" fontId="39" fillId="6" borderId="13" xfId="0" applyFont="1" applyFill="1" applyBorder="1" applyAlignment="1">
      <alignment horizontal="center" vertical="center" wrapText="1"/>
    </xf>
    <xf numFmtId="0" fontId="39" fillId="6" borderId="6" xfId="0" applyFont="1" applyFill="1" applyBorder="1" applyAlignment="1">
      <alignment horizontal="center" vertical="center" wrapText="1"/>
    </xf>
    <xf numFmtId="0" fontId="26" fillId="4" borderId="5" xfId="0" applyFont="1" applyFill="1" applyBorder="1" applyAlignment="1">
      <alignment horizontal="right" vertical="center"/>
    </xf>
    <xf numFmtId="0" fontId="26" fillId="4" borderId="13" xfId="0" applyFont="1" applyFill="1" applyBorder="1" applyAlignment="1">
      <alignment horizontal="right" vertical="center"/>
    </xf>
    <xf numFmtId="0" fontId="26" fillId="4" borderId="6" xfId="0" applyFont="1" applyFill="1" applyBorder="1" applyAlignment="1">
      <alignment horizontal="right" vertical="center"/>
    </xf>
    <xf numFmtId="3" fontId="27" fillId="4" borderId="5" xfId="0" applyNumberFormat="1" applyFont="1" applyFill="1" applyBorder="1" applyAlignment="1">
      <alignment horizontal="center" vertical="center"/>
    </xf>
    <xf numFmtId="3" fontId="27" fillId="4" borderId="6" xfId="0" applyNumberFormat="1" applyFont="1" applyFill="1" applyBorder="1" applyAlignment="1">
      <alignment horizontal="center" vertical="center"/>
    </xf>
    <xf numFmtId="0" fontId="26" fillId="6" borderId="3" xfId="0" applyFont="1" applyFill="1" applyBorder="1" applyAlignment="1">
      <alignment horizontal="center" vertical="center" wrapText="1"/>
    </xf>
    <xf numFmtId="0" fontId="26" fillId="6" borderId="2"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4" borderId="1" xfId="0" applyFont="1" applyFill="1" applyBorder="1" applyAlignment="1">
      <alignment horizontal="left" vertical="center" wrapText="1"/>
    </xf>
    <xf numFmtId="0" fontId="24" fillId="6" borderId="5" xfId="0" applyFont="1" applyFill="1" applyBorder="1" applyAlignment="1">
      <alignment horizontal="right" vertical="center" wrapText="1"/>
    </xf>
    <xf numFmtId="0" fontId="24" fillId="6" borderId="6" xfId="0" applyFont="1" applyFill="1" applyBorder="1" applyAlignment="1">
      <alignment horizontal="right" vertical="center" wrapText="1"/>
    </xf>
    <xf numFmtId="0" fontId="23" fillId="0" borderId="1" xfId="0" applyFont="1" applyBorder="1" applyAlignment="1">
      <alignment horizontal="center" vertical="center" textRotation="90" wrapText="1"/>
    </xf>
    <xf numFmtId="0" fontId="26" fillId="4" borderId="1" xfId="0" applyFont="1" applyFill="1" applyBorder="1" applyAlignment="1">
      <alignment horizontal="center" vertical="center"/>
    </xf>
    <xf numFmtId="0" fontId="26" fillId="0" borderId="5" xfId="0" applyFont="1" applyBorder="1" applyAlignment="1">
      <alignment horizontal="left" vertical="top" wrapText="1"/>
    </xf>
    <xf numFmtId="0" fontId="26" fillId="0" borderId="13" xfId="0" applyFont="1" applyBorder="1" applyAlignment="1">
      <alignment horizontal="left" vertical="top" wrapText="1"/>
    </xf>
    <xf numFmtId="0" fontId="26" fillId="0" borderId="6" xfId="0" applyFont="1" applyBorder="1" applyAlignment="1">
      <alignment horizontal="left" vertical="top" wrapText="1"/>
    </xf>
    <xf numFmtId="0" fontId="26" fillId="0" borderId="5" xfId="0" applyFont="1" applyBorder="1" applyAlignment="1">
      <alignment horizontal="right" wrapText="1"/>
    </xf>
    <xf numFmtId="0" fontId="26" fillId="0" borderId="13" xfId="0" applyFont="1" applyBorder="1" applyAlignment="1">
      <alignment horizontal="right" wrapText="1"/>
    </xf>
    <xf numFmtId="0" fontId="26" fillId="0" borderId="6" xfId="0" applyFont="1" applyBorder="1" applyAlignment="1">
      <alignment horizontal="right" wrapText="1"/>
    </xf>
    <xf numFmtId="0" fontId="23" fillId="0" borderId="0" xfId="0" applyFont="1" applyBorder="1" applyAlignment="1">
      <alignment horizontal="left" wrapText="1"/>
    </xf>
    <xf numFmtId="0" fontId="26" fillId="0" borderId="0" xfId="0" applyFont="1" applyAlignment="1">
      <alignment horizontal="left" wrapText="1"/>
    </xf>
    <xf numFmtId="0" fontId="23" fillId="0" borderId="0" xfId="0" applyFont="1" applyBorder="1" applyAlignment="1">
      <alignment horizontal="left"/>
    </xf>
    <xf numFmtId="0" fontId="23" fillId="0" borderId="0" xfId="0" applyFont="1" applyBorder="1" applyAlignment="1">
      <alignment horizontal="left" vertical="center" wrapText="1"/>
    </xf>
    <xf numFmtId="0" fontId="23" fillId="0" borderId="13" xfId="0" applyFont="1" applyBorder="1" applyAlignment="1">
      <alignment horizontal="right"/>
    </xf>
    <xf numFmtId="0" fontId="23" fillId="0" borderId="10" xfId="0" applyFont="1" applyBorder="1" applyAlignment="1">
      <alignment horizontal="left"/>
    </xf>
    <xf numFmtId="0" fontId="23" fillId="0" borderId="14" xfId="0" applyFont="1" applyBorder="1" applyAlignment="1">
      <alignment horizontal="left"/>
    </xf>
    <xf numFmtId="0" fontId="23" fillId="0" borderId="15" xfId="0" applyFont="1" applyBorder="1" applyAlignment="1">
      <alignment horizontal="left"/>
    </xf>
    <xf numFmtId="0" fontId="23" fillId="0" borderId="15" xfId="0" applyFont="1" applyBorder="1" applyAlignment="1">
      <alignment horizontal="left" vertical="center" wrapText="1"/>
    </xf>
    <xf numFmtId="0" fontId="23" fillId="0" borderId="0" xfId="2" applyFont="1" applyFill="1" applyBorder="1" applyAlignment="1">
      <alignment horizontal="left" vertical="center" wrapText="1"/>
    </xf>
    <xf numFmtId="0" fontId="23" fillId="0" borderId="1" xfId="2" applyFont="1" applyFill="1" applyBorder="1" applyAlignment="1">
      <alignment horizontal="center" vertical="center"/>
    </xf>
    <xf numFmtId="43" fontId="23" fillId="0" borderId="1" xfId="14" applyFont="1" applyFill="1" applyBorder="1" applyAlignment="1">
      <alignment horizontal="center" vertical="center" wrapText="1"/>
    </xf>
    <xf numFmtId="43" fontId="23" fillId="0" borderId="1" xfId="14" applyFont="1" applyBorder="1" applyAlignment="1">
      <alignment horizontal="center" vertical="center" wrapText="1"/>
    </xf>
    <xf numFmtId="0" fontId="26" fillId="0" borderId="1" xfId="0" applyFont="1" applyBorder="1" applyAlignment="1">
      <alignment horizontal="center"/>
    </xf>
    <xf numFmtId="0" fontId="23" fillId="0" borderId="1" xfId="14" applyNumberFormat="1" applyFont="1" applyFill="1" applyBorder="1" applyAlignment="1">
      <alignment horizontal="center" vertical="center" wrapText="1"/>
    </xf>
    <xf numFmtId="0" fontId="26" fillId="0" borderId="1" xfId="6" applyFont="1" applyBorder="1" applyAlignment="1">
      <alignment horizontal="left" vertical="center" wrapText="1"/>
    </xf>
    <xf numFmtId="0" fontId="26" fillId="4" borderId="3" xfId="6" applyFont="1" applyFill="1" applyBorder="1" applyAlignment="1">
      <alignment horizontal="center" vertical="center"/>
    </xf>
    <xf numFmtId="0" fontId="26" fillId="4" borderId="2" xfId="6" applyFont="1" applyFill="1" applyBorder="1" applyAlignment="1">
      <alignment horizontal="center" vertical="center"/>
    </xf>
    <xf numFmtId="0" fontId="26" fillId="4" borderId="3" xfId="6" applyFont="1" applyFill="1" applyBorder="1" applyAlignment="1">
      <alignment horizontal="center" vertical="center" wrapText="1"/>
    </xf>
    <xf numFmtId="0" fontId="26" fillId="4" borderId="2" xfId="6" applyFont="1" applyFill="1" applyBorder="1" applyAlignment="1">
      <alignment horizontal="center" vertical="center" wrapText="1"/>
    </xf>
    <xf numFmtId="0" fontId="26" fillId="4" borderId="5" xfId="6" applyFont="1" applyFill="1" applyBorder="1" applyAlignment="1">
      <alignment horizontal="center" vertical="center"/>
    </xf>
    <xf numFmtId="0" fontId="26" fillId="4" borderId="6" xfId="6" applyFont="1" applyFill="1" applyBorder="1" applyAlignment="1">
      <alignment horizontal="center" vertical="center"/>
    </xf>
    <xf numFmtId="2" fontId="26" fillId="4" borderId="5" xfId="6" applyNumberFormat="1" applyFont="1" applyFill="1" applyBorder="1" applyAlignment="1">
      <alignment horizontal="center" vertical="center" wrapText="1"/>
    </xf>
    <xf numFmtId="2" fontId="26" fillId="4" borderId="6" xfId="6" applyNumberFormat="1" applyFont="1" applyFill="1" applyBorder="1" applyAlignment="1">
      <alignment horizontal="center" vertical="center" wrapText="1"/>
    </xf>
    <xf numFmtId="0" fontId="29" fillId="4" borderId="1" xfId="0" applyFont="1" applyFill="1" applyBorder="1" applyAlignment="1">
      <alignment horizontal="left" vertical="top" wrapText="1"/>
    </xf>
  </cellXfs>
  <cellStyles count="16">
    <cellStyle name="Comma" xfId="1" builtinId="3"/>
    <cellStyle name="Comma 2" xfId="13"/>
    <cellStyle name="Comma 2 2" xfId="14"/>
    <cellStyle name="Hyperlink" xfId="8" builtinId="8"/>
    <cellStyle name="Normal" xfId="0" builtinId="0"/>
    <cellStyle name="Normal 10 2" xfId="5"/>
    <cellStyle name="Normal 2" xfId="2"/>
    <cellStyle name="Normal 2 2" xfId="6"/>
    <cellStyle name="Normal 2 3" xfId="9"/>
    <cellStyle name="Normal 3" xfId="3"/>
    <cellStyle name="Normal 3 2" xfId="10"/>
    <cellStyle name="Normal 3 3" xfId="12"/>
    <cellStyle name="Normal 39" xfId="4"/>
    <cellStyle name="Normal 4" xfId="11"/>
    <cellStyle name="Percent" xfId="15" builtinId="5"/>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3"/>
  <sheetViews>
    <sheetView tabSelected="1" zoomScale="69" zoomScaleNormal="69" workbookViewId="0">
      <pane ySplit="5" topLeftCell="A66" activePane="bottomLeft" state="frozen"/>
      <selection pane="bottomLeft" activeCell="C70" sqref="C70"/>
    </sheetView>
  </sheetViews>
  <sheetFormatPr defaultColWidth="8.85546875" defaultRowHeight="15.75" x14ac:dyDescent="0.25"/>
  <cols>
    <col min="1" max="1" width="14" style="2" customWidth="1"/>
    <col min="2" max="3" width="22.42578125" style="2" customWidth="1"/>
    <col min="4" max="4" width="23.5703125" style="2" customWidth="1"/>
    <col min="5" max="5" width="19.140625" style="2" customWidth="1"/>
    <col min="6" max="6" width="9.5703125" style="2" customWidth="1"/>
    <col min="7" max="7" width="12.28515625" style="2" customWidth="1"/>
    <col min="8" max="10" width="12.42578125" style="2" customWidth="1"/>
    <col min="11" max="11" width="12.85546875" style="2" customWidth="1"/>
    <col min="12" max="12" width="15" style="2" customWidth="1"/>
    <col min="13" max="13" width="13.42578125" style="2" customWidth="1"/>
    <col min="14" max="14" width="14.28515625" style="2" customWidth="1"/>
    <col min="15" max="15" width="15.140625" style="2" hidden="1" customWidth="1"/>
    <col min="16" max="16" width="4.5703125" style="20" customWidth="1"/>
    <col min="17" max="17" width="25.140625" style="2" customWidth="1"/>
    <col min="18" max="18" width="27.5703125" style="2" customWidth="1"/>
    <col min="19" max="16384" width="8.85546875" style="2"/>
  </cols>
  <sheetData>
    <row r="1" spans="1:20" ht="21.6" customHeight="1" x14ac:dyDescent="0.25">
      <c r="I1" s="392" t="s">
        <v>366</v>
      </c>
      <c r="J1" s="392"/>
      <c r="K1" s="392"/>
      <c r="L1" s="392"/>
      <c r="M1" s="392"/>
      <c r="N1" s="392"/>
    </row>
    <row r="2" spans="1:20" ht="16.149999999999999" customHeight="1" x14ac:dyDescent="0.25">
      <c r="A2" s="394" t="s">
        <v>14</v>
      </c>
      <c r="B2" s="394"/>
      <c r="C2" s="394"/>
      <c r="D2" s="394"/>
      <c r="E2" s="394"/>
      <c r="F2" s="394"/>
      <c r="G2" s="394"/>
      <c r="H2" s="394"/>
      <c r="I2" s="394"/>
      <c r="J2" s="394"/>
      <c r="K2" s="394"/>
      <c r="L2" s="394"/>
      <c r="M2" s="394"/>
      <c r="N2" s="1"/>
      <c r="O2" s="1" t="s">
        <v>15</v>
      </c>
      <c r="P2" s="21"/>
    </row>
    <row r="3" spans="1:20" ht="15.6" customHeight="1" x14ac:dyDescent="0.25">
      <c r="A3" s="395" t="s">
        <v>10</v>
      </c>
      <c r="B3" s="395" t="s">
        <v>0</v>
      </c>
      <c r="C3" s="395"/>
      <c r="D3" s="395"/>
      <c r="E3" s="396" t="s">
        <v>5</v>
      </c>
      <c r="F3" s="396" t="s">
        <v>6</v>
      </c>
      <c r="G3" s="396"/>
      <c r="H3" s="396"/>
      <c r="I3" s="395" t="s">
        <v>13</v>
      </c>
      <c r="J3" s="395"/>
      <c r="K3" s="395"/>
      <c r="L3" s="395"/>
      <c r="M3" s="395"/>
      <c r="N3" s="395"/>
      <c r="O3" s="393" t="s">
        <v>17</v>
      </c>
      <c r="P3" s="18"/>
    </row>
    <row r="4" spans="1:20" x14ac:dyDescent="0.25">
      <c r="A4" s="395"/>
      <c r="B4" s="395"/>
      <c r="C4" s="395"/>
      <c r="D4" s="395"/>
      <c r="E4" s="396"/>
      <c r="F4" s="396"/>
      <c r="G4" s="396"/>
      <c r="H4" s="396"/>
      <c r="I4" s="230" t="s">
        <v>1</v>
      </c>
      <c r="J4" s="230" t="s">
        <v>2</v>
      </c>
      <c r="K4" s="230" t="s">
        <v>3</v>
      </c>
      <c r="L4" s="230" t="s">
        <v>16</v>
      </c>
      <c r="M4" s="395" t="s">
        <v>7</v>
      </c>
      <c r="N4" s="395" t="s">
        <v>8</v>
      </c>
      <c r="O4" s="393"/>
      <c r="P4" s="18"/>
    </row>
    <row r="5" spans="1:20" ht="115.5" customHeight="1" x14ac:dyDescent="0.25">
      <c r="A5" s="396"/>
      <c r="B5" s="395"/>
      <c r="C5" s="395"/>
      <c r="D5" s="395"/>
      <c r="E5" s="396"/>
      <c r="F5" s="231" t="s">
        <v>1</v>
      </c>
      <c r="G5" s="231" t="s">
        <v>2</v>
      </c>
      <c r="H5" s="231" t="s">
        <v>3</v>
      </c>
      <c r="I5" s="230" t="s">
        <v>4</v>
      </c>
      <c r="J5" s="230" t="s">
        <v>4</v>
      </c>
      <c r="K5" s="230" t="s">
        <v>4</v>
      </c>
      <c r="L5" s="230" t="s">
        <v>4</v>
      </c>
      <c r="M5" s="395"/>
      <c r="N5" s="395"/>
      <c r="O5" s="393"/>
      <c r="P5" s="18"/>
    </row>
    <row r="6" spans="1:20" ht="45" customHeight="1" x14ac:dyDescent="0.25">
      <c r="A6" s="24" t="s">
        <v>9</v>
      </c>
      <c r="B6" s="25"/>
      <c r="C6" s="25"/>
      <c r="D6" s="25"/>
      <c r="E6" s="25"/>
      <c r="F6" s="27"/>
      <c r="G6" s="27">
        <f>G10+G16+G20+G23+G51+G61+G13</f>
        <v>1195996</v>
      </c>
      <c r="H6" s="27">
        <f>H10+H16+H20+H23+H51+H61+H13</f>
        <v>1153729</v>
      </c>
      <c r="I6" s="26"/>
      <c r="J6" s="27">
        <f>J26+J38+J42+J45+J48+J56+J66+J71+J88+J93+J34</f>
        <v>6685644</v>
      </c>
      <c r="K6" s="27">
        <f>K26+K38+K42+K45+K48+K56+K66+K71+K88+K93+K34</f>
        <v>10203229</v>
      </c>
      <c r="L6" s="27">
        <f>L26+L38+L42+L45+L48+L56+L66+L71+L88+L93+L34</f>
        <v>10211621</v>
      </c>
      <c r="M6" s="27"/>
      <c r="N6" s="27">
        <f>N26+N38+N42+N45+N48+N56+N66+N71+N88+N93+N34</f>
        <v>10211621</v>
      </c>
      <c r="O6" s="10"/>
      <c r="P6" s="15"/>
    </row>
    <row r="7" spans="1:20" x14ac:dyDescent="0.25">
      <c r="A7" s="28" t="s">
        <v>12</v>
      </c>
      <c r="B7" s="29"/>
      <c r="C7" s="29"/>
      <c r="D7" s="29"/>
      <c r="E7" s="29"/>
      <c r="F7" s="30"/>
      <c r="G7" s="30"/>
      <c r="H7" s="30"/>
      <c r="I7" s="31"/>
      <c r="J7" s="31"/>
      <c r="K7" s="31"/>
      <c r="L7" s="31"/>
      <c r="M7" s="31"/>
      <c r="N7" s="31"/>
      <c r="O7" s="7"/>
      <c r="P7" s="15"/>
    </row>
    <row r="8" spans="1:20" ht="30" x14ac:dyDescent="0.25">
      <c r="A8" s="32" t="s">
        <v>11</v>
      </c>
      <c r="B8" s="25"/>
      <c r="C8" s="25"/>
      <c r="D8" s="25"/>
      <c r="E8" s="25"/>
      <c r="F8" s="27"/>
      <c r="G8" s="27">
        <f>G10+G16+G20+G23+G51+G61+G13</f>
        <v>1195996</v>
      </c>
      <c r="H8" s="27">
        <f>H10+H16+H20+H23+H51+H61+H13</f>
        <v>1153729</v>
      </c>
      <c r="I8" s="26"/>
      <c r="J8" s="27">
        <f>J26+J38+J42+J45+J48+J56+J66+J71+J88+J93+J34</f>
        <v>6685644</v>
      </c>
      <c r="K8" s="27">
        <f>K26+K38+K42+K45+K48+K56+K66+K71+K88+K93+K34</f>
        <v>10203229</v>
      </c>
      <c r="L8" s="27">
        <f>L26+L38+L42+L45+L48+L56+L66+L71+L88+L93+L34</f>
        <v>10211621</v>
      </c>
      <c r="M8" s="27"/>
      <c r="N8" s="27">
        <f>N26+N38+N42+N45+N48+N56+N66+N71+N88+N93+N34</f>
        <v>10211621</v>
      </c>
      <c r="O8" s="9"/>
      <c r="P8" s="19"/>
    </row>
    <row r="9" spans="1:20" ht="217.5" customHeight="1" x14ac:dyDescent="0.25">
      <c r="A9" s="50"/>
      <c r="B9" s="254" t="s">
        <v>20</v>
      </c>
      <c r="C9" s="255" t="s">
        <v>21</v>
      </c>
      <c r="D9" s="255" t="s">
        <v>22</v>
      </c>
      <c r="E9" s="229"/>
      <c r="F9" s="76"/>
      <c r="G9" s="76">
        <v>434321</v>
      </c>
      <c r="H9" s="76">
        <v>434321</v>
      </c>
      <c r="I9" s="76"/>
      <c r="J9" s="76"/>
      <c r="K9" s="77"/>
      <c r="L9" s="77"/>
      <c r="M9" s="77"/>
      <c r="N9" s="77"/>
      <c r="O9" s="6"/>
      <c r="P9" s="15"/>
      <c r="Q9" s="14" t="s">
        <v>18</v>
      </c>
      <c r="R9" s="3"/>
      <c r="S9" s="4"/>
      <c r="T9" s="4"/>
    </row>
    <row r="10" spans="1:20" ht="30.75" customHeight="1" x14ac:dyDescent="0.25">
      <c r="A10" s="35"/>
      <c r="B10" s="36" t="s">
        <v>19</v>
      </c>
      <c r="C10" s="37"/>
      <c r="D10" s="37"/>
      <c r="E10" s="38"/>
      <c r="F10" s="39"/>
      <c r="G10" s="39">
        <f t="shared" ref="G10:H11" si="0">SUM(G9)</f>
        <v>434321</v>
      </c>
      <c r="H10" s="39">
        <f t="shared" si="0"/>
        <v>434321</v>
      </c>
      <c r="I10" s="39"/>
      <c r="J10" s="39"/>
      <c r="K10" s="39"/>
      <c r="L10" s="39"/>
      <c r="M10" s="39"/>
      <c r="N10" s="39"/>
      <c r="O10" s="13"/>
      <c r="P10" s="16"/>
      <c r="Q10" s="14"/>
      <c r="R10" s="5"/>
      <c r="S10" s="4"/>
      <c r="T10" s="4"/>
    </row>
    <row r="11" spans="1:20" ht="65.25" customHeight="1" x14ac:dyDescent="0.25">
      <c r="A11" s="105"/>
      <c r="B11" s="36"/>
      <c r="C11" s="37"/>
      <c r="D11" s="37"/>
      <c r="E11" s="40" t="s">
        <v>411</v>
      </c>
      <c r="F11" s="146"/>
      <c r="G11" s="146">
        <f t="shared" si="0"/>
        <v>434321</v>
      </c>
      <c r="H11" s="146">
        <f t="shared" si="0"/>
        <v>434321</v>
      </c>
      <c r="I11" s="39"/>
      <c r="J11" s="39"/>
      <c r="K11" s="39"/>
      <c r="L11" s="39"/>
      <c r="M11" s="39"/>
      <c r="N11" s="39"/>
      <c r="O11" s="13"/>
      <c r="P11" s="16"/>
      <c r="Q11" s="14"/>
      <c r="R11" s="12"/>
      <c r="S11" s="4"/>
      <c r="T11" s="4"/>
    </row>
    <row r="12" spans="1:20" ht="177.75" customHeight="1" x14ac:dyDescent="0.25">
      <c r="A12" s="50"/>
      <c r="B12" s="186" t="s">
        <v>1000</v>
      </c>
      <c r="C12" s="256" t="s">
        <v>23</v>
      </c>
      <c r="D12" s="256" t="s">
        <v>24</v>
      </c>
      <c r="E12" s="186"/>
      <c r="F12" s="41"/>
      <c r="G12" s="41">
        <v>191174</v>
      </c>
      <c r="H12" s="41">
        <v>191174</v>
      </c>
      <c r="I12" s="41"/>
      <c r="J12" s="41"/>
      <c r="K12" s="41"/>
      <c r="L12" s="41"/>
      <c r="M12" s="41"/>
      <c r="N12" s="41"/>
      <c r="O12" s="6"/>
      <c r="P12" s="15"/>
      <c r="Q12" s="14"/>
      <c r="R12" s="3"/>
      <c r="S12" s="4"/>
      <c r="T12" s="4"/>
    </row>
    <row r="13" spans="1:20" ht="30.75" customHeight="1" x14ac:dyDescent="0.25">
      <c r="A13" s="35"/>
      <c r="B13" s="52" t="s">
        <v>19</v>
      </c>
      <c r="C13" s="53"/>
      <c r="D13" s="53"/>
      <c r="E13" s="38"/>
      <c r="F13" s="39"/>
      <c r="G13" s="39">
        <f>SUM(G12)</f>
        <v>191174</v>
      </c>
      <c r="H13" s="39">
        <f>SUM(H12)</f>
        <v>191174</v>
      </c>
      <c r="I13" s="39"/>
      <c r="J13" s="39"/>
      <c r="K13" s="39"/>
      <c r="L13" s="39"/>
      <c r="M13" s="39"/>
      <c r="N13" s="39"/>
      <c r="O13" s="13"/>
      <c r="P13" s="16"/>
      <c r="Q13" s="12"/>
      <c r="R13" s="12"/>
      <c r="S13" s="4"/>
      <c r="T13" s="4"/>
    </row>
    <row r="14" spans="1:20" ht="64.5" customHeight="1" x14ac:dyDescent="0.25">
      <c r="A14" s="105"/>
      <c r="B14" s="52"/>
      <c r="C14" s="53"/>
      <c r="D14" s="53"/>
      <c r="E14" s="40" t="s">
        <v>411</v>
      </c>
      <c r="F14" s="39"/>
      <c r="G14" s="146">
        <f>SUM(G12)</f>
        <v>191174</v>
      </c>
      <c r="H14" s="146">
        <f>SUM(H12)</f>
        <v>191174</v>
      </c>
      <c r="I14" s="39"/>
      <c r="J14" s="39"/>
      <c r="K14" s="39"/>
      <c r="L14" s="39"/>
      <c r="M14" s="39"/>
      <c r="N14" s="39"/>
      <c r="O14" s="13"/>
      <c r="P14" s="16"/>
      <c r="Q14" s="12"/>
      <c r="R14" s="12"/>
      <c r="S14" s="4"/>
      <c r="T14" s="4"/>
    </row>
    <row r="15" spans="1:20" ht="71.25" customHeight="1" x14ac:dyDescent="0.25">
      <c r="A15" s="50"/>
      <c r="B15" s="257" t="s">
        <v>27</v>
      </c>
      <c r="C15" s="258" t="s">
        <v>25</v>
      </c>
      <c r="D15" s="258" t="s">
        <v>26</v>
      </c>
      <c r="E15" s="186"/>
      <c r="G15" s="41">
        <v>42267</v>
      </c>
      <c r="H15" s="41"/>
      <c r="I15" s="41"/>
      <c r="J15" s="41"/>
      <c r="K15" s="41"/>
      <c r="L15" s="41"/>
      <c r="M15" s="41"/>
      <c r="N15" s="41"/>
      <c r="O15" s="8"/>
      <c r="P15" s="17"/>
      <c r="Q15" s="14"/>
      <c r="R15" s="4"/>
      <c r="S15" s="4"/>
      <c r="T15" s="4"/>
    </row>
    <row r="16" spans="1:20" ht="31.5" customHeight="1" x14ac:dyDescent="0.25">
      <c r="A16" s="35"/>
      <c r="B16" s="54" t="s">
        <v>19</v>
      </c>
      <c r="C16" s="55"/>
      <c r="D16" s="55"/>
      <c r="E16" s="38"/>
      <c r="F16" s="39"/>
      <c r="G16" s="39">
        <f>SUM(G15)</f>
        <v>42267</v>
      </c>
      <c r="H16" s="39"/>
      <c r="I16" s="39"/>
      <c r="J16" s="39"/>
      <c r="K16" s="39"/>
      <c r="L16" s="39"/>
      <c r="M16" s="39"/>
      <c r="N16" s="39"/>
      <c r="O16" s="13"/>
      <c r="P16" s="16"/>
      <c r="Q16" s="14"/>
      <c r="R16" s="4"/>
      <c r="S16" s="4"/>
      <c r="T16" s="4"/>
    </row>
    <row r="17" spans="1:20" ht="52.5" customHeight="1" x14ac:dyDescent="0.25">
      <c r="A17" s="35"/>
      <c r="B17" s="36"/>
      <c r="C17" s="37"/>
      <c r="D17" s="37"/>
      <c r="E17" s="40" t="s">
        <v>376</v>
      </c>
      <c r="F17" s="146"/>
      <c r="G17" s="39">
        <f>SUM(G16)</f>
        <v>42267</v>
      </c>
      <c r="H17" s="39"/>
      <c r="I17" s="39"/>
      <c r="J17" s="39"/>
      <c r="K17" s="39"/>
      <c r="L17" s="39"/>
      <c r="M17" s="39"/>
      <c r="N17" s="39"/>
      <c r="O17" s="13"/>
      <c r="P17" s="16"/>
      <c r="Q17" s="14"/>
      <c r="R17" s="4"/>
      <c r="S17" s="4"/>
      <c r="T17" s="4"/>
    </row>
    <row r="18" spans="1:20" ht="21.75" customHeight="1" x14ac:dyDescent="0.25">
      <c r="A18" s="406" t="s">
        <v>158</v>
      </c>
      <c r="B18" s="407"/>
      <c r="C18" s="407"/>
      <c r="D18" s="407"/>
      <c r="E18" s="407"/>
      <c r="F18" s="407"/>
      <c r="G18" s="407"/>
      <c r="H18" s="407"/>
      <c r="I18" s="407"/>
      <c r="J18" s="407"/>
      <c r="K18" s="407"/>
      <c r="L18" s="407"/>
      <c r="M18" s="407"/>
      <c r="N18" s="408"/>
      <c r="O18" s="8"/>
      <c r="P18" s="17"/>
      <c r="Q18" s="23"/>
      <c r="R18" s="4"/>
      <c r="S18" s="4"/>
      <c r="T18" s="4"/>
    </row>
    <row r="19" spans="1:20" ht="141" customHeight="1" x14ac:dyDescent="0.25">
      <c r="A19" s="50"/>
      <c r="B19" s="255" t="s">
        <v>28</v>
      </c>
      <c r="C19" s="259" t="s">
        <v>1004</v>
      </c>
      <c r="D19" s="260" t="s">
        <v>29</v>
      </c>
      <c r="E19" s="228"/>
      <c r="F19" s="99"/>
      <c r="G19" s="100">
        <v>1411</v>
      </c>
      <c r="H19" s="99">
        <v>1411</v>
      </c>
      <c r="I19" s="99"/>
      <c r="J19" s="101"/>
      <c r="K19" s="101"/>
      <c r="L19" s="101"/>
      <c r="M19" s="101"/>
      <c r="N19" s="101"/>
      <c r="O19" s="8"/>
      <c r="P19" s="17"/>
      <c r="Q19" s="23"/>
      <c r="R19" s="4"/>
      <c r="S19" s="4"/>
      <c r="T19" s="4"/>
    </row>
    <row r="20" spans="1:20" ht="30" customHeight="1" x14ac:dyDescent="0.25">
      <c r="A20" s="35"/>
      <c r="B20" s="36" t="s">
        <v>19</v>
      </c>
      <c r="C20" s="37"/>
      <c r="D20" s="37"/>
      <c r="E20" s="38"/>
      <c r="F20" s="39"/>
      <c r="G20" s="39">
        <f t="shared" ref="G20:H20" si="1">SUM(G19)</f>
        <v>1411</v>
      </c>
      <c r="H20" s="39">
        <f t="shared" si="1"/>
        <v>1411</v>
      </c>
      <c r="I20" s="39"/>
      <c r="J20" s="39"/>
      <c r="K20" s="39"/>
      <c r="L20" s="39"/>
      <c r="M20" s="39"/>
      <c r="N20" s="39"/>
      <c r="O20" s="8"/>
      <c r="P20" s="17"/>
      <c r="Q20" s="23"/>
      <c r="R20" s="4"/>
      <c r="S20" s="4"/>
      <c r="T20" s="4"/>
    </row>
    <row r="21" spans="1:20" ht="49.5" customHeight="1" x14ac:dyDescent="0.25">
      <c r="A21" s="105"/>
      <c r="B21" s="52"/>
      <c r="C21" s="53"/>
      <c r="D21" s="53"/>
      <c r="E21" s="40" t="s">
        <v>376</v>
      </c>
      <c r="F21" s="146"/>
      <c r="G21" s="146">
        <f t="shared" ref="G21:H21" si="2">SUM(G19)</f>
        <v>1411</v>
      </c>
      <c r="H21" s="146">
        <f t="shared" si="2"/>
        <v>1411</v>
      </c>
      <c r="I21" s="39"/>
      <c r="J21" s="39"/>
      <c r="K21" s="39"/>
      <c r="L21" s="39"/>
      <c r="M21" s="39"/>
      <c r="N21" s="39"/>
      <c r="O21" s="8"/>
      <c r="P21" s="17"/>
      <c r="Q21" s="23"/>
      <c r="R21" s="4"/>
      <c r="S21" s="4"/>
      <c r="T21" s="4"/>
    </row>
    <row r="22" spans="1:20" ht="75.75" customHeight="1" x14ac:dyDescent="0.25">
      <c r="A22" s="187"/>
      <c r="B22" s="261" t="s">
        <v>32</v>
      </c>
      <c r="C22" s="262" t="s">
        <v>30</v>
      </c>
      <c r="D22" s="262" t="s">
        <v>31</v>
      </c>
      <c r="E22" s="227"/>
      <c r="F22" s="42"/>
      <c r="G22" s="42">
        <v>10500</v>
      </c>
      <c r="H22" s="42">
        <v>10500</v>
      </c>
      <c r="I22" s="42"/>
      <c r="J22" s="43"/>
      <c r="K22" s="43"/>
      <c r="L22" s="43"/>
      <c r="M22" s="43"/>
      <c r="N22" s="43"/>
      <c r="O22" s="8"/>
      <c r="P22" s="17"/>
      <c r="Q22" s="23"/>
      <c r="R22" s="4"/>
      <c r="S22" s="4"/>
      <c r="T22" s="4"/>
    </row>
    <row r="23" spans="1:20" ht="30" customHeight="1" x14ac:dyDescent="0.25">
      <c r="A23" s="35"/>
      <c r="B23" s="36" t="s">
        <v>19</v>
      </c>
      <c r="C23" s="37"/>
      <c r="D23" s="37"/>
      <c r="E23" s="38"/>
      <c r="F23" s="39"/>
      <c r="G23" s="39">
        <f t="shared" ref="G23:H23" si="3">SUM(G22)</f>
        <v>10500</v>
      </c>
      <c r="H23" s="39">
        <f t="shared" si="3"/>
        <v>10500</v>
      </c>
      <c r="I23" s="39"/>
      <c r="J23" s="39"/>
      <c r="K23" s="39"/>
      <c r="L23" s="39"/>
      <c r="M23" s="39"/>
      <c r="N23" s="39"/>
      <c r="O23" s="8"/>
      <c r="P23" s="17"/>
      <c r="Q23" s="23"/>
      <c r="R23" s="4"/>
      <c r="S23" s="4"/>
      <c r="T23" s="4"/>
    </row>
    <row r="24" spans="1:20" ht="47.25" customHeight="1" x14ac:dyDescent="0.25">
      <c r="A24" s="240"/>
      <c r="B24" s="36"/>
      <c r="C24" s="37"/>
      <c r="D24" s="37"/>
      <c r="E24" s="40" t="s">
        <v>376</v>
      </c>
      <c r="F24" s="146"/>
      <c r="G24" s="146">
        <f t="shared" ref="G24:H24" si="4">SUM(G22)</f>
        <v>10500</v>
      </c>
      <c r="H24" s="146">
        <f t="shared" si="4"/>
        <v>10500</v>
      </c>
      <c r="I24" s="39"/>
      <c r="J24" s="39"/>
      <c r="K24" s="39"/>
      <c r="L24" s="39"/>
      <c r="M24" s="39"/>
      <c r="N24" s="39"/>
      <c r="O24" s="8"/>
      <c r="P24" s="17"/>
      <c r="Q24" s="23"/>
      <c r="R24" s="4"/>
      <c r="S24" s="4"/>
      <c r="T24" s="4"/>
    </row>
    <row r="25" spans="1:20" ht="87" customHeight="1" x14ac:dyDescent="0.25">
      <c r="A25" s="188"/>
      <c r="B25" s="263" t="s">
        <v>35</v>
      </c>
      <c r="C25" s="264" t="s">
        <v>33</v>
      </c>
      <c r="D25" s="264" t="s">
        <v>34</v>
      </c>
      <c r="E25" s="227"/>
      <c r="F25" s="42"/>
      <c r="G25" s="34"/>
      <c r="H25" s="42"/>
      <c r="I25" s="42"/>
      <c r="J25" s="43">
        <v>141525</v>
      </c>
      <c r="K25" s="43">
        <v>141525</v>
      </c>
      <c r="L25" s="43">
        <v>141525</v>
      </c>
      <c r="M25" s="43"/>
      <c r="N25" s="43">
        <v>141525</v>
      </c>
      <c r="O25" s="8"/>
      <c r="P25" s="17"/>
      <c r="Q25" s="23"/>
      <c r="R25" s="4"/>
      <c r="S25" s="4"/>
      <c r="T25" s="4"/>
    </row>
    <row r="26" spans="1:20" ht="33.75" customHeight="1" x14ac:dyDescent="0.25">
      <c r="A26" s="45"/>
      <c r="B26" s="55" t="s">
        <v>19</v>
      </c>
      <c r="C26" s="55"/>
      <c r="D26" s="56"/>
      <c r="E26" s="44"/>
      <c r="F26" s="27"/>
      <c r="G26" s="27"/>
      <c r="H26" s="27"/>
      <c r="I26" s="27"/>
      <c r="J26" s="48">
        <f>SUM(J25)</f>
        <v>141525</v>
      </c>
      <c r="K26" s="48">
        <f t="shared" ref="K26:N26" si="5">SUM(K25)</f>
        <v>141525</v>
      </c>
      <c r="L26" s="48">
        <f t="shared" si="5"/>
        <v>141525</v>
      </c>
      <c r="M26" s="48"/>
      <c r="N26" s="48">
        <f t="shared" si="5"/>
        <v>141525</v>
      </c>
      <c r="O26" s="11"/>
      <c r="Q26" s="14"/>
      <c r="R26" s="4"/>
      <c r="S26" s="4"/>
      <c r="T26" s="4"/>
    </row>
    <row r="27" spans="1:20" ht="52.5" customHeight="1" x14ac:dyDescent="0.25">
      <c r="A27" s="45"/>
      <c r="B27" s="37"/>
      <c r="C27" s="37"/>
      <c r="D27" s="24"/>
      <c r="E27" s="78" t="s">
        <v>222</v>
      </c>
      <c r="F27" s="27"/>
      <c r="G27" s="27"/>
      <c r="H27" s="27"/>
      <c r="I27" s="27"/>
      <c r="J27" s="47">
        <v>112153</v>
      </c>
      <c r="K27" s="47">
        <v>112153</v>
      </c>
      <c r="L27" s="47">
        <v>112153</v>
      </c>
      <c r="M27" s="47"/>
      <c r="N27" s="47">
        <v>112153</v>
      </c>
      <c r="O27" s="11"/>
      <c r="Q27" s="22"/>
      <c r="R27" s="4"/>
      <c r="S27" s="4"/>
      <c r="T27" s="4"/>
    </row>
    <row r="28" spans="1:20" ht="66" customHeight="1" x14ac:dyDescent="0.25">
      <c r="A28" s="156"/>
      <c r="B28" s="53"/>
      <c r="C28" s="53"/>
      <c r="D28" s="157"/>
      <c r="E28" s="78" t="s">
        <v>223</v>
      </c>
      <c r="F28" s="27"/>
      <c r="G28" s="27"/>
      <c r="H28" s="27"/>
      <c r="I28" s="27"/>
      <c r="J28" s="47">
        <v>29372</v>
      </c>
      <c r="K28" s="47">
        <v>29372</v>
      </c>
      <c r="L28" s="47">
        <v>29372</v>
      </c>
      <c r="M28" s="47"/>
      <c r="N28" s="47">
        <v>29372</v>
      </c>
      <c r="O28" s="11"/>
      <c r="Q28" s="22"/>
      <c r="R28" s="4"/>
      <c r="S28" s="4"/>
      <c r="T28" s="4"/>
    </row>
    <row r="29" spans="1:20" ht="19.5" customHeight="1" x14ac:dyDescent="0.25">
      <c r="A29" s="419" t="s">
        <v>961</v>
      </c>
      <c r="B29" s="420"/>
      <c r="C29" s="420"/>
      <c r="D29" s="420"/>
      <c r="E29" s="420"/>
      <c r="F29" s="420"/>
      <c r="G29" s="420"/>
      <c r="H29" s="420"/>
      <c r="I29" s="420"/>
      <c r="J29" s="420"/>
      <c r="K29" s="420"/>
      <c r="L29" s="420"/>
      <c r="M29" s="420"/>
      <c r="N29" s="421"/>
      <c r="O29" s="11"/>
      <c r="Q29" s="22"/>
      <c r="R29" s="4"/>
      <c r="S29" s="4"/>
      <c r="T29" s="4"/>
    </row>
    <row r="30" spans="1:20" ht="138" customHeight="1" x14ac:dyDescent="0.25">
      <c r="A30" s="63"/>
      <c r="B30" s="364" t="s">
        <v>962</v>
      </c>
      <c r="C30" s="365" t="s">
        <v>1001</v>
      </c>
      <c r="D30" s="366" t="s">
        <v>55</v>
      </c>
      <c r="E30" s="64"/>
      <c r="F30" s="61"/>
      <c r="G30" s="61"/>
      <c r="H30" s="61"/>
      <c r="I30" s="61"/>
      <c r="J30" s="77"/>
      <c r="K30" s="77"/>
      <c r="L30" s="77"/>
      <c r="M30" s="77"/>
      <c r="N30" s="77"/>
      <c r="O30" s="11"/>
      <c r="Q30" s="22"/>
      <c r="R30" s="4"/>
      <c r="S30" s="4"/>
      <c r="T30" s="4"/>
    </row>
    <row r="31" spans="1:20" ht="140.25" customHeight="1" x14ac:dyDescent="0.25">
      <c r="A31" s="63"/>
      <c r="B31" s="422" t="s">
        <v>964</v>
      </c>
      <c r="C31" s="390" t="s">
        <v>963</v>
      </c>
      <c r="D31" s="367" t="s">
        <v>1003</v>
      </c>
      <c r="E31" s="64"/>
      <c r="F31" s="61"/>
      <c r="G31" s="61"/>
      <c r="H31" s="61"/>
      <c r="I31" s="61"/>
      <c r="J31" s="77"/>
      <c r="K31" s="77"/>
      <c r="L31" s="77"/>
      <c r="M31" s="77"/>
      <c r="N31" s="77"/>
      <c r="O31" s="11"/>
      <c r="Q31" s="22"/>
      <c r="R31" s="4"/>
      <c r="S31" s="4"/>
      <c r="T31" s="4"/>
    </row>
    <row r="32" spans="1:20" ht="93.75" customHeight="1" x14ac:dyDescent="0.25">
      <c r="A32" s="63"/>
      <c r="B32" s="423"/>
      <c r="C32" s="390" t="s">
        <v>1002</v>
      </c>
      <c r="D32" s="367" t="s">
        <v>965</v>
      </c>
      <c r="E32" s="64"/>
      <c r="F32" s="61"/>
      <c r="G32" s="61"/>
      <c r="H32" s="61"/>
      <c r="I32" s="61"/>
      <c r="J32" s="77">
        <v>3648751</v>
      </c>
      <c r="K32" s="77">
        <v>7565857</v>
      </c>
      <c r="L32" s="77">
        <v>7565857</v>
      </c>
      <c r="M32" s="77"/>
      <c r="N32" s="77">
        <v>7565857</v>
      </c>
      <c r="O32" s="386">
        <v>7760497</v>
      </c>
      <c r="P32" s="387"/>
      <c r="Q32" s="22"/>
      <c r="R32" s="4"/>
      <c r="S32" s="4"/>
      <c r="T32" s="4"/>
    </row>
    <row r="33" spans="1:20" ht="109.5" customHeight="1" x14ac:dyDescent="0.25">
      <c r="A33" s="63"/>
      <c r="B33" s="424"/>
      <c r="C33" s="390"/>
      <c r="D33" s="367" t="s">
        <v>966</v>
      </c>
      <c r="E33" s="64"/>
      <c r="F33" s="61"/>
      <c r="G33" s="61"/>
      <c r="H33" s="61"/>
      <c r="I33" s="61"/>
      <c r="J33" s="77"/>
      <c r="K33" s="77"/>
      <c r="L33" s="77"/>
      <c r="M33" s="77"/>
      <c r="N33" s="77"/>
      <c r="O33" s="11"/>
      <c r="Q33" s="22"/>
      <c r="R33" s="4"/>
      <c r="S33" s="4"/>
      <c r="T33" s="4"/>
    </row>
    <row r="34" spans="1:20" ht="33" customHeight="1" x14ac:dyDescent="0.25">
      <c r="A34" s="35"/>
      <c r="B34" s="54" t="s">
        <v>19</v>
      </c>
      <c r="C34" s="55"/>
      <c r="D34" s="55"/>
      <c r="E34" s="38"/>
      <c r="F34" s="39"/>
      <c r="G34" s="27"/>
      <c r="H34" s="39"/>
      <c r="I34" s="39"/>
      <c r="J34" s="39">
        <f>SUM(J32)</f>
        <v>3648751</v>
      </c>
      <c r="K34" s="39">
        <f t="shared" ref="K34:N34" si="6">SUM(K32)</f>
        <v>7565857</v>
      </c>
      <c r="L34" s="39">
        <f t="shared" si="6"/>
        <v>7565857</v>
      </c>
      <c r="M34" s="39"/>
      <c r="N34" s="39">
        <f t="shared" si="6"/>
        <v>7565857</v>
      </c>
      <c r="O34" s="11"/>
      <c r="Q34" s="22"/>
      <c r="R34" s="4"/>
      <c r="S34" s="4"/>
      <c r="T34" s="4"/>
    </row>
    <row r="35" spans="1:20" ht="50.25" customHeight="1" x14ac:dyDescent="0.25">
      <c r="A35" s="102"/>
      <c r="B35" s="368"/>
      <c r="C35" s="55"/>
      <c r="D35" s="55"/>
      <c r="E35" s="40" t="s">
        <v>225</v>
      </c>
      <c r="F35" s="39"/>
      <c r="G35" s="27"/>
      <c r="H35" s="39"/>
      <c r="I35" s="39"/>
      <c r="J35" s="146">
        <f>SUM(J32)</f>
        <v>3648751</v>
      </c>
      <c r="K35" s="146">
        <f t="shared" ref="K35:N35" si="7">SUM(K32)</f>
        <v>7565857</v>
      </c>
      <c r="L35" s="146">
        <f t="shared" si="7"/>
        <v>7565857</v>
      </c>
      <c r="M35" s="146"/>
      <c r="N35" s="146">
        <f t="shared" si="7"/>
        <v>7565857</v>
      </c>
      <c r="O35" s="11"/>
      <c r="Q35" s="22"/>
      <c r="R35" s="4"/>
      <c r="S35" s="4"/>
      <c r="T35" s="4"/>
    </row>
    <row r="36" spans="1:20" ht="186" customHeight="1" x14ac:dyDescent="0.25">
      <c r="A36" s="265"/>
      <c r="B36" s="414" t="s">
        <v>56</v>
      </c>
      <c r="C36" s="418" t="s">
        <v>1006</v>
      </c>
      <c r="D36" s="62" t="s">
        <v>1005</v>
      </c>
      <c r="E36" s="64"/>
      <c r="F36" s="61"/>
      <c r="G36" s="61"/>
      <c r="H36" s="61"/>
      <c r="I36" s="61"/>
      <c r="J36" s="77">
        <v>243940</v>
      </c>
      <c r="K36" s="77">
        <v>243940</v>
      </c>
      <c r="L36" s="77">
        <v>243940</v>
      </c>
      <c r="M36" s="77"/>
      <c r="N36" s="77">
        <v>243940</v>
      </c>
      <c r="O36" s="11"/>
      <c r="Q36" s="22"/>
      <c r="R36" s="4"/>
      <c r="S36" s="4"/>
      <c r="T36" s="4"/>
    </row>
    <row r="37" spans="1:20" ht="127.5" customHeight="1" x14ac:dyDescent="0.25">
      <c r="A37" s="50"/>
      <c r="B37" s="415"/>
      <c r="C37" s="418"/>
      <c r="D37" s="266" t="s">
        <v>1007</v>
      </c>
      <c r="E37" s="49"/>
      <c r="F37" s="61"/>
      <c r="G37" s="61"/>
      <c r="H37" s="61"/>
      <c r="I37" s="61"/>
      <c r="J37" s="77"/>
      <c r="K37" s="77"/>
      <c r="L37" s="77"/>
      <c r="M37" s="77"/>
      <c r="N37" s="77"/>
      <c r="O37" s="11"/>
      <c r="Q37" s="22"/>
      <c r="R37" s="4"/>
      <c r="S37" s="4"/>
      <c r="T37" s="4"/>
    </row>
    <row r="38" spans="1:20" ht="33.75" customHeight="1" x14ac:dyDescent="0.25">
      <c r="A38" s="35"/>
      <c r="B38" s="36" t="s">
        <v>19</v>
      </c>
      <c r="C38" s="37"/>
      <c r="D38" s="37"/>
      <c r="E38" s="38"/>
      <c r="F38" s="39"/>
      <c r="G38" s="27"/>
      <c r="H38" s="39"/>
      <c r="I38" s="39"/>
      <c r="J38" s="39">
        <f>SUM(J36)</f>
        <v>243940</v>
      </c>
      <c r="K38" s="39">
        <f t="shared" ref="K38:N38" si="8">SUM(K36)</f>
        <v>243940</v>
      </c>
      <c r="L38" s="39">
        <f t="shared" si="8"/>
        <v>243940</v>
      </c>
      <c r="M38" s="39"/>
      <c r="N38" s="39">
        <f t="shared" si="8"/>
        <v>243940</v>
      </c>
      <c r="O38" s="11"/>
      <c r="Q38" s="22"/>
      <c r="R38" s="4"/>
      <c r="S38" s="4"/>
      <c r="T38" s="4"/>
    </row>
    <row r="39" spans="1:20" ht="63" customHeight="1" x14ac:dyDescent="0.25">
      <c r="A39" s="102"/>
      <c r="B39" s="36"/>
      <c r="C39" s="104"/>
      <c r="D39" s="55"/>
      <c r="E39" s="40" t="s">
        <v>224</v>
      </c>
      <c r="F39" s="39"/>
      <c r="G39" s="27"/>
      <c r="H39" s="39"/>
      <c r="I39" s="39"/>
      <c r="J39" s="146">
        <v>237963</v>
      </c>
      <c r="K39" s="146">
        <v>237963</v>
      </c>
      <c r="L39" s="146">
        <v>237963</v>
      </c>
      <c r="M39" s="146"/>
      <c r="N39" s="146">
        <v>237963</v>
      </c>
      <c r="O39" s="11"/>
      <c r="Q39" s="22"/>
      <c r="R39" s="4"/>
      <c r="S39" s="4"/>
      <c r="T39" s="4"/>
    </row>
    <row r="40" spans="1:20" ht="63" customHeight="1" x14ac:dyDescent="0.25">
      <c r="A40" s="102"/>
      <c r="B40" s="36"/>
      <c r="C40" s="104"/>
      <c r="D40" s="55"/>
      <c r="E40" s="40" t="s">
        <v>223</v>
      </c>
      <c r="F40" s="146"/>
      <c r="G40" s="26"/>
      <c r="H40" s="146"/>
      <c r="I40" s="146"/>
      <c r="J40" s="146">
        <v>5977</v>
      </c>
      <c r="K40" s="146">
        <v>5977</v>
      </c>
      <c r="L40" s="146">
        <v>5977</v>
      </c>
      <c r="M40" s="146"/>
      <c r="N40" s="146">
        <v>5977</v>
      </c>
      <c r="O40" s="11"/>
      <c r="Q40" s="22"/>
      <c r="R40" s="4"/>
      <c r="S40" s="4"/>
      <c r="T40" s="4"/>
    </row>
    <row r="41" spans="1:20" ht="130.5" customHeight="1" x14ac:dyDescent="0.25">
      <c r="A41" s="265"/>
      <c r="B41" s="267" t="s">
        <v>57</v>
      </c>
      <c r="C41" s="268" t="s">
        <v>1008</v>
      </c>
      <c r="D41" s="65" t="s">
        <v>1009</v>
      </c>
      <c r="E41" s="49"/>
      <c r="F41" s="61"/>
      <c r="G41" s="61"/>
      <c r="H41" s="61"/>
      <c r="I41" s="61"/>
      <c r="J41" s="77">
        <v>32469</v>
      </c>
      <c r="K41" s="77">
        <v>32469</v>
      </c>
      <c r="L41" s="77">
        <v>32469</v>
      </c>
      <c r="M41" s="77"/>
      <c r="N41" s="77">
        <v>32469</v>
      </c>
      <c r="O41" s="11"/>
      <c r="Q41" s="22"/>
      <c r="R41" s="4"/>
      <c r="S41" s="4"/>
      <c r="T41" s="4"/>
    </row>
    <row r="42" spans="1:20" ht="33" customHeight="1" x14ac:dyDescent="0.25">
      <c r="A42" s="35"/>
      <c r="B42" s="36" t="s">
        <v>19</v>
      </c>
      <c r="C42" s="37"/>
      <c r="D42" s="37"/>
      <c r="E42" s="38"/>
      <c r="F42" s="39"/>
      <c r="G42" s="27"/>
      <c r="H42" s="39"/>
      <c r="I42" s="39"/>
      <c r="J42" s="39">
        <f>SUM(J41)</f>
        <v>32469</v>
      </c>
      <c r="K42" s="39">
        <f t="shared" ref="K42:L42" si="9">SUM(K41)</f>
        <v>32469</v>
      </c>
      <c r="L42" s="39">
        <f t="shared" si="9"/>
        <v>32469</v>
      </c>
      <c r="M42" s="39"/>
      <c r="N42" s="39">
        <f>SUM(N41)</f>
        <v>32469</v>
      </c>
      <c r="O42" s="11"/>
      <c r="Q42" s="22"/>
      <c r="R42" s="4"/>
      <c r="S42" s="4"/>
      <c r="T42" s="4"/>
    </row>
    <row r="43" spans="1:20" ht="61.5" customHeight="1" x14ac:dyDescent="0.25">
      <c r="A43" s="105"/>
      <c r="B43" s="103"/>
      <c r="C43" s="37"/>
      <c r="D43" s="55"/>
      <c r="E43" s="40" t="s">
        <v>223</v>
      </c>
      <c r="F43" s="39"/>
      <c r="G43" s="27"/>
      <c r="H43" s="39"/>
      <c r="I43" s="39"/>
      <c r="J43" s="146">
        <f>SUM(J41)</f>
        <v>32469</v>
      </c>
      <c r="K43" s="146">
        <f t="shared" ref="K43:N43" si="10">SUM(K41)</f>
        <v>32469</v>
      </c>
      <c r="L43" s="146">
        <f t="shared" si="10"/>
        <v>32469</v>
      </c>
      <c r="M43" s="146"/>
      <c r="N43" s="146">
        <f t="shared" si="10"/>
        <v>32469</v>
      </c>
      <c r="O43" s="11"/>
      <c r="Q43" s="22"/>
      <c r="R43" s="4"/>
      <c r="S43" s="4"/>
      <c r="T43" s="4"/>
    </row>
    <row r="44" spans="1:20" ht="96" customHeight="1" x14ac:dyDescent="0.25">
      <c r="A44" s="50"/>
      <c r="B44" s="267" t="s">
        <v>1011</v>
      </c>
      <c r="C44" s="268" t="s">
        <v>58</v>
      </c>
      <c r="D44" s="65" t="s">
        <v>1010</v>
      </c>
      <c r="E44" s="49"/>
      <c r="F44" s="61"/>
      <c r="G44" s="61"/>
      <c r="H44" s="61"/>
      <c r="I44" s="61"/>
      <c r="J44" s="77">
        <v>533864</v>
      </c>
      <c r="K44" s="77">
        <v>533864</v>
      </c>
      <c r="L44" s="77">
        <v>533864</v>
      </c>
      <c r="M44" s="77"/>
      <c r="N44" s="77">
        <v>533864</v>
      </c>
      <c r="O44" s="77">
        <v>533864</v>
      </c>
      <c r="Q44" s="22"/>
      <c r="R44" s="4"/>
      <c r="S44" s="4"/>
      <c r="T44" s="4"/>
    </row>
    <row r="45" spans="1:20" ht="31.5" customHeight="1" x14ac:dyDescent="0.25">
      <c r="A45" s="105"/>
      <c r="B45" s="36" t="s">
        <v>19</v>
      </c>
      <c r="C45" s="37"/>
      <c r="D45" s="55"/>
      <c r="E45" s="38"/>
      <c r="F45" s="39"/>
      <c r="G45" s="27"/>
      <c r="H45" s="39"/>
      <c r="I45" s="39"/>
      <c r="J45" s="39">
        <f>SUM(J44)</f>
        <v>533864</v>
      </c>
      <c r="K45" s="39">
        <f t="shared" ref="K45:N45" si="11">SUM(K44)</f>
        <v>533864</v>
      </c>
      <c r="L45" s="39">
        <f t="shared" si="11"/>
        <v>533864</v>
      </c>
      <c r="M45" s="39"/>
      <c r="N45" s="39">
        <f t="shared" si="11"/>
        <v>533864</v>
      </c>
      <c r="O45" s="11"/>
      <c r="Q45" s="22"/>
      <c r="R45" s="4"/>
      <c r="S45" s="4"/>
      <c r="T45" s="4"/>
    </row>
    <row r="46" spans="1:20" ht="62.25" customHeight="1" x14ac:dyDescent="0.25">
      <c r="A46" s="102"/>
      <c r="B46" s="103"/>
      <c r="C46" s="37"/>
      <c r="D46" s="55"/>
      <c r="E46" s="40" t="s">
        <v>223</v>
      </c>
      <c r="F46" s="39"/>
      <c r="G46" s="27"/>
      <c r="H46" s="39"/>
      <c r="I46" s="39"/>
      <c r="J46" s="146">
        <f>SUM(J44)</f>
        <v>533864</v>
      </c>
      <c r="K46" s="146">
        <f t="shared" ref="K46:N46" si="12">SUM(K44)</f>
        <v>533864</v>
      </c>
      <c r="L46" s="146">
        <f t="shared" si="12"/>
        <v>533864</v>
      </c>
      <c r="M46" s="146"/>
      <c r="N46" s="146">
        <f t="shared" si="12"/>
        <v>533864</v>
      </c>
      <c r="O46" s="11"/>
      <c r="Q46" s="22"/>
      <c r="R46" s="4"/>
      <c r="S46" s="4"/>
      <c r="T46" s="4"/>
    </row>
    <row r="47" spans="1:20" ht="97.5" customHeight="1" x14ac:dyDescent="0.25">
      <c r="A47" s="265"/>
      <c r="B47" s="267" t="s">
        <v>59</v>
      </c>
      <c r="C47" s="268" t="s">
        <v>60</v>
      </c>
      <c r="D47" s="65" t="s">
        <v>1012</v>
      </c>
      <c r="E47" s="49"/>
      <c r="F47" s="61"/>
      <c r="G47" s="61"/>
      <c r="H47" s="61"/>
      <c r="I47" s="61"/>
      <c r="J47" s="77">
        <v>70869</v>
      </c>
      <c r="K47" s="77">
        <v>77956</v>
      </c>
      <c r="L47" s="77">
        <v>85752</v>
      </c>
      <c r="M47" s="77"/>
      <c r="N47" s="77">
        <v>85752</v>
      </c>
      <c r="O47" s="11"/>
      <c r="Q47" s="22"/>
      <c r="R47" s="4"/>
      <c r="S47" s="4"/>
      <c r="T47" s="4"/>
    </row>
    <row r="48" spans="1:20" ht="31.5" customHeight="1" x14ac:dyDescent="0.25">
      <c r="A48" s="105"/>
      <c r="B48" s="36" t="s">
        <v>19</v>
      </c>
      <c r="C48" s="37"/>
      <c r="D48" s="55"/>
      <c r="E48" s="38"/>
      <c r="F48" s="39"/>
      <c r="G48" s="27"/>
      <c r="H48" s="39"/>
      <c r="I48" s="39"/>
      <c r="J48" s="39">
        <f>SUM(J47)</f>
        <v>70869</v>
      </c>
      <c r="K48" s="39">
        <f t="shared" ref="K48:N48" si="13">SUM(K47)</f>
        <v>77956</v>
      </c>
      <c r="L48" s="39">
        <f t="shared" si="13"/>
        <v>85752</v>
      </c>
      <c r="M48" s="39"/>
      <c r="N48" s="39">
        <f t="shared" si="13"/>
        <v>85752</v>
      </c>
      <c r="O48" s="11"/>
      <c r="Q48" s="22"/>
      <c r="R48" s="4"/>
      <c r="S48" s="4"/>
      <c r="T48" s="4"/>
    </row>
    <row r="49" spans="1:20" ht="46.5" customHeight="1" x14ac:dyDescent="0.25">
      <c r="A49" s="102"/>
      <c r="B49" s="103"/>
      <c r="C49" s="37"/>
      <c r="D49" s="55"/>
      <c r="E49" s="40" t="s">
        <v>225</v>
      </c>
      <c r="F49" s="146"/>
      <c r="G49" s="26"/>
      <c r="H49" s="146"/>
      <c r="I49" s="146"/>
      <c r="J49" s="146">
        <f>SUM(J47)</f>
        <v>70869</v>
      </c>
      <c r="K49" s="146">
        <f t="shared" ref="K49:N49" si="14">SUM(K47)</f>
        <v>77956</v>
      </c>
      <c r="L49" s="146">
        <f t="shared" si="14"/>
        <v>85752</v>
      </c>
      <c r="M49" s="146"/>
      <c r="N49" s="146">
        <f t="shared" si="14"/>
        <v>85752</v>
      </c>
      <c r="O49" s="11"/>
      <c r="Q49" s="22"/>
      <c r="R49" s="4"/>
      <c r="S49" s="4"/>
      <c r="T49" s="4"/>
    </row>
    <row r="50" spans="1:20" ht="142.5" customHeight="1" x14ac:dyDescent="0.25">
      <c r="A50" s="265"/>
      <c r="B50" s="267" t="s">
        <v>61</v>
      </c>
      <c r="C50" s="268" t="s">
        <v>62</v>
      </c>
      <c r="D50" s="65" t="s">
        <v>63</v>
      </c>
      <c r="E50" s="49"/>
      <c r="F50" s="77"/>
      <c r="G50" s="77">
        <v>133976</v>
      </c>
      <c r="H50" s="77">
        <v>133976</v>
      </c>
      <c r="I50" s="61"/>
      <c r="J50" s="77"/>
      <c r="K50" s="77"/>
      <c r="L50" s="77"/>
      <c r="M50" s="77"/>
      <c r="N50" s="77"/>
      <c r="O50" s="11"/>
      <c r="Q50" s="22"/>
      <c r="R50" s="4"/>
      <c r="S50" s="4"/>
      <c r="T50" s="4"/>
    </row>
    <row r="51" spans="1:20" ht="29.25" customHeight="1" x14ac:dyDescent="0.25">
      <c r="A51" s="269"/>
      <c r="B51" s="36" t="s">
        <v>19</v>
      </c>
      <c r="C51" s="270"/>
      <c r="D51" s="271"/>
      <c r="E51" s="78"/>
      <c r="F51" s="27"/>
      <c r="G51" s="27">
        <f t="shared" ref="G51:H51" si="15">SUM(G50)</f>
        <v>133976</v>
      </c>
      <c r="H51" s="27">
        <f t="shared" si="15"/>
        <v>133976</v>
      </c>
      <c r="I51" s="27"/>
      <c r="J51" s="26"/>
      <c r="K51" s="26"/>
      <c r="L51" s="26"/>
      <c r="M51" s="26"/>
      <c r="N51" s="26"/>
      <c r="O51" s="11"/>
      <c r="Q51" s="22"/>
      <c r="R51" s="4"/>
      <c r="S51" s="4"/>
      <c r="T51" s="4"/>
    </row>
    <row r="52" spans="1:20" ht="63.75" customHeight="1" x14ac:dyDescent="0.25">
      <c r="A52" s="105"/>
      <c r="B52" s="36"/>
      <c r="C52" s="37"/>
      <c r="D52" s="55"/>
      <c r="E52" s="40" t="s">
        <v>224</v>
      </c>
      <c r="F52" s="26"/>
      <c r="G52" s="26">
        <v>133976</v>
      </c>
      <c r="H52" s="26">
        <v>133976</v>
      </c>
      <c r="I52" s="39"/>
      <c r="J52" s="39"/>
      <c r="K52" s="39"/>
      <c r="L52" s="39"/>
      <c r="M52" s="39"/>
      <c r="N52" s="39"/>
      <c r="O52" s="11"/>
      <c r="Q52" s="22"/>
      <c r="R52" s="4"/>
      <c r="S52" s="4"/>
      <c r="T52" s="4"/>
    </row>
    <row r="53" spans="1:20" ht="58.5" customHeight="1" x14ac:dyDescent="0.25">
      <c r="A53" s="265"/>
      <c r="B53" s="411" t="s">
        <v>1013</v>
      </c>
      <c r="C53" s="272" t="s">
        <v>64</v>
      </c>
      <c r="D53" s="409" t="s">
        <v>75</v>
      </c>
      <c r="E53" s="49"/>
      <c r="F53" s="61"/>
      <c r="G53" s="61"/>
      <c r="H53" s="61"/>
      <c r="I53" s="61"/>
      <c r="J53" s="77">
        <v>509011</v>
      </c>
      <c r="K53" s="77">
        <v>351560</v>
      </c>
      <c r="L53" s="77">
        <v>351560</v>
      </c>
      <c r="M53" s="77"/>
      <c r="N53" s="77">
        <v>351560</v>
      </c>
      <c r="O53" s="11"/>
      <c r="Q53" s="22"/>
      <c r="R53" s="4"/>
      <c r="S53" s="4"/>
      <c r="T53" s="4"/>
    </row>
    <row r="54" spans="1:20" ht="48.75" customHeight="1" x14ac:dyDescent="0.25">
      <c r="A54" s="265"/>
      <c r="B54" s="412"/>
      <c r="C54" s="272" t="s">
        <v>413</v>
      </c>
      <c r="D54" s="410"/>
      <c r="E54" s="49"/>
      <c r="F54" s="61"/>
      <c r="G54" s="61"/>
      <c r="H54" s="61"/>
      <c r="I54" s="61"/>
      <c r="J54" s="77">
        <v>1527</v>
      </c>
      <c r="K54" s="77">
        <v>1985</v>
      </c>
      <c r="L54" s="77">
        <v>2581</v>
      </c>
      <c r="M54" s="77"/>
      <c r="N54" s="77">
        <v>2581</v>
      </c>
      <c r="O54" s="11"/>
      <c r="Q54" s="22"/>
      <c r="R54" s="4"/>
      <c r="S54" s="4"/>
      <c r="T54" s="4"/>
    </row>
    <row r="55" spans="1:20" ht="93.75" customHeight="1" x14ac:dyDescent="0.25">
      <c r="A55" s="50"/>
      <c r="B55" s="413"/>
      <c r="C55" s="272" t="s">
        <v>65</v>
      </c>
      <c r="D55" s="66" t="s">
        <v>63</v>
      </c>
      <c r="E55" s="49"/>
      <c r="F55" s="61"/>
      <c r="G55" s="61"/>
      <c r="H55" s="61"/>
      <c r="I55" s="61"/>
      <c r="J55" s="77">
        <v>3200</v>
      </c>
      <c r="K55" s="77"/>
      <c r="L55" s="77"/>
      <c r="M55" s="77"/>
      <c r="N55" s="77"/>
      <c r="O55" s="11"/>
      <c r="Q55" s="22"/>
      <c r="R55" s="4"/>
      <c r="S55" s="4"/>
      <c r="T55" s="4"/>
    </row>
    <row r="56" spans="1:20" ht="35.25" customHeight="1" x14ac:dyDescent="0.25">
      <c r="A56" s="105"/>
      <c r="B56" s="36" t="s">
        <v>19</v>
      </c>
      <c r="C56" s="37"/>
      <c r="D56" s="55"/>
      <c r="E56" s="38"/>
      <c r="F56" s="39"/>
      <c r="G56" s="27"/>
      <c r="H56" s="39"/>
      <c r="I56" s="39"/>
      <c r="J56" s="39">
        <f>SUM(J53:J55)</f>
        <v>513738</v>
      </c>
      <c r="K56" s="39">
        <f t="shared" ref="K56:N56" si="16">SUM(K53:K54)</f>
        <v>353545</v>
      </c>
      <c r="L56" s="39">
        <f t="shared" si="16"/>
        <v>354141</v>
      </c>
      <c r="M56" s="39"/>
      <c r="N56" s="39">
        <f t="shared" si="16"/>
        <v>354141</v>
      </c>
      <c r="O56" s="11"/>
      <c r="Q56" s="22"/>
      <c r="R56" s="4"/>
      <c r="S56" s="4"/>
      <c r="T56" s="4"/>
    </row>
    <row r="57" spans="1:20" ht="66" customHeight="1" x14ac:dyDescent="0.25">
      <c r="A57" s="105"/>
      <c r="B57" s="103"/>
      <c r="C57" s="55"/>
      <c r="D57" s="104"/>
      <c r="E57" s="40" t="s">
        <v>224</v>
      </c>
      <c r="F57" s="39"/>
      <c r="G57" s="27"/>
      <c r="H57" s="39"/>
      <c r="I57" s="39"/>
      <c r="J57" s="146">
        <f>SUM(J53:J55)</f>
        <v>513738</v>
      </c>
      <c r="K57" s="146">
        <f t="shared" ref="K57:N57" si="17">SUM(K53:K54)</f>
        <v>353545</v>
      </c>
      <c r="L57" s="146">
        <f t="shared" si="17"/>
        <v>354141</v>
      </c>
      <c r="M57" s="146"/>
      <c r="N57" s="146">
        <f t="shared" si="17"/>
        <v>354141</v>
      </c>
      <c r="O57" s="11"/>
      <c r="Q57" s="22"/>
      <c r="R57" s="4"/>
      <c r="S57" s="4"/>
      <c r="T57" s="4"/>
    </row>
    <row r="58" spans="1:20" ht="84" customHeight="1" x14ac:dyDescent="0.25">
      <c r="A58" s="50"/>
      <c r="B58" s="267" t="s">
        <v>66</v>
      </c>
      <c r="C58" s="273" t="s">
        <v>67</v>
      </c>
      <c r="D58" s="66" t="s">
        <v>68</v>
      </c>
      <c r="E58" s="49"/>
      <c r="F58" s="61"/>
      <c r="G58" s="61"/>
      <c r="H58" s="61"/>
      <c r="I58" s="61"/>
      <c r="J58" s="77"/>
      <c r="K58" s="77"/>
      <c r="L58" s="77"/>
      <c r="M58" s="77"/>
      <c r="N58" s="77"/>
      <c r="O58" s="11"/>
      <c r="Q58" s="22"/>
      <c r="R58" s="4"/>
      <c r="S58" s="4"/>
      <c r="T58" s="4"/>
    </row>
    <row r="59" spans="1:20" ht="33.75" customHeight="1" x14ac:dyDescent="0.25">
      <c r="A59" s="105"/>
      <c r="B59" s="36" t="s">
        <v>19</v>
      </c>
      <c r="C59" s="37"/>
      <c r="D59" s="55"/>
      <c r="E59" s="38"/>
      <c r="F59" s="39"/>
      <c r="G59" s="27"/>
      <c r="H59" s="39"/>
      <c r="I59" s="39"/>
      <c r="J59" s="39"/>
      <c r="K59" s="39"/>
      <c r="L59" s="39"/>
      <c r="M59" s="39"/>
      <c r="N59" s="39"/>
      <c r="O59" s="11"/>
      <c r="Q59" s="22"/>
      <c r="R59" s="4"/>
      <c r="S59" s="4"/>
      <c r="T59" s="4"/>
    </row>
    <row r="60" spans="1:20" ht="184.5" customHeight="1" x14ac:dyDescent="0.25">
      <c r="A60" s="50"/>
      <c r="B60" s="267" t="s">
        <v>1023</v>
      </c>
      <c r="C60" s="274" t="s">
        <v>69</v>
      </c>
      <c r="D60" s="66" t="s">
        <v>1014</v>
      </c>
      <c r="E60" s="49"/>
      <c r="F60" s="77"/>
      <c r="G60" s="77">
        <v>382347</v>
      </c>
      <c r="H60" s="77">
        <v>382347</v>
      </c>
      <c r="I60" s="61"/>
      <c r="J60" s="77"/>
      <c r="K60" s="77"/>
      <c r="L60" s="77"/>
      <c r="M60" s="77"/>
      <c r="N60" s="77"/>
      <c r="O60" s="11"/>
      <c r="Q60" s="22"/>
      <c r="R60" s="4"/>
      <c r="S60" s="4"/>
      <c r="T60" s="4"/>
    </row>
    <row r="61" spans="1:20" ht="36" customHeight="1" x14ac:dyDescent="0.25">
      <c r="A61" s="105"/>
      <c r="B61" s="36" t="s">
        <v>19</v>
      </c>
      <c r="C61" s="37"/>
      <c r="D61" s="55"/>
      <c r="E61" s="38"/>
      <c r="F61" s="39"/>
      <c r="G61" s="39">
        <f t="shared" ref="G61:H62" si="18">SUM(G60)</f>
        <v>382347</v>
      </c>
      <c r="H61" s="39">
        <f t="shared" si="18"/>
        <v>382347</v>
      </c>
      <c r="I61" s="39"/>
      <c r="J61" s="39"/>
      <c r="K61" s="39"/>
      <c r="L61" s="39"/>
      <c r="M61" s="39"/>
      <c r="N61" s="39"/>
      <c r="O61" s="11"/>
      <c r="Q61" s="22"/>
      <c r="R61" s="4"/>
      <c r="S61" s="4"/>
      <c r="T61" s="4"/>
    </row>
    <row r="62" spans="1:20" ht="64.5" customHeight="1" x14ac:dyDescent="0.25">
      <c r="A62" s="105"/>
      <c r="B62" s="103"/>
      <c r="C62" s="55"/>
      <c r="D62" s="104"/>
      <c r="E62" s="40" t="s">
        <v>411</v>
      </c>
      <c r="F62" s="146"/>
      <c r="G62" s="146">
        <f t="shared" si="18"/>
        <v>382347</v>
      </c>
      <c r="H62" s="146">
        <f t="shared" si="18"/>
        <v>382347</v>
      </c>
      <c r="I62" s="39"/>
      <c r="J62" s="39"/>
      <c r="K62" s="39"/>
      <c r="L62" s="39"/>
      <c r="M62" s="39"/>
      <c r="N62" s="39"/>
      <c r="O62" s="11"/>
      <c r="Q62" s="22"/>
      <c r="R62" s="4"/>
      <c r="S62" s="4"/>
      <c r="T62" s="4"/>
    </row>
    <row r="63" spans="1:20" ht="116.25" customHeight="1" x14ac:dyDescent="0.25">
      <c r="A63" s="50"/>
      <c r="B63" s="267" t="s">
        <v>1016</v>
      </c>
      <c r="C63" s="274" t="s">
        <v>1015</v>
      </c>
      <c r="D63" s="66" t="s">
        <v>75</v>
      </c>
      <c r="E63" s="49"/>
      <c r="F63" s="61"/>
      <c r="G63" s="61"/>
      <c r="H63" s="61"/>
      <c r="I63" s="61"/>
      <c r="J63" s="77"/>
      <c r="K63" s="77"/>
      <c r="L63" s="77"/>
      <c r="M63" s="77"/>
      <c r="N63" s="77"/>
      <c r="O63" s="11"/>
      <c r="Q63" s="22"/>
      <c r="R63" s="4"/>
      <c r="S63" s="4"/>
      <c r="T63" s="4"/>
    </row>
    <row r="64" spans="1:20" ht="36" customHeight="1" x14ac:dyDescent="0.25">
      <c r="A64" s="105"/>
      <c r="B64" s="36" t="s">
        <v>19</v>
      </c>
      <c r="C64" s="37"/>
      <c r="D64" s="55"/>
      <c r="E64" s="38"/>
      <c r="F64" s="39"/>
      <c r="G64" s="27"/>
      <c r="H64" s="39"/>
      <c r="I64" s="39"/>
      <c r="J64" s="39"/>
      <c r="K64" s="39"/>
      <c r="L64" s="39"/>
      <c r="M64" s="39"/>
      <c r="N64" s="39"/>
      <c r="O64" s="11"/>
      <c r="Q64" s="22"/>
      <c r="R64" s="4"/>
      <c r="S64" s="4"/>
      <c r="T64" s="4"/>
    </row>
    <row r="65" spans="1:20" ht="270" customHeight="1" x14ac:dyDescent="0.25">
      <c r="A65" s="50"/>
      <c r="B65" s="267" t="s">
        <v>70</v>
      </c>
      <c r="C65" s="274" t="s">
        <v>71</v>
      </c>
      <c r="D65" s="66" t="s">
        <v>1017</v>
      </c>
      <c r="E65" s="49"/>
      <c r="F65" s="61"/>
      <c r="G65" s="61"/>
      <c r="H65" s="61"/>
      <c r="I65" s="61"/>
      <c r="J65" s="77">
        <v>8458</v>
      </c>
      <c r="K65" s="77">
        <v>8458</v>
      </c>
      <c r="L65" s="77">
        <v>8458</v>
      </c>
      <c r="M65" s="77"/>
      <c r="N65" s="77">
        <v>8458</v>
      </c>
      <c r="O65" s="11"/>
      <c r="Q65" s="22"/>
      <c r="R65" s="4"/>
      <c r="S65" s="4"/>
      <c r="T65" s="4"/>
    </row>
    <row r="66" spans="1:20" ht="33.75" customHeight="1" x14ac:dyDescent="0.25">
      <c r="A66" s="105"/>
      <c r="B66" s="46" t="s">
        <v>19</v>
      </c>
      <c r="C66" s="275"/>
      <c r="D66" s="106"/>
      <c r="E66" s="78"/>
      <c r="F66" s="27"/>
      <c r="G66" s="27"/>
      <c r="H66" s="27"/>
      <c r="I66" s="27"/>
      <c r="J66" s="27">
        <v>8458</v>
      </c>
      <c r="K66" s="27">
        <v>8458</v>
      </c>
      <c r="L66" s="27">
        <v>8458</v>
      </c>
      <c r="M66" s="27"/>
      <c r="N66" s="27">
        <v>8458</v>
      </c>
      <c r="O66" s="11"/>
      <c r="Q66" s="22"/>
      <c r="R66" s="4"/>
      <c r="S66" s="4"/>
      <c r="T66" s="4"/>
    </row>
    <row r="67" spans="1:20" ht="30.75" customHeight="1" x14ac:dyDescent="0.25">
      <c r="A67" s="105"/>
      <c r="B67" s="276"/>
      <c r="C67" s="275"/>
      <c r="D67" s="106"/>
      <c r="E67" s="40" t="s">
        <v>232</v>
      </c>
      <c r="F67" s="27"/>
      <c r="G67" s="27"/>
      <c r="H67" s="27"/>
      <c r="I67" s="27"/>
      <c r="J67" s="26">
        <v>8458</v>
      </c>
      <c r="K67" s="26">
        <v>8458</v>
      </c>
      <c r="L67" s="26">
        <v>8458</v>
      </c>
      <c r="M67" s="26"/>
      <c r="N67" s="26">
        <v>8458</v>
      </c>
      <c r="O67" s="11"/>
      <c r="Q67" s="22"/>
      <c r="R67" s="4"/>
      <c r="S67" s="4"/>
      <c r="T67" s="4"/>
    </row>
    <row r="68" spans="1:20" ht="110.25" customHeight="1" x14ac:dyDescent="0.25">
      <c r="A68" s="50"/>
      <c r="B68" s="267" t="s">
        <v>72</v>
      </c>
      <c r="C68" s="274" t="s">
        <v>71</v>
      </c>
      <c r="D68" s="66" t="s">
        <v>1018</v>
      </c>
      <c r="E68" s="49"/>
      <c r="F68" s="61"/>
      <c r="G68" s="61"/>
      <c r="H68" s="61"/>
      <c r="I68" s="61"/>
      <c r="J68" s="77"/>
      <c r="K68" s="77"/>
      <c r="L68" s="77"/>
      <c r="M68" s="77"/>
      <c r="N68" s="77"/>
      <c r="O68" s="11"/>
      <c r="Q68" s="22"/>
      <c r="R68" s="4"/>
      <c r="S68" s="4"/>
      <c r="T68" s="4"/>
    </row>
    <row r="69" spans="1:20" ht="34.5" customHeight="1" x14ac:dyDescent="0.25">
      <c r="A69" s="105"/>
      <c r="B69" s="36" t="s">
        <v>19</v>
      </c>
      <c r="C69" s="37"/>
      <c r="D69" s="55"/>
      <c r="E69" s="38"/>
      <c r="F69" s="39"/>
      <c r="G69" s="27"/>
      <c r="H69" s="39"/>
      <c r="I69" s="39"/>
      <c r="J69" s="39"/>
      <c r="K69" s="39"/>
      <c r="L69" s="39"/>
      <c r="M69" s="39"/>
      <c r="N69" s="39"/>
      <c r="O69" s="11"/>
      <c r="Q69" s="22"/>
      <c r="R69" s="4"/>
      <c r="S69" s="4"/>
      <c r="T69" s="4"/>
    </row>
    <row r="70" spans="1:20" ht="183.75" customHeight="1" x14ac:dyDescent="0.25">
      <c r="A70" s="265"/>
      <c r="B70" s="527" t="s">
        <v>73</v>
      </c>
      <c r="C70" s="389" t="s">
        <v>1019</v>
      </c>
      <c r="D70" s="62" t="s">
        <v>75</v>
      </c>
      <c r="E70" s="49"/>
      <c r="F70" s="61"/>
      <c r="G70" s="61"/>
      <c r="H70" s="61"/>
      <c r="I70" s="61"/>
      <c r="J70" s="77">
        <v>488484</v>
      </c>
      <c r="K70" s="77">
        <v>242069</v>
      </c>
      <c r="L70" s="77">
        <v>242069</v>
      </c>
      <c r="M70" s="77"/>
      <c r="N70" s="77">
        <v>242069</v>
      </c>
      <c r="O70" s="11"/>
      <c r="Q70" s="22"/>
      <c r="R70" s="4"/>
      <c r="S70" s="4"/>
      <c r="T70" s="4"/>
    </row>
    <row r="71" spans="1:20" ht="33" customHeight="1" x14ac:dyDescent="0.25">
      <c r="A71" s="105"/>
      <c r="B71" s="36" t="s">
        <v>19</v>
      </c>
      <c r="C71" s="37"/>
      <c r="D71" s="55"/>
      <c r="E71" s="38"/>
      <c r="F71" s="39"/>
      <c r="G71" s="27"/>
      <c r="H71" s="39"/>
      <c r="I71" s="39"/>
      <c r="J71" s="27">
        <v>488484</v>
      </c>
      <c r="K71" s="27">
        <v>242069</v>
      </c>
      <c r="L71" s="27">
        <v>242069</v>
      </c>
      <c r="M71" s="27"/>
      <c r="N71" s="27">
        <v>242069</v>
      </c>
      <c r="O71" s="11"/>
      <c r="Q71" s="22"/>
      <c r="R71" s="4"/>
      <c r="S71" s="4"/>
      <c r="T71" s="4"/>
    </row>
    <row r="72" spans="1:20" ht="33" customHeight="1" x14ac:dyDescent="0.25">
      <c r="A72" s="105"/>
      <c r="B72" s="103"/>
      <c r="C72" s="55"/>
      <c r="D72" s="55"/>
      <c r="E72" s="40" t="s">
        <v>226</v>
      </c>
      <c r="F72" s="39"/>
      <c r="G72" s="27"/>
      <c r="H72" s="39"/>
      <c r="I72" s="39"/>
      <c r="J72" s="26">
        <v>488484</v>
      </c>
      <c r="K72" s="26">
        <v>242069</v>
      </c>
      <c r="L72" s="26">
        <v>242069</v>
      </c>
      <c r="M72" s="26"/>
      <c r="N72" s="26">
        <v>242069</v>
      </c>
      <c r="O72" s="11"/>
      <c r="Q72" s="22"/>
      <c r="R72" s="4"/>
      <c r="S72" s="4"/>
      <c r="T72" s="4"/>
    </row>
    <row r="73" spans="1:20" ht="80.25" customHeight="1" x14ac:dyDescent="0.25">
      <c r="A73" s="50"/>
      <c r="B73" s="267" t="s">
        <v>992</v>
      </c>
      <c r="C73" s="277" t="s">
        <v>74</v>
      </c>
      <c r="D73" s="65" t="s">
        <v>75</v>
      </c>
      <c r="E73" s="49"/>
      <c r="F73" s="61"/>
      <c r="G73" s="61"/>
      <c r="H73" s="61"/>
      <c r="I73" s="61"/>
      <c r="J73" s="77"/>
      <c r="K73" s="77"/>
      <c r="L73" s="77"/>
      <c r="M73" s="77"/>
      <c r="N73" s="77"/>
      <c r="O73" s="11"/>
      <c r="Q73" s="22"/>
      <c r="R73" s="4"/>
      <c r="S73" s="4"/>
      <c r="T73" s="4"/>
    </row>
    <row r="74" spans="1:20" ht="32.25" customHeight="1" x14ac:dyDescent="0.25">
      <c r="A74" s="105"/>
      <c r="B74" s="36" t="s">
        <v>19</v>
      </c>
      <c r="C74" s="37"/>
      <c r="D74" s="55"/>
      <c r="E74" s="38"/>
      <c r="F74" s="39"/>
      <c r="G74" s="27"/>
      <c r="H74" s="39"/>
      <c r="I74" s="39"/>
      <c r="J74" s="39"/>
      <c r="K74" s="39"/>
      <c r="L74" s="39"/>
      <c r="M74" s="39"/>
      <c r="N74" s="39"/>
      <c r="O74" s="11"/>
      <c r="Q74" s="22"/>
      <c r="R74" s="4"/>
      <c r="S74" s="4"/>
      <c r="T74" s="4"/>
    </row>
    <row r="75" spans="1:20" ht="51" customHeight="1" x14ac:dyDescent="0.25">
      <c r="A75" s="50"/>
      <c r="B75" s="411" t="s">
        <v>76</v>
      </c>
      <c r="C75" s="416" t="s">
        <v>77</v>
      </c>
      <c r="D75" s="65" t="s">
        <v>78</v>
      </c>
      <c r="E75" s="49"/>
      <c r="F75" s="61"/>
      <c r="G75" s="61"/>
      <c r="H75" s="61"/>
      <c r="I75" s="61"/>
      <c r="J75" s="77"/>
      <c r="K75" s="77"/>
      <c r="L75" s="77"/>
      <c r="M75" s="77"/>
      <c r="N75" s="77"/>
      <c r="O75" s="11"/>
      <c r="Q75" s="22"/>
      <c r="R75" s="4"/>
      <c r="S75" s="4"/>
      <c r="T75" s="4"/>
    </row>
    <row r="76" spans="1:20" ht="67.5" customHeight="1" x14ac:dyDescent="0.25">
      <c r="A76" s="50"/>
      <c r="B76" s="413"/>
      <c r="C76" s="417"/>
      <c r="D76" s="65" t="s">
        <v>79</v>
      </c>
      <c r="E76" s="49"/>
      <c r="F76" s="61"/>
      <c r="G76" s="61"/>
      <c r="H76" s="61"/>
      <c r="I76" s="61"/>
      <c r="J76" s="77"/>
      <c r="K76" s="77"/>
      <c r="L76" s="77"/>
      <c r="M76" s="77"/>
      <c r="N76" s="77"/>
      <c r="O76" s="11"/>
      <c r="Q76" s="22"/>
      <c r="R76" s="4"/>
      <c r="S76" s="4"/>
      <c r="T76" s="4"/>
    </row>
    <row r="77" spans="1:20" ht="35.25" customHeight="1" x14ac:dyDescent="0.25">
      <c r="A77" s="105"/>
      <c r="B77" s="36" t="s">
        <v>19</v>
      </c>
      <c r="C77" s="37"/>
      <c r="D77" s="55"/>
      <c r="E77" s="38"/>
      <c r="F77" s="39"/>
      <c r="G77" s="27"/>
      <c r="H77" s="39"/>
      <c r="I77" s="39"/>
      <c r="J77" s="39"/>
      <c r="K77" s="39"/>
      <c r="L77" s="39"/>
      <c r="M77" s="39"/>
      <c r="N77" s="39"/>
      <c r="O77" s="11"/>
      <c r="Q77" s="22"/>
      <c r="R77" s="4"/>
      <c r="S77" s="4"/>
      <c r="T77" s="4"/>
    </row>
    <row r="78" spans="1:20" ht="183" customHeight="1" x14ac:dyDescent="0.25">
      <c r="A78" s="50"/>
      <c r="B78" s="266" t="s">
        <v>80</v>
      </c>
      <c r="C78" s="277" t="s">
        <v>81</v>
      </c>
      <c r="D78" s="65" t="s">
        <v>75</v>
      </c>
      <c r="E78" s="49"/>
      <c r="F78" s="61"/>
      <c r="G78" s="61"/>
      <c r="H78" s="61"/>
      <c r="I78" s="61"/>
      <c r="J78" s="77"/>
      <c r="K78" s="77"/>
      <c r="L78" s="77"/>
      <c r="M78" s="77"/>
      <c r="N78" s="77"/>
      <c r="O78" s="11"/>
      <c r="Q78" s="22"/>
      <c r="R78" s="4"/>
      <c r="S78" s="4"/>
      <c r="T78" s="4"/>
    </row>
    <row r="79" spans="1:20" ht="33" customHeight="1" x14ac:dyDescent="0.25">
      <c r="A79" s="105"/>
      <c r="B79" s="36" t="s">
        <v>19</v>
      </c>
      <c r="C79" s="37"/>
      <c r="D79" s="55"/>
      <c r="E79" s="38"/>
      <c r="F79" s="39"/>
      <c r="G79" s="27"/>
      <c r="H79" s="39"/>
      <c r="I79" s="39"/>
      <c r="J79" s="39"/>
      <c r="K79" s="39"/>
      <c r="L79" s="39"/>
      <c r="M79" s="39"/>
      <c r="N79" s="39"/>
      <c r="O79" s="11"/>
      <c r="Q79" s="22"/>
      <c r="R79" s="4"/>
      <c r="S79" s="4"/>
      <c r="T79" s="4"/>
    </row>
    <row r="80" spans="1:20" ht="182.25" customHeight="1" x14ac:dyDescent="0.25">
      <c r="A80" s="50"/>
      <c r="B80" s="278" t="s">
        <v>82</v>
      </c>
      <c r="C80" s="279" t="s">
        <v>83</v>
      </c>
      <c r="D80" s="67" t="s">
        <v>84</v>
      </c>
      <c r="E80" s="108"/>
      <c r="F80" s="71"/>
      <c r="G80" s="71"/>
      <c r="H80" s="71"/>
      <c r="I80" s="71"/>
      <c r="J80" s="76"/>
      <c r="K80" s="76"/>
      <c r="L80" s="76"/>
      <c r="M80" s="76"/>
      <c r="N80" s="76"/>
      <c r="O80" s="11"/>
      <c r="Q80" s="22"/>
      <c r="R80" s="4"/>
      <c r="S80" s="4"/>
      <c r="T80" s="4"/>
    </row>
    <row r="81" spans="1:20" ht="35.25" customHeight="1" x14ac:dyDescent="0.25">
      <c r="A81" s="35"/>
      <c r="B81" s="36" t="s">
        <v>19</v>
      </c>
      <c r="C81" s="37"/>
      <c r="D81" s="37"/>
      <c r="E81" s="38"/>
      <c r="F81" s="39"/>
      <c r="G81" s="27"/>
      <c r="H81" s="39"/>
      <c r="I81" s="39"/>
      <c r="J81" s="39"/>
      <c r="K81" s="39"/>
      <c r="L81" s="39"/>
      <c r="M81" s="39"/>
      <c r="N81" s="39"/>
      <c r="O81" s="11"/>
      <c r="Q81" s="22"/>
      <c r="R81" s="4"/>
      <c r="S81" s="4"/>
      <c r="T81" s="4"/>
    </row>
    <row r="82" spans="1:20" ht="111" customHeight="1" x14ac:dyDescent="0.25">
      <c r="A82" s="63"/>
      <c r="B82" s="280" t="s">
        <v>1020</v>
      </c>
      <c r="C82" s="281" t="s">
        <v>85</v>
      </c>
      <c r="D82" s="281" t="s">
        <v>86</v>
      </c>
      <c r="E82" s="64"/>
      <c r="F82" s="61"/>
      <c r="G82" s="61"/>
      <c r="H82" s="61"/>
      <c r="I82" s="61"/>
      <c r="J82" s="77"/>
      <c r="K82" s="77"/>
      <c r="L82" s="77"/>
      <c r="M82" s="77"/>
      <c r="N82" s="77"/>
      <c r="O82" s="11"/>
      <c r="Q82" s="22"/>
      <c r="R82" s="4"/>
      <c r="S82" s="4"/>
      <c r="T82" s="4"/>
    </row>
    <row r="83" spans="1:20" ht="33.75" customHeight="1" x14ac:dyDescent="0.25">
      <c r="A83" s="35"/>
      <c r="B83" s="36" t="s">
        <v>19</v>
      </c>
      <c r="C83" s="37"/>
      <c r="D83" s="37"/>
      <c r="E83" s="38"/>
      <c r="F83" s="39"/>
      <c r="G83" s="27"/>
      <c r="H83" s="39"/>
      <c r="I83" s="39"/>
      <c r="J83" s="39"/>
      <c r="K83" s="39"/>
      <c r="L83" s="39"/>
      <c r="M83" s="39"/>
      <c r="N83" s="39"/>
      <c r="O83" s="11"/>
      <c r="Q83" s="22"/>
      <c r="R83" s="4"/>
      <c r="S83" s="4"/>
      <c r="T83" s="4"/>
    </row>
    <row r="84" spans="1:20" ht="93" customHeight="1" x14ac:dyDescent="0.25">
      <c r="A84" s="189"/>
      <c r="B84" s="397" t="s">
        <v>87</v>
      </c>
      <c r="C84" s="261" t="s">
        <v>993</v>
      </c>
      <c r="D84" s="282" t="s">
        <v>75</v>
      </c>
      <c r="E84" s="64"/>
      <c r="F84" s="61"/>
      <c r="G84" s="61"/>
      <c r="H84" s="61"/>
      <c r="I84" s="61"/>
      <c r="J84" s="77"/>
      <c r="K84" s="77"/>
      <c r="L84" s="77"/>
      <c r="M84" s="77"/>
      <c r="N84" s="77"/>
      <c r="O84" s="11"/>
      <c r="Q84" s="22"/>
      <c r="R84" s="4"/>
      <c r="S84" s="4"/>
      <c r="T84" s="4"/>
    </row>
    <row r="85" spans="1:20" ht="48" customHeight="1" x14ac:dyDescent="0.25">
      <c r="A85" s="190"/>
      <c r="B85" s="398"/>
      <c r="C85" s="186" t="s">
        <v>88</v>
      </c>
      <c r="D85" s="282" t="s">
        <v>75</v>
      </c>
      <c r="E85" s="64"/>
      <c r="F85" s="61"/>
      <c r="G85" s="61"/>
      <c r="H85" s="61"/>
      <c r="I85" s="61"/>
      <c r="J85" s="77">
        <v>181528</v>
      </c>
      <c r="K85" s="77">
        <v>181528</v>
      </c>
      <c r="L85" s="77">
        <v>181528</v>
      </c>
      <c r="M85" s="77"/>
      <c r="N85" s="77">
        <v>181528</v>
      </c>
      <c r="O85" s="77">
        <v>233780</v>
      </c>
      <c r="Q85" s="22"/>
      <c r="R85" s="4"/>
      <c r="S85" s="4"/>
      <c r="T85" s="4"/>
    </row>
    <row r="86" spans="1:20" ht="80.25" customHeight="1" x14ac:dyDescent="0.25">
      <c r="A86" s="189"/>
      <c r="B86" s="398"/>
      <c r="C86" s="280" t="s">
        <v>255</v>
      </c>
      <c r="D86" s="282" t="s">
        <v>75</v>
      </c>
      <c r="E86" s="70"/>
      <c r="F86" s="71"/>
      <c r="G86" s="61"/>
      <c r="H86" s="61"/>
      <c r="I86" s="61"/>
      <c r="J86" s="77">
        <v>218193</v>
      </c>
      <c r="K86" s="77">
        <v>218193</v>
      </c>
      <c r="L86" s="77">
        <v>218193</v>
      </c>
      <c r="M86" s="77"/>
      <c r="N86" s="77">
        <v>218193</v>
      </c>
      <c r="O86" s="77"/>
      <c r="Q86" s="22"/>
      <c r="R86" s="4"/>
      <c r="S86" s="4"/>
      <c r="T86" s="4"/>
    </row>
    <row r="87" spans="1:20" ht="49.5" customHeight="1" x14ac:dyDescent="0.25">
      <c r="A87" s="189"/>
      <c r="B87" s="398"/>
      <c r="C87" s="280" t="s">
        <v>89</v>
      </c>
      <c r="D87" s="282" t="s">
        <v>75</v>
      </c>
      <c r="E87" s="70"/>
      <c r="F87" s="71"/>
      <c r="G87" s="61"/>
      <c r="H87" s="61"/>
      <c r="I87" s="61"/>
      <c r="J87" s="77"/>
      <c r="K87" s="77"/>
      <c r="L87" s="77"/>
      <c r="M87" s="77"/>
      <c r="N87" s="77"/>
      <c r="O87" s="11"/>
      <c r="Q87" s="22"/>
      <c r="R87" s="4"/>
      <c r="S87" s="4"/>
      <c r="T87" s="4"/>
    </row>
    <row r="88" spans="1:20" ht="34.5" customHeight="1" x14ac:dyDescent="0.25">
      <c r="A88" s="35"/>
      <c r="B88" s="36" t="s">
        <v>19</v>
      </c>
      <c r="C88" s="37"/>
      <c r="D88" s="37"/>
      <c r="E88" s="38"/>
      <c r="F88" s="39"/>
      <c r="G88" s="27"/>
      <c r="H88" s="39"/>
      <c r="I88" s="39"/>
      <c r="J88" s="39">
        <f>SUM(J85+J86)</f>
        <v>399721</v>
      </c>
      <c r="K88" s="39">
        <f t="shared" ref="K88:N88" si="19">SUM(K85+K86)</f>
        <v>399721</v>
      </c>
      <c r="L88" s="39">
        <f t="shared" si="19"/>
        <v>399721</v>
      </c>
      <c r="M88" s="39"/>
      <c r="N88" s="39">
        <f t="shared" si="19"/>
        <v>399721</v>
      </c>
      <c r="O88" s="11"/>
      <c r="Q88" s="22"/>
      <c r="R88" s="4"/>
      <c r="S88" s="4"/>
      <c r="T88" s="4"/>
    </row>
    <row r="89" spans="1:20" ht="66.75" customHeight="1" x14ac:dyDescent="0.25">
      <c r="A89" s="105"/>
      <c r="B89" s="52"/>
      <c r="C89" s="53"/>
      <c r="D89" s="53"/>
      <c r="E89" s="40" t="s">
        <v>223</v>
      </c>
      <c r="F89" s="39"/>
      <c r="G89" s="27"/>
      <c r="H89" s="39"/>
      <c r="I89" s="39"/>
      <c r="J89" s="146">
        <f>SUM(J85+J86)</f>
        <v>399721</v>
      </c>
      <c r="K89" s="146">
        <f t="shared" ref="K89:N89" si="20">SUM(K85+K86)</f>
        <v>399721</v>
      </c>
      <c r="L89" s="146">
        <f t="shared" si="20"/>
        <v>399721</v>
      </c>
      <c r="M89" s="146"/>
      <c r="N89" s="146">
        <f t="shared" si="20"/>
        <v>399721</v>
      </c>
      <c r="O89" s="11"/>
      <c r="Q89" s="22"/>
      <c r="R89" s="4"/>
      <c r="S89" s="4"/>
      <c r="T89" s="4"/>
    </row>
    <row r="90" spans="1:20" ht="108.75" customHeight="1" x14ac:dyDescent="0.25">
      <c r="A90" s="50"/>
      <c r="B90" s="399" t="s">
        <v>362</v>
      </c>
      <c r="C90" s="280" t="s">
        <v>363</v>
      </c>
      <c r="D90" s="281" t="s">
        <v>75</v>
      </c>
      <c r="E90" s="49"/>
      <c r="F90" s="61"/>
      <c r="G90" s="61"/>
      <c r="H90" s="61"/>
      <c r="I90" s="61"/>
      <c r="J90" s="77">
        <v>603825</v>
      </c>
      <c r="K90" s="77">
        <v>603825</v>
      </c>
      <c r="L90" s="77">
        <v>603825</v>
      </c>
      <c r="M90" s="77">
        <v>603825</v>
      </c>
      <c r="N90" s="77">
        <v>603825</v>
      </c>
      <c r="O90" s="11"/>
      <c r="Q90" s="22"/>
      <c r="R90" s="4"/>
      <c r="S90" s="4"/>
      <c r="T90" s="4"/>
    </row>
    <row r="91" spans="1:20" ht="123.75" customHeight="1" x14ac:dyDescent="0.25">
      <c r="A91" s="33"/>
      <c r="B91" s="400"/>
      <c r="C91" s="186" t="s">
        <v>91</v>
      </c>
      <c r="D91" s="73"/>
      <c r="E91" s="64"/>
      <c r="F91" s="72"/>
      <c r="G91" s="61"/>
      <c r="H91" s="61"/>
      <c r="I91" s="61"/>
      <c r="J91" s="77"/>
      <c r="K91" s="77"/>
      <c r="L91" s="77"/>
      <c r="M91" s="77"/>
      <c r="N91" s="77"/>
      <c r="O91" s="11"/>
      <c r="Q91" s="22"/>
      <c r="R91" s="4"/>
      <c r="S91" s="4"/>
      <c r="T91" s="4"/>
    </row>
    <row r="92" spans="1:20" ht="49.5" customHeight="1" x14ac:dyDescent="0.25">
      <c r="A92" s="50"/>
      <c r="B92" s="401"/>
      <c r="C92" s="186" t="s">
        <v>90</v>
      </c>
      <c r="D92" s="281" t="s">
        <v>75</v>
      </c>
      <c r="E92" s="69"/>
      <c r="F92" s="72"/>
      <c r="G92" s="61"/>
      <c r="H92" s="61"/>
      <c r="I92" s="61"/>
      <c r="J92" s="77"/>
      <c r="K92" s="77"/>
      <c r="L92" s="77"/>
      <c r="M92" s="77"/>
      <c r="N92" s="77"/>
      <c r="O92" s="11"/>
      <c r="Q92" s="22"/>
      <c r="R92" s="4"/>
      <c r="S92" s="4"/>
      <c r="T92" s="4"/>
    </row>
    <row r="93" spans="1:20" ht="33.75" customHeight="1" x14ac:dyDescent="0.25">
      <c r="A93" s="35"/>
      <c r="B93" s="36" t="s">
        <v>19</v>
      </c>
      <c r="C93" s="37"/>
      <c r="D93" s="37"/>
      <c r="E93" s="38"/>
      <c r="F93" s="39"/>
      <c r="G93" s="27"/>
      <c r="H93" s="39"/>
      <c r="I93" s="39"/>
      <c r="J93" s="39">
        <f>SUM(J90)</f>
        <v>603825</v>
      </c>
      <c r="K93" s="39">
        <f t="shared" ref="K93:N93" si="21">SUM(K90)</f>
        <v>603825</v>
      </c>
      <c r="L93" s="39">
        <f t="shared" si="21"/>
        <v>603825</v>
      </c>
      <c r="M93" s="39"/>
      <c r="N93" s="39">
        <f t="shared" si="21"/>
        <v>603825</v>
      </c>
      <c r="O93" s="11"/>
      <c r="Q93" s="22"/>
      <c r="R93" s="4"/>
      <c r="S93" s="4"/>
      <c r="T93" s="4"/>
    </row>
    <row r="94" spans="1:20" ht="60.75" customHeight="1" x14ac:dyDescent="0.25">
      <c r="A94" s="105"/>
      <c r="B94" s="36"/>
      <c r="C94" s="37"/>
      <c r="D94" s="37"/>
      <c r="E94" s="185" t="s">
        <v>223</v>
      </c>
      <c r="F94" s="184"/>
      <c r="G94" s="27"/>
      <c r="H94" s="39"/>
      <c r="I94" s="39"/>
      <c r="J94" s="146">
        <f>SUM(J90)</f>
        <v>603825</v>
      </c>
      <c r="K94" s="146">
        <f t="shared" ref="K94:N94" si="22">SUM(K90)</f>
        <v>603825</v>
      </c>
      <c r="L94" s="146">
        <f t="shared" si="22"/>
        <v>603825</v>
      </c>
      <c r="M94" s="146"/>
      <c r="N94" s="146">
        <f t="shared" si="22"/>
        <v>603825</v>
      </c>
      <c r="O94" s="11"/>
      <c r="Q94" s="22"/>
      <c r="R94" s="4"/>
      <c r="S94" s="4"/>
      <c r="T94" s="4"/>
    </row>
    <row r="95" spans="1:20" ht="36.75" customHeight="1" x14ac:dyDescent="0.25">
      <c r="A95" s="50"/>
      <c r="B95" s="402" t="s">
        <v>93</v>
      </c>
      <c r="C95" s="425" t="s">
        <v>92</v>
      </c>
      <c r="D95" s="73" t="s">
        <v>94</v>
      </c>
      <c r="E95" s="69"/>
      <c r="F95" s="72"/>
      <c r="G95" s="61"/>
      <c r="H95" s="61"/>
      <c r="I95" s="61"/>
      <c r="J95" s="77"/>
      <c r="K95" s="77"/>
      <c r="L95" s="77"/>
      <c r="M95" s="77"/>
      <c r="N95" s="77"/>
      <c r="O95" s="11"/>
      <c r="Q95" s="22"/>
      <c r="R95" s="4"/>
      <c r="S95" s="4"/>
      <c r="T95" s="4"/>
    </row>
    <row r="96" spans="1:20" ht="63.75" customHeight="1" x14ac:dyDescent="0.25">
      <c r="A96" s="50"/>
      <c r="B96" s="402"/>
      <c r="C96" s="425"/>
      <c r="D96" s="73" t="s">
        <v>95</v>
      </c>
      <c r="E96" s="69"/>
      <c r="F96" s="72"/>
      <c r="G96" s="61"/>
      <c r="H96" s="61"/>
      <c r="I96" s="61"/>
      <c r="J96" s="77"/>
      <c r="K96" s="77"/>
      <c r="L96" s="77"/>
      <c r="M96" s="77"/>
      <c r="N96" s="77"/>
      <c r="O96" s="11"/>
      <c r="Q96" s="22"/>
      <c r="R96" s="4"/>
      <c r="S96" s="4"/>
      <c r="T96" s="4"/>
    </row>
    <row r="97" spans="1:20" ht="35.25" customHeight="1" x14ac:dyDescent="0.25">
      <c r="A97" s="35"/>
      <c r="B97" s="36" t="s">
        <v>19</v>
      </c>
      <c r="C97" s="37"/>
      <c r="D97" s="37"/>
      <c r="E97" s="38"/>
      <c r="F97" s="39"/>
      <c r="G97" s="27"/>
      <c r="H97" s="39"/>
      <c r="I97" s="39"/>
      <c r="J97" s="39"/>
      <c r="K97" s="39"/>
      <c r="L97" s="39"/>
      <c r="M97" s="39"/>
      <c r="N97" s="39"/>
      <c r="O97" s="11"/>
      <c r="Q97" s="22"/>
      <c r="R97" s="4"/>
      <c r="S97" s="4"/>
      <c r="T97" s="4"/>
    </row>
    <row r="98" spans="1:20" ht="38.25" customHeight="1" x14ac:dyDescent="0.25">
      <c r="A98" s="50"/>
      <c r="B98" s="399" t="s">
        <v>96</v>
      </c>
      <c r="C98" s="426" t="s">
        <v>1021</v>
      </c>
      <c r="D98" s="74" t="s">
        <v>97</v>
      </c>
      <c r="E98" s="69"/>
      <c r="F98" s="72"/>
      <c r="G98" s="61"/>
      <c r="H98" s="61"/>
      <c r="I98" s="61"/>
      <c r="J98" s="77"/>
      <c r="K98" s="77"/>
      <c r="L98" s="77"/>
      <c r="M98" s="77"/>
      <c r="N98" s="77"/>
      <c r="O98" s="11"/>
      <c r="Q98" s="22"/>
      <c r="R98" s="4"/>
      <c r="S98" s="4"/>
      <c r="T98" s="4"/>
    </row>
    <row r="99" spans="1:20" ht="59.25" customHeight="1" x14ac:dyDescent="0.25">
      <c r="A99" s="50"/>
      <c r="B99" s="400"/>
      <c r="C99" s="427"/>
      <c r="D99" s="75" t="s">
        <v>98</v>
      </c>
      <c r="E99" s="69"/>
      <c r="F99" s="72"/>
      <c r="G99" s="61"/>
      <c r="H99" s="61"/>
      <c r="I99" s="61"/>
      <c r="J99" s="77"/>
      <c r="K99" s="77"/>
      <c r="L99" s="77"/>
      <c r="M99" s="77"/>
      <c r="N99" s="77"/>
      <c r="O99" s="11"/>
      <c r="Q99" s="22"/>
      <c r="R99" s="4"/>
      <c r="S99" s="4"/>
      <c r="T99" s="4"/>
    </row>
    <row r="100" spans="1:20" ht="35.25" customHeight="1" x14ac:dyDescent="0.25">
      <c r="A100" s="35"/>
      <c r="B100" s="36" t="s">
        <v>19</v>
      </c>
      <c r="C100" s="37"/>
      <c r="D100" s="37"/>
      <c r="E100" s="38"/>
      <c r="F100" s="39"/>
      <c r="G100" s="27"/>
      <c r="H100" s="39"/>
      <c r="I100" s="39"/>
      <c r="J100" s="39"/>
      <c r="K100" s="39"/>
      <c r="L100" s="39"/>
      <c r="M100" s="39"/>
      <c r="N100" s="39"/>
      <c r="O100" s="11"/>
      <c r="Q100" s="22"/>
      <c r="R100" s="4"/>
      <c r="S100" s="4"/>
      <c r="T100" s="4"/>
    </row>
    <row r="101" spans="1:20" ht="181.5" customHeight="1" x14ac:dyDescent="0.25">
      <c r="A101" s="68"/>
      <c r="B101" s="263" t="s">
        <v>414</v>
      </c>
      <c r="C101" s="283" t="s">
        <v>99</v>
      </c>
      <c r="D101" s="62" t="s">
        <v>75</v>
      </c>
      <c r="E101" s="69"/>
      <c r="F101" s="72"/>
      <c r="G101" s="61"/>
      <c r="H101" s="61"/>
      <c r="I101" s="61"/>
      <c r="J101" s="77"/>
      <c r="K101" s="77"/>
      <c r="L101" s="77"/>
      <c r="M101" s="77"/>
      <c r="N101" s="77"/>
      <c r="O101" s="11"/>
      <c r="Q101" s="22"/>
      <c r="R101" s="4"/>
      <c r="S101" s="4"/>
      <c r="T101" s="4"/>
    </row>
    <row r="102" spans="1:20" ht="34.5" customHeight="1" x14ac:dyDescent="0.25">
      <c r="A102" s="35"/>
      <c r="B102" s="36" t="s">
        <v>19</v>
      </c>
      <c r="C102" s="37"/>
      <c r="D102" s="37"/>
      <c r="E102" s="38"/>
      <c r="F102" s="39"/>
      <c r="G102" s="27"/>
      <c r="H102" s="39"/>
      <c r="I102" s="39"/>
      <c r="J102" s="39"/>
      <c r="K102" s="39"/>
      <c r="L102" s="39"/>
      <c r="M102" s="39"/>
      <c r="N102" s="39"/>
      <c r="O102" s="11"/>
      <c r="Q102" s="22"/>
      <c r="R102" s="4"/>
      <c r="S102" s="4"/>
      <c r="T102" s="4"/>
    </row>
    <row r="103" spans="1:20" ht="69" customHeight="1" x14ac:dyDescent="0.25">
      <c r="A103" s="68"/>
      <c r="B103" s="284" t="s">
        <v>1022</v>
      </c>
      <c r="C103" s="285" t="s">
        <v>100</v>
      </c>
      <c r="D103" s="66" t="s">
        <v>75</v>
      </c>
      <c r="E103" s="69"/>
      <c r="F103" s="72"/>
      <c r="G103" s="61"/>
      <c r="H103" s="61"/>
      <c r="I103" s="61"/>
      <c r="J103" s="77"/>
      <c r="K103" s="77"/>
      <c r="L103" s="77"/>
      <c r="M103" s="77"/>
      <c r="N103" s="77"/>
      <c r="O103" s="11"/>
      <c r="Q103" s="22"/>
      <c r="R103" s="4"/>
      <c r="S103" s="4"/>
      <c r="T103" s="4"/>
    </row>
    <row r="104" spans="1:20" ht="76.5" customHeight="1" x14ac:dyDescent="0.25">
      <c r="A104" s="68"/>
      <c r="B104" s="284"/>
      <c r="C104" s="285" t="s">
        <v>101</v>
      </c>
      <c r="D104" s="66"/>
      <c r="E104" s="69"/>
      <c r="F104" s="72"/>
      <c r="G104" s="61"/>
      <c r="H104" s="61"/>
      <c r="I104" s="61"/>
      <c r="J104" s="77"/>
      <c r="K104" s="77"/>
      <c r="L104" s="77"/>
      <c r="M104" s="77"/>
      <c r="N104" s="77"/>
      <c r="O104" s="11"/>
      <c r="Q104" s="22"/>
      <c r="R104" s="4"/>
      <c r="S104" s="4"/>
      <c r="T104" s="4"/>
    </row>
    <row r="105" spans="1:20" ht="108.75" customHeight="1" x14ac:dyDescent="0.25">
      <c r="A105" s="68"/>
      <c r="B105" s="284"/>
      <c r="C105" s="286" t="s">
        <v>102</v>
      </c>
      <c r="D105" s="287"/>
      <c r="E105" s="69"/>
      <c r="F105" s="72"/>
      <c r="G105" s="61"/>
      <c r="H105" s="61"/>
      <c r="I105" s="61"/>
      <c r="J105" s="77"/>
      <c r="K105" s="77"/>
      <c r="L105" s="77"/>
      <c r="M105" s="77"/>
      <c r="N105" s="77"/>
      <c r="O105" s="11"/>
      <c r="Q105" s="22"/>
      <c r="R105" s="4"/>
      <c r="S105" s="4"/>
      <c r="T105" s="4"/>
    </row>
    <row r="106" spans="1:20" ht="32.25" customHeight="1" x14ac:dyDescent="0.25">
      <c r="A106" s="35"/>
      <c r="B106" s="36" t="s">
        <v>19</v>
      </c>
      <c r="C106" s="37"/>
      <c r="D106" s="37"/>
      <c r="E106" s="38"/>
      <c r="F106" s="39"/>
      <c r="G106" s="27"/>
      <c r="H106" s="39"/>
      <c r="I106" s="39"/>
      <c r="J106" s="39"/>
      <c r="K106" s="39"/>
      <c r="L106" s="39"/>
      <c r="M106" s="39"/>
      <c r="N106" s="39"/>
      <c r="O106" s="11"/>
      <c r="Q106" s="22"/>
      <c r="R106" s="4"/>
      <c r="S106" s="4"/>
      <c r="T106" s="4"/>
    </row>
    <row r="107" spans="1:20" ht="51.75" customHeight="1" x14ac:dyDescent="0.25">
      <c r="A107" s="50"/>
      <c r="B107" s="404" t="s">
        <v>103</v>
      </c>
      <c r="C107" s="288" t="s">
        <v>104</v>
      </c>
      <c r="D107" s="289" t="s">
        <v>75</v>
      </c>
      <c r="E107" s="69"/>
      <c r="F107" s="72"/>
      <c r="G107" s="61"/>
      <c r="H107" s="61"/>
      <c r="I107" s="61"/>
      <c r="J107" s="77"/>
      <c r="K107" s="77"/>
      <c r="L107" s="77"/>
      <c r="M107" s="77"/>
      <c r="N107" s="77"/>
      <c r="O107" s="11"/>
      <c r="Q107" s="22"/>
      <c r="R107" s="4"/>
      <c r="S107" s="4"/>
      <c r="T107" s="4"/>
    </row>
    <row r="108" spans="1:20" ht="79.5" customHeight="1" x14ac:dyDescent="0.25">
      <c r="A108" s="50"/>
      <c r="B108" s="405"/>
      <c r="C108" s="288" t="s">
        <v>415</v>
      </c>
      <c r="D108" s="290" t="s">
        <v>105</v>
      </c>
      <c r="E108" s="69"/>
      <c r="F108" s="72"/>
      <c r="G108" s="61"/>
      <c r="H108" s="61"/>
      <c r="I108" s="61"/>
      <c r="J108" s="77"/>
      <c r="K108" s="77"/>
      <c r="L108" s="77"/>
      <c r="M108" s="77"/>
      <c r="N108" s="77"/>
      <c r="O108" s="11"/>
      <c r="Q108" s="22"/>
      <c r="R108" s="4"/>
      <c r="S108" s="4"/>
      <c r="T108" s="4"/>
    </row>
    <row r="109" spans="1:20" ht="35.25" customHeight="1" x14ac:dyDescent="0.25">
      <c r="A109" s="35"/>
      <c r="B109" s="36" t="s">
        <v>19</v>
      </c>
      <c r="C109" s="37"/>
      <c r="D109" s="37"/>
      <c r="E109" s="38"/>
      <c r="F109" s="39"/>
      <c r="G109" s="27"/>
      <c r="H109" s="39"/>
      <c r="I109" s="39"/>
      <c r="J109" s="39"/>
      <c r="K109" s="39"/>
      <c r="L109" s="39"/>
      <c r="M109" s="39"/>
      <c r="N109" s="39"/>
      <c r="O109" s="11"/>
      <c r="Q109" s="22"/>
      <c r="R109" s="4"/>
      <c r="S109" s="4"/>
      <c r="T109" s="4"/>
    </row>
    <row r="110" spans="1:20" ht="114.75" customHeight="1" x14ac:dyDescent="0.25">
      <c r="A110" s="50"/>
      <c r="B110" s="397" t="s">
        <v>994</v>
      </c>
      <c r="C110" s="291" t="s">
        <v>106</v>
      </c>
      <c r="D110" s="268" t="s">
        <v>75</v>
      </c>
      <c r="E110" s="69"/>
      <c r="F110" s="72"/>
      <c r="G110" s="61"/>
      <c r="H110" s="61"/>
      <c r="I110" s="61"/>
      <c r="J110" s="77"/>
      <c r="K110" s="77"/>
      <c r="L110" s="77"/>
      <c r="M110" s="77"/>
      <c r="N110" s="77"/>
      <c r="O110" s="11"/>
      <c r="Q110" s="22"/>
      <c r="R110" s="4"/>
      <c r="S110" s="4"/>
      <c r="T110" s="4"/>
    </row>
    <row r="111" spans="1:20" ht="105" customHeight="1" x14ac:dyDescent="0.25">
      <c r="A111" s="50"/>
      <c r="B111" s="398"/>
      <c r="C111" s="291"/>
      <c r="D111" s="268" t="s">
        <v>107</v>
      </c>
      <c r="E111" s="69"/>
      <c r="F111" s="72"/>
      <c r="G111" s="61"/>
      <c r="H111" s="61"/>
      <c r="I111" s="61"/>
      <c r="J111" s="77"/>
      <c r="K111" s="77"/>
      <c r="L111" s="77"/>
      <c r="M111" s="77"/>
      <c r="N111" s="77"/>
      <c r="O111" s="11"/>
      <c r="Q111" s="22"/>
      <c r="R111" s="4"/>
      <c r="S111" s="4"/>
      <c r="T111" s="4"/>
    </row>
    <row r="112" spans="1:20" ht="90.75" customHeight="1" x14ac:dyDescent="0.25">
      <c r="A112" s="50"/>
      <c r="B112" s="403"/>
      <c r="C112" s="291"/>
      <c r="D112" s="268" t="s">
        <v>108</v>
      </c>
      <c r="E112" s="69"/>
      <c r="F112" s="72"/>
      <c r="G112" s="61"/>
      <c r="H112" s="61"/>
      <c r="I112" s="61"/>
      <c r="J112" s="77"/>
      <c r="K112" s="77"/>
      <c r="L112" s="77"/>
      <c r="M112" s="77"/>
      <c r="N112" s="77"/>
      <c r="O112" s="11"/>
      <c r="Q112" s="22"/>
      <c r="R112" s="4"/>
      <c r="S112" s="4"/>
      <c r="T112" s="4"/>
    </row>
    <row r="113" spans="1:20" ht="32.25" customHeight="1" x14ac:dyDescent="0.25">
      <c r="A113" s="35"/>
      <c r="B113" s="36" t="s">
        <v>19</v>
      </c>
      <c r="C113" s="37"/>
      <c r="D113" s="37"/>
      <c r="E113" s="38"/>
      <c r="F113" s="39"/>
      <c r="G113" s="27"/>
      <c r="H113" s="39"/>
      <c r="I113" s="39"/>
      <c r="J113" s="39"/>
      <c r="K113" s="39"/>
      <c r="L113" s="39"/>
      <c r="M113" s="39"/>
      <c r="N113" s="39"/>
      <c r="O113" s="11"/>
      <c r="Q113" s="22"/>
      <c r="R113" s="4"/>
      <c r="S113" s="4"/>
      <c r="T113" s="4"/>
    </row>
    <row r="114" spans="1:20" ht="123.75" customHeight="1" x14ac:dyDescent="0.25">
      <c r="A114" s="50"/>
      <c r="B114" s="397" t="s">
        <v>995</v>
      </c>
      <c r="C114" s="388" t="s">
        <v>998</v>
      </c>
      <c r="D114" s="292" t="s">
        <v>110</v>
      </c>
      <c r="E114" s="69"/>
      <c r="F114" s="72"/>
      <c r="G114" s="61"/>
      <c r="H114" s="61"/>
      <c r="I114" s="61"/>
      <c r="J114" s="77"/>
      <c r="K114" s="77"/>
      <c r="L114" s="77"/>
      <c r="M114" s="77"/>
      <c r="N114" s="77"/>
      <c r="O114" s="11"/>
      <c r="Q114" s="22"/>
      <c r="R114" s="4"/>
      <c r="S114" s="4"/>
      <c r="T114" s="4"/>
    </row>
    <row r="115" spans="1:20" ht="135.75" customHeight="1" x14ac:dyDescent="0.25">
      <c r="A115" s="51"/>
      <c r="B115" s="398"/>
      <c r="C115" s="428" t="s">
        <v>109</v>
      </c>
      <c r="D115" s="292" t="s">
        <v>111</v>
      </c>
      <c r="E115" s="69"/>
      <c r="F115" s="72"/>
      <c r="G115" s="61"/>
      <c r="H115" s="61"/>
      <c r="I115" s="61"/>
      <c r="J115" s="77"/>
      <c r="K115" s="77"/>
      <c r="L115" s="77"/>
      <c r="M115" s="77"/>
      <c r="N115" s="77"/>
      <c r="O115" s="11"/>
      <c r="Q115" s="22"/>
      <c r="R115" s="4"/>
      <c r="S115" s="4"/>
      <c r="T115" s="4"/>
    </row>
    <row r="116" spans="1:20" ht="233.25" customHeight="1" x14ac:dyDescent="0.25">
      <c r="A116" s="51"/>
      <c r="B116" s="403"/>
      <c r="C116" s="429"/>
      <c r="D116" s="292" t="s">
        <v>112</v>
      </c>
      <c r="E116" s="69"/>
      <c r="F116" s="72"/>
      <c r="G116" s="61"/>
      <c r="H116" s="61"/>
      <c r="I116" s="61"/>
      <c r="J116" s="77"/>
      <c r="K116" s="77"/>
      <c r="L116" s="77"/>
      <c r="M116" s="77"/>
      <c r="N116" s="77"/>
      <c r="O116" s="11"/>
      <c r="Q116" s="22"/>
      <c r="R116" s="4"/>
      <c r="S116" s="4"/>
      <c r="T116" s="4"/>
    </row>
    <row r="117" spans="1:20" ht="33" customHeight="1" x14ac:dyDescent="0.25">
      <c r="A117" s="35"/>
      <c r="B117" s="36" t="s">
        <v>19</v>
      </c>
      <c r="C117" s="37"/>
      <c r="D117" s="37"/>
      <c r="E117" s="38"/>
      <c r="F117" s="39"/>
      <c r="G117" s="27"/>
      <c r="H117" s="39"/>
      <c r="I117" s="39"/>
      <c r="J117" s="39"/>
      <c r="K117" s="39"/>
      <c r="L117" s="39"/>
      <c r="M117" s="39"/>
      <c r="N117" s="39"/>
      <c r="O117" s="11"/>
      <c r="Q117" s="22"/>
      <c r="R117" s="4"/>
      <c r="S117" s="4"/>
      <c r="T117" s="4"/>
    </row>
    <row r="118" spans="1:20" ht="110.25" customHeight="1" x14ac:dyDescent="0.25">
      <c r="A118" s="51"/>
      <c r="B118" s="397" t="s">
        <v>996</v>
      </c>
      <c r="C118" s="428" t="s">
        <v>113</v>
      </c>
      <c r="D118" s="292" t="s">
        <v>114</v>
      </c>
      <c r="E118" s="69"/>
      <c r="F118" s="72"/>
      <c r="G118" s="61"/>
      <c r="H118" s="61"/>
      <c r="I118" s="61"/>
      <c r="J118" s="77"/>
      <c r="K118" s="77"/>
      <c r="L118" s="77"/>
      <c r="M118" s="77"/>
      <c r="N118" s="77"/>
      <c r="O118" s="11"/>
      <c r="Q118" s="22"/>
      <c r="R118" s="4"/>
      <c r="S118" s="4"/>
      <c r="T118" s="4"/>
    </row>
    <row r="119" spans="1:20" ht="21.75" customHeight="1" x14ac:dyDescent="0.25">
      <c r="A119" s="51"/>
      <c r="B119" s="403"/>
      <c r="C119" s="429"/>
      <c r="D119" s="292" t="s">
        <v>75</v>
      </c>
      <c r="E119" s="69"/>
      <c r="F119" s="72"/>
      <c r="G119" s="61"/>
      <c r="H119" s="61"/>
      <c r="I119" s="61"/>
      <c r="J119" s="77"/>
      <c r="K119" s="77"/>
      <c r="L119" s="77"/>
      <c r="M119" s="77"/>
      <c r="N119" s="77"/>
      <c r="O119" s="11"/>
      <c r="Q119" s="22"/>
      <c r="R119" s="4"/>
      <c r="S119" s="4"/>
      <c r="T119" s="4"/>
    </row>
    <row r="120" spans="1:20" ht="34.5" customHeight="1" x14ac:dyDescent="0.25">
      <c r="A120" s="35"/>
      <c r="B120" s="36" t="s">
        <v>19</v>
      </c>
      <c r="C120" s="37"/>
      <c r="D120" s="37"/>
      <c r="E120" s="38"/>
      <c r="F120" s="39"/>
      <c r="G120" s="27"/>
      <c r="H120" s="39"/>
      <c r="I120" s="39"/>
      <c r="J120" s="39"/>
      <c r="K120" s="39"/>
      <c r="L120" s="39"/>
      <c r="M120" s="39"/>
      <c r="N120" s="39"/>
      <c r="O120" s="11"/>
      <c r="Q120" s="22"/>
      <c r="R120" s="4"/>
      <c r="S120" s="4"/>
      <c r="T120" s="4"/>
    </row>
    <row r="121" spans="1:20" ht="95.25" customHeight="1" x14ac:dyDescent="0.25">
      <c r="A121" s="51"/>
      <c r="B121" s="397" t="s">
        <v>997</v>
      </c>
      <c r="C121" s="292" t="s">
        <v>115</v>
      </c>
      <c r="D121" s="292" t="s">
        <v>116</v>
      </c>
      <c r="E121" s="69"/>
      <c r="F121" s="72"/>
      <c r="G121" s="61"/>
      <c r="H121" s="61"/>
      <c r="I121" s="61"/>
      <c r="J121" s="77"/>
      <c r="K121" s="77"/>
      <c r="L121" s="77"/>
      <c r="M121" s="77"/>
      <c r="N121" s="77"/>
      <c r="O121" s="11"/>
      <c r="Q121" s="22"/>
      <c r="R121" s="4"/>
      <c r="S121" s="4"/>
      <c r="T121" s="4"/>
    </row>
    <row r="122" spans="1:20" ht="122.25" customHeight="1" x14ac:dyDescent="0.25">
      <c r="A122" s="51"/>
      <c r="B122" s="403"/>
      <c r="C122" s="292" t="s">
        <v>117</v>
      </c>
      <c r="D122" s="292" t="s">
        <v>118</v>
      </c>
      <c r="E122" s="69"/>
      <c r="F122" s="72"/>
      <c r="G122" s="61"/>
      <c r="H122" s="61"/>
      <c r="I122" s="61"/>
      <c r="J122" s="77"/>
      <c r="K122" s="77"/>
      <c r="L122" s="77"/>
      <c r="M122" s="77"/>
      <c r="N122" s="77"/>
      <c r="O122" s="11"/>
      <c r="Q122" s="22"/>
      <c r="R122" s="4"/>
      <c r="S122" s="4"/>
      <c r="T122" s="4"/>
    </row>
    <row r="123" spans="1:20" ht="31.5" customHeight="1" x14ac:dyDescent="0.25">
      <c r="A123" s="35"/>
      <c r="B123" s="36" t="s">
        <v>19</v>
      </c>
      <c r="C123" s="37"/>
      <c r="D123" s="37"/>
      <c r="E123" s="38"/>
      <c r="F123" s="39"/>
      <c r="G123" s="27"/>
      <c r="H123" s="39"/>
      <c r="I123" s="39"/>
      <c r="J123" s="39"/>
      <c r="K123" s="39"/>
      <c r="L123" s="39"/>
      <c r="M123" s="39"/>
      <c r="N123" s="39"/>
      <c r="O123" s="11"/>
      <c r="Q123" s="22"/>
      <c r="R123" s="4"/>
      <c r="S123" s="4"/>
      <c r="T123" s="4"/>
    </row>
  </sheetData>
  <mergeCells count="32">
    <mergeCell ref="C95:C96"/>
    <mergeCell ref="B98:B99"/>
    <mergeCell ref="C98:C99"/>
    <mergeCell ref="C118:C119"/>
    <mergeCell ref="C115:C116"/>
    <mergeCell ref="A18:N18"/>
    <mergeCell ref="D53:D54"/>
    <mergeCell ref="B53:B55"/>
    <mergeCell ref="B75:B76"/>
    <mergeCell ref="C75:C76"/>
    <mergeCell ref="B36:B37"/>
    <mergeCell ref="C36:C37"/>
    <mergeCell ref="A29:N29"/>
    <mergeCell ref="B31:B33"/>
    <mergeCell ref="B84:B87"/>
    <mergeCell ref="B90:B92"/>
    <mergeCell ref="B95:B96"/>
    <mergeCell ref="B121:B122"/>
    <mergeCell ref="B107:B108"/>
    <mergeCell ref="B110:B112"/>
    <mergeCell ref="B114:B116"/>
    <mergeCell ref="B118:B119"/>
    <mergeCell ref="I1:N1"/>
    <mergeCell ref="O3:O5"/>
    <mergeCell ref="A2:M2"/>
    <mergeCell ref="A3:A5"/>
    <mergeCell ref="E3:E5"/>
    <mergeCell ref="F3:H4"/>
    <mergeCell ref="I3:N3"/>
    <mergeCell ref="M4:M5"/>
    <mergeCell ref="N4:N5"/>
    <mergeCell ref="B3:D5"/>
  </mergeCells>
  <pageMargins left="0.23622047244094491" right="0.23622047244094491" top="0.35433070866141736" bottom="0.15748031496062992"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election activeCell="D8" sqref="D8"/>
    </sheetView>
  </sheetViews>
  <sheetFormatPr defaultRowHeight="15" x14ac:dyDescent="0.25"/>
  <cols>
    <col min="1" max="1" width="10.140625" customWidth="1"/>
    <col min="2" max="2" width="42.140625" customWidth="1"/>
    <col min="4" max="4" width="26.28515625" customWidth="1"/>
    <col min="5" max="5" width="17" customWidth="1"/>
    <col min="7" max="7" width="13.28515625" customWidth="1"/>
  </cols>
  <sheetData>
    <row r="1" spans="1:18" x14ac:dyDescent="0.25">
      <c r="A1" s="153"/>
      <c r="B1" s="60"/>
      <c r="C1" s="60"/>
      <c r="D1" s="60"/>
      <c r="E1" s="60" t="s">
        <v>231</v>
      </c>
      <c r="F1" s="60"/>
      <c r="G1" s="135"/>
      <c r="H1" s="60"/>
      <c r="I1" s="60"/>
      <c r="J1" s="60"/>
      <c r="K1" s="60"/>
      <c r="L1" s="60"/>
      <c r="M1" s="60"/>
      <c r="N1" s="60"/>
      <c r="O1" s="60"/>
      <c r="P1" s="60"/>
      <c r="Q1" s="60"/>
      <c r="R1" s="60"/>
    </row>
    <row r="2" spans="1:18" x14ac:dyDescent="0.25">
      <c r="A2" s="154" t="s">
        <v>218</v>
      </c>
      <c r="B2" s="60"/>
      <c r="C2" s="60"/>
      <c r="D2" s="60"/>
      <c r="E2" s="60"/>
      <c r="F2" s="60"/>
      <c r="G2" s="60"/>
      <c r="H2" s="60"/>
      <c r="I2" s="60"/>
      <c r="J2" s="60"/>
      <c r="K2" s="60"/>
      <c r="L2" s="60"/>
      <c r="M2" s="60"/>
      <c r="N2" s="60"/>
      <c r="O2" s="60"/>
      <c r="P2" s="60"/>
      <c r="Q2" s="60"/>
      <c r="R2" s="60"/>
    </row>
    <row r="3" spans="1:18" ht="80.25" customHeight="1" x14ac:dyDescent="0.25">
      <c r="A3" s="152" t="s">
        <v>163</v>
      </c>
      <c r="B3" s="118" t="s">
        <v>181</v>
      </c>
      <c r="C3" s="118" t="s">
        <v>234</v>
      </c>
      <c r="D3" s="118" t="s">
        <v>215</v>
      </c>
      <c r="E3" s="118" t="s">
        <v>235</v>
      </c>
      <c r="F3" s="60"/>
      <c r="G3" s="60"/>
      <c r="H3" s="60"/>
      <c r="I3" s="60"/>
      <c r="J3" s="60"/>
      <c r="K3" s="60"/>
      <c r="L3" s="60"/>
      <c r="M3" s="60"/>
      <c r="N3" s="60"/>
      <c r="O3" s="60"/>
      <c r="P3" s="60"/>
      <c r="Q3" s="60"/>
      <c r="R3" s="60"/>
    </row>
    <row r="4" spans="1:18" x14ac:dyDescent="0.25">
      <c r="A4" s="183" t="s">
        <v>216</v>
      </c>
      <c r="B4" s="110" t="s">
        <v>217</v>
      </c>
      <c r="C4" s="139">
        <v>7.96</v>
      </c>
      <c r="D4" s="139">
        <v>4079</v>
      </c>
      <c r="E4" s="148">
        <f>ROUND(C4*D4,0)</f>
        <v>32469</v>
      </c>
      <c r="F4" s="60"/>
      <c r="G4" s="60"/>
      <c r="H4" s="60"/>
      <c r="I4" s="60"/>
      <c r="J4" s="60"/>
      <c r="K4" s="60"/>
      <c r="L4" s="60"/>
      <c r="M4" s="60"/>
      <c r="N4" s="60"/>
      <c r="O4" s="60"/>
      <c r="P4" s="60"/>
      <c r="Q4" s="60"/>
      <c r="R4" s="60"/>
    </row>
    <row r="5" spans="1:18" x14ac:dyDescent="0.25">
      <c r="A5" s="153"/>
      <c r="B5" s="60"/>
      <c r="C5" s="60"/>
      <c r="D5" s="60"/>
      <c r="E5" s="60"/>
      <c r="F5" s="60"/>
      <c r="G5" s="60"/>
      <c r="H5" s="60"/>
      <c r="I5" s="60"/>
      <c r="J5" s="60"/>
      <c r="K5" s="60"/>
      <c r="L5" s="60"/>
      <c r="M5" s="60"/>
      <c r="N5" s="60"/>
      <c r="O5" s="60"/>
      <c r="P5" s="60"/>
      <c r="Q5" s="60"/>
      <c r="R5" s="60"/>
    </row>
    <row r="6" spans="1:18" x14ac:dyDescent="0.25">
      <c r="A6" s="153"/>
      <c r="B6" s="60"/>
      <c r="C6" s="60"/>
      <c r="D6" s="60"/>
      <c r="E6" s="60"/>
      <c r="F6" s="60"/>
      <c r="G6" s="60"/>
      <c r="H6" s="60"/>
      <c r="I6" s="60"/>
      <c r="J6" s="60"/>
      <c r="K6" s="60"/>
      <c r="L6" s="60"/>
      <c r="M6" s="60"/>
      <c r="N6" s="60"/>
      <c r="O6" s="60"/>
      <c r="P6" s="60"/>
      <c r="Q6" s="60"/>
      <c r="R6" s="60"/>
    </row>
    <row r="7" spans="1:18" x14ac:dyDescent="0.25">
      <c r="A7" s="153"/>
      <c r="B7" s="60"/>
      <c r="C7" s="60"/>
      <c r="D7" s="60"/>
      <c r="E7" s="60"/>
      <c r="F7" s="60"/>
      <c r="G7" s="60"/>
      <c r="H7" s="60"/>
      <c r="I7" s="60"/>
      <c r="J7" s="60"/>
      <c r="K7" s="60"/>
      <c r="L7" s="60"/>
      <c r="M7" s="60"/>
      <c r="N7" s="60"/>
      <c r="O7" s="60"/>
      <c r="P7" s="60"/>
      <c r="Q7" s="60"/>
      <c r="R7" s="60"/>
    </row>
    <row r="8" spans="1:18" x14ac:dyDescent="0.25">
      <c r="A8" s="153"/>
      <c r="B8" s="60"/>
      <c r="C8" s="60"/>
      <c r="D8" s="60"/>
      <c r="E8" s="60"/>
      <c r="F8" s="60"/>
      <c r="G8" s="60"/>
      <c r="H8" s="60"/>
      <c r="I8" s="60"/>
      <c r="J8" s="60"/>
      <c r="K8" s="60"/>
      <c r="L8" s="60"/>
      <c r="M8" s="60"/>
      <c r="N8" s="60"/>
      <c r="O8" s="60"/>
      <c r="P8" s="60"/>
      <c r="Q8" s="60"/>
      <c r="R8" s="60"/>
    </row>
    <row r="9" spans="1:18" x14ac:dyDescent="0.25">
      <c r="A9" s="153"/>
      <c r="B9" s="60"/>
      <c r="C9" s="60"/>
      <c r="D9" s="60"/>
      <c r="E9" s="60"/>
      <c r="F9" s="60"/>
      <c r="G9" s="60"/>
      <c r="H9" s="60"/>
      <c r="I9" s="60"/>
      <c r="J9" s="60"/>
      <c r="K9" s="60"/>
      <c r="L9" s="60"/>
      <c r="M9" s="60"/>
      <c r="N9" s="60"/>
      <c r="O9" s="60"/>
      <c r="P9" s="60"/>
      <c r="Q9" s="60"/>
      <c r="R9" s="60"/>
    </row>
    <row r="10" spans="1:18" x14ac:dyDescent="0.25">
      <c r="A10" s="153"/>
      <c r="B10" s="60"/>
      <c r="C10" s="60"/>
      <c r="D10" s="60"/>
      <c r="E10" s="60"/>
      <c r="F10" s="60"/>
      <c r="G10" s="60"/>
      <c r="H10" s="60"/>
      <c r="I10" s="60"/>
      <c r="J10" s="60"/>
      <c r="K10" s="60"/>
      <c r="L10" s="60"/>
      <c r="M10" s="60"/>
      <c r="N10" s="60"/>
      <c r="O10" s="60"/>
      <c r="P10" s="60"/>
      <c r="Q10" s="60"/>
      <c r="R10" s="60"/>
    </row>
    <row r="11" spans="1:18" x14ac:dyDescent="0.25">
      <c r="A11" s="153"/>
      <c r="B11" s="60"/>
      <c r="C11" s="60"/>
      <c r="D11" s="60"/>
      <c r="E11" s="60"/>
      <c r="F11" s="60"/>
      <c r="G11" s="60"/>
      <c r="H11" s="60"/>
      <c r="I11" s="60"/>
      <c r="J11" s="60"/>
      <c r="K11" s="60"/>
      <c r="L11" s="60"/>
      <c r="M11" s="60"/>
      <c r="N11" s="60"/>
      <c r="O11" s="60"/>
      <c r="P11" s="60"/>
      <c r="Q11" s="60"/>
      <c r="R11" s="60"/>
    </row>
    <row r="12" spans="1:18" x14ac:dyDescent="0.25">
      <c r="A12" s="153"/>
      <c r="B12" s="60"/>
      <c r="C12" s="60"/>
      <c r="D12" s="60"/>
      <c r="E12" s="60"/>
      <c r="F12" s="60"/>
      <c r="G12" s="60"/>
      <c r="H12" s="60"/>
      <c r="I12" s="60"/>
      <c r="J12" s="60"/>
      <c r="K12" s="60"/>
      <c r="L12" s="60"/>
      <c r="M12" s="60"/>
      <c r="N12" s="60"/>
      <c r="O12" s="60"/>
      <c r="P12" s="60"/>
      <c r="Q12" s="60"/>
      <c r="R12" s="60"/>
    </row>
    <row r="13" spans="1:18" x14ac:dyDescent="0.25">
      <c r="A13" s="153"/>
      <c r="B13" s="155"/>
      <c r="C13" s="60"/>
      <c r="D13" s="60"/>
      <c r="E13" s="60"/>
      <c r="F13" s="60"/>
      <c r="G13" s="60"/>
      <c r="H13" s="60"/>
      <c r="I13" s="60"/>
      <c r="J13" s="60"/>
      <c r="K13" s="60"/>
      <c r="L13" s="60"/>
      <c r="M13" s="60"/>
      <c r="N13" s="60"/>
      <c r="O13" s="60"/>
      <c r="P13" s="60"/>
      <c r="Q13" s="60"/>
      <c r="R13" s="60"/>
    </row>
    <row r="14" spans="1:18" x14ac:dyDescent="0.25">
      <c r="A14" s="153"/>
      <c r="B14" s="60"/>
      <c r="C14" s="60"/>
      <c r="D14" s="60"/>
      <c r="E14" s="60"/>
      <c r="F14" s="60"/>
      <c r="G14" s="60"/>
      <c r="H14" s="60"/>
      <c r="I14" s="60"/>
      <c r="J14" s="60"/>
      <c r="K14" s="60"/>
      <c r="L14" s="60"/>
      <c r="M14" s="60"/>
      <c r="N14" s="60"/>
      <c r="O14" s="60"/>
      <c r="P14" s="60"/>
      <c r="Q14" s="60"/>
      <c r="R14" s="60"/>
    </row>
    <row r="15" spans="1:18" ht="15.75" customHeight="1" x14ac:dyDescent="0.25">
      <c r="A15" s="153"/>
      <c r="B15" s="60"/>
      <c r="C15" s="60"/>
      <c r="D15" s="60"/>
      <c r="E15" s="60"/>
      <c r="F15" s="60"/>
      <c r="G15" s="60"/>
      <c r="H15" s="60"/>
      <c r="I15" s="60"/>
      <c r="J15" s="60"/>
      <c r="K15" s="60"/>
      <c r="L15" s="60"/>
      <c r="M15" s="60"/>
      <c r="N15" s="60"/>
      <c r="O15" s="60"/>
      <c r="P15" s="60"/>
      <c r="Q15" s="60"/>
      <c r="R15" s="60"/>
    </row>
    <row r="16" spans="1:18" x14ac:dyDescent="0.25">
      <c r="A16" s="153"/>
      <c r="B16" s="60"/>
      <c r="C16" s="60"/>
      <c r="D16" s="60"/>
      <c r="E16" s="60"/>
      <c r="F16" s="60"/>
      <c r="G16" s="60"/>
      <c r="H16" s="60"/>
      <c r="I16" s="60"/>
      <c r="J16" s="60"/>
      <c r="K16" s="60"/>
      <c r="L16" s="60"/>
      <c r="M16" s="60"/>
      <c r="N16" s="60"/>
      <c r="O16" s="60"/>
      <c r="P16" s="60"/>
      <c r="Q16" s="60"/>
      <c r="R16" s="60"/>
    </row>
    <row r="17" spans="1:18" x14ac:dyDescent="0.25">
      <c r="A17" s="159"/>
      <c r="B17" s="85"/>
      <c r="C17" s="85"/>
      <c r="D17" s="85"/>
      <c r="E17" s="85"/>
      <c r="F17" s="60"/>
      <c r="G17" s="60"/>
      <c r="H17" s="60"/>
      <c r="I17" s="60"/>
      <c r="J17" s="60"/>
      <c r="K17" s="60"/>
      <c r="L17" s="60"/>
      <c r="M17" s="60"/>
      <c r="N17" s="60"/>
      <c r="O17" s="60"/>
      <c r="P17" s="60"/>
      <c r="Q17" s="60"/>
      <c r="R17" s="60"/>
    </row>
    <row r="18" spans="1:18" x14ac:dyDescent="0.25">
      <c r="A18" s="464"/>
      <c r="B18" s="464"/>
      <c r="C18" s="464"/>
      <c r="D18" s="464"/>
      <c r="E18" s="464"/>
      <c r="F18" s="60"/>
      <c r="G18" s="60"/>
      <c r="H18" s="60"/>
      <c r="I18" s="60"/>
      <c r="J18" s="60"/>
      <c r="K18" s="60"/>
      <c r="L18" s="60"/>
      <c r="M18" s="60"/>
      <c r="N18" s="60"/>
      <c r="O18" s="60"/>
      <c r="P18" s="60"/>
      <c r="Q18" s="60"/>
      <c r="R18" s="60"/>
    </row>
    <row r="19" spans="1:18" x14ac:dyDescent="0.25">
      <c r="A19" s="60"/>
      <c r="B19" s="60"/>
      <c r="C19" s="60"/>
      <c r="D19" s="60"/>
      <c r="E19" s="60"/>
      <c r="F19" s="60"/>
      <c r="G19" s="60"/>
      <c r="H19" s="60"/>
      <c r="I19" s="60"/>
      <c r="J19" s="60"/>
      <c r="K19" s="60"/>
      <c r="L19" s="60"/>
      <c r="M19" s="60"/>
      <c r="N19" s="60"/>
      <c r="O19" s="60"/>
      <c r="P19" s="60"/>
      <c r="Q19" s="60"/>
      <c r="R19" s="60"/>
    </row>
    <row r="20" spans="1:18" x14ac:dyDescent="0.25">
      <c r="A20" s="60"/>
      <c r="B20" s="60"/>
      <c r="C20" s="60"/>
      <c r="D20" s="85"/>
      <c r="E20" s="83"/>
      <c r="F20" s="60"/>
      <c r="G20" s="60"/>
      <c r="H20" s="60"/>
      <c r="I20" s="60"/>
      <c r="J20" s="60"/>
      <c r="K20" s="60"/>
      <c r="L20" s="60"/>
      <c r="M20" s="60"/>
      <c r="N20" s="60"/>
      <c r="O20" s="60"/>
      <c r="P20" s="60"/>
      <c r="Q20" s="60"/>
      <c r="R20" s="60"/>
    </row>
  </sheetData>
  <mergeCells count="1">
    <mergeCell ref="A18:E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F17" sqref="F17"/>
    </sheetView>
  </sheetViews>
  <sheetFormatPr defaultRowHeight="15" x14ac:dyDescent="0.25"/>
  <cols>
    <col min="3" max="3" width="12.5703125" customWidth="1"/>
    <col min="4" max="4" width="15.28515625" customWidth="1"/>
    <col min="5" max="6" width="17.5703125" customWidth="1"/>
    <col min="7" max="7" width="13.7109375" customWidth="1"/>
    <col min="8" max="8" width="20.7109375" customWidth="1"/>
  </cols>
  <sheetData>
    <row r="1" spans="1:8" x14ac:dyDescent="0.25">
      <c r="H1" s="170" t="s">
        <v>274</v>
      </c>
    </row>
    <row r="2" spans="1:8" ht="96" customHeight="1" x14ac:dyDescent="0.25">
      <c r="A2" s="118" t="s">
        <v>270</v>
      </c>
      <c r="B2" s="118" t="s">
        <v>259</v>
      </c>
      <c r="C2" s="118" t="s">
        <v>263</v>
      </c>
      <c r="D2" s="118" t="s">
        <v>264</v>
      </c>
      <c r="E2" s="118" t="s">
        <v>265</v>
      </c>
      <c r="F2" s="118" t="s">
        <v>266</v>
      </c>
      <c r="G2" s="118" t="s">
        <v>267</v>
      </c>
      <c r="H2" s="118" t="s">
        <v>268</v>
      </c>
    </row>
    <row r="3" spans="1:8" ht="13.5" customHeight="1" x14ac:dyDescent="0.25">
      <c r="A3" s="465" t="s">
        <v>258</v>
      </c>
      <c r="B3" s="466"/>
      <c r="C3" s="466"/>
      <c r="D3" s="466"/>
      <c r="E3" s="466"/>
      <c r="F3" s="466"/>
      <c r="G3" s="466"/>
      <c r="H3" s="467"/>
    </row>
    <row r="4" spans="1:8" ht="78.75" customHeight="1" x14ac:dyDescent="0.25">
      <c r="A4" s="118" t="s">
        <v>271</v>
      </c>
      <c r="B4" s="118" t="s">
        <v>260</v>
      </c>
      <c r="C4" s="118" t="s">
        <v>281</v>
      </c>
      <c r="D4" s="118" t="s">
        <v>261</v>
      </c>
      <c r="E4" s="118" t="s">
        <v>277</v>
      </c>
      <c r="F4" s="118" t="s">
        <v>262</v>
      </c>
      <c r="G4" s="118">
        <f>D5+E5</f>
        <v>67.72</v>
      </c>
      <c r="H4" s="171">
        <f>(G4*8000)*0.7</f>
        <v>379232</v>
      </c>
    </row>
    <row r="5" spans="1:8" x14ac:dyDescent="0.25">
      <c r="A5" s="118"/>
      <c r="B5" s="118"/>
      <c r="C5" s="118">
        <v>5.52</v>
      </c>
      <c r="D5" s="118">
        <v>22.08</v>
      </c>
      <c r="E5" s="118">
        <v>45.64</v>
      </c>
      <c r="F5" s="118"/>
      <c r="G5" s="118"/>
      <c r="H5" s="118"/>
    </row>
    <row r="6" spans="1:8" ht="15" customHeight="1" x14ac:dyDescent="0.25">
      <c r="A6" s="465" t="s">
        <v>269</v>
      </c>
      <c r="B6" s="466"/>
      <c r="C6" s="466"/>
      <c r="D6" s="466"/>
      <c r="E6" s="466"/>
      <c r="F6" s="466"/>
      <c r="G6" s="466"/>
      <c r="H6" s="467"/>
    </row>
    <row r="7" spans="1:8" ht="69" customHeight="1" x14ac:dyDescent="0.25">
      <c r="A7" s="118" t="s">
        <v>272</v>
      </c>
      <c r="B7" s="118" t="s">
        <v>273</v>
      </c>
      <c r="C7" s="118" t="s">
        <v>280</v>
      </c>
      <c r="D7" s="118" t="s">
        <v>279</v>
      </c>
      <c r="E7" s="118" t="s">
        <v>278</v>
      </c>
      <c r="F7" s="118" t="s">
        <v>276</v>
      </c>
      <c r="G7" s="118">
        <f>D8+E8+F8</f>
        <v>64.429999999999993</v>
      </c>
      <c r="H7" s="168">
        <f>(G7*8000)*0.3</f>
        <v>154631.99999999997</v>
      </c>
    </row>
    <row r="8" spans="1:8" x14ac:dyDescent="0.25">
      <c r="A8" s="118"/>
      <c r="B8" s="118"/>
      <c r="C8" s="118">
        <v>24.87</v>
      </c>
      <c r="D8" s="118">
        <v>24.87</v>
      </c>
      <c r="E8" s="118">
        <v>22.82</v>
      </c>
      <c r="F8" s="118">
        <v>16.739999999999998</v>
      </c>
      <c r="G8" s="118"/>
      <c r="H8" s="118"/>
    </row>
    <row r="10" spans="1:8" ht="15" customHeight="1" x14ac:dyDescent="0.25">
      <c r="F10" s="110" t="s">
        <v>275</v>
      </c>
      <c r="G10" s="110"/>
      <c r="H10" s="172">
        <f>H4+H7</f>
        <v>533864</v>
      </c>
    </row>
  </sheetData>
  <mergeCells count="2">
    <mergeCell ref="A3:H3"/>
    <mergeCell ref="A6:H6"/>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A6" sqref="A6"/>
    </sheetView>
  </sheetViews>
  <sheetFormatPr defaultRowHeight="15" x14ac:dyDescent="0.25"/>
  <cols>
    <col min="1" max="1" width="20.140625" customWidth="1"/>
    <col min="2" max="2" width="17.28515625" customWidth="1"/>
    <col min="3" max="3" width="14.85546875" customWidth="1"/>
    <col min="4" max="4" width="15.85546875" customWidth="1"/>
    <col min="5" max="5" width="13.28515625" customWidth="1"/>
    <col min="6" max="6" width="12.42578125" customWidth="1"/>
  </cols>
  <sheetData>
    <row r="1" spans="1:6" x14ac:dyDescent="0.25">
      <c r="D1" s="135"/>
      <c r="F1" s="162" t="s">
        <v>199</v>
      </c>
    </row>
    <row r="2" spans="1:6" ht="72" x14ac:dyDescent="0.25">
      <c r="A2" s="118" t="s">
        <v>197</v>
      </c>
      <c r="B2" s="118" t="s">
        <v>200</v>
      </c>
      <c r="C2" s="118" t="s">
        <v>236</v>
      </c>
      <c r="D2" s="147" t="s">
        <v>249</v>
      </c>
      <c r="E2" s="147" t="s">
        <v>250</v>
      </c>
      <c r="F2" s="147" t="s">
        <v>251</v>
      </c>
    </row>
    <row r="3" spans="1:6" x14ac:dyDescent="0.25">
      <c r="A3" s="139">
        <v>21759</v>
      </c>
      <c r="B3" s="139">
        <f>ROUND(A3*0.077,0)</f>
        <v>1675</v>
      </c>
      <c r="C3" s="139">
        <v>42.31</v>
      </c>
      <c r="D3" s="148">
        <f>ROUND(B3*C3,0)</f>
        <v>70869</v>
      </c>
      <c r="E3" s="165">
        <v>77955.899999999994</v>
      </c>
      <c r="F3" s="165">
        <v>85751.6</v>
      </c>
    </row>
    <row r="4" spans="1:6" x14ac:dyDescent="0.25">
      <c r="A4" s="60" t="s">
        <v>198</v>
      </c>
      <c r="B4" s="60"/>
      <c r="C4" s="60"/>
      <c r="D4" s="60"/>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G14" sqref="G14"/>
    </sheetView>
  </sheetViews>
  <sheetFormatPr defaultRowHeight="15" x14ac:dyDescent="0.25"/>
  <cols>
    <col min="1" max="1" width="6.28515625" customWidth="1"/>
    <col min="4" max="4" width="6.42578125" customWidth="1"/>
    <col min="5" max="5" width="6.85546875" customWidth="1"/>
  </cols>
  <sheetData>
    <row r="1" spans="1:7" x14ac:dyDescent="0.25">
      <c r="F1" s="471" t="s">
        <v>367</v>
      </c>
      <c r="G1" s="471"/>
    </row>
    <row r="2" spans="1:7" ht="26.25" customHeight="1" x14ac:dyDescent="0.25">
      <c r="A2" s="472" t="s">
        <v>161</v>
      </c>
      <c r="B2" s="474" t="s">
        <v>162</v>
      </c>
      <c r="C2" s="476" t="s">
        <v>163</v>
      </c>
      <c r="D2" s="476" t="s">
        <v>165</v>
      </c>
      <c r="E2" s="477" t="s">
        <v>368</v>
      </c>
      <c r="F2" s="478" t="s">
        <v>369</v>
      </c>
      <c r="G2" s="478"/>
    </row>
    <row r="3" spans="1:7" ht="85.5" customHeight="1" x14ac:dyDescent="0.25">
      <c r="A3" s="473"/>
      <c r="B3" s="475"/>
      <c r="C3" s="476"/>
      <c r="D3" s="476"/>
      <c r="E3" s="477"/>
      <c r="F3" s="233" t="s">
        <v>164</v>
      </c>
      <c r="G3" s="233" t="s">
        <v>426</v>
      </c>
    </row>
    <row r="4" spans="1:7" ht="36.75" customHeight="1" x14ac:dyDescent="0.25">
      <c r="A4" s="468" t="s">
        <v>166</v>
      </c>
      <c r="B4" s="468"/>
      <c r="C4" s="468"/>
      <c r="D4" s="468"/>
      <c r="E4" s="468"/>
      <c r="F4" s="468"/>
      <c r="G4" s="468"/>
    </row>
    <row r="5" spans="1:7" ht="24" x14ac:dyDescent="0.25">
      <c r="A5" s="113">
        <v>1</v>
      </c>
      <c r="B5" s="109" t="s">
        <v>370</v>
      </c>
      <c r="C5" s="234">
        <v>49006</v>
      </c>
      <c r="D5" s="235" t="s">
        <v>371</v>
      </c>
      <c r="E5" s="236">
        <v>2.4500000000000002</v>
      </c>
      <c r="F5" s="237">
        <v>22898</v>
      </c>
      <c r="G5" s="238">
        <f>E5*F5</f>
        <v>56100.100000000006</v>
      </c>
    </row>
    <row r="6" spans="1:7" ht="36" x14ac:dyDescent="0.25">
      <c r="A6" s="113">
        <v>2</v>
      </c>
      <c r="B6" s="109" t="s">
        <v>372</v>
      </c>
      <c r="C6" s="234">
        <v>49007</v>
      </c>
      <c r="D6" s="235" t="s">
        <v>371</v>
      </c>
      <c r="E6" s="236">
        <v>3.55</v>
      </c>
      <c r="F6" s="237">
        <v>21937</v>
      </c>
      <c r="G6" s="238">
        <f>E6*F6</f>
        <v>77876.349999999991</v>
      </c>
    </row>
    <row r="7" spans="1:7" ht="31.5" customHeight="1" x14ac:dyDescent="0.25">
      <c r="A7" s="469" t="s">
        <v>431</v>
      </c>
      <c r="B7" s="470"/>
      <c r="C7" s="111"/>
      <c r="D7" s="111"/>
      <c r="E7" s="111"/>
      <c r="F7" s="111"/>
      <c r="G7" s="112">
        <f>SUM(G5:G6)</f>
        <v>133976.45000000001</v>
      </c>
    </row>
  </sheetData>
  <mergeCells count="9">
    <mergeCell ref="A4:G4"/>
    <mergeCell ref="A7:B7"/>
    <mergeCell ref="F1:G1"/>
    <mergeCell ref="A2:A3"/>
    <mergeCell ref="B2:B3"/>
    <mergeCell ref="C2:C3"/>
    <mergeCell ref="D2:D3"/>
    <mergeCell ref="E2:E3"/>
    <mergeCell ref="F2:G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I23" sqref="I23"/>
    </sheetView>
  </sheetViews>
  <sheetFormatPr defaultRowHeight="15" x14ac:dyDescent="0.25"/>
  <cols>
    <col min="1" max="1" width="6.140625" customWidth="1"/>
    <col min="2" max="2" width="25.42578125" customWidth="1"/>
    <col min="4" max="5" width="7" customWidth="1"/>
    <col min="10" max="10" width="0.140625" customWidth="1"/>
  </cols>
  <sheetData>
    <row r="1" spans="1:9" x14ac:dyDescent="0.25">
      <c r="F1" s="471" t="s">
        <v>174</v>
      </c>
      <c r="G1" s="471"/>
    </row>
    <row r="2" spans="1:9" ht="26.25" customHeight="1" x14ac:dyDescent="0.25">
      <c r="A2" s="491" t="s">
        <v>161</v>
      </c>
      <c r="B2" s="491" t="s">
        <v>162</v>
      </c>
      <c r="C2" s="495" t="s">
        <v>163</v>
      </c>
      <c r="D2" s="495" t="s">
        <v>165</v>
      </c>
      <c r="E2" s="495" t="s">
        <v>237</v>
      </c>
      <c r="F2" s="491" t="s">
        <v>167</v>
      </c>
      <c r="G2" s="491"/>
    </row>
    <row r="3" spans="1:9" ht="50.25" customHeight="1" x14ac:dyDescent="0.25">
      <c r="A3" s="491"/>
      <c r="B3" s="491"/>
      <c r="C3" s="495"/>
      <c r="D3" s="495"/>
      <c r="E3" s="495"/>
      <c r="F3" s="118" t="s">
        <v>164</v>
      </c>
      <c r="G3" s="161" t="s">
        <v>238</v>
      </c>
    </row>
    <row r="4" spans="1:9" ht="27.75" customHeight="1" x14ac:dyDescent="0.25">
      <c r="A4" s="492" t="s">
        <v>166</v>
      </c>
      <c r="B4" s="492"/>
      <c r="C4" s="492"/>
      <c r="D4" s="492"/>
      <c r="E4" s="492"/>
      <c r="F4" s="492"/>
      <c r="G4" s="492"/>
    </row>
    <row r="5" spans="1:9" x14ac:dyDescent="0.25">
      <c r="A5" s="113">
        <v>1</v>
      </c>
      <c r="B5" s="109" t="s">
        <v>168</v>
      </c>
      <c r="C5" s="118" t="s">
        <v>169</v>
      </c>
      <c r="D5" s="115" t="s">
        <v>170</v>
      </c>
      <c r="E5" s="116">
        <v>4.1100000000000003</v>
      </c>
      <c r="F5" s="117">
        <v>22000</v>
      </c>
      <c r="G5" s="114">
        <f>F5*E5</f>
        <v>90420</v>
      </c>
    </row>
    <row r="6" spans="1:9" x14ac:dyDescent="0.25">
      <c r="A6" s="113">
        <v>2</v>
      </c>
      <c r="B6" s="109" t="s">
        <v>171</v>
      </c>
      <c r="C6" s="118" t="s">
        <v>169</v>
      </c>
      <c r="D6" s="115" t="s">
        <v>170</v>
      </c>
      <c r="E6" s="116">
        <v>3.73</v>
      </c>
      <c r="F6" s="117">
        <v>22000</v>
      </c>
      <c r="G6" s="114">
        <f>F6*E6</f>
        <v>82060</v>
      </c>
    </row>
    <row r="7" spans="1:9" x14ac:dyDescent="0.25">
      <c r="A7" s="113">
        <v>3</v>
      </c>
      <c r="B7" s="109" t="s">
        <v>172</v>
      </c>
      <c r="C7" s="118" t="s">
        <v>169</v>
      </c>
      <c r="D7" s="115" t="s">
        <v>170</v>
      </c>
      <c r="E7" s="116">
        <v>4.03</v>
      </c>
      <c r="F7" s="117">
        <v>22000</v>
      </c>
      <c r="G7" s="114">
        <f>F7*E7</f>
        <v>88660</v>
      </c>
    </row>
    <row r="8" spans="1:9" x14ac:dyDescent="0.25">
      <c r="A8" s="113">
        <v>4</v>
      </c>
      <c r="B8" s="109" t="s">
        <v>173</v>
      </c>
      <c r="C8" s="118" t="s">
        <v>169</v>
      </c>
      <c r="D8" s="115" t="s">
        <v>170</v>
      </c>
      <c r="E8" s="116">
        <v>4.1100000000000003</v>
      </c>
      <c r="F8" s="117">
        <v>22000</v>
      </c>
      <c r="G8" s="114">
        <f>F8*E8</f>
        <v>90420</v>
      </c>
    </row>
    <row r="9" spans="1:9" x14ac:dyDescent="0.25">
      <c r="A9" s="493" t="s">
        <v>239</v>
      </c>
      <c r="B9" s="494"/>
      <c r="C9" s="111"/>
      <c r="D9" s="111"/>
      <c r="E9" s="111"/>
      <c r="F9" s="111"/>
      <c r="G9" s="112">
        <f>SUM(G5:G8)</f>
        <v>351560</v>
      </c>
    </row>
    <row r="11" spans="1:9" ht="20.25" customHeight="1" x14ac:dyDescent="0.25">
      <c r="A11" s="479" t="s">
        <v>161</v>
      </c>
      <c r="B11" s="481" t="s">
        <v>287</v>
      </c>
      <c r="C11" s="482"/>
      <c r="D11" s="482"/>
      <c r="E11" s="482"/>
      <c r="F11" s="482"/>
      <c r="G11" s="482"/>
      <c r="H11" s="483"/>
      <c r="I11" s="489" t="s">
        <v>300</v>
      </c>
    </row>
    <row r="12" spans="1:9" ht="60" x14ac:dyDescent="0.25">
      <c r="A12" s="480"/>
      <c r="B12" s="181" t="s">
        <v>288</v>
      </c>
      <c r="C12" s="181" t="s">
        <v>289</v>
      </c>
      <c r="D12" s="181" t="s">
        <v>297</v>
      </c>
      <c r="E12" s="181" t="s">
        <v>290</v>
      </c>
      <c r="F12" s="178" t="s">
        <v>978</v>
      </c>
      <c r="G12" s="181" t="s">
        <v>298</v>
      </c>
      <c r="H12" s="181" t="s">
        <v>299</v>
      </c>
      <c r="I12" s="490"/>
    </row>
    <row r="13" spans="1:9" x14ac:dyDescent="0.25">
      <c r="A13" s="179">
        <v>1</v>
      </c>
      <c r="B13" s="180" t="s">
        <v>291</v>
      </c>
      <c r="C13" s="173">
        <v>1</v>
      </c>
      <c r="D13" s="174">
        <v>19500</v>
      </c>
      <c r="E13" s="174">
        <v>21</v>
      </c>
      <c r="F13" s="174">
        <f>D13*((E13/100))</f>
        <v>4095</v>
      </c>
      <c r="G13" s="174">
        <f>D13*((E13/100)+1)</f>
        <v>23595</v>
      </c>
      <c r="H13" s="174">
        <f>G13*C13</f>
        <v>23595</v>
      </c>
      <c r="I13" s="176">
        <v>3200</v>
      </c>
    </row>
    <row r="14" spans="1:9" x14ac:dyDescent="0.25">
      <c r="A14" s="179">
        <v>2</v>
      </c>
      <c r="B14" s="180" t="s">
        <v>292</v>
      </c>
      <c r="C14" s="173">
        <v>1</v>
      </c>
      <c r="D14" s="174">
        <v>4580</v>
      </c>
      <c r="E14" s="174">
        <v>21</v>
      </c>
      <c r="F14" s="174">
        <f t="shared" ref="F14:F18" si="0">D14*((E14/100))</f>
        <v>961.8</v>
      </c>
      <c r="G14" s="174">
        <f t="shared" ref="G14:G18" si="1">D14*((E14/100)+1)</f>
        <v>5541.8</v>
      </c>
      <c r="H14" s="174">
        <f t="shared" ref="H14:H18" si="2">G14*C14</f>
        <v>5541.8</v>
      </c>
      <c r="I14" s="176"/>
    </row>
    <row r="15" spans="1:9" x14ac:dyDescent="0.25">
      <c r="A15" s="179">
        <v>3</v>
      </c>
      <c r="B15" s="180" t="s">
        <v>293</v>
      </c>
      <c r="C15" s="175">
        <v>3</v>
      </c>
      <c r="D15" s="174">
        <v>22800</v>
      </c>
      <c r="E15" s="174">
        <v>21</v>
      </c>
      <c r="F15" s="174">
        <f t="shared" si="0"/>
        <v>4788</v>
      </c>
      <c r="G15" s="174">
        <f t="shared" si="1"/>
        <v>27588</v>
      </c>
      <c r="H15" s="174">
        <f t="shared" si="2"/>
        <v>82764</v>
      </c>
      <c r="I15" s="176"/>
    </row>
    <row r="16" spans="1:9" x14ac:dyDescent="0.25">
      <c r="A16" s="179">
        <v>4</v>
      </c>
      <c r="B16" s="180" t="s">
        <v>294</v>
      </c>
      <c r="C16" s="175">
        <v>1</v>
      </c>
      <c r="D16" s="174">
        <v>19500</v>
      </c>
      <c r="E16" s="174">
        <v>21</v>
      </c>
      <c r="F16" s="174">
        <f t="shared" si="0"/>
        <v>4095</v>
      </c>
      <c r="G16" s="174">
        <f t="shared" si="1"/>
        <v>23595</v>
      </c>
      <c r="H16" s="174">
        <f t="shared" si="2"/>
        <v>23595</v>
      </c>
      <c r="I16" s="176"/>
    </row>
    <row r="17" spans="1:11" x14ac:dyDescent="0.25">
      <c r="A17" s="179">
        <v>5</v>
      </c>
      <c r="B17" s="180" t="s">
        <v>295</v>
      </c>
      <c r="C17" s="175">
        <v>1</v>
      </c>
      <c r="D17" s="174">
        <v>3500</v>
      </c>
      <c r="E17" s="174">
        <v>21</v>
      </c>
      <c r="F17" s="174">
        <f t="shared" si="0"/>
        <v>735</v>
      </c>
      <c r="G17" s="174">
        <f t="shared" si="1"/>
        <v>4235</v>
      </c>
      <c r="H17" s="174">
        <f t="shared" si="2"/>
        <v>4235</v>
      </c>
      <c r="I17" s="176"/>
    </row>
    <row r="18" spans="1:11" x14ac:dyDescent="0.25">
      <c r="A18" s="179">
        <v>6</v>
      </c>
      <c r="B18" s="180" t="s">
        <v>296</v>
      </c>
      <c r="C18" s="175">
        <v>1</v>
      </c>
      <c r="D18" s="174">
        <v>12000</v>
      </c>
      <c r="E18" s="174">
        <v>21</v>
      </c>
      <c r="F18" s="174">
        <f t="shared" si="0"/>
        <v>2520</v>
      </c>
      <c r="G18" s="174">
        <f t="shared" si="1"/>
        <v>14520</v>
      </c>
      <c r="H18" s="174">
        <f t="shared" si="2"/>
        <v>14520</v>
      </c>
      <c r="I18" s="176"/>
    </row>
    <row r="19" spans="1:11" x14ac:dyDescent="0.25">
      <c r="A19" s="177"/>
      <c r="B19" s="180" t="s">
        <v>286</v>
      </c>
      <c r="C19" s="174">
        <f>SUM(C13:C18)</f>
        <v>8</v>
      </c>
      <c r="D19" s="174">
        <f t="shared" ref="D19:I19" si="3">SUM(D13:D18)</f>
        <v>81880</v>
      </c>
      <c r="E19" s="174"/>
      <c r="F19" s="174">
        <f>SUM(F13:F18)</f>
        <v>17194.8</v>
      </c>
      <c r="G19" s="174">
        <f>SUM(G13:G18)</f>
        <v>99074.8</v>
      </c>
      <c r="H19" s="174">
        <f>SUM(H13:H18)</f>
        <v>154250.79999999999</v>
      </c>
      <c r="I19" s="174">
        <f t="shared" si="3"/>
        <v>3200</v>
      </c>
    </row>
    <row r="20" spans="1:11" x14ac:dyDescent="0.25">
      <c r="A20" s="138"/>
      <c r="B20" s="484" t="s">
        <v>301</v>
      </c>
      <c r="C20" s="485"/>
      <c r="D20" s="485"/>
      <c r="E20" s="485"/>
      <c r="F20" s="485"/>
      <c r="G20" s="486"/>
      <c r="H20" s="487">
        <f>H19+I19</f>
        <v>157450.79999999999</v>
      </c>
      <c r="I20" s="488"/>
      <c r="K20" s="60" t="s">
        <v>378</v>
      </c>
    </row>
  </sheetData>
  <mergeCells count="14">
    <mergeCell ref="F2:G2"/>
    <mergeCell ref="A4:G4"/>
    <mergeCell ref="A9:B9"/>
    <mergeCell ref="F1:G1"/>
    <mergeCell ref="A2:A3"/>
    <mergeCell ref="B2:B3"/>
    <mergeCell ref="C2:C3"/>
    <mergeCell ref="D2:D3"/>
    <mergeCell ref="E2:E3"/>
    <mergeCell ref="A11:A12"/>
    <mergeCell ref="B11:H11"/>
    <mergeCell ref="B20:G20"/>
    <mergeCell ref="H20:I20"/>
    <mergeCell ref="I11:I12"/>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F3" sqref="F3"/>
    </sheetView>
  </sheetViews>
  <sheetFormatPr defaultRowHeight="15" x14ac:dyDescent="0.25"/>
  <cols>
    <col min="1" max="1" width="10.5703125" customWidth="1"/>
    <col min="2" max="2" width="27.28515625" customWidth="1"/>
    <col min="3" max="3" width="11.42578125" customWidth="1"/>
    <col min="5" max="5" width="10.5703125" customWidth="1"/>
    <col min="6" max="6" width="10.140625" customWidth="1"/>
    <col min="7" max="7" width="10" customWidth="1"/>
  </cols>
  <sheetData>
    <row r="1" spans="1:7" x14ac:dyDescent="0.25">
      <c r="D1" s="471" t="s">
        <v>230</v>
      </c>
      <c r="E1" s="471"/>
    </row>
    <row r="2" spans="1:7" ht="108" x14ac:dyDescent="0.25">
      <c r="A2" s="118" t="s">
        <v>163</v>
      </c>
      <c r="B2" s="118" t="s">
        <v>181</v>
      </c>
      <c r="C2" s="118" t="s">
        <v>240</v>
      </c>
      <c r="D2" s="118" t="s">
        <v>227</v>
      </c>
      <c r="E2" s="118" t="s">
        <v>252</v>
      </c>
      <c r="F2" s="118" t="s">
        <v>253</v>
      </c>
      <c r="G2" s="118" t="s">
        <v>254</v>
      </c>
    </row>
    <row r="3" spans="1:7" ht="55.5" customHeight="1" x14ac:dyDescent="0.25">
      <c r="A3" s="118" t="s">
        <v>228</v>
      </c>
      <c r="B3" s="158" t="s">
        <v>229</v>
      </c>
      <c r="C3" s="118">
        <v>10.18</v>
      </c>
      <c r="D3" s="118">
        <v>150</v>
      </c>
      <c r="E3" s="168">
        <f>C3*D3</f>
        <v>1527</v>
      </c>
      <c r="F3" s="169">
        <v>1985</v>
      </c>
      <c r="G3" s="169">
        <v>2581</v>
      </c>
    </row>
  </sheetData>
  <mergeCells count="1">
    <mergeCell ref="D1:E1"/>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C13" sqref="C13"/>
    </sheetView>
  </sheetViews>
  <sheetFormatPr defaultRowHeight="15" x14ac:dyDescent="0.25"/>
  <cols>
    <col min="1" max="1" width="5.7109375" customWidth="1"/>
    <col min="2" max="2" width="35.28515625" customWidth="1"/>
    <col min="3" max="3" width="18" customWidth="1"/>
  </cols>
  <sheetData>
    <row r="1" spans="1:3" x14ac:dyDescent="0.25">
      <c r="C1" s="239" t="s">
        <v>425</v>
      </c>
    </row>
    <row r="2" spans="1:3" ht="28.5" customHeight="1" x14ac:dyDescent="0.25">
      <c r="A2" s="251" t="s">
        <v>419</v>
      </c>
      <c r="B2" s="251" t="s">
        <v>420</v>
      </c>
      <c r="C2" s="251" t="s">
        <v>970</v>
      </c>
    </row>
    <row r="3" spans="1:3" x14ac:dyDescent="0.25">
      <c r="A3" s="114">
        <v>1</v>
      </c>
      <c r="B3" s="142" t="s">
        <v>421</v>
      </c>
      <c r="C3" s="140">
        <v>2450</v>
      </c>
    </row>
    <row r="4" spans="1:3" x14ac:dyDescent="0.25">
      <c r="A4" s="114">
        <v>2</v>
      </c>
      <c r="B4" s="142" t="s">
        <v>422</v>
      </c>
      <c r="C4" s="140">
        <v>70</v>
      </c>
    </row>
    <row r="5" spans="1:3" x14ac:dyDescent="0.25">
      <c r="A5" s="114">
        <v>3</v>
      </c>
      <c r="B5" s="142" t="s">
        <v>423</v>
      </c>
      <c r="C5" s="140">
        <v>60</v>
      </c>
    </row>
    <row r="6" spans="1:3" x14ac:dyDescent="0.25">
      <c r="A6" s="114">
        <v>4</v>
      </c>
      <c r="B6" s="142" t="s">
        <v>424</v>
      </c>
      <c r="C6" s="140">
        <v>620</v>
      </c>
    </row>
    <row r="7" spans="1:3" x14ac:dyDescent="0.25">
      <c r="A7" s="110"/>
      <c r="B7" s="144" t="s">
        <v>248</v>
      </c>
      <c r="C7" s="145">
        <f>SUM(C3:C6)</f>
        <v>3200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I19" sqref="I19"/>
    </sheetView>
  </sheetViews>
  <sheetFormatPr defaultRowHeight="15" x14ac:dyDescent="0.25"/>
  <cols>
    <col min="1" max="1" width="6" customWidth="1"/>
    <col min="2" max="2" width="21.42578125" customWidth="1"/>
    <col min="4" max="4" width="7.5703125" customWidth="1"/>
    <col min="5" max="5" width="8.7109375" customWidth="1"/>
  </cols>
  <sheetData>
    <row r="1" spans="1:10" x14ac:dyDescent="0.25">
      <c r="J1" s="60" t="s">
        <v>412</v>
      </c>
    </row>
    <row r="2" spans="1:10" ht="15" customHeight="1" x14ac:dyDescent="0.25">
      <c r="A2" s="430" t="s">
        <v>379</v>
      </c>
      <c r="B2" s="431" t="s">
        <v>395</v>
      </c>
      <c r="C2" s="431" t="s">
        <v>380</v>
      </c>
      <c r="D2" s="431" t="s">
        <v>381</v>
      </c>
      <c r="E2" s="431" t="s">
        <v>396</v>
      </c>
      <c r="F2" s="431" t="s">
        <v>405</v>
      </c>
      <c r="G2" s="431" t="s">
        <v>974</v>
      </c>
      <c r="H2" s="435" t="s">
        <v>975</v>
      </c>
      <c r="I2" s="431" t="s">
        <v>976</v>
      </c>
      <c r="J2" s="435" t="s">
        <v>409</v>
      </c>
    </row>
    <row r="3" spans="1:10" ht="24" customHeight="1" x14ac:dyDescent="0.25">
      <c r="A3" s="430"/>
      <c r="B3" s="431"/>
      <c r="C3" s="431"/>
      <c r="D3" s="431"/>
      <c r="E3" s="431"/>
      <c r="F3" s="431"/>
      <c r="G3" s="431"/>
      <c r="H3" s="435"/>
      <c r="I3" s="431"/>
      <c r="J3" s="435"/>
    </row>
    <row r="4" spans="1:10" ht="27" customHeight="1" x14ac:dyDescent="0.25">
      <c r="A4" s="248" t="s">
        <v>972</v>
      </c>
      <c r="B4" s="294" t="s">
        <v>971</v>
      </c>
      <c r="C4" s="293" t="s">
        <v>384</v>
      </c>
      <c r="D4" s="253">
        <v>22700</v>
      </c>
      <c r="E4" s="293" t="s">
        <v>385</v>
      </c>
      <c r="F4" s="253">
        <v>13764507</v>
      </c>
      <c r="G4" s="370">
        <f>F4/6</f>
        <v>2294084.5</v>
      </c>
      <c r="H4" s="370">
        <f>(G4/4)/3*2</f>
        <v>382347.41666666669</v>
      </c>
      <c r="I4" s="370">
        <f>F4/6</f>
        <v>2294084.5</v>
      </c>
      <c r="J4" s="370">
        <f>(I4/4)/3*2</f>
        <v>382347.41666666669</v>
      </c>
    </row>
    <row r="5" spans="1:10" x14ac:dyDescent="0.25">
      <c r="A5" s="242"/>
      <c r="B5" s="243"/>
      <c r="C5" s="244"/>
      <c r="D5" s="245"/>
      <c r="E5" s="434" t="s">
        <v>410</v>
      </c>
      <c r="F5" s="434"/>
      <c r="G5" s="434"/>
      <c r="H5" s="369">
        <f>SUM(H4:H4)</f>
        <v>382347.41666666669</v>
      </c>
      <c r="I5" s="369"/>
      <c r="J5" s="369">
        <f>SUM(J4:J4)</f>
        <v>382347.41666666669</v>
      </c>
    </row>
  </sheetData>
  <mergeCells count="11">
    <mergeCell ref="E5:G5"/>
    <mergeCell ref="E2:E3"/>
    <mergeCell ref="F2:F3"/>
    <mergeCell ref="G2:G3"/>
    <mergeCell ref="H2:H3"/>
    <mergeCell ref="A2:A3"/>
    <mergeCell ref="B2:B3"/>
    <mergeCell ref="C2:C3"/>
    <mergeCell ref="D2:D3"/>
    <mergeCell ref="J2:J3"/>
    <mergeCell ref="I2:I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0"/>
  <sheetViews>
    <sheetView workbookViewId="0">
      <selection activeCell="D14" sqref="D14"/>
    </sheetView>
  </sheetViews>
  <sheetFormatPr defaultRowHeight="15" x14ac:dyDescent="0.25"/>
  <cols>
    <col min="4" max="4" width="29.85546875" customWidth="1"/>
  </cols>
  <sheetData>
    <row r="2" spans="1:9" x14ac:dyDescent="0.25">
      <c r="D2" s="471" t="s">
        <v>143</v>
      </c>
      <c r="E2" s="471"/>
    </row>
    <row r="3" spans="1:9" ht="23.25" customHeight="1" x14ac:dyDescent="0.25">
      <c r="A3" s="496" t="s">
        <v>160</v>
      </c>
      <c r="B3" s="496"/>
      <c r="C3" s="496"/>
      <c r="D3" s="496"/>
      <c r="E3" s="166" t="s">
        <v>354</v>
      </c>
    </row>
    <row r="4" spans="1:9" ht="39.75" customHeight="1" x14ac:dyDescent="0.25">
      <c r="A4" s="497" t="s">
        <v>282</v>
      </c>
      <c r="B4" s="498"/>
      <c r="C4" s="498"/>
      <c r="D4" s="499"/>
      <c r="E4" s="107">
        <v>4962.8571428571431</v>
      </c>
    </row>
    <row r="5" spans="1:9" ht="40.5" customHeight="1" x14ac:dyDescent="0.25">
      <c r="A5" s="497" t="s">
        <v>283</v>
      </c>
      <c r="B5" s="498"/>
      <c r="C5" s="498"/>
      <c r="D5" s="499"/>
      <c r="E5" s="107">
        <v>1540</v>
      </c>
    </row>
    <row r="6" spans="1:9" ht="12.75" customHeight="1" x14ac:dyDescent="0.25">
      <c r="A6" s="497" t="s">
        <v>241</v>
      </c>
      <c r="B6" s="498"/>
      <c r="C6" s="498"/>
      <c r="D6" s="499"/>
      <c r="E6" s="107">
        <v>1534.024674</v>
      </c>
    </row>
    <row r="7" spans="1:9" ht="27" customHeight="1" x14ac:dyDescent="0.25">
      <c r="A7" s="497" t="s">
        <v>242</v>
      </c>
      <c r="B7" s="498"/>
      <c r="C7" s="498"/>
      <c r="D7" s="499"/>
      <c r="E7" s="107">
        <v>101.63333333333334</v>
      </c>
    </row>
    <row r="8" spans="1:9" ht="39.75" customHeight="1" x14ac:dyDescent="0.25">
      <c r="A8" s="497" t="s">
        <v>243</v>
      </c>
      <c r="B8" s="498"/>
      <c r="C8" s="498"/>
      <c r="D8" s="499"/>
      <c r="E8" s="107">
        <v>319.79999999999995</v>
      </c>
    </row>
    <row r="9" spans="1:9" x14ac:dyDescent="0.25">
      <c r="A9" s="500" t="s">
        <v>427</v>
      </c>
      <c r="B9" s="501"/>
      <c r="C9" s="501"/>
      <c r="D9" s="502"/>
      <c r="E9" s="167">
        <v>8458.3151501904758</v>
      </c>
    </row>
    <row r="10" spans="1:9" x14ac:dyDescent="0.25">
      <c r="A10" s="60" t="s">
        <v>284</v>
      </c>
      <c r="B10" s="60"/>
      <c r="C10" s="60"/>
      <c r="D10" s="60"/>
      <c r="E10" s="60"/>
      <c r="F10" s="60"/>
      <c r="G10" s="60"/>
      <c r="H10" s="60"/>
      <c r="I10" s="60"/>
    </row>
  </sheetData>
  <mergeCells count="8">
    <mergeCell ref="D2:E2"/>
    <mergeCell ref="A3:D3"/>
    <mergeCell ref="A4:D4"/>
    <mergeCell ref="A8:D8"/>
    <mergeCell ref="A9:D9"/>
    <mergeCell ref="A5:D5"/>
    <mergeCell ref="A6:D6"/>
    <mergeCell ref="A7:D7"/>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workbookViewId="0">
      <selection activeCell="K1" sqref="K1:L1"/>
    </sheetView>
  </sheetViews>
  <sheetFormatPr defaultRowHeight="15" x14ac:dyDescent="0.25"/>
  <cols>
    <col min="2" max="2" width="30.5703125" customWidth="1"/>
  </cols>
  <sheetData>
    <row r="1" spans="2:12" x14ac:dyDescent="0.25">
      <c r="K1" s="446" t="s">
        <v>999</v>
      </c>
      <c r="L1" s="446"/>
    </row>
    <row r="2" spans="2:12" x14ac:dyDescent="0.25">
      <c r="B2" s="505" t="s">
        <v>119</v>
      </c>
      <c r="C2" s="505"/>
      <c r="D2" s="505"/>
      <c r="E2" s="505"/>
      <c r="F2" s="505"/>
      <c r="G2" s="505"/>
      <c r="H2" s="505"/>
      <c r="I2" s="505"/>
      <c r="J2" s="505"/>
      <c r="K2" s="505"/>
      <c r="L2" s="505"/>
    </row>
    <row r="3" spans="2:12" ht="96" x14ac:dyDescent="0.25">
      <c r="B3" s="114" t="s">
        <v>120</v>
      </c>
      <c r="C3" s="118" t="s">
        <v>146</v>
      </c>
      <c r="D3" s="118" t="s">
        <v>147</v>
      </c>
      <c r="E3" s="118" t="s">
        <v>148</v>
      </c>
      <c r="F3" s="118" t="s">
        <v>149</v>
      </c>
      <c r="G3" s="118" t="s">
        <v>150</v>
      </c>
      <c r="H3" s="118" t="s">
        <v>151</v>
      </c>
      <c r="I3" s="121" t="s">
        <v>152</v>
      </c>
      <c r="J3" s="118" t="s">
        <v>153</v>
      </c>
      <c r="K3" s="118" t="s">
        <v>154</v>
      </c>
      <c r="L3" s="118" t="s">
        <v>155</v>
      </c>
    </row>
    <row r="4" spans="2:12" x14ac:dyDescent="0.25">
      <c r="B4" s="110" t="s">
        <v>121</v>
      </c>
      <c r="C4" s="81">
        <v>1144</v>
      </c>
      <c r="D4" s="82">
        <f>C4*0.17</f>
        <v>194.48000000000002</v>
      </c>
      <c r="E4" s="81">
        <f>C4*0.33*0.75</f>
        <v>283.14000000000004</v>
      </c>
      <c r="F4" s="81">
        <f>C4*0.1</f>
        <v>114.4</v>
      </c>
      <c r="G4" s="81">
        <f>C4+D4+E4+F4</f>
        <v>1736.0200000000002</v>
      </c>
      <c r="H4" s="82">
        <f>G4*0.2359</f>
        <v>409.52711800000003</v>
      </c>
      <c r="I4" s="82">
        <f>G4+H4</f>
        <v>2145.5471180000004</v>
      </c>
      <c r="J4" s="82">
        <v>4.5</v>
      </c>
      <c r="K4" s="82">
        <f>J4*I4</f>
        <v>9654.9620310000028</v>
      </c>
      <c r="L4" s="82">
        <f>K4*12</f>
        <v>115859.54437200003</v>
      </c>
    </row>
    <row r="5" spans="2:12" x14ac:dyDescent="0.25">
      <c r="B5" s="110" t="s">
        <v>122</v>
      </c>
      <c r="C5" s="82">
        <v>611</v>
      </c>
      <c r="D5" s="82">
        <f>C5*0.17</f>
        <v>103.87</v>
      </c>
      <c r="E5" s="81">
        <f>C5*0.33*0.75</f>
        <v>151.2225</v>
      </c>
      <c r="F5" s="81">
        <f t="shared" ref="F5:F6" si="0">C5*0.1</f>
        <v>61.1</v>
      </c>
      <c r="G5" s="81">
        <f t="shared" ref="G5:G6" si="1">C5+D5+E5+F5</f>
        <v>927.1925</v>
      </c>
      <c r="H5" s="82">
        <f>G5*0.2359</f>
        <v>218.72471074999999</v>
      </c>
      <c r="I5" s="82">
        <f>G5+H5</f>
        <v>1145.9172107499999</v>
      </c>
      <c r="J5" s="82">
        <v>4.5</v>
      </c>
      <c r="K5" s="82">
        <f>J5*I5</f>
        <v>5156.6274483749994</v>
      </c>
      <c r="L5" s="82">
        <f>K5*12</f>
        <v>61879.529380499996</v>
      </c>
    </row>
    <row r="6" spans="2:12" x14ac:dyDescent="0.25">
      <c r="B6" s="110" t="s">
        <v>123</v>
      </c>
      <c r="C6" s="82">
        <v>449</v>
      </c>
      <c r="D6" s="82">
        <f>C6*0.17</f>
        <v>76.330000000000013</v>
      </c>
      <c r="E6" s="81">
        <f>C6*0.33*0.75</f>
        <v>111.12750000000001</v>
      </c>
      <c r="F6" s="81">
        <f t="shared" si="0"/>
        <v>44.900000000000006</v>
      </c>
      <c r="G6" s="81">
        <f t="shared" si="1"/>
        <v>681.35750000000007</v>
      </c>
      <c r="H6" s="82">
        <f>G6*0.2359</f>
        <v>160.73223425</v>
      </c>
      <c r="I6" s="82">
        <f>G6+H6</f>
        <v>842.08973425000011</v>
      </c>
      <c r="J6" s="82">
        <v>4.5</v>
      </c>
      <c r="K6" s="82">
        <f>J6*I6</f>
        <v>3789.4038041250005</v>
      </c>
      <c r="L6" s="82">
        <f>K6*12</f>
        <v>45472.845649500006</v>
      </c>
    </row>
    <row r="7" spans="2:12" x14ac:dyDescent="0.25">
      <c r="B7" s="110" t="s">
        <v>178</v>
      </c>
      <c r="C7" s="122"/>
      <c r="D7" s="122"/>
      <c r="E7" s="122"/>
      <c r="F7" s="122"/>
      <c r="G7" s="122"/>
      <c r="H7" s="122"/>
      <c r="I7" s="122">
        <f>I4+I5+I6</f>
        <v>4133.5540630000005</v>
      </c>
      <c r="J7" s="122">
        <f>J4+J5+J6</f>
        <v>13.5</v>
      </c>
      <c r="K7" s="122">
        <f>K4+K5+K6</f>
        <v>18600.9932835</v>
      </c>
      <c r="L7" s="122">
        <f>K7*12</f>
        <v>223211.919402</v>
      </c>
    </row>
    <row r="8" spans="2:12" x14ac:dyDescent="0.25">
      <c r="B8" s="83"/>
      <c r="C8" s="84"/>
      <c r="D8" s="84"/>
      <c r="E8" s="84"/>
      <c r="F8" s="84"/>
      <c r="G8" s="84"/>
      <c r="H8" s="84"/>
      <c r="I8" s="84"/>
      <c r="J8" s="84"/>
      <c r="K8" s="84"/>
      <c r="L8" s="84"/>
    </row>
    <row r="9" spans="2:12" x14ac:dyDescent="0.25">
      <c r="B9" s="503" t="s">
        <v>124</v>
      </c>
      <c r="C9" s="503"/>
      <c r="D9" s="503"/>
      <c r="E9" s="503"/>
      <c r="F9" s="60"/>
      <c r="G9" s="60"/>
      <c r="H9" s="60"/>
      <c r="I9" s="60"/>
      <c r="J9" s="60"/>
      <c r="K9" s="60"/>
      <c r="L9" s="60"/>
    </row>
    <row r="10" spans="2:12" x14ac:dyDescent="0.25">
      <c r="B10" s="110" t="s">
        <v>125</v>
      </c>
      <c r="C10" s="123" t="s">
        <v>354</v>
      </c>
      <c r="D10" s="85"/>
      <c r="E10" s="86"/>
      <c r="F10" s="83"/>
      <c r="G10" s="60"/>
      <c r="H10" s="60"/>
      <c r="I10" s="87"/>
      <c r="J10" s="60"/>
      <c r="K10" s="60"/>
      <c r="L10" s="60"/>
    </row>
    <row r="11" spans="2:12" x14ac:dyDescent="0.25">
      <c r="B11" s="110" t="s">
        <v>126</v>
      </c>
      <c r="C11" s="82">
        <f>(9114.26/2)*1.2</f>
        <v>5468.5559999999996</v>
      </c>
      <c r="D11" s="88"/>
      <c r="E11" s="89"/>
      <c r="F11" s="84"/>
      <c r="G11" s="60"/>
      <c r="H11" s="60"/>
      <c r="I11" s="87"/>
      <c r="J11" s="60"/>
      <c r="K11" s="60"/>
      <c r="L11" s="60"/>
    </row>
    <row r="12" spans="2:12" ht="24.75" x14ac:dyDescent="0.25">
      <c r="B12" s="124" t="s">
        <v>127</v>
      </c>
      <c r="C12" s="82">
        <v>2699.46</v>
      </c>
      <c r="D12" s="88"/>
      <c r="E12" s="89"/>
      <c r="F12" s="84"/>
      <c r="G12" s="60"/>
      <c r="H12" s="60"/>
      <c r="I12" s="87"/>
      <c r="J12" s="60"/>
      <c r="K12" s="60"/>
      <c r="L12" s="60"/>
    </row>
    <row r="13" spans="2:12" x14ac:dyDescent="0.25">
      <c r="B13" s="110" t="s">
        <v>128</v>
      </c>
      <c r="C13" s="82">
        <v>1056.6300000000001</v>
      </c>
      <c r="D13" s="88"/>
      <c r="E13" s="89"/>
      <c r="F13" s="84"/>
      <c r="G13" s="60"/>
      <c r="H13" s="60"/>
      <c r="I13" s="87"/>
      <c r="J13" s="60"/>
      <c r="K13" s="60"/>
      <c r="L13" s="60"/>
    </row>
    <row r="14" spans="2:12" x14ac:dyDescent="0.25">
      <c r="B14" s="110" t="s">
        <v>129</v>
      </c>
      <c r="C14" s="82">
        <f>99.85+75.86</f>
        <v>175.70999999999998</v>
      </c>
      <c r="D14" s="88"/>
      <c r="E14" s="89"/>
      <c r="F14" s="84"/>
      <c r="G14" s="60"/>
      <c r="H14" s="60"/>
      <c r="I14" s="87"/>
      <c r="J14" s="60"/>
      <c r="K14" s="60"/>
      <c r="L14" s="60"/>
    </row>
    <row r="15" spans="2:12" x14ac:dyDescent="0.25">
      <c r="B15" s="124" t="s">
        <v>130</v>
      </c>
      <c r="C15" s="82">
        <f>(15761.03/2)*1.2</f>
        <v>9456.6180000000004</v>
      </c>
      <c r="D15" s="88"/>
      <c r="E15" s="89"/>
      <c r="F15" s="84"/>
      <c r="G15" s="60"/>
      <c r="H15" s="60"/>
      <c r="I15" s="87"/>
      <c r="J15" s="60"/>
      <c r="K15" s="60"/>
      <c r="L15" s="60"/>
    </row>
    <row r="16" spans="2:12" x14ac:dyDescent="0.25">
      <c r="B16" s="124" t="s">
        <v>131</v>
      </c>
      <c r="C16" s="122">
        <f>SUM(C11:C15)</f>
        <v>18856.974000000002</v>
      </c>
      <c r="D16" s="90"/>
      <c r="E16" s="84"/>
      <c r="F16" s="84"/>
      <c r="G16" s="60"/>
      <c r="H16" s="60"/>
      <c r="I16" s="87"/>
      <c r="J16" s="60"/>
      <c r="K16" s="60"/>
      <c r="L16" s="60"/>
    </row>
    <row r="17" spans="2:12" x14ac:dyDescent="0.25">
      <c r="B17" s="91"/>
      <c r="C17" s="84"/>
      <c r="D17" s="90"/>
      <c r="E17" s="84"/>
      <c r="F17" s="84"/>
      <c r="G17" s="60"/>
      <c r="H17" s="60"/>
      <c r="I17" s="87"/>
      <c r="J17" s="60"/>
      <c r="K17" s="60"/>
      <c r="L17" s="60"/>
    </row>
    <row r="18" spans="2:12" x14ac:dyDescent="0.25">
      <c r="B18" s="110" t="s">
        <v>132</v>
      </c>
      <c r="C18" s="123" t="s">
        <v>354</v>
      </c>
      <c r="D18" s="80"/>
      <c r="E18" s="80"/>
      <c r="F18" s="92"/>
      <c r="G18" s="60"/>
      <c r="H18" s="60"/>
      <c r="I18" s="60"/>
      <c r="J18" s="60"/>
      <c r="K18" s="60"/>
      <c r="L18" s="60"/>
    </row>
    <row r="19" spans="2:12" x14ac:dyDescent="0.25">
      <c r="B19" s="110" t="s">
        <v>119</v>
      </c>
      <c r="C19" s="131">
        <f>L7</f>
        <v>223211.919402</v>
      </c>
      <c r="D19" s="93"/>
      <c r="E19" s="93"/>
      <c r="F19" s="93"/>
      <c r="G19" s="60"/>
      <c r="H19" s="60"/>
      <c r="I19" s="60"/>
      <c r="J19" s="60"/>
      <c r="K19" s="60"/>
      <c r="L19" s="60"/>
    </row>
    <row r="20" spans="2:12" x14ac:dyDescent="0.25">
      <c r="B20" s="132" t="s">
        <v>131</v>
      </c>
      <c r="C20" s="133">
        <f>C16</f>
        <v>18856.974000000002</v>
      </c>
      <c r="D20" s="94"/>
      <c r="E20" s="94"/>
      <c r="F20" s="94"/>
      <c r="G20" s="60"/>
      <c r="H20" s="60"/>
      <c r="I20" s="60"/>
      <c r="J20" s="60"/>
      <c r="K20" s="60"/>
      <c r="L20" s="60"/>
    </row>
    <row r="21" spans="2:12" x14ac:dyDescent="0.25">
      <c r="B21" s="134" t="s">
        <v>179</v>
      </c>
      <c r="C21" s="130">
        <f>C19+C20</f>
        <v>242068.89340200002</v>
      </c>
      <c r="D21" s="95"/>
      <c r="E21" s="95"/>
      <c r="F21" s="95"/>
      <c r="G21" s="60"/>
      <c r="H21" s="60"/>
      <c r="I21" s="60"/>
      <c r="J21" s="60"/>
      <c r="K21" s="60"/>
      <c r="L21" s="60"/>
    </row>
    <row r="22" spans="2:12" x14ac:dyDescent="0.25">
      <c r="B22" s="96"/>
      <c r="C22" s="96"/>
      <c r="D22" s="96"/>
      <c r="E22" s="96"/>
      <c r="F22" s="96"/>
      <c r="G22" s="96"/>
      <c r="H22" s="96"/>
      <c r="I22" s="96"/>
      <c r="J22" s="96"/>
      <c r="K22" s="96"/>
      <c r="L22" s="96"/>
    </row>
    <row r="23" spans="2:12" x14ac:dyDescent="0.25">
      <c r="B23" s="128" t="s">
        <v>133</v>
      </c>
      <c r="C23" s="123" t="s">
        <v>354</v>
      </c>
      <c r="D23" s="96"/>
      <c r="E23" s="96"/>
      <c r="F23" s="96"/>
      <c r="G23" s="96"/>
      <c r="H23" s="96"/>
      <c r="I23" s="96"/>
      <c r="J23" s="96"/>
      <c r="K23" s="96"/>
      <c r="L23" s="96"/>
    </row>
    <row r="24" spans="2:12" ht="24.75" x14ac:dyDescent="0.25">
      <c r="B24" s="126" t="s">
        <v>144</v>
      </c>
      <c r="C24" s="127">
        <f>109406</f>
        <v>109406</v>
      </c>
      <c r="D24" s="96"/>
      <c r="E24" s="96"/>
      <c r="F24" s="96"/>
      <c r="G24" s="96"/>
      <c r="H24" s="96"/>
      <c r="I24" s="96"/>
      <c r="J24" s="96"/>
      <c r="K24" s="96"/>
      <c r="L24" s="96"/>
    </row>
    <row r="25" spans="2:12" ht="24.75" x14ac:dyDescent="0.25">
      <c r="B25" s="126" t="s">
        <v>145</v>
      </c>
      <c r="C25" s="127">
        <v>34109</v>
      </c>
      <c r="D25" s="96"/>
      <c r="E25" s="96"/>
      <c r="F25" s="96"/>
      <c r="G25" s="96"/>
      <c r="H25" s="96"/>
      <c r="I25" s="96"/>
      <c r="J25" s="96"/>
      <c r="K25" s="96"/>
      <c r="L25" s="96"/>
    </row>
    <row r="26" spans="2:12" x14ac:dyDescent="0.25">
      <c r="B26" s="128" t="s">
        <v>134</v>
      </c>
      <c r="C26" s="127">
        <f>C24+C25</f>
        <v>143515</v>
      </c>
      <c r="D26" s="96"/>
      <c r="E26" s="96"/>
      <c r="F26" s="96"/>
      <c r="G26" s="96"/>
      <c r="H26" s="96"/>
      <c r="I26" s="96"/>
      <c r="J26" s="96"/>
      <c r="K26" s="96"/>
      <c r="L26" s="96"/>
    </row>
    <row r="27" spans="2:12" ht="72.75" customHeight="1" x14ac:dyDescent="0.25">
      <c r="B27" s="126" t="s">
        <v>135</v>
      </c>
      <c r="C27" s="127">
        <v>75000</v>
      </c>
      <c r="D27" s="96"/>
      <c r="E27" s="96"/>
      <c r="F27" s="96"/>
      <c r="G27" s="96"/>
      <c r="H27" s="96"/>
      <c r="I27" s="96"/>
      <c r="J27" s="96"/>
      <c r="K27" s="96"/>
      <c r="L27" s="96"/>
    </row>
    <row r="28" spans="2:12" x14ac:dyDescent="0.25">
      <c r="B28" s="128" t="s">
        <v>136</v>
      </c>
      <c r="C28" s="127">
        <v>13600</v>
      </c>
      <c r="D28" s="96"/>
      <c r="E28" s="96"/>
      <c r="F28" s="96"/>
      <c r="G28" s="96"/>
      <c r="H28" s="96"/>
      <c r="I28" s="96"/>
      <c r="J28" s="96"/>
      <c r="K28" s="96"/>
      <c r="L28" s="96"/>
    </row>
    <row r="29" spans="2:12" x14ac:dyDescent="0.25">
      <c r="B29" s="128" t="s">
        <v>137</v>
      </c>
      <c r="C29" s="127">
        <v>12500</v>
      </c>
      <c r="D29" s="96"/>
      <c r="E29" s="96"/>
      <c r="F29" s="96"/>
      <c r="G29" s="96"/>
      <c r="H29" s="96"/>
      <c r="I29" s="96"/>
      <c r="J29" s="96"/>
      <c r="K29" s="96"/>
      <c r="L29" s="96"/>
    </row>
    <row r="30" spans="2:12" x14ac:dyDescent="0.25">
      <c r="B30" s="128" t="s">
        <v>138</v>
      </c>
      <c r="C30" s="127">
        <v>1800</v>
      </c>
      <c r="D30" s="96"/>
      <c r="E30" s="96"/>
      <c r="F30" s="96"/>
      <c r="G30" s="96"/>
      <c r="H30" s="96"/>
      <c r="I30" s="96"/>
      <c r="J30" s="96"/>
      <c r="K30" s="96"/>
      <c r="L30" s="96"/>
    </row>
    <row r="31" spans="2:12" ht="26.25" customHeight="1" x14ac:dyDescent="0.25">
      <c r="B31" s="126" t="s">
        <v>139</v>
      </c>
      <c r="C31" s="127">
        <f>C27+C28+C29+C30</f>
        <v>102900</v>
      </c>
      <c r="D31" s="96"/>
      <c r="E31" s="96"/>
      <c r="F31" s="96"/>
      <c r="G31" s="96"/>
      <c r="H31" s="96"/>
      <c r="I31" s="96"/>
      <c r="J31" s="96"/>
      <c r="K31" s="96"/>
      <c r="L31" s="96"/>
    </row>
    <row r="32" spans="2:12" ht="27.75" customHeight="1" x14ac:dyDescent="0.25">
      <c r="B32" s="129" t="s">
        <v>140</v>
      </c>
      <c r="C32" s="130">
        <f>C26+C31</f>
        <v>246415</v>
      </c>
      <c r="D32" s="125" t="s">
        <v>157</v>
      </c>
      <c r="E32" s="97"/>
      <c r="F32" s="97"/>
      <c r="G32" s="96"/>
      <c r="H32" s="96"/>
      <c r="I32" s="96"/>
      <c r="J32" s="96"/>
      <c r="K32" s="96"/>
      <c r="L32" s="96"/>
    </row>
    <row r="33" spans="2:12" ht="27.75" customHeight="1" x14ac:dyDescent="0.25">
      <c r="B33" s="504" t="s">
        <v>141</v>
      </c>
      <c r="C33" s="504"/>
      <c r="D33" s="504"/>
      <c r="E33" s="504"/>
      <c r="F33" s="504"/>
      <c r="G33" s="504"/>
      <c r="H33" s="504"/>
      <c r="I33" s="504"/>
      <c r="J33" s="504"/>
      <c r="K33" s="504"/>
      <c r="L33" s="504"/>
    </row>
    <row r="34" spans="2:12" x14ac:dyDescent="0.25">
      <c r="B34" s="97" t="s">
        <v>142</v>
      </c>
      <c r="C34" s="96"/>
      <c r="D34" s="96"/>
      <c r="E34" s="96"/>
      <c r="F34" s="96"/>
      <c r="G34" s="96"/>
      <c r="H34" s="96"/>
      <c r="I34" s="96"/>
      <c r="J34" s="96"/>
      <c r="K34" s="96"/>
      <c r="L34" s="96"/>
    </row>
    <row r="35" spans="2:12" x14ac:dyDescent="0.25">
      <c r="B35" s="79"/>
      <c r="C35" s="79"/>
      <c r="D35" s="79"/>
      <c r="E35" s="79"/>
      <c r="F35" s="79"/>
      <c r="G35" s="79"/>
      <c r="H35" s="79"/>
      <c r="I35" s="79"/>
      <c r="J35" s="79"/>
      <c r="K35" s="79"/>
      <c r="L35" s="79"/>
    </row>
  </sheetData>
  <mergeCells count="4">
    <mergeCell ref="K1:L1"/>
    <mergeCell ref="B9:E9"/>
    <mergeCell ref="B33:L33"/>
    <mergeCell ref="B2:L2"/>
  </mergeCells>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H10" sqref="H10"/>
    </sheetView>
  </sheetViews>
  <sheetFormatPr defaultRowHeight="15" x14ac:dyDescent="0.25"/>
  <cols>
    <col min="1" max="1" width="6.28515625" customWidth="1"/>
    <col min="2" max="2" width="32.5703125" customWidth="1"/>
    <col min="3" max="3" width="11.42578125" customWidth="1"/>
    <col min="4" max="4" width="8.140625" customWidth="1"/>
    <col min="5" max="5" width="8.28515625" customWidth="1"/>
    <col min="6" max="6" width="11.42578125" bestFit="1" customWidth="1"/>
    <col min="7" max="7" width="8.42578125" customWidth="1"/>
    <col min="8" max="8" width="9.28515625" customWidth="1"/>
    <col min="9" max="9" width="7.42578125" customWidth="1"/>
    <col min="10" max="10" width="9.140625" bestFit="1" customWidth="1"/>
  </cols>
  <sheetData>
    <row r="1" spans="1:10" x14ac:dyDescent="0.25">
      <c r="J1" s="60" t="s">
        <v>404</v>
      </c>
    </row>
    <row r="2" spans="1:10" ht="15" customHeight="1" x14ac:dyDescent="0.25">
      <c r="A2" s="430" t="s">
        <v>379</v>
      </c>
      <c r="B2" s="431" t="s">
        <v>395</v>
      </c>
      <c r="C2" s="431" t="s">
        <v>380</v>
      </c>
      <c r="D2" s="431" t="s">
        <v>381</v>
      </c>
      <c r="E2" s="431" t="s">
        <v>396</v>
      </c>
      <c r="F2" s="431" t="s">
        <v>405</v>
      </c>
      <c r="G2" s="431" t="s">
        <v>406</v>
      </c>
      <c r="H2" s="435" t="s">
        <v>407</v>
      </c>
      <c r="I2" s="436" t="s">
        <v>408</v>
      </c>
      <c r="J2" s="432" t="s">
        <v>409</v>
      </c>
    </row>
    <row r="3" spans="1:10" ht="23.25" customHeight="1" x14ac:dyDescent="0.25">
      <c r="A3" s="430"/>
      <c r="B3" s="431"/>
      <c r="C3" s="431"/>
      <c r="D3" s="431"/>
      <c r="E3" s="431"/>
      <c r="F3" s="431"/>
      <c r="G3" s="431"/>
      <c r="H3" s="435"/>
      <c r="I3" s="437"/>
      <c r="J3" s="433"/>
    </row>
    <row r="4" spans="1:10" ht="23.25" customHeight="1" x14ac:dyDescent="0.25">
      <c r="A4" s="248" t="s">
        <v>382</v>
      </c>
      <c r="B4" s="250" t="s">
        <v>383</v>
      </c>
      <c r="C4" s="251" t="s">
        <v>384</v>
      </c>
      <c r="D4" s="253">
        <v>75000</v>
      </c>
      <c r="E4" s="293" t="s">
        <v>385</v>
      </c>
      <c r="F4" s="253">
        <v>1222000</v>
      </c>
      <c r="G4" s="370">
        <f>F4/6</f>
        <v>203666.66666666666</v>
      </c>
      <c r="H4" s="370">
        <f>G4/4</f>
        <v>50916.666666666664</v>
      </c>
      <c r="I4" s="370">
        <v>203666.66666666701</v>
      </c>
      <c r="J4" s="370">
        <f>I4/4</f>
        <v>50916.666666666752</v>
      </c>
    </row>
    <row r="5" spans="1:10" s="247" customFormat="1" ht="26.25" customHeight="1" x14ac:dyDescent="0.25">
      <c r="A5" s="248" t="s">
        <v>397</v>
      </c>
      <c r="B5" s="250" t="s">
        <v>398</v>
      </c>
      <c r="C5" s="251" t="s">
        <v>384</v>
      </c>
      <c r="D5" s="249">
        <v>3</v>
      </c>
      <c r="E5" s="293" t="s">
        <v>386</v>
      </c>
      <c r="F5" s="253">
        <v>1520000</v>
      </c>
      <c r="G5" s="370">
        <f>F5/6</f>
        <v>253333.33333333334</v>
      </c>
      <c r="H5" s="370">
        <v>253333</v>
      </c>
      <c r="I5" s="370">
        <f>F5/6</f>
        <v>253333.33333333334</v>
      </c>
      <c r="J5" s="370">
        <v>253333</v>
      </c>
    </row>
    <row r="6" spans="1:10" s="247" customFormat="1" ht="34.5" customHeight="1" x14ac:dyDescent="0.25">
      <c r="A6" s="248" t="s">
        <v>387</v>
      </c>
      <c r="B6" s="250" t="s">
        <v>399</v>
      </c>
      <c r="C6" s="251" t="s">
        <v>384</v>
      </c>
      <c r="D6" s="249">
        <v>1</v>
      </c>
      <c r="E6" s="252" t="s">
        <v>388</v>
      </c>
      <c r="F6" s="253">
        <v>118800</v>
      </c>
      <c r="G6" s="370">
        <f>F6/3</f>
        <v>39600</v>
      </c>
      <c r="H6" s="370">
        <f>G6/2</f>
        <v>19800</v>
      </c>
      <c r="I6" s="370">
        <f>F6/3</f>
        <v>39600</v>
      </c>
      <c r="J6" s="370">
        <f>I6/2</f>
        <v>19800</v>
      </c>
    </row>
    <row r="7" spans="1:10" s="247" customFormat="1" ht="34.5" customHeight="1" x14ac:dyDescent="0.25">
      <c r="A7" s="248" t="s">
        <v>400</v>
      </c>
      <c r="B7" s="250" t="s">
        <v>401</v>
      </c>
      <c r="C7" s="251" t="s">
        <v>384</v>
      </c>
      <c r="D7" s="249">
        <v>3</v>
      </c>
      <c r="E7" s="295" t="s">
        <v>386</v>
      </c>
      <c r="F7" s="253">
        <v>540000</v>
      </c>
      <c r="G7" s="370">
        <f>F7/6</f>
        <v>90000</v>
      </c>
      <c r="H7" s="370">
        <v>90000</v>
      </c>
      <c r="I7" s="370">
        <f>F7/6</f>
        <v>90000</v>
      </c>
      <c r="J7" s="370">
        <v>90000</v>
      </c>
    </row>
    <row r="8" spans="1:10" s="247" customFormat="1" ht="34.5" customHeight="1" x14ac:dyDescent="0.25">
      <c r="A8" s="248" t="s">
        <v>403</v>
      </c>
      <c r="B8" s="250" t="s">
        <v>402</v>
      </c>
      <c r="C8" s="251" t="s">
        <v>384</v>
      </c>
      <c r="D8" s="249">
        <v>3</v>
      </c>
      <c r="E8" s="295" t="s">
        <v>386</v>
      </c>
      <c r="F8" s="253">
        <v>206500</v>
      </c>
      <c r="G8" s="370">
        <f>F8/6</f>
        <v>34416.666666666664</v>
      </c>
      <c r="H8" s="370">
        <f>G8/4</f>
        <v>8604.1666666666661</v>
      </c>
      <c r="I8" s="370">
        <f>F8/6</f>
        <v>34416.666666666664</v>
      </c>
      <c r="J8" s="370">
        <f>I8/4</f>
        <v>8604.1666666666661</v>
      </c>
    </row>
    <row r="9" spans="1:10" s="247" customFormat="1" ht="36" customHeight="1" x14ac:dyDescent="0.25">
      <c r="A9" s="371" t="s">
        <v>968</v>
      </c>
      <c r="B9" s="372" t="s">
        <v>969</v>
      </c>
      <c r="C9" s="238" t="s">
        <v>384</v>
      </c>
      <c r="D9" s="238">
        <v>2</v>
      </c>
      <c r="E9" s="238" t="s">
        <v>386</v>
      </c>
      <c r="F9" s="373">
        <v>70000</v>
      </c>
      <c r="G9" s="374">
        <f>F9/6</f>
        <v>11666.666666666666</v>
      </c>
      <c r="H9" s="238">
        <v>11667</v>
      </c>
      <c r="I9" s="374">
        <f>F9/6</f>
        <v>11666.666666666666</v>
      </c>
      <c r="J9" s="238">
        <v>11667</v>
      </c>
    </row>
    <row r="10" spans="1:10" x14ac:dyDescent="0.25">
      <c r="A10" s="242"/>
      <c r="B10" s="243"/>
      <c r="C10" s="244"/>
      <c r="D10" s="245"/>
      <c r="E10" s="434" t="s">
        <v>410</v>
      </c>
      <c r="F10" s="434"/>
      <c r="G10" s="369"/>
      <c r="H10" s="369">
        <f>SUM(H4:H9)</f>
        <v>434320.83333333337</v>
      </c>
      <c r="I10" s="369"/>
      <c r="J10" s="369">
        <f>SUM(J4:J9)</f>
        <v>434320.83333333343</v>
      </c>
    </row>
    <row r="11" spans="1:10" x14ac:dyDescent="0.25">
      <c r="A11" s="241"/>
      <c r="B11" s="241"/>
      <c r="C11" s="241"/>
      <c r="D11" s="241"/>
      <c r="E11" s="241"/>
      <c r="F11" s="241"/>
      <c r="G11" s="241"/>
      <c r="H11" s="241"/>
      <c r="I11" s="241"/>
      <c r="J11" s="241"/>
    </row>
  </sheetData>
  <mergeCells count="11">
    <mergeCell ref="J2:J3"/>
    <mergeCell ref="E10:F10"/>
    <mergeCell ref="F2:F3"/>
    <mergeCell ref="G2:G3"/>
    <mergeCell ref="H2:H3"/>
    <mergeCell ref="I2:I3"/>
    <mergeCell ref="A2:A3"/>
    <mergeCell ref="B2:B3"/>
    <mergeCell ref="C2:C3"/>
    <mergeCell ref="D2:D3"/>
    <mergeCell ref="E2:E3"/>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B4" sqref="B4"/>
    </sheetView>
  </sheetViews>
  <sheetFormatPr defaultRowHeight="15" x14ac:dyDescent="0.25"/>
  <cols>
    <col min="1" max="1" width="9.28515625" customWidth="1"/>
    <col min="2" max="2" width="22.42578125" customWidth="1"/>
    <col min="3" max="3" width="6" customWidth="1"/>
    <col min="6" max="6" width="19.42578125" customWidth="1"/>
    <col min="7" max="7" width="11.7109375" customWidth="1"/>
    <col min="8" max="8" width="10.42578125" customWidth="1"/>
  </cols>
  <sheetData>
    <row r="1" spans="1:8" x14ac:dyDescent="0.25">
      <c r="G1" s="446" t="s">
        <v>196</v>
      </c>
      <c r="H1" s="446"/>
    </row>
    <row r="2" spans="1:8" x14ac:dyDescent="0.25">
      <c r="A2" s="506" t="s">
        <v>180</v>
      </c>
      <c r="B2" s="506"/>
      <c r="C2" s="506"/>
      <c r="D2" s="506"/>
      <c r="E2" s="506"/>
      <c r="F2" s="506"/>
      <c r="G2" s="506"/>
      <c r="H2" s="138"/>
    </row>
    <row r="3" spans="1:8" ht="88.5" customHeight="1" x14ac:dyDescent="0.25">
      <c r="A3" s="118" t="s">
        <v>163</v>
      </c>
      <c r="B3" s="118" t="s">
        <v>181</v>
      </c>
      <c r="C3" s="118" t="s">
        <v>234</v>
      </c>
      <c r="D3" s="118" t="s">
        <v>182</v>
      </c>
      <c r="E3" s="118" t="s">
        <v>183</v>
      </c>
      <c r="F3" s="118" t="s">
        <v>304</v>
      </c>
      <c r="G3" s="118" t="s">
        <v>235</v>
      </c>
      <c r="H3" s="138"/>
    </row>
    <row r="4" spans="1:8" ht="27" customHeight="1" x14ac:dyDescent="0.25">
      <c r="A4" s="142">
        <v>41047</v>
      </c>
      <c r="B4" s="391" t="s">
        <v>185</v>
      </c>
      <c r="C4" s="139">
        <v>1.9300000000000002</v>
      </c>
      <c r="D4" s="139" t="s">
        <v>186</v>
      </c>
      <c r="E4" s="140">
        <v>63930</v>
      </c>
      <c r="F4" s="140">
        <v>12786</v>
      </c>
      <c r="G4" s="140">
        <f>ROUND(C4*F4,0)</f>
        <v>24677</v>
      </c>
      <c r="H4" s="138"/>
    </row>
    <row r="5" spans="1:8" ht="39" customHeight="1" x14ac:dyDescent="0.25">
      <c r="A5" s="142">
        <v>41056</v>
      </c>
      <c r="B5" s="124" t="s">
        <v>187</v>
      </c>
      <c r="C5" s="139">
        <v>0.85000000000000009</v>
      </c>
      <c r="D5" s="139" t="s">
        <v>186</v>
      </c>
      <c r="E5" s="140">
        <v>63930</v>
      </c>
      <c r="F5" s="140">
        <v>12786</v>
      </c>
      <c r="G5" s="140">
        <f t="shared" ref="G5:G7" si="0">ROUND(C5*F5,0)</f>
        <v>10868</v>
      </c>
      <c r="H5" s="138"/>
    </row>
    <row r="6" spans="1:8" ht="42.75" customHeight="1" x14ac:dyDescent="0.25">
      <c r="A6" s="142">
        <v>41058</v>
      </c>
      <c r="B6" s="124" t="s">
        <v>188</v>
      </c>
      <c r="C6" s="139">
        <v>2.5099999999999998</v>
      </c>
      <c r="D6" s="139" t="s">
        <v>186</v>
      </c>
      <c r="E6" s="140">
        <v>63930</v>
      </c>
      <c r="F6" s="140">
        <v>12786</v>
      </c>
      <c r="G6" s="140">
        <f t="shared" si="0"/>
        <v>32093</v>
      </c>
      <c r="H6" s="138"/>
    </row>
    <row r="7" spans="1:8" ht="23.25" customHeight="1" x14ac:dyDescent="0.25">
      <c r="A7" s="142">
        <v>40003</v>
      </c>
      <c r="B7" s="124" t="s">
        <v>189</v>
      </c>
      <c r="C7" s="139">
        <v>0.84</v>
      </c>
      <c r="D7" s="139" t="s">
        <v>186</v>
      </c>
      <c r="E7" s="140">
        <v>63930</v>
      </c>
      <c r="F7" s="140">
        <v>12786</v>
      </c>
      <c r="G7" s="140">
        <f t="shared" si="0"/>
        <v>10740</v>
      </c>
      <c r="H7" s="138"/>
    </row>
    <row r="8" spans="1:8" x14ac:dyDescent="0.25">
      <c r="A8" s="438" t="s">
        <v>247</v>
      </c>
      <c r="B8" s="507"/>
      <c r="C8" s="507"/>
      <c r="D8" s="507"/>
      <c r="E8" s="507"/>
      <c r="F8" s="439"/>
      <c r="G8" s="145">
        <f>SUM(G4:G7)</f>
        <v>78378</v>
      </c>
      <c r="H8" s="138"/>
    </row>
    <row r="9" spans="1:8" x14ac:dyDescent="0.25">
      <c r="A9" s="510" t="s">
        <v>305</v>
      </c>
      <c r="B9" s="510"/>
      <c r="C9" s="510"/>
      <c r="D9" s="510"/>
      <c r="E9" s="510"/>
      <c r="F9" s="510"/>
      <c r="G9" s="510"/>
      <c r="H9" s="138"/>
    </row>
    <row r="10" spans="1:8" x14ac:dyDescent="0.25">
      <c r="A10" s="120"/>
      <c r="B10" s="120"/>
      <c r="C10" s="120"/>
      <c r="D10" s="120"/>
      <c r="E10" s="120"/>
      <c r="F10" s="120"/>
      <c r="G10" s="141"/>
      <c r="H10" s="138"/>
    </row>
    <row r="11" spans="1:8" x14ac:dyDescent="0.25">
      <c r="A11" s="508" t="s">
        <v>190</v>
      </c>
      <c r="B11" s="509"/>
      <c r="C11" s="509"/>
      <c r="D11" s="509"/>
      <c r="E11" s="509"/>
      <c r="F11" s="509"/>
      <c r="G11" s="509"/>
      <c r="H11" s="509"/>
    </row>
    <row r="12" spans="1:8" ht="49.5" customHeight="1" x14ac:dyDescent="0.25">
      <c r="A12" s="118" t="s">
        <v>163</v>
      </c>
      <c r="B12" s="118" t="s">
        <v>181</v>
      </c>
      <c r="C12" s="118" t="s">
        <v>234</v>
      </c>
      <c r="D12" s="118" t="s">
        <v>182</v>
      </c>
      <c r="E12" s="118" t="s">
        <v>183</v>
      </c>
      <c r="F12" s="118" t="s">
        <v>184</v>
      </c>
      <c r="G12" s="118" t="s">
        <v>245</v>
      </c>
      <c r="H12" s="118" t="s">
        <v>244</v>
      </c>
    </row>
    <row r="13" spans="1:8" ht="24.75" x14ac:dyDescent="0.25">
      <c r="A13" s="143" t="s">
        <v>191</v>
      </c>
      <c r="B13" s="124" t="s">
        <v>192</v>
      </c>
      <c r="C13" s="139">
        <v>1.43</v>
      </c>
      <c r="D13" s="139" t="s">
        <v>193</v>
      </c>
      <c r="E13" s="140">
        <v>18823</v>
      </c>
      <c r="F13" s="140">
        <v>18823</v>
      </c>
      <c r="G13" s="139">
        <v>1.42</v>
      </c>
      <c r="H13" s="140">
        <f>ROUND((C13+G13)*E13,0)</f>
        <v>53646</v>
      </c>
    </row>
    <row r="14" spans="1:8" ht="24.75" x14ac:dyDescent="0.25">
      <c r="A14" s="143" t="s">
        <v>194</v>
      </c>
      <c r="B14" s="124" t="s">
        <v>195</v>
      </c>
      <c r="C14" s="139">
        <v>2.63</v>
      </c>
      <c r="D14" s="139" t="s">
        <v>193</v>
      </c>
      <c r="E14" s="140">
        <v>18823</v>
      </c>
      <c r="F14" s="140">
        <v>18823</v>
      </c>
      <c r="G14" s="139">
        <v>0</v>
      </c>
      <c r="H14" s="140">
        <f t="shared" ref="H14" si="1">ROUND(C14*E14,0)</f>
        <v>49504</v>
      </c>
    </row>
    <row r="15" spans="1:8" x14ac:dyDescent="0.25">
      <c r="A15" s="438" t="s">
        <v>248</v>
      </c>
      <c r="B15" s="507"/>
      <c r="C15" s="507"/>
      <c r="D15" s="507"/>
      <c r="E15" s="507"/>
      <c r="F15" s="507"/>
      <c r="G15" s="439"/>
      <c r="H15" s="145">
        <f>SUM(H13:H14)</f>
        <v>103150</v>
      </c>
    </row>
    <row r="16" spans="1:8" x14ac:dyDescent="0.25">
      <c r="A16" s="137"/>
      <c r="B16" s="137"/>
      <c r="C16" s="137"/>
      <c r="D16" s="137"/>
      <c r="E16" s="137"/>
      <c r="F16" s="137"/>
      <c r="G16" s="137"/>
      <c r="H16" s="136"/>
    </row>
    <row r="17" spans="7:8" ht="48" x14ac:dyDescent="0.25">
      <c r="G17" s="110"/>
      <c r="H17" s="118" t="s">
        <v>246</v>
      </c>
    </row>
    <row r="18" spans="7:8" x14ac:dyDescent="0.25">
      <c r="G18" s="144" t="s">
        <v>248</v>
      </c>
      <c r="H18" s="145">
        <f>G8+H15</f>
        <v>181528</v>
      </c>
    </row>
  </sheetData>
  <mergeCells count="6">
    <mergeCell ref="A2:G2"/>
    <mergeCell ref="A8:F8"/>
    <mergeCell ref="A11:H11"/>
    <mergeCell ref="A15:G15"/>
    <mergeCell ref="G1:H1"/>
    <mergeCell ref="A9:G9"/>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A4" sqref="A4:E4"/>
    </sheetView>
  </sheetViews>
  <sheetFormatPr defaultRowHeight="15" x14ac:dyDescent="0.25"/>
  <cols>
    <col min="1" max="1" width="9.5703125" customWidth="1"/>
    <col min="2" max="2" width="10.140625" customWidth="1"/>
    <col min="3" max="3" width="5.7109375" customWidth="1"/>
    <col min="4" max="4" width="15.42578125" customWidth="1"/>
    <col min="5" max="5" width="11.7109375" customWidth="1"/>
  </cols>
  <sheetData>
    <row r="1" spans="1:5" x14ac:dyDescent="0.25">
      <c r="A1" s="60"/>
      <c r="E1" s="60" t="s">
        <v>256</v>
      </c>
    </row>
    <row r="2" spans="1:5" ht="93.75" customHeight="1" x14ac:dyDescent="0.25">
      <c r="A2" s="118" t="s">
        <v>163</v>
      </c>
      <c r="B2" s="118" t="s">
        <v>181</v>
      </c>
      <c r="C2" s="118" t="s">
        <v>234</v>
      </c>
      <c r="D2" s="118" t="s">
        <v>430</v>
      </c>
      <c r="E2" s="118" t="s">
        <v>235</v>
      </c>
    </row>
    <row r="3" spans="1:5" ht="24" x14ac:dyDescent="0.25">
      <c r="A3" s="118">
        <v>41096</v>
      </c>
      <c r="B3" s="118" t="s">
        <v>204</v>
      </c>
      <c r="C3" s="118">
        <v>3.06</v>
      </c>
      <c r="D3" s="118">
        <v>71305</v>
      </c>
      <c r="E3" s="171">
        <f>C3*D3</f>
        <v>218193.30000000002</v>
      </c>
    </row>
    <row r="4" spans="1:5" ht="48.75" customHeight="1" x14ac:dyDescent="0.25">
      <c r="A4" s="511" t="s">
        <v>257</v>
      </c>
      <c r="B4" s="511"/>
      <c r="C4" s="511"/>
      <c r="D4" s="511"/>
      <c r="E4" s="511"/>
    </row>
  </sheetData>
  <mergeCells count="1">
    <mergeCell ref="A4:E4"/>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opLeftCell="A61" workbookViewId="0">
      <selection activeCell="N4" sqref="N4"/>
    </sheetView>
  </sheetViews>
  <sheetFormatPr defaultRowHeight="15" x14ac:dyDescent="0.25"/>
  <cols>
    <col min="1" max="1" width="16.7109375" customWidth="1"/>
    <col min="2" max="2" width="12.85546875" customWidth="1"/>
    <col min="3" max="3" width="10.28515625" customWidth="1"/>
    <col min="9" max="9" width="9.85546875" customWidth="1"/>
    <col min="10" max="10" width="12.42578125" customWidth="1"/>
    <col min="11" max="11" width="10.28515625" bestFit="1" customWidth="1"/>
    <col min="12" max="12" width="8.28515625" customWidth="1"/>
  </cols>
  <sheetData>
    <row r="1" spans="1:25" x14ac:dyDescent="0.25">
      <c r="J1" s="446" t="s">
        <v>303</v>
      </c>
      <c r="K1" s="446"/>
    </row>
    <row r="2" spans="1:25" x14ac:dyDescent="0.25">
      <c r="A2" s="192" t="s">
        <v>306</v>
      </c>
      <c r="B2" s="192"/>
      <c r="C2" s="192"/>
      <c r="D2" s="193"/>
      <c r="E2" s="193"/>
      <c r="F2" s="193"/>
      <c r="G2" s="193"/>
      <c r="H2" s="193"/>
      <c r="I2" s="193"/>
      <c r="J2" s="193"/>
      <c r="K2" s="193"/>
      <c r="L2" s="193"/>
      <c r="M2" s="193"/>
      <c r="N2" s="193"/>
      <c r="O2" s="193"/>
      <c r="P2" s="193"/>
      <c r="Q2" s="193"/>
      <c r="R2" s="193"/>
      <c r="S2" s="193"/>
      <c r="T2" s="193"/>
      <c r="U2" s="193"/>
      <c r="V2" s="193"/>
      <c r="W2" s="193"/>
      <c r="X2" s="138"/>
      <c r="Y2" s="138"/>
    </row>
    <row r="3" spans="1:25" x14ac:dyDescent="0.25">
      <c r="A3" s="513" t="s">
        <v>206</v>
      </c>
      <c r="B3" s="514" t="s">
        <v>307</v>
      </c>
      <c r="C3" s="514" t="s">
        <v>308</v>
      </c>
      <c r="D3" s="515" t="s">
        <v>980</v>
      </c>
      <c r="E3" s="516" t="s">
        <v>309</v>
      </c>
      <c r="F3" s="516"/>
      <c r="G3" s="516"/>
      <c r="H3" s="516"/>
      <c r="I3" s="517" t="s">
        <v>355</v>
      </c>
      <c r="J3" s="514" t="s">
        <v>982</v>
      </c>
      <c r="K3" s="514" t="s">
        <v>354</v>
      </c>
      <c r="L3" s="193"/>
      <c r="M3" s="193"/>
      <c r="N3" s="193"/>
      <c r="O3" s="193"/>
      <c r="P3" s="193"/>
      <c r="Q3" s="193"/>
      <c r="R3" s="193"/>
      <c r="S3" s="193"/>
      <c r="T3" s="193"/>
      <c r="U3" s="193"/>
      <c r="V3" s="193"/>
      <c r="W3" s="193"/>
      <c r="X3" s="138"/>
      <c r="Y3" s="138"/>
    </row>
    <row r="4" spans="1:25" ht="41.25" customHeight="1" x14ac:dyDescent="0.25">
      <c r="A4" s="513"/>
      <c r="B4" s="514"/>
      <c r="C4" s="514"/>
      <c r="D4" s="515"/>
      <c r="E4" s="194" t="s">
        <v>979</v>
      </c>
      <c r="F4" s="194" t="s">
        <v>365</v>
      </c>
      <c r="G4" s="194" t="s">
        <v>353</v>
      </c>
      <c r="H4" s="194" t="s">
        <v>981</v>
      </c>
      <c r="I4" s="517"/>
      <c r="J4" s="514"/>
      <c r="K4" s="514"/>
      <c r="L4" s="195"/>
      <c r="M4" s="195"/>
      <c r="N4" s="195"/>
      <c r="O4" s="195"/>
      <c r="P4" s="195"/>
      <c r="Q4" s="195"/>
      <c r="R4" s="195"/>
      <c r="S4" s="195"/>
      <c r="T4" s="195"/>
      <c r="U4" s="195"/>
      <c r="V4" s="195"/>
      <c r="W4" s="195"/>
      <c r="X4" s="138"/>
      <c r="Y4" s="138"/>
    </row>
    <row r="5" spans="1:25" x14ac:dyDescent="0.25">
      <c r="A5" s="196" t="s">
        <v>310</v>
      </c>
      <c r="B5" s="197"/>
      <c r="C5" s="197"/>
      <c r="D5" s="198"/>
      <c r="E5" s="221">
        <f>E6+E7</f>
        <v>53103.839999999997</v>
      </c>
      <c r="F5" s="221">
        <f t="shared" ref="F5:I5" si="0">F6+F7</f>
        <v>46319.28</v>
      </c>
      <c r="G5" s="221">
        <f t="shared" si="0"/>
        <v>3182.88</v>
      </c>
      <c r="H5" s="222">
        <f t="shared" si="0"/>
        <v>102606</v>
      </c>
      <c r="I5" s="221">
        <f t="shared" si="0"/>
        <v>24204.755399999998</v>
      </c>
      <c r="J5" s="223">
        <v>8615</v>
      </c>
      <c r="K5" s="219">
        <f>J5+H5+I5</f>
        <v>135425.75539999999</v>
      </c>
      <c r="L5" s="195"/>
      <c r="M5" s="195"/>
      <c r="N5" s="195"/>
      <c r="O5" s="195"/>
      <c r="P5" s="195"/>
      <c r="Q5" s="195"/>
      <c r="R5" s="195"/>
      <c r="S5" s="195"/>
      <c r="T5" s="195"/>
      <c r="U5" s="195"/>
      <c r="V5" s="195"/>
      <c r="W5" s="195"/>
      <c r="X5" s="138"/>
      <c r="Y5" s="138"/>
    </row>
    <row r="6" spans="1:25" x14ac:dyDescent="0.25">
      <c r="A6" s="196" t="s">
        <v>311</v>
      </c>
      <c r="B6" s="199">
        <f>4.75*C6</f>
        <v>4.75</v>
      </c>
      <c r="C6" s="199">
        <v>1</v>
      </c>
      <c r="D6" s="200">
        <v>859</v>
      </c>
      <c r="E6" s="202">
        <f>C6*D6*3.17*12</f>
        <v>32676.359999999997</v>
      </c>
      <c r="F6" s="202">
        <f>C6*D6*1.58*1.75*12</f>
        <v>28501.620000000003</v>
      </c>
      <c r="G6" s="202">
        <f>C6*D6*0.19*12</f>
        <v>1958.52</v>
      </c>
      <c r="H6" s="201">
        <f>E6+F6+G6</f>
        <v>63136.499999999993</v>
      </c>
      <c r="I6" s="202">
        <f>H6*0.2359</f>
        <v>14893.900349999998</v>
      </c>
      <c r="J6" s="202"/>
      <c r="K6" s="220">
        <f>H6+I6</f>
        <v>78030.400349999996</v>
      </c>
      <c r="L6" s="193"/>
      <c r="M6" s="193"/>
      <c r="N6" s="193"/>
      <c r="O6" s="193"/>
      <c r="P6" s="193"/>
      <c r="Q6" s="193"/>
      <c r="R6" s="193"/>
      <c r="S6" s="193"/>
      <c r="T6" s="193"/>
      <c r="U6" s="193"/>
      <c r="V6" s="193"/>
      <c r="W6" s="193"/>
      <c r="X6" s="138"/>
      <c r="Y6" s="138"/>
    </row>
    <row r="7" spans="1:25" x14ac:dyDescent="0.25">
      <c r="A7" s="196" t="s">
        <v>312</v>
      </c>
      <c r="B7" s="199">
        <f>4.75*C7</f>
        <v>4.75</v>
      </c>
      <c r="C7" s="199">
        <f>C6</f>
        <v>1</v>
      </c>
      <c r="D7" s="200">
        <v>537</v>
      </c>
      <c r="E7" s="202">
        <f>C7*D7*3.17*12</f>
        <v>20427.48</v>
      </c>
      <c r="F7" s="202">
        <f>C7*D7*1.58*1.75*12</f>
        <v>17817.66</v>
      </c>
      <c r="G7" s="202">
        <f>C7*D7*0.19*12</f>
        <v>1224.3600000000001</v>
      </c>
      <c r="H7" s="201">
        <f>E7+F7+G7</f>
        <v>39469.5</v>
      </c>
      <c r="I7" s="202">
        <f t="shared" ref="I7" si="1">H7*0.2359</f>
        <v>9310.8550500000001</v>
      </c>
      <c r="J7" s="202"/>
      <c r="K7" s="220">
        <f>H7+I7</f>
        <v>48780.355049999998</v>
      </c>
      <c r="L7" s="193"/>
      <c r="M7" s="193"/>
      <c r="N7" s="193"/>
      <c r="O7" s="193"/>
      <c r="P7" s="193"/>
      <c r="Q7" s="193"/>
      <c r="R7" s="193"/>
      <c r="S7" s="193"/>
      <c r="T7" s="193"/>
      <c r="U7" s="193"/>
      <c r="V7" s="193"/>
      <c r="W7" s="193"/>
      <c r="X7" s="138"/>
      <c r="Y7" s="138"/>
    </row>
    <row r="8" spans="1:25" x14ac:dyDescent="0.25">
      <c r="A8" s="192"/>
      <c r="B8" s="192"/>
      <c r="C8" s="192"/>
      <c r="D8" s="193"/>
      <c r="E8" s="193"/>
      <c r="F8" s="193"/>
      <c r="G8" s="193"/>
      <c r="H8" s="193"/>
      <c r="I8" s="193"/>
      <c r="J8" s="193"/>
      <c r="K8" s="193"/>
      <c r="L8" s="193"/>
      <c r="M8" s="193"/>
      <c r="N8" s="193"/>
      <c r="O8" s="193"/>
      <c r="P8" s="193"/>
      <c r="Q8" s="193"/>
      <c r="R8" s="193"/>
      <c r="S8" s="193"/>
      <c r="T8" s="193"/>
      <c r="U8" s="193"/>
      <c r="V8" s="193"/>
      <c r="W8" s="193"/>
      <c r="X8" s="138"/>
      <c r="Y8" s="138"/>
    </row>
    <row r="9" spans="1:25" ht="27.75" customHeight="1" x14ac:dyDescent="0.25">
      <c r="A9" s="512" t="s">
        <v>429</v>
      </c>
      <c r="B9" s="512"/>
      <c r="C9" s="512"/>
      <c r="D9" s="512"/>
      <c r="E9" s="512"/>
      <c r="F9" s="512"/>
      <c r="G9" s="512"/>
      <c r="H9" s="512"/>
      <c r="I9" s="512"/>
      <c r="J9" s="512"/>
      <c r="K9" s="512"/>
      <c r="L9" s="217">
        <f>K5*2</f>
        <v>270851.51079999999</v>
      </c>
      <c r="M9" s="217"/>
      <c r="N9" s="213"/>
      <c r="O9" s="213"/>
      <c r="P9" s="213"/>
      <c r="Q9" s="213"/>
      <c r="R9" s="214"/>
      <c r="S9" s="214"/>
      <c r="T9" s="214"/>
      <c r="U9" s="193"/>
      <c r="V9" s="193"/>
      <c r="W9" s="193"/>
      <c r="X9" s="138"/>
      <c r="Y9" s="138"/>
    </row>
    <row r="10" spans="1:25" x14ac:dyDescent="0.25">
      <c r="A10" s="192"/>
      <c r="B10" s="192"/>
      <c r="C10" s="192"/>
      <c r="D10" s="193"/>
      <c r="E10" s="193"/>
      <c r="F10" s="193"/>
      <c r="G10" s="193"/>
      <c r="H10" s="193"/>
      <c r="I10" s="193"/>
      <c r="J10" s="193"/>
      <c r="K10" s="193"/>
      <c r="L10" s="193"/>
      <c r="M10" s="193"/>
      <c r="N10" s="193"/>
      <c r="O10" s="193"/>
      <c r="P10" s="193"/>
      <c r="Q10" s="193"/>
      <c r="R10" s="193"/>
      <c r="S10" s="193"/>
      <c r="T10" s="193"/>
      <c r="U10" s="193"/>
      <c r="V10" s="193"/>
      <c r="W10" s="193"/>
      <c r="X10" s="138"/>
      <c r="Y10" s="138"/>
    </row>
    <row r="11" spans="1:25" x14ac:dyDescent="0.25">
      <c r="A11" s="203" t="s">
        <v>313</v>
      </c>
      <c r="B11" s="203"/>
      <c r="C11" s="203"/>
      <c r="D11" s="203"/>
      <c r="E11" s="203"/>
      <c r="F11" s="203"/>
      <c r="G11" s="203"/>
      <c r="H11" s="203"/>
      <c r="I11" s="203"/>
      <c r="J11" s="203"/>
      <c r="K11" s="203"/>
      <c r="L11" s="193"/>
      <c r="M11" s="193"/>
      <c r="N11" s="193"/>
      <c r="O11" s="193"/>
      <c r="P11" s="193"/>
      <c r="Q11" s="193"/>
      <c r="R11" s="193"/>
      <c r="S11" s="193"/>
      <c r="T11" s="193"/>
      <c r="U11" s="193"/>
      <c r="V11" s="193"/>
      <c r="W11" s="193"/>
      <c r="X11" s="138"/>
      <c r="Y11" s="138"/>
    </row>
    <row r="12" spans="1:25" ht="25.5" customHeight="1" x14ac:dyDescent="0.25">
      <c r="A12" s="519" t="s">
        <v>314</v>
      </c>
      <c r="B12" s="519"/>
      <c r="C12" s="521" t="s">
        <v>285</v>
      </c>
      <c r="D12" s="523" t="s">
        <v>311</v>
      </c>
      <c r="E12" s="524"/>
      <c r="F12" s="525" t="s">
        <v>315</v>
      </c>
      <c r="G12" s="526"/>
      <c r="H12" s="521" t="s">
        <v>358</v>
      </c>
      <c r="I12" s="521" t="s">
        <v>355</v>
      </c>
      <c r="J12" s="521" t="s">
        <v>357</v>
      </c>
      <c r="K12" s="521" t="s">
        <v>356</v>
      </c>
      <c r="L12" s="193"/>
      <c r="M12" s="193"/>
      <c r="N12" s="193"/>
      <c r="O12" s="193"/>
      <c r="P12" s="193"/>
      <c r="Q12" s="193"/>
      <c r="R12" s="193"/>
      <c r="S12" s="193"/>
      <c r="T12" s="193"/>
      <c r="U12" s="193"/>
      <c r="V12" s="193"/>
      <c r="W12" s="193"/>
      <c r="X12" s="138"/>
      <c r="Y12" s="138"/>
    </row>
    <row r="13" spans="1:25" ht="29.25" customHeight="1" x14ac:dyDescent="0.25">
      <c r="A13" s="520"/>
      <c r="B13" s="520"/>
      <c r="C13" s="522"/>
      <c r="D13" s="204" t="s">
        <v>316</v>
      </c>
      <c r="E13" s="215" t="s">
        <v>317</v>
      </c>
      <c r="F13" s="204" t="s">
        <v>316</v>
      </c>
      <c r="G13" s="215" t="s">
        <v>318</v>
      </c>
      <c r="H13" s="522"/>
      <c r="I13" s="522"/>
      <c r="J13" s="522"/>
      <c r="K13" s="522"/>
      <c r="L13" s="193"/>
      <c r="M13" s="193"/>
      <c r="N13" s="193"/>
      <c r="O13" s="193"/>
      <c r="P13" s="193"/>
      <c r="Q13" s="193"/>
      <c r="R13" s="193"/>
      <c r="S13" s="193"/>
      <c r="T13" s="193"/>
      <c r="U13" s="193"/>
      <c r="V13" s="193"/>
      <c r="W13" s="193"/>
      <c r="X13" s="138"/>
      <c r="Y13" s="138"/>
    </row>
    <row r="14" spans="1:25" x14ac:dyDescent="0.25">
      <c r="A14" s="205">
        <v>1</v>
      </c>
      <c r="B14" s="206" t="s">
        <v>310</v>
      </c>
      <c r="C14" s="215">
        <v>1</v>
      </c>
      <c r="D14" s="204">
        <v>1</v>
      </c>
      <c r="E14" s="207">
        <v>1</v>
      </c>
      <c r="F14" s="204">
        <v>1</v>
      </c>
      <c r="G14" s="207">
        <v>1</v>
      </c>
      <c r="H14" s="204">
        <f>ROUND((E14*859+G14*537)*12,2)</f>
        <v>16752</v>
      </c>
      <c r="I14" s="204">
        <f>ROUND(H14*0.2359,2)</f>
        <v>3951.8</v>
      </c>
      <c r="J14" s="208">
        <v>3080</v>
      </c>
      <c r="K14" s="204">
        <f>SUM(H14:J14)</f>
        <v>23783.8</v>
      </c>
      <c r="L14" s="193"/>
      <c r="M14" s="193"/>
      <c r="N14" s="193"/>
      <c r="O14" s="193"/>
      <c r="P14" s="193"/>
      <c r="Q14" s="193"/>
      <c r="R14" s="193"/>
      <c r="S14" s="193"/>
      <c r="T14" s="193"/>
      <c r="U14" s="193"/>
      <c r="V14" s="193"/>
      <c r="W14" s="193"/>
      <c r="X14" s="138"/>
      <c r="Y14" s="138"/>
    </row>
    <row r="15" spans="1:25" x14ac:dyDescent="0.25">
      <c r="A15" s="209"/>
      <c r="B15" s="209"/>
      <c r="C15" s="209"/>
      <c r="D15" s="209"/>
      <c r="E15" s="209"/>
      <c r="F15" s="209"/>
      <c r="G15" s="209"/>
      <c r="H15" s="209"/>
      <c r="I15" s="209"/>
      <c r="J15" s="209"/>
      <c r="K15" s="210"/>
      <c r="L15" s="193"/>
      <c r="M15" s="193"/>
      <c r="N15" s="193"/>
      <c r="O15" s="193"/>
      <c r="P15" s="193"/>
      <c r="Q15" s="193"/>
      <c r="R15" s="193"/>
      <c r="S15" s="193"/>
      <c r="T15" s="193"/>
      <c r="U15" s="193"/>
      <c r="V15" s="193"/>
      <c r="W15" s="193"/>
      <c r="X15" s="138"/>
      <c r="Y15" s="138"/>
    </row>
    <row r="16" spans="1:25" x14ac:dyDescent="0.25">
      <c r="A16" s="209"/>
      <c r="B16" s="209"/>
      <c r="C16" s="209"/>
      <c r="D16" s="209"/>
      <c r="E16" s="209"/>
      <c r="F16" s="209"/>
      <c r="G16" s="209"/>
      <c r="H16" s="209"/>
      <c r="I16" s="209"/>
      <c r="J16" s="209">
        <v>12</v>
      </c>
      <c r="K16" s="211">
        <f>K14*J16</f>
        <v>285405.59999999998</v>
      </c>
      <c r="L16" s="193" t="s">
        <v>319</v>
      </c>
      <c r="M16" s="193"/>
      <c r="N16" s="193"/>
      <c r="O16" s="193"/>
      <c r="P16" s="193"/>
      <c r="Q16" s="193"/>
      <c r="R16" s="193"/>
      <c r="S16" s="193"/>
      <c r="T16" s="193"/>
      <c r="U16" s="193"/>
      <c r="V16" s="193"/>
      <c r="W16" s="193"/>
      <c r="X16" s="138"/>
      <c r="Y16" s="138"/>
    </row>
    <row r="17" spans="1:25" x14ac:dyDescent="0.25">
      <c r="A17" s="209"/>
      <c r="B17" s="209"/>
      <c r="C17" s="209"/>
      <c r="D17" s="209"/>
      <c r="E17" s="209"/>
      <c r="F17" s="209"/>
      <c r="G17" s="209"/>
      <c r="H17" s="209"/>
      <c r="I17" s="209"/>
      <c r="J17" s="209">
        <v>2</v>
      </c>
      <c r="K17" s="211">
        <f>J17*K14</f>
        <v>47567.6</v>
      </c>
      <c r="L17" s="193" t="s">
        <v>320</v>
      </c>
      <c r="M17" s="193"/>
      <c r="N17" s="193"/>
      <c r="O17" s="193"/>
      <c r="P17" s="193"/>
      <c r="Q17" s="193"/>
      <c r="R17" s="193"/>
      <c r="S17" s="193"/>
      <c r="T17" s="193"/>
      <c r="U17" s="193"/>
      <c r="V17" s="193"/>
      <c r="W17" s="193"/>
      <c r="X17" s="138"/>
      <c r="Y17" s="138"/>
    </row>
    <row r="18" spans="1:25" x14ac:dyDescent="0.25">
      <c r="A18" s="209"/>
      <c r="B18" s="209"/>
      <c r="C18" s="209"/>
      <c r="D18" s="209"/>
      <c r="E18" s="209"/>
      <c r="F18" s="209"/>
      <c r="G18" s="209"/>
      <c r="H18" s="209"/>
      <c r="I18" s="209"/>
      <c r="J18" s="212" t="s">
        <v>428</v>
      </c>
      <c r="K18" s="216">
        <f>SUM(K16:K17)</f>
        <v>332973.19999999995</v>
      </c>
      <c r="L18" s="193"/>
      <c r="M18" s="193"/>
      <c r="N18" s="193"/>
      <c r="O18" s="193"/>
      <c r="P18" s="193"/>
      <c r="Q18" s="193"/>
      <c r="R18" s="193"/>
      <c r="S18" s="193"/>
      <c r="T18" s="193"/>
      <c r="U18" s="193"/>
      <c r="V18" s="193"/>
      <c r="W18" s="193"/>
      <c r="X18" s="138"/>
      <c r="Y18" s="138"/>
    </row>
    <row r="19" spans="1:25" x14ac:dyDescent="0.25">
      <c r="A19" s="209"/>
      <c r="B19" s="209"/>
      <c r="C19" s="209"/>
      <c r="D19" s="209"/>
      <c r="E19" s="209"/>
      <c r="F19" s="209"/>
      <c r="G19" s="209"/>
      <c r="H19" s="209"/>
      <c r="I19" s="209"/>
      <c r="J19" s="212"/>
      <c r="K19" s="216"/>
      <c r="L19" s="193"/>
      <c r="M19" s="193"/>
      <c r="N19" s="193"/>
      <c r="O19" s="193"/>
      <c r="P19" s="193"/>
      <c r="Q19" s="193"/>
      <c r="R19" s="193"/>
      <c r="S19" s="193"/>
      <c r="T19" s="193"/>
      <c r="U19" s="193"/>
      <c r="V19" s="193"/>
      <c r="W19" s="193"/>
      <c r="X19" s="138"/>
      <c r="Y19" s="138"/>
    </row>
    <row r="20" spans="1:25" ht="25.5" customHeight="1" x14ac:dyDescent="0.25">
      <c r="A20" s="209"/>
      <c r="B20" s="209"/>
      <c r="C20" s="209"/>
      <c r="D20" s="209"/>
      <c r="E20" s="209"/>
      <c r="F20" s="209"/>
      <c r="G20" s="209"/>
      <c r="H20" s="209"/>
      <c r="I20" s="518" t="s">
        <v>364</v>
      </c>
      <c r="J20" s="518"/>
      <c r="K20" s="218">
        <f>L9+K18</f>
        <v>603824.7108</v>
      </c>
      <c r="L20" s="193"/>
      <c r="M20" s="193"/>
      <c r="N20" s="193"/>
      <c r="O20" s="193"/>
      <c r="P20" s="193"/>
      <c r="Q20" s="193"/>
      <c r="R20" s="193"/>
      <c r="S20" s="193"/>
      <c r="T20" s="193"/>
      <c r="U20" s="193"/>
      <c r="V20" s="193"/>
      <c r="W20" s="193"/>
      <c r="X20" s="138"/>
      <c r="Y20" s="138"/>
    </row>
    <row r="21" spans="1:25" x14ac:dyDescent="0.25">
      <c r="A21" s="209"/>
      <c r="B21" s="209"/>
      <c r="C21" s="209"/>
      <c r="D21" s="209"/>
      <c r="E21" s="209"/>
      <c r="F21" s="209"/>
      <c r="G21" s="209"/>
      <c r="H21" s="209"/>
      <c r="I21" s="209"/>
      <c r="J21" s="212"/>
      <c r="K21" s="216"/>
      <c r="L21" s="193"/>
      <c r="M21" s="193"/>
      <c r="N21" s="193"/>
      <c r="O21" s="193"/>
      <c r="P21" s="193"/>
      <c r="Q21" s="193"/>
      <c r="R21" s="193"/>
      <c r="S21" s="193"/>
      <c r="T21" s="193"/>
      <c r="U21" s="193"/>
      <c r="V21" s="193"/>
      <c r="W21" s="193"/>
      <c r="X21" s="138"/>
      <c r="Y21" s="138"/>
    </row>
    <row r="22" spans="1:25" ht="30" customHeight="1" x14ac:dyDescent="0.25">
      <c r="A22" s="512" t="s">
        <v>321</v>
      </c>
      <c r="B22" s="512"/>
      <c r="C22" s="512"/>
      <c r="D22" s="512"/>
      <c r="E22" s="512"/>
      <c r="F22" s="512"/>
      <c r="G22" s="512"/>
      <c r="H22" s="512"/>
      <c r="I22" s="512"/>
      <c r="J22" s="512"/>
      <c r="K22" s="512"/>
      <c r="L22" s="193"/>
      <c r="M22" s="193"/>
      <c r="N22" s="193"/>
      <c r="O22" s="193"/>
      <c r="P22" s="193"/>
      <c r="Q22" s="193"/>
      <c r="R22" s="193"/>
      <c r="S22" s="193"/>
      <c r="T22" s="193"/>
      <c r="U22" s="193"/>
      <c r="V22" s="193"/>
      <c r="W22" s="193"/>
      <c r="X22" s="138"/>
      <c r="Y22" s="138"/>
    </row>
    <row r="23" spans="1:25" x14ac:dyDescent="0.25">
      <c r="A23" s="192" t="s">
        <v>322</v>
      </c>
      <c r="B23" s="192"/>
      <c r="C23" s="192"/>
      <c r="D23" s="193"/>
      <c r="E23" s="193"/>
      <c r="F23" s="193"/>
      <c r="G23" s="193"/>
      <c r="H23" s="193"/>
      <c r="I23" s="193"/>
      <c r="J23" s="193"/>
      <c r="K23" s="193"/>
      <c r="L23" s="193"/>
      <c r="M23" s="193"/>
      <c r="N23" s="193"/>
      <c r="O23" s="193"/>
      <c r="P23" s="193"/>
      <c r="Q23" s="193"/>
      <c r="R23" s="193"/>
      <c r="S23" s="193"/>
      <c r="T23" s="193"/>
      <c r="U23" s="193"/>
      <c r="V23" s="193"/>
      <c r="W23" s="193"/>
      <c r="X23" s="138"/>
      <c r="Y23" s="138"/>
    </row>
    <row r="24" spans="1:25" ht="24" x14ac:dyDescent="0.25">
      <c r="A24" s="224" t="s">
        <v>323</v>
      </c>
      <c r="B24" s="225"/>
      <c r="C24" s="226" t="s">
        <v>324</v>
      </c>
      <c r="D24" s="193"/>
      <c r="E24" s="193"/>
      <c r="F24" s="193"/>
      <c r="G24" s="193"/>
      <c r="H24" s="193"/>
      <c r="I24" s="193"/>
      <c r="J24" s="193"/>
      <c r="K24" s="193"/>
      <c r="L24" s="193"/>
      <c r="M24" s="193"/>
      <c r="N24" s="193"/>
      <c r="O24" s="193"/>
      <c r="P24" s="193"/>
      <c r="Q24" s="193"/>
      <c r="R24" s="193"/>
      <c r="S24" s="193"/>
      <c r="T24" s="193"/>
      <c r="U24" s="193"/>
      <c r="V24" s="193"/>
      <c r="W24" s="193"/>
      <c r="X24" s="138"/>
      <c r="Y24" s="138"/>
    </row>
    <row r="25" spans="1:25" ht="36" x14ac:dyDescent="0.25">
      <c r="A25" s="191" t="s">
        <v>325</v>
      </c>
      <c r="B25" s="191" t="s">
        <v>310</v>
      </c>
      <c r="C25" s="226" t="s">
        <v>326</v>
      </c>
      <c r="D25" s="193"/>
      <c r="E25" s="193"/>
      <c r="F25" s="193"/>
      <c r="G25" s="193"/>
      <c r="H25" s="193"/>
      <c r="I25" s="193"/>
      <c r="J25" s="193"/>
      <c r="K25" s="193"/>
      <c r="L25" s="193"/>
      <c r="M25" s="193"/>
      <c r="N25" s="193"/>
      <c r="O25" s="193"/>
      <c r="P25" s="193"/>
      <c r="Q25" s="193"/>
      <c r="R25" s="193"/>
      <c r="S25" s="193"/>
      <c r="T25" s="193"/>
      <c r="U25" s="193"/>
      <c r="V25" s="193"/>
      <c r="W25" s="193"/>
      <c r="X25" s="138"/>
      <c r="Y25" s="138"/>
    </row>
    <row r="26" spans="1:25" ht="42" customHeight="1" x14ac:dyDescent="0.25">
      <c r="A26" s="191" t="s">
        <v>327</v>
      </c>
      <c r="B26" s="191" t="s">
        <v>310</v>
      </c>
      <c r="C26" s="226" t="s">
        <v>326</v>
      </c>
      <c r="D26" s="193"/>
      <c r="E26" s="193"/>
      <c r="F26" s="193"/>
      <c r="G26" s="193"/>
      <c r="H26" s="193"/>
      <c r="I26" s="193"/>
      <c r="J26" s="193"/>
      <c r="K26" s="193"/>
      <c r="L26" s="193"/>
      <c r="M26" s="193"/>
      <c r="N26" s="193"/>
      <c r="O26" s="193"/>
      <c r="P26" s="193"/>
      <c r="Q26" s="193"/>
      <c r="R26" s="193"/>
      <c r="S26" s="193"/>
      <c r="T26" s="193"/>
      <c r="U26" s="193"/>
      <c r="V26" s="193"/>
      <c r="W26" s="193"/>
      <c r="X26" s="138"/>
      <c r="Y26" s="138"/>
    </row>
    <row r="27" spans="1:25" ht="37.5" customHeight="1" x14ac:dyDescent="0.25">
      <c r="A27" s="191" t="s">
        <v>328</v>
      </c>
      <c r="B27" s="191" t="s">
        <v>329</v>
      </c>
      <c r="C27" s="226" t="s">
        <v>326</v>
      </c>
      <c r="D27" s="193"/>
      <c r="E27" s="193"/>
      <c r="F27" s="193"/>
      <c r="G27" s="193"/>
      <c r="H27" s="193"/>
      <c r="I27" s="193"/>
      <c r="J27" s="193"/>
      <c r="K27" s="193"/>
      <c r="L27" s="193"/>
      <c r="M27" s="193"/>
      <c r="N27" s="193"/>
      <c r="O27" s="193"/>
      <c r="P27" s="193"/>
      <c r="Q27" s="193"/>
      <c r="R27" s="193"/>
      <c r="S27" s="193"/>
      <c r="T27" s="193"/>
      <c r="U27" s="193"/>
      <c r="V27" s="193"/>
      <c r="W27" s="193"/>
      <c r="X27" s="138"/>
      <c r="Y27" s="138"/>
    </row>
    <row r="28" spans="1:25" ht="24" x14ac:dyDescent="0.25">
      <c r="A28" s="191" t="s">
        <v>330</v>
      </c>
      <c r="B28" s="191" t="s">
        <v>310</v>
      </c>
      <c r="C28" s="226" t="s">
        <v>331</v>
      </c>
      <c r="D28" s="193"/>
      <c r="E28" s="193"/>
      <c r="F28" s="193"/>
      <c r="G28" s="193"/>
      <c r="H28" s="193"/>
      <c r="I28" s="193"/>
      <c r="J28" s="193"/>
      <c r="K28" s="193"/>
      <c r="L28" s="193"/>
      <c r="M28" s="193"/>
      <c r="N28" s="193"/>
      <c r="O28" s="193"/>
      <c r="P28" s="193"/>
      <c r="Q28" s="193"/>
      <c r="R28" s="193"/>
      <c r="S28" s="193"/>
      <c r="T28" s="193"/>
      <c r="U28" s="193"/>
      <c r="V28" s="193"/>
      <c r="W28" s="193"/>
      <c r="X28" s="138"/>
      <c r="Y28" s="138"/>
    </row>
    <row r="29" spans="1:25" ht="24" x14ac:dyDescent="0.25">
      <c r="A29" s="191" t="s">
        <v>332</v>
      </c>
      <c r="B29" s="191" t="s">
        <v>310</v>
      </c>
      <c r="C29" s="226" t="s">
        <v>331</v>
      </c>
      <c r="D29" s="193"/>
      <c r="E29" s="193"/>
      <c r="F29" s="193"/>
      <c r="G29" s="193"/>
      <c r="H29" s="193"/>
      <c r="I29" s="193"/>
      <c r="J29" s="193"/>
      <c r="K29" s="193"/>
      <c r="L29" s="193"/>
      <c r="M29" s="193"/>
      <c r="N29" s="193"/>
      <c r="O29" s="193"/>
      <c r="P29" s="193"/>
      <c r="Q29" s="193"/>
      <c r="R29" s="193"/>
      <c r="S29" s="193"/>
      <c r="T29" s="193"/>
      <c r="U29" s="193"/>
      <c r="V29" s="193"/>
      <c r="W29" s="193"/>
      <c r="X29" s="138"/>
      <c r="Y29" s="138"/>
    </row>
    <row r="30" spans="1:25" ht="24" x14ac:dyDescent="0.25">
      <c r="A30" s="191" t="s">
        <v>333</v>
      </c>
      <c r="B30" s="191" t="s">
        <v>329</v>
      </c>
      <c r="C30" s="226" t="s">
        <v>334</v>
      </c>
      <c r="D30" s="193"/>
      <c r="E30" s="193"/>
      <c r="F30" s="193"/>
      <c r="G30" s="193"/>
      <c r="H30" s="193"/>
      <c r="I30" s="193"/>
      <c r="J30" s="193"/>
      <c r="K30" s="193"/>
      <c r="L30" s="193"/>
      <c r="M30" s="193"/>
      <c r="N30" s="193"/>
      <c r="O30" s="193"/>
      <c r="P30" s="193"/>
      <c r="Q30" s="193"/>
      <c r="R30" s="193"/>
      <c r="S30" s="193"/>
      <c r="T30" s="193"/>
      <c r="U30" s="193"/>
      <c r="V30" s="193"/>
      <c r="W30" s="193"/>
      <c r="X30" s="138"/>
      <c r="Y30" s="138"/>
    </row>
    <row r="31" spans="1:25" ht="24" x14ac:dyDescent="0.25">
      <c r="A31" s="191" t="s">
        <v>352</v>
      </c>
      <c r="B31" s="191" t="s">
        <v>310</v>
      </c>
      <c r="C31" s="226" t="s">
        <v>326</v>
      </c>
      <c r="D31" s="193"/>
      <c r="E31" s="193"/>
      <c r="F31" s="193"/>
      <c r="G31" s="193"/>
      <c r="H31" s="193"/>
      <c r="I31" s="193"/>
      <c r="J31" s="193"/>
      <c r="K31" s="193"/>
      <c r="L31" s="193"/>
      <c r="M31" s="193"/>
      <c r="N31" s="193"/>
      <c r="O31" s="193"/>
      <c r="P31" s="193"/>
      <c r="Q31" s="193"/>
      <c r="R31" s="193"/>
      <c r="S31" s="193"/>
      <c r="T31" s="193"/>
      <c r="U31" s="193"/>
      <c r="V31" s="193"/>
      <c r="W31" s="193"/>
      <c r="X31" s="138"/>
      <c r="Y31" s="138"/>
    </row>
    <row r="32" spans="1:25" x14ac:dyDescent="0.25">
      <c r="A32" s="191" t="s">
        <v>359</v>
      </c>
      <c r="B32" s="191"/>
      <c r="C32" s="226"/>
      <c r="D32" s="193"/>
      <c r="E32" s="193"/>
      <c r="F32" s="193"/>
      <c r="G32" s="193"/>
      <c r="H32" s="193"/>
      <c r="I32" s="193"/>
      <c r="J32" s="193"/>
      <c r="K32" s="193"/>
      <c r="L32" s="193"/>
      <c r="M32" s="193"/>
      <c r="N32" s="193"/>
      <c r="O32" s="193"/>
      <c r="P32" s="193"/>
      <c r="Q32" s="193"/>
      <c r="R32" s="193"/>
      <c r="S32" s="193"/>
      <c r="T32" s="193"/>
      <c r="U32" s="193"/>
      <c r="V32" s="193"/>
      <c r="W32" s="193"/>
      <c r="X32" s="138"/>
      <c r="Y32" s="138"/>
    </row>
    <row r="33" spans="1:25" ht="24" x14ac:dyDescent="0.25">
      <c r="A33" s="191" t="s">
        <v>335</v>
      </c>
      <c r="B33" s="191" t="s">
        <v>310</v>
      </c>
      <c r="C33" s="226" t="s">
        <v>336</v>
      </c>
      <c r="D33" s="193"/>
      <c r="E33" s="193"/>
      <c r="F33" s="193"/>
      <c r="G33" s="193"/>
      <c r="H33" s="193"/>
      <c r="I33" s="193"/>
      <c r="J33" s="193"/>
      <c r="K33" s="193"/>
      <c r="L33" s="193"/>
      <c r="M33" s="193"/>
      <c r="N33" s="193"/>
      <c r="O33" s="193"/>
      <c r="P33" s="193"/>
      <c r="Q33" s="193"/>
      <c r="R33" s="193"/>
      <c r="S33" s="193"/>
      <c r="T33" s="193"/>
      <c r="U33" s="193"/>
      <c r="V33" s="193"/>
      <c r="W33" s="193"/>
      <c r="X33" s="138"/>
      <c r="Y33" s="138"/>
    </row>
    <row r="34" spans="1:25" ht="36" x14ac:dyDescent="0.25">
      <c r="A34" s="191" t="s">
        <v>337</v>
      </c>
      <c r="B34" s="191" t="s">
        <v>310</v>
      </c>
      <c r="C34" s="226" t="s">
        <v>336</v>
      </c>
      <c r="D34" s="193"/>
      <c r="E34" s="193"/>
      <c r="F34" s="193"/>
      <c r="G34" s="193"/>
      <c r="H34" s="193"/>
      <c r="I34" s="193"/>
      <c r="J34" s="193"/>
      <c r="K34" s="193"/>
      <c r="L34" s="193"/>
      <c r="M34" s="193"/>
      <c r="N34" s="193"/>
      <c r="O34" s="193"/>
      <c r="P34" s="193"/>
      <c r="Q34" s="193"/>
      <c r="R34" s="193"/>
      <c r="S34" s="193"/>
      <c r="T34" s="193"/>
      <c r="U34" s="193"/>
      <c r="V34" s="193"/>
      <c r="W34" s="193"/>
      <c r="X34" s="138"/>
      <c r="Y34" s="138"/>
    </row>
    <row r="35" spans="1:25" ht="27.75" customHeight="1" x14ac:dyDescent="0.25">
      <c r="A35" s="191" t="s">
        <v>338</v>
      </c>
      <c r="B35" s="191" t="s">
        <v>329</v>
      </c>
      <c r="C35" s="226" t="s">
        <v>331</v>
      </c>
      <c r="D35" s="193"/>
      <c r="E35" s="193"/>
      <c r="F35" s="193"/>
      <c r="G35" s="193"/>
      <c r="H35" s="193"/>
      <c r="I35" s="193"/>
      <c r="J35" s="193"/>
      <c r="K35" s="193"/>
      <c r="L35" s="193"/>
      <c r="M35" s="193"/>
      <c r="N35" s="193"/>
      <c r="O35" s="193"/>
      <c r="P35" s="193"/>
      <c r="Q35" s="193"/>
      <c r="R35" s="193"/>
      <c r="S35" s="193"/>
      <c r="T35" s="193"/>
      <c r="U35" s="193"/>
      <c r="V35" s="193"/>
      <c r="W35" s="193"/>
      <c r="X35" s="138"/>
      <c r="Y35" s="138"/>
    </row>
    <row r="36" spans="1:25" x14ac:dyDescent="0.25">
      <c r="A36" s="191" t="s">
        <v>339</v>
      </c>
      <c r="B36" s="191"/>
      <c r="C36" s="226"/>
      <c r="D36" s="193"/>
      <c r="E36" s="193"/>
      <c r="F36" s="193"/>
      <c r="G36" s="193"/>
      <c r="H36" s="193"/>
      <c r="I36" s="193"/>
      <c r="J36" s="193"/>
      <c r="K36" s="193"/>
      <c r="L36" s="193"/>
      <c r="M36" s="193"/>
      <c r="N36" s="193"/>
      <c r="O36" s="193"/>
      <c r="P36" s="193"/>
      <c r="Q36" s="193"/>
      <c r="R36" s="193"/>
      <c r="S36" s="193"/>
      <c r="T36" s="193"/>
      <c r="U36" s="193"/>
      <c r="V36" s="193"/>
      <c r="W36" s="193"/>
      <c r="X36" s="138"/>
      <c r="Y36" s="138"/>
    </row>
    <row r="37" spans="1:25" ht="24" x14ac:dyDescent="0.25">
      <c r="A37" s="191" t="s">
        <v>340</v>
      </c>
      <c r="B37" s="191" t="s">
        <v>310</v>
      </c>
      <c r="C37" s="226" t="s">
        <v>336</v>
      </c>
      <c r="D37" s="193"/>
      <c r="E37" s="193"/>
      <c r="F37" s="193"/>
      <c r="G37" s="193"/>
      <c r="H37" s="193"/>
      <c r="I37" s="193"/>
      <c r="J37" s="193"/>
      <c r="K37" s="193"/>
      <c r="L37" s="193"/>
      <c r="M37" s="193"/>
      <c r="N37" s="193"/>
      <c r="O37" s="193"/>
      <c r="P37" s="193"/>
      <c r="Q37" s="193"/>
      <c r="R37" s="193"/>
      <c r="S37" s="193"/>
      <c r="T37" s="193"/>
      <c r="U37" s="193"/>
      <c r="V37" s="193"/>
      <c r="W37" s="193"/>
      <c r="X37" s="138"/>
      <c r="Y37" s="138"/>
    </row>
    <row r="38" spans="1:25" ht="24" x14ac:dyDescent="0.25">
      <c r="A38" s="191" t="s">
        <v>341</v>
      </c>
      <c r="B38" s="191" t="s">
        <v>310</v>
      </c>
      <c r="C38" s="226" t="s">
        <v>336</v>
      </c>
      <c r="D38" s="193"/>
      <c r="E38" s="193"/>
      <c r="F38" s="193"/>
      <c r="G38" s="193"/>
      <c r="H38" s="193"/>
      <c r="I38" s="193"/>
      <c r="J38" s="193"/>
      <c r="K38" s="193"/>
      <c r="L38" s="193"/>
      <c r="M38" s="193"/>
      <c r="N38" s="193"/>
      <c r="O38" s="193"/>
      <c r="P38" s="193"/>
      <c r="Q38" s="193"/>
      <c r="R38" s="193"/>
      <c r="S38" s="193"/>
      <c r="T38" s="193"/>
      <c r="U38" s="193"/>
      <c r="V38" s="193"/>
      <c r="W38" s="193"/>
      <c r="X38" s="138"/>
      <c r="Y38" s="138"/>
    </row>
    <row r="39" spans="1:25" ht="24" x14ac:dyDescent="0.25">
      <c r="A39" s="191" t="s">
        <v>342</v>
      </c>
      <c r="B39" s="191" t="s">
        <v>329</v>
      </c>
      <c r="C39" s="226" t="s">
        <v>334</v>
      </c>
      <c r="D39" s="193"/>
      <c r="E39" s="193"/>
      <c r="F39" s="193"/>
      <c r="G39" s="193"/>
      <c r="H39" s="193"/>
      <c r="I39" s="193"/>
      <c r="J39" s="193"/>
      <c r="K39" s="193"/>
      <c r="L39" s="193"/>
      <c r="M39" s="193"/>
      <c r="N39" s="193"/>
      <c r="O39" s="193"/>
      <c r="P39" s="193"/>
      <c r="Q39" s="193"/>
      <c r="R39" s="193"/>
      <c r="S39" s="193"/>
      <c r="T39" s="193"/>
      <c r="U39" s="193"/>
      <c r="V39" s="193"/>
      <c r="W39" s="193"/>
      <c r="X39" s="138"/>
      <c r="Y39" s="138"/>
    </row>
    <row r="40" spans="1:25" ht="27.75" customHeight="1" x14ac:dyDescent="0.25">
      <c r="A40" s="191" t="s">
        <v>343</v>
      </c>
      <c r="B40" s="191" t="s">
        <v>329</v>
      </c>
      <c r="C40" s="226" t="s">
        <v>334</v>
      </c>
      <c r="D40" s="193"/>
      <c r="E40" s="193"/>
      <c r="F40" s="193"/>
      <c r="G40" s="193"/>
      <c r="H40" s="193"/>
      <c r="I40" s="193"/>
      <c r="J40" s="193"/>
      <c r="K40" s="193"/>
      <c r="L40" s="193"/>
      <c r="M40" s="193"/>
      <c r="N40" s="193"/>
      <c r="O40" s="193"/>
      <c r="P40" s="193"/>
      <c r="Q40" s="193"/>
      <c r="R40" s="193"/>
      <c r="S40" s="193"/>
      <c r="T40" s="193"/>
      <c r="U40" s="193"/>
      <c r="V40" s="193"/>
      <c r="W40" s="193"/>
      <c r="X40" s="138"/>
      <c r="Y40" s="138"/>
    </row>
    <row r="41" spans="1:25" x14ac:dyDescent="0.25">
      <c r="A41" s="191" t="s">
        <v>360</v>
      </c>
      <c r="B41" s="191"/>
      <c r="C41" s="226"/>
      <c r="D41" s="193"/>
      <c r="E41" s="193"/>
      <c r="F41" s="193"/>
      <c r="G41" s="193"/>
      <c r="H41" s="193"/>
      <c r="I41" s="193"/>
      <c r="J41" s="193"/>
      <c r="K41" s="193"/>
      <c r="L41" s="193"/>
      <c r="M41" s="193"/>
      <c r="N41" s="193"/>
      <c r="O41" s="193"/>
      <c r="P41" s="193"/>
      <c r="Q41" s="193"/>
      <c r="R41" s="193"/>
      <c r="S41" s="193"/>
      <c r="T41" s="193"/>
      <c r="U41" s="193"/>
      <c r="V41" s="193"/>
      <c r="W41" s="193"/>
      <c r="X41" s="138"/>
      <c r="Y41" s="138"/>
    </row>
    <row r="42" spans="1:25" ht="24" x14ac:dyDescent="0.25">
      <c r="A42" s="191" t="s">
        <v>344</v>
      </c>
      <c r="B42" s="191" t="s">
        <v>310</v>
      </c>
      <c r="C42" s="226" t="s">
        <v>336</v>
      </c>
      <c r="D42" s="193"/>
      <c r="E42" s="193"/>
      <c r="F42" s="193"/>
      <c r="G42" s="193"/>
      <c r="H42" s="193"/>
      <c r="I42" s="193"/>
      <c r="J42" s="193"/>
      <c r="K42" s="193"/>
      <c r="L42" s="193"/>
      <c r="M42" s="193"/>
      <c r="N42" s="193"/>
      <c r="O42" s="193"/>
      <c r="P42" s="193"/>
      <c r="Q42" s="193"/>
      <c r="R42" s="193"/>
      <c r="S42" s="193"/>
      <c r="T42" s="193"/>
      <c r="U42" s="193"/>
      <c r="V42" s="193"/>
      <c r="W42" s="193"/>
      <c r="X42" s="138"/>
      <c r="Y42" s="138"/>
    </row>
    <row r="43" spans="1:25" ht="36" customHeight="1" x14ac:dyDescent="0.25">
      <c r="A43" s="191" t="s">
        <v>345</v>
      </c>
      <c r="B43" s="191" t="s">
        <v>310</v>
      </c>
      <c r="C43" s="226" t="s">
        <v>331</v>
      </c>
      <c r="D43" s="193"/>
      <c r="E43" s="193"/>
      <c r="F43" s="193"/>
      <c r="G43" s="193"/>
      <c r="H43" s="193"/>
      <c r="I43" s="193"/>
      <c r="J43" s="193"/>
      <c r="K43" s="193"/>
      <c r="L43" s="193"/>
      <c r="M43" s="193"/>
      <c r="N43" s="193"/>
      <c r="O43" s="193"/>
      <c r="P43" s="193"/>
      <c r="Q43" s="193"/>
      <c r="R43" s="193"/>
      <c r="S43" s="193"/>
      <c r="T43" s="193"/>
      <c r="U43" s="193"/>
      <c r="V43" s="193"/>
      <c r="W43" s="193"/>
      <c r="X43" s="138"/>
      <c r="Y43" s="138"/>
    </row>
    <row r="44" spans="1:25" ht="36" customHeight="1" x14ac:dyDescent="0.25">
      <c r="A44" s="191" t="s">
        <v>346</v>
      </c>
      <c r="B44" s="191" t="s">
        <v>310</v>
      </c>
      <c r="C44" s="226" t="s">
        <v>331</v>
      </c>
      <c r="D44" s="193"/>
      <c r="E44" s="193"/>
      <c r="F44" s="193"/>
      <c r="G44" s="193"/>
      <c r="H44" s="193"/>
      <c r="I44" s="193"/>
      <c r="J44" s="193"/>
      <c r="K44" s="193"/>
      <c r="L44" s="193"/>
      <c r="M44" s="193"/>
      <c r="N44" s="193"/>
      <c r="O44" s="193"/>
      <c r="P44" s="193"/>
      <c r="Q44" s="193"/>
      <c r="R44" s="193"/>
      <c r="S44" s="193"/>
      <c r="T44" s="193"/>
      <c r="U44" s="193"/>
      <c r="V44" s="193"/>
      <c r="W44" s="193"/>
      <c r="X44" s="138"/>
      <c r="Y44" s="138"/>
    </row>
    <row r="45" spans="1:25" x14ac:dyDescent="0.25">
      <c r="A45" s="191" t="s">
        <v>347</v>
      </c>
      <c r="B45" s="191" t="s">
        <v>329</v>
      </c>
      <c r="C45" s="226" t="s">
        <v>331</v>
      </c>
      <c r="D45" s="193"/>
      <c r="E45" s="193"/>
      <c r="F45" s="193"/>
      <c r="G45" s="193"/>
      <c r="H45" s="193"/>
      <c r="I45" s="193"/>
      <c r="J45" s="193"/>
      <c r="K45" s="193"/>
      <c r="L45" s="193"/>
      <c r="M45" s="193"/>
      <c r="N45" s="193"/>
      <c r="O45" s="193"/>
      <c r="P45" s="193"/>
      <c r="Q45" s="193"/>
      <c r="R45" s="193"/>
      <c r="S45" s="193"/>
      <c r="T45" s="193"/>
      <c r="U45" s="193"/>
      <c r="V45" s="193"/>
      <c r="W45" s="193"/>
      <c r="X45" s="138"/>
      <c r="Y45" s="138"/>
    </row>
    <row r="46" spans="1:25" ht="25.5" customHeight="1" x14ac:dyDescent="0.25">
      <c r="A46" s="191" t="s">
        <v>348</v>
      </c>
      <c r="B46" s="191" t="s">
        <v>329</v>
      </c>
      <c r="C46" s="226" t="s">
        <v>334</v>
      </c>
      <c r="D46" s="193"/>
      <c r="E46" s="193"/>
      <c r="F46" s="193"/>
      <c r="G46" s="193"/>
      <c r="H46" s="193"/>
      <c r="I46" s="193"/>
      <c r="J46" s="193"/>
      <c r="K46" s="193"/>
      <c r="L46" s="193"/>
      <c r="M46" s="193"/>
      <c r="N46" s="193"/>
      <c r="O46" s="193"/>
      <c r="P46" s="193"/>
      <c r="Q46" s="193"/>
      <c r="R46" s="193"/>
      <c r="S46" s="193"/>
      <c r="T46" s="193"/>
      <c r="U46" s="193"/>
      <c r="V46" s="193"/>
      <c r="W46" s="193"/>
      <c r="X46" s="138"/>
      <c r="Y46" s="138"/>
    </row>
    <row r="47" spans="1:25" x14ac:dyDescent="0.25">
      <c r="A47" s="191" t="s">
        <v>361</v>
      </c>
      <c r="B47" s="191"/>
      <c r="C47" s="226"/>
      <c r="D47" s="193"/>
      <c r="E47" s="193"/>
      <c r="F47" s="193"/>
      <c r="G47" s="193"/>
      <c r="H47" s="193"/>
      <c r="I47" s="193"/>
      <c r="J47" s="193"/>
      <c r="K47" s="193"/>
      <c r="L47" s="193"/>
      <c r="M47" s="193"/>
      <c r="N47" s="193"/>
      <c r="O47" s="193"/>
      <c r="P47" s="193"/>
      <c r="Q47" s="193"/>
      <c r="R47" s="193"/>
      <c r="S47" s="193"/>
      <c r="T47" s="193"/>
      <c r="U47" s="193"/>
      <c r="V47" s="193"/>
      <c r="W47" s="193"/>
      <c r="X47" s="138"/>
      <c r="Y47" s="138"/>
    </row>
    <row r="48" spans="1:25" ht="24" x14ac:dyDescent="0.25">
      <c r="A48" s="191" t="s">
        <v>349</v>
      </c>
      <c r="B48" s="191" t="s">
        <v>310</v>
      </c>
      <c r="C48" s="226" t="s">
        <v>336</v>
      </c>
      <c r="D48" s="193"/>
      <c r="E48" s="193"/>
      <c r="F48" s="193"/>
      <c r="G48" s="193"/>
      <c r="H48" s="193"/>
      <c r="I48" s="193"/>
      <c r="J48" s="193"/>
      <c r="K48" s="193"/>
      <c r="L48" s="193"/>
      <c r="M48" s="193"/>
      <c r="N48" s="193"/>
      <c r="O48" s="193"/>
      <c r="P48" s="193"/>
      <c r="Q48" s="193"/>
      <c r="R48" s="193"/>
      <c r="S48" s="193"/>
      <c r="T48" s="193"/>
      <c r="U48" s="193"/>
      <c r="V48" s="193"/>
      <c r="W48" s="193"/>
      <c r="X48" s="138"/>
      <c r="Y48" s="138"/>
    </row>
    <row r="49" spans="1:25" ht="24" x14ac:dyDescent="0.25">
      <c r="A49" s="191" t="s">
        <v>350</v>
      </c>
      <c r="B49" s="191" t="s">
        <v>310</v>
      </c>
      <c r="C49" s="226" t="s">
        <v>336</v>
      </c>
      <c r="D49" s="193"/>
      <c r="E49" s="193"/>
      <c r="F49" s="193"/>
      <c r="G49" s="193"/>
      <c r="H49" s="193"/>
      <c r="I49" s="193"/>
      <c r="J49" s="193"/>
      <c r="K49" s="193"/>
      <c r="L49" s="193"/>
      <c r="M49" s="193"/>
      <c r="N49" s="193"/>
      <c r="O49" s="193"/>
      <c r="P49" s="193"/>
      <c r="Q49" s="193"/>
      <c r="R49" s="193"/>
      <c r="S49" s="193"/>
      <c r="T49" s="193"/>
      <c r="U49" s="193"/>
      <c r="V49" s="193"/>
      <c r="W49" s="193"/>
      <c r="X49" s="138"/>
      <c r="Y49" s="138"/>
    </row>
    <row r="50" spans="1:25" ht="24" x14ac:dyDescent="0.25">
      <c r="A50" s="191" t="s">
        <v>351</v>
      </c>
      <c r="B50" s="191" t="s">
        <v>310</v>
      </c>
      <c r="C50" s="226" t="s">
        <v>331</v>
      </c>
      <c r="D50" s="193"/>
      <c r="E50" s="193"/>
      <c r="F50" s="193"/>
      <c r="G50" s="193"/>
      <c r="H50" s="193"/>
      <c r="I50" s="193"/>
      <c r="J50" s="193"/>
      <c r="K50" s="193"/>
      <c r="L50" s="193"/>
      <c r="M50" s="193"/>
      <c r="N50" s="193"/>
      <c r="O50" s="193"/>
      <c r="P50" s="193"/>
      <c r="Q50" s="193"/>
      <c r="R50" s="193"/>
      <c r="S50" s="193"/>
      <c r="T50" s="193"/>
      <c r="U50" s="193"/>
      <c r="V50" s="193"/>
      <c r="W50" s="193"/>
      <c r="X50" s="138"/>
      <c r="Y50" s="138"/>
    </row>
    <row r="51" spans="1:25" x14ac:dyDescent="0.25">
      <c r="A51" s="192"/>
      <c r="B51" s="192"/>
      <c r="C51" s="192"/>
      <c r="D51" s="193"/>
      <c r="E51" s="193"/>
      <c r="F51" s="193"/>
      <c r="G51" s="193"/>
      <c r="H51" s="193"/>
      <c r="I51" s="193"/>
      <c r="J51" s="193"/>
      <c r="K51" s="193"/>
      <c r="L51" s="193"/>
      <c r="M51" s="193"/>
      <c r="N51" s="193"/>
      <c r="O51" s="193"/>
      <c r="P51" s="193"/>
      <c r="Q51" s="193"/>
      <c r="R51" s="193"/>
      <c r="S51" s="193"/>
      <c r="T51" s="193"/>
      <c r="U51" s="193"/>
      <c r="V51" s="193"/>
      <c r="W51" s="193"/>
      <c r="X51" s="138"/>
      <c r="Y51" s="138"/>
    </row>
    <row r="52" spans="1:25" x14ac:dyDescent="0.25">
      <c r="A52" s="192"/>
      <c r="B52" s="192"/>
      <c r="C52" s="192"/>
      <c r="D52" s="193"/>
      <c r="E52" s="193"/>
      <c r="F52" s="193"/>
      <c r="G52" s="193"/>
      <c r="H52" s="193"/>
      <c r="I52" s="193"/>
      <c r="J52" s="193"/>
      <c r="K52" s="193"/>
      <c r="L52" s="193"/>
      <c r="M52" s="193"/>
      <c r="N52" s="193"/>
      <c r="O52" s="193"/>
      <c r="P52" s="193"/>
      <c r="Q52" s="193"/>
      <c r="R52" s="193"/>
      <c r="S52" s="193"/>
      <c r="T52" s="193"/>
      <c r="U52" s="193"/>
      <c r="V52" s="193"/>
      <c r="W52" s="193"/>
      <c r="X52" s="138"/>
      <c r="Y52" s="138"/>
    </row>
    <row r="53" spans="1:25" x14ac:dyDescent="0.25">
      <c r="A53" s="192"/>
      <c r="B53" s="192"/>
      <c r="C53" s="192"/>
      <c r="D53" s="193"/>
      <c r="E53" s="193"/>
      <c r="F53" s="193"/>
      <c r="G53" s="193"/>
      <c r="H53" s="193"/>
      <c r="I53" s="193"/>
      <c r="J53" s="193"/>
      <c r="K53" s="193"/>
      <c r="L53" s="193"/>
      <c r="M53" s="193"/>
      <c r="N53" s="193"/>
      <c r="O53" s="193"/>
      <c r="P53" s="193"/>
      <c r="Q53" s="193"/>
      <c r="R53" s="193"/>
      <c r="S53" s="193"/>
      <c r="T53" s="193"/>
      <c r="U53" s="193"/>
      <c r="V53" s="193"/>
      <c r="W53" s="193"/>
      <c r="X53" s="138"/>
      <c r="Y53" s="138"/>
    </row>
    <row r="54" spans="1:25" x14ac:dyDescent="0.25">
      <c r="A54" s="192"/>
      <c r="B54" s="192"/>
      <c r="C54" s="192"/>
      <c r="D54" s="193"/>
      <c r="E54" s="193"/>
      <c r="F54" s="193"/>
      <c r="G54" s="193"/>
      <c r="H54" s="193"/>
      <c r="I54" s="193"/>
      <c r="J54" s="193"/>
      <c r="K54" s="193"/>
      <c r="L54" s="193"/>
      <c r="M54" s="193"/>
      <c r="N54" s="193"/>
      <c r="O54" s="193"/>
      <c r="P54" s="193"/>
      <c r="Q54" s="193"/>
      <c r="R54" s="193"/>
      <c r="S54" s="193"/>
      <c r="T54" s="193"/>
      <c r="U54" s="193"/>
      <c r="V54" s="193"/>
      <c r="W54" s="193"/>
      <c r="X54" s="138"/>
      <c r="Y54" s="138"/>
    </row>
    <row r="55" spans="1:25" x14ac:dyDescent="0.25">
      <c r="A55" s="192"/>
      <c r="B55" s="192"/>
      <c r="C55" s="192"/>
      <c r="D55" s="193"/>
      <c r="E55" s="193"/>
      <c r="F55" s="193"/>
      <c r="G55" s="193"/>
      <c r="H55" s="193"/>
      <c r="I55" s="193"/>
      <c r="J55" s="193"/>
      <c r="K55" s="193"/>
      <c r="L55" s="193"/>
      <c r="M55" s="193"/>
      <c r="N55" s="193"/>
      <c r="O55" s="193"/>
      <c r="P55" s="193"/>
      <c r="Q55" s="193"/>
      <c r="R55" s="193"/>
      <c r="S55" s="193"/>
      <c r="T55" s="193"/>
      <c r="U55" s="193"/>
      <c r="V55" s="193"/>
      <c r="W55" s="193"/>
      <c r="X55" s="138"/>
      <c r="Y55" s="138"/>
    </row>
  </sheetData>
  <mergeCells count="21">
    <mergeCell ref="A22:K22"/>
    <mergeCell ref="I20:J20"/>
    <mergeCell ref="A12:A13"/>
    <mergeCell ref="B12:B13"/>
    <mergeCell ref="C12:C13"/>
    <mergeCell ref="D12:E12"/>
    <mergeCell ref="F12:G12"/>
    <mergeCell ref="H12:H13"/>
    <mergeCell ref="I12:I13"/>
    <mergeCell ref="J12:J13"/>
    <mergeCell ref="K12:K13"/>
    <mergeCell ref="J1:K1"/>
    <mergeCell ref="A9:K9"/>
    <mergeCell ref="A3:A4"/>
    <mergeCell ref="B3:B4"/>
    <mergeCell ref="C3:C4"/>
    <mergeCell ref="D3:D4"/>
    <mergeCell ref="E3:H3"/>
    <mergeCell ref="I3:I4"/>
    <mergeCell ref="J3:J4"/>
    <mergeCell ref="K3:K4"/>
  </mergeCells>
  <pageMargins left="0.70866141732283472" right="0.70866141732283472" top="0.74803149606299213" bottom="0.7480314960629921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I14" sqref="I14:I15"/>
    </sheetView>
  </sheetViews>
  <sheetFormatPr defaultRowHeight="15" x14ac:dyDescent="0.25"/>
  <cols>
    <col min="1" max="1" width="5.5703125" customWidth="1"/>
    <col min="2" max="2" width="24.5703125" customWidth="1"/>
    <col min="7" max="7" width="9" customWidth="1"/>
  </cols>
  <sheetData>
    <row r="1" spans="1:10" x14ac:dyDescent="0.25">
      <c r="J1" s="60" t="s">
        <v>973</v>
      </c>
    </row>
    <row r="2" spans="1:10" ht="15" customHeight="1" x14ac:dyDescent="0.25">
      <c r="A2" s="430" t="s">
        <v>379</v>
      </c>
      <c r="B2" s="431" t="s">
        <v>395</v>
      </c>
      <c r="C2" s="431" t="s">
        <v>380</v>
      </c>
      <c r="D2" s="431" t="s">
        <v>381</v>
      </c>
      <c r="E2" s="431" t="s">
        <v>396</v>
      </c>
      <c r="F2" s="431" t="s">
        <v>405</v>
      </c>
      <c r="G2" s="431" t="s">
        <v>974</v>
      </c>
      <c r="H2" s="435" t="s">
        <v>975</v>
      </c>
      <c r="I2" s="431" t="s">
        <v>976</v>
      </c>
      <c r="J2" s="435" t="s">
        <v>409</v>
      </c>
    </row>
    <row r="3" spans="1:10" ht="24" customHeight="1" x14ac:dyDescent="0.25">
      <c r="A3" s="430"/>
      <c r="B3" s="431"/>
      <c r="C3" s="431"/>
      <c r="D3" s="431"/>
      <c r="E3" s="431"/>
      <c r="F3" s="431"/>
      <c r="G3" s="431"/>
      <c r="H3" s="435"/>
      <c r="I3" s="431"/>
      <c r="J3" s="435"/>
    </row>
    <row r="4" spans="1:10" ht="27" customHeight="1" x14ac:dyDescent="0.25">
      <c r="A4" s="248" t="s">
        <v>972</v>
      </c>
      <c r="B4" s="294" t="s">
        <v>971</v>
      </c>
      <c r="C4" s="293" t="s">
        <v>384</v>
      </c>
      <c r="D4" s="253">
        <v>11300</v>
      </c>
      <c r="E4" s="293" t="s">
        <v>385</v>
      </c>
      <c r="F4" s="253">
        <v>13764507</v>
      </c>
      <c r="G4" s="370">
        <f>F4/6</f>
        <v>2294084.5</v>
      </c>
      <c r="H4" s="370">
        <f>(G4/4)/3</f>
        <v>191173.70833333334</v>
      </c>
      <c r="I4" s="370">
        <f>F4/6</f>
        <v>2294084.5</v>
      </c>
      <c r="J4" s="370">
        <f>(I4/4)/3</f>
        <v>191173.70833333334</v>
      </c>
    </row>
    <row r="5" spans="1:10" x14ac:dyDescent="0.25">
      <c r="A5" s="242"/>
      <c r="B5" s="243"/>
      <c r="C5" s="244"/>
      <c r="D5" s="245"/>
      <c r="E5" s="434" t="s">
        <v>410</v>
      </c>
      <c r="F5" s="434"/>
      <c r="G5" s="434"/>
      <c r="H5" s="369">
        <f>SUM(H4:H4)</f>
        <v>191173.70833333334</v>
      </c>
      <c r="I5" s="369"/>
      <c r="J5" s="369">
        <f>SUM(J4:J4)</f>
        <v>191173.70833333334</v>
      </c>
    </row>
  </sheetData>
  <mergeCells count="11">
    <mergeCell ref="E5:G5"/>
    <mergeCell ref="G2:G3"/>
    <mergeCell ref="H2:H3"/>
    <mergeCell ref="I2:I3"/>
    <mergeCell ref="J2:J3"/>
    <mergeCell ref="F2:F3"/>
    <mergeCell ref="A2:A3"/>
    <mergeCell ref="B2:B3"/>
    <mergeCell ref="C2:C3"/>
    <mergeCell ref="D2:D3"/>
    <mergeCell ref="E2: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D16" sqref="D16:E21"/>
    </sheetView>
  </sheetViews>
  <sheetFormatPr defaultRowHeight="15" x14ac:dyDescent="0.25"/>
  <cols>
    <col min="1" max="1" width="5.28515625" customWidth="1"/>
    <col min="2" max="2" width="36.7109375" customWidth="1"/>
  </cols>
  <sheetData>
    <row r="1" spans="1:3" x14ac:dyDescent="0.25">
      <c r="C1" s="60" t="s">
        <v>374</v>
      </c>
    </row>
    <row r="2" spans="1:3" ht="24" x14ac:dyDescent="0.25">
      <c r="A2" s="118" t="s">
        <v>161</v>
      </c>
      <c r="B2" s="118" t="s">
        <v>416</v>
      </c>
      <c r="C2" s="118" t="s">
        <v>418</v>
      </c>
    </row>
    <row r="3" spans="1:3" ht="42" customHeight="1" x14ac:dyDescent="0.25">
      <c r="A3" s="114">
        <v>1</v>
      </c>
      <c r="B3" s="232" t="s">
        <v>389</v>
      </c>
      <c r="C3" s="114">
        <v>17584</v>
      </c>
    </row>
    <row r="4" spans="1:3" ht="36.75" customHeight="1" x14ac:dyDescent="0.25">
      <c r="A4" s="114">
        <v>2</v>
      </c>
      <c r="B4" s="232" t="s">
        <v>390</v>
      </c>
      <c r="C4" s="114">
        <v>22263</v>
      </c>
    </row>
    <row r="5" spans="1:3" x14ac:dyDescent="0.25">
      <c r="A5" s="114">
        <v>3</v>
      </c>
      <c r="B5" s="232" t="s">
        <v>391</v>
      </c>
      <c r="C5" s="114">
        <v>2420</v>
      </c>
    </row>
    <row r="6" spans="1:3" x14ac:dyDescent="0.25">
      <c r="A6" s="438" t="s">
        <v>373</v>
      </c>
      <c r="B6" s="439"/>
      <c r="C6" s="169">
        <f>C3+C4+C5</f>
        <v>42267</v>
      </c>
    </row>
    <row r="7" spans="1:3" ht="24" x14ac:dyDescent="0.25">
      <c r="B7" s="246" t="s">
        <v>392</v>
      </c>
    </row>
  </sheetData>
  <mergeCells count="1">
    <mergeCell ref="A6:B6"/>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B17" sqref="B17"/>
    </sheetView>
  </sheetViews>
  <sheetFormatPr defaultRowHeight="15" x14ac:dyDescent="0.25"/>
  <cols>
    <col min="1" max="1" width="6.42578125" customWidth="1"/>
    <col min="2" max="2" width="34.140625" customWidth="1"/>
    <col min="3" max="3" width="11.42578125" customWidth="1"/>
  </cols>
  <sheetData>
    <row r="1" spans="1:4" x14ac:dyDescent="0.25">
      <c r="C1" s="60" t="s">
        <v>375</v>
      </c>
    </row>
    <row r="2" spans="1:4" x14ac:dyDescent="0.25">
      <c r="A2" s="114" t="s">
        <v>161</v>
      </c>
      <c r="B2" s="114" t="s">
        <v>160</v>
      </c>
      <c r="C2" s="114" t="s">
        <v>248</v>
      </c>
      <c r="D2" s="60"/>
    </row>
    <row r="3" spans="1:4" ht="60" x14ac:dyDescent="0.25">
      <c r="A3" s="114">
        <v>1</v>
      </c>
      <c r="B3" s="232" t="s">
        <v>977</v>
      </c>
      <c r="C3" s="169">
        <v>1411</v>
      </c>
      <c r="D3" s="60"/>
    </row>
    <row r="4" spans="1:4" x14ac:dyDescent="0.25">
      <c r="A4" s="60"/>
      <c r="B4" s="60"/>
      <c r="C4" s="60"/>
      <c r="D4" s="60"/>
    </row>
    <row r="5" spans="1:4" x14ac:dyDescent="0.25">
      <c r="A5" s="60"/>
      <c r="B5" s="60"/>
      <c r="C5" s="60"/>
      <c r="D5" s="60"/>
    </row>
    <row r="6" spans="1:4" x14ac:dyDescent="0.25">
      <c r="A6" s="60"/>
      <c r="B6" s="60"/>
      <c r="C6" s="60"/>
      <c r="D6" s="60"/>
    </row>
    <row r="7" spans="1:4" x14ac:dyDescent="0.25">
      <c r="A7" s="60"/>
      <c r="B7" s="60"/>
      <c r="C7" s="60"/>
      <c r="D7" s="60"/>
    </row>
    <row r="8" spans="1:4" x14ac:dyDescent="0.25">
      <c r="A8" s="60"/>
      <c r="B8" s="60"/>
      <c r="C8" s="60"/>
      <c r="D8" s="60"/>
    </row>
    <row r="9" spans="1:4" x14ac:dyDescent="0.25">
      <c r="A9" s="60"/>
      <c r="B9" s="60"/>
      <c r="C9" s="60"/>
      <c r="D9" s="6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B2" sqref="B2"/>
    </sheetView>
  </sheetViews>
  <sheetFormatPr defaultRowHeight="15" x14ac:dyDescent="0.25"/>
  <cols>
    <col min="1" max="1" width="7" customWidth="1"/>
    <col min="2" max="2" width="23.5703125" customWidth="1"/>
    <col min="3" max="3" width="10.5703125" customWidth="1"/>
  </cols>
  <sheetData>
    <row r="1" spans="1:3" x14ac:dyDescent="0.25">
      <c r="C1" s="60" t="s">
        <v>377</v>
      </c>
    </row>
    <row r="2" spans="1:3" ht="24" x14ac:dyDescent="0.25">
      <c r="A2" s="118" t="s">
        <v>161</v>
      </c>
      <c r="B2" s="118" t="s">
        <v>416</v>
      </c>
      <c r="C2" s="118" t="s">
        <v>418</v>
      </c>
    </row>
    <row r="3" spans="1:3" ht="51.75" customHeight="1" x14ac:dyDescent="0.25">
      <c r="A3" s="114">
        <v>1</v>
      </c>
      <c r="B3" s="232" t="s">
        <v>393</v>
      </c>
      <c r="C3" s="114">
        <v>8200</v>
      </c>
    </row>
    <row r="4" spans="1:3" ht="36" x14ac:dyDescent="0.25">
      <c r="A4" s="114">
        <v>2</v>
      </c>
      <c r="B4" s="232" t="s">
        <v>394</v>
      </c>
      <c r="C4" s="114">
        <v>1332</v>
      </c>
    </row>
    <row r="5" spans="1:3" ht="36" x14ac:dyDescent="0.25">
      <c r="A5" s="114">
        <v>3</v>
      </c>
      <c r="B5" s="232" t="s">
        <v>417</v>
      </c>
      <c r="C5" s="114">
        <v>968</v>
      </c>
    </row>
    <row r="6" spans="1:3" x14ac:dyDescent="0.25">
      <c r="A6" s="440" t="s">
        <v>248</v>
      </c>
      <c r="B6" s="440"/>
      <c r="C6" s="148">
        <f>C3+C4+C5</f>
        <v>10500</v>
      </c>
    </row>
    <row r="7" spans="1:3" x14ac:dyDescent="0.25">
      <c r="A7" s="60" t="s">
        <v>392</v>
      </c>
    </row>
  </sheetData>
  <mergeCells count="1">
    <mergeCell ref="A6:B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5"/>
  <sheetViews>
    <sheetView workbookViewId="0">
      <selection activeCell="E18" sqref="E18"/>
    </sheetView>
  </sheetViews>
  <sheetFormatPr defaultRowHeight="15" x14ac:dyDescent="0.25"/>
  <cols>
    <col min="2" max="2" width="12.28515625" customWidth="1"/>
    <col min="3" max="3" width="12.42578125" customWidth="1"/>
    <col min="6" max="6" width="11.140625" customWidth="1"/>
    <col min="8" max="8" width="14.42578125" customWidth="1"/>
  </cols>
  <sheetData>
    <row r="2" spans="1:8" ht="15.75" x14ac:dyDescent="0.25">
      <c r="A2" s="57"/>
      <c r="G2" s="441" t="s">
        <v>51</v>
      </c>
      <c r="H2" s="441"/>
    </row>
    <row r="3" spans="1:8" ht="60" x14ac:dyDescent="0.25">
      <c r="A3" s="118" t="s">
        <v>36</v>
      </c>
      <c r="B3" s="118" t="s">
        <v>37</v>
      </c>
      <c r="C3" s="118" t="s">
        <v>38</v>
      </c>
      <c r="D3" s="118" t="s">
        <v>175</v>
      </c>
      <c r="E3" s="118" t="s">
        <v>39</v>
      </c>
      <c r="F3" s="118" t="s">
        <v>40</v>
      </c>
      <c r="G3" s="118" t="s">
        <v>41</v>
      </c>
      <c r="H3" s="118" t="s">
        <v>176</v>
      </c>
    </row>
    <row r="4" spans="1:8" ht="72" x14ac:dyDescent="0.25">
      <c r="A4" s="98" t="s">
        <v>42</v>
      </c>
      <c r="B4" s="98" t="s">
        <v>43</v>
      </c>
      <c r="C4" s="59" t="s">
        <v>44</v>
      </c>
      <c r="D4" s="163" t="s">
        <v>219</v>
      </c>
      <c r="E4" s="58" t="s">
        <v>45</v>
      </c>
      <c r="F4" s="58" t="s">
        <v>46</v>
      </c>
      <c r="G4" s="58">
        <v>0</v>
      </c>
      <c r="H4" s="98" t="s">
        <v>220</v>
      </c>
    </row>
    <row r="5" spans="1:8" ht="36" x14ac:dyDescent="0.25">
      <c r="A5" s="445" t="s">
        <v>47</v>
      </c>
      <c r="B5" s="445" t="s">
        <v>48</v>
      </c>
      <c r="C5" s="445" t="s">
        <v>53</v>
      </c>
      <c r="D5" s="163" t="s">
        <v>219</v>
      </c>
      <c r="E5" s="58" t="s">
        <v>45</v>
      </c>
      <c r="F5" s="58" t="s">
        <v>46</v>
      </c>
      <c r="G5" s="58">
        <v>0</v>
      </c>
      <c r="H5" s="98" t="s">
        <v>221</v>
      </c>
    </row>
    <row r="6" spans="1:8" ht="36" x14ac:dyDescent="0.25">
      <c r="A6" s="445"/>
      <c r="B6" s="445"/>
      <c r="C6" s="445"/>
      <c r="D6" s="59" t="s">
        <v>49</v>
      </c>
      <c r="E6" s="58" t="s">
        <v>45</v>
      </c>
      <c r="F6" s="58" t="s">
        <v>46</v>
      </c>
      <c r="G6" s="58">
        <v>0</v>
      </c>
      <c r="H6" s="98" t="s">
        <v>177</v>
      </c>
    </row>
    <row r="7" spans="1:8" ht="15.75" x14ac:dyDescent="0.25">
      <c r="A7" s="57"/>
      <c r="G7" s="110" t="s">
        <v>54</v>
      </c>
      <c r="H7" s="119">
        <f>60837+32732+47956</f>
        <v>141525</v>
      </c>
    </row>
    <row r="8" spans="1:8" ht="28.5" customHeight="1" x14ac:dyDescent="0.25">
      <c r="A8" s="442" t="s">
        <v>52</v>
      </c>
      <c r="B8" s="442"/>
      <c r="C8" s="442"/>
      <c r="D8" s="442"/>
      <c r="E8" s="442"/>
      <c r="F8" s="442"/>
      <c r="G8" s="442"/>
      <c r="H8" s="442"/>
    </row>
    <row r="9" spans="1:8" x14ac:dyDescent="0.25">
      <c r="A9" s="444" t="s">
        <v>50</v>
      </c>
      <c r="B9" s="444"/>
      <c r="C9" s="444"/>
      <c r="D9" s="444"/>
      <c r="E9" s="444"/>
      <c r="F9" s="444"/>
      <c r="G9" s="444"/>
      <c r="H9" s="444"/>
    </row>
    <row r="10" spans="1:8" x14ac:dyDescent="0.25">
      <c r="A10" s="160"/>
      <c r="B10" s="443" t="s">
        <v>233</v>
      </c>
      <c r="C10" s="443"/>
      <c r="D10" s="443"/>
      <c r="E10" s="160"/>
      <c r="F10" s="160"/>
      <c r="G10" s="160"/>
      <c r="H10" s="160"/>
    </row>
    <row r="11" spans="1:8" ht="72" x14ac:dyDescent="0.25">
      <c r="B11" s="118" t="s">
        <v>222</v>
      </c>
      <c r="C11" s="118" t="s">
        <v>223</v>
      </c>
      <c r="D11" s="114" t="s">
        <v>176</v>
      </c>
    </row>
    <row r="12" spans="1:8" x14ac:dyDescent="0.25">
      <c r="B12" s="164">
        <f>7.26*6431</f>
        <v>46689.06</v>
      </c>
      <c r="C12" s="164">
        <v>14148</v>
      </c>
      <c r="D12" s="164">
        <f>B12+C12</f>
        <v>60837.06</v>
      </c>
    </row>
    <row r="13" spans="1:8" x14ac:dyDescent="0.25">
      <c r="B13" s="164">
        <v>25120</v>
      </c>
      <c r="C13" s="164">
        <f>2.2*3460</f>
        <v>7612.0000000000009</v>
      </c>
      <c r="D13" s="164">
        <f>B13+C13</f>
        <v>32732</v>
      </c>
    </row>
    <row r="14" spans="1:8" x14ac:dyDescent="0.25">
      <c r="B14" s="164">
        <v>40344</v>
      </c>
      <c r="C14" s="164">
        <f>2.2*3460</f>
        <v>7612.0000000000009</v>
      </c>
      <c r="D14" s="164">
        <f>B14+C14</f>
        <v>47956</v>
      </c>
    </row>
    <row r="15" spans="1:8" x14ac:dyDescent="0.25">
      <c r="B15" s="165">
        <f>B12+B13+B14</f>
        <v>112153.06</v>
      </c>
      <c r="C15" s="165">
        <f>C12+C13+C14</f>
        <v>29372</v>
      </c>
      <c r="D15" s="164">
        <f>B15+C15</f>
        <v>141525.06</v>
      </c>
    </row>
  </sheetData>
  <mergeCells count="7">
    <mergeCell ref="G2:H2"/>
    <mergeCell ref="A8:H8"/>
    <mergeCell ref="B10:D10"/>
    <mergeCell ref="A9:H9"/>
    <mergeCell ref="A5:A6"/>
    <mergeCell ref="B5:B6"/>
    <mergeCell ref="C5:C6"/>
  </mergeCells>
  <hyperlinks>
    <hyperlink ref="C4" location="_edn1" display="_edn1"/>
    <hyperlink ref="D6" location="_edn2" display="_edn2"/>
    <hyperlink ref="A9" location="_ednref2" display="_ednref2"/>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8"/>
  <sheetViews>
    <sheetView topLeftCell="A250" workbookViewId="0">
      <selection activeCell="G256" sqref="G256"/>
    </sheetView>
  </sheetViews>
  <sheetFormatPr defaultRowHeight="15" x14ac:dyDescent="0.25"/>
  <cols>
    <col min="1" max="1" width="6.42578125" customWidth="1"/>
    <col min="2" max="2" width="56.5703125" customWidth="1"/>
    <col min="3" max="3" width="16.85546875" customWidth="1"/>
    <col min="4" max="4" width="13.7109375" customWidth="1"/>
    <col min="5" max="5" width="13.28515625" customWidth="1"/>
    <col min="7" max="7" width="10.140625" customWidth="1"/>
    <col min="9" max="9" width="18.42578125" customWidth="1"/>
    <col min="10" max="10" width="12.7109375" customWidth="1"/>
  </cols>
  <sheetData>
    <row r="1" spans="1:13" x14ac:dyDescent="0.25">
      <c r="J1" s="446" t="s">
        <v>967</v>
      </c>
      <c r="K1" s="446"/>
    </row>
    <row r="2" spans="1:13" x14ac:dyDescent="0.25">
      <c r="A2" s="335" t="s">
        <v>432</v>
      </c>
      <c r="B2" s="308"/>
      <c r="C2" s="308"/>
      <c r="D2" s="308"/>
      <c r="E2" s="309"/>
      <c r="F2" s="308"/>
      <c r="G2" s="308"/>
      <c r="H2" s="309"/>
      <c r="I2" s="308"/>
      <c r="J2" s="310"/>
      <c r="K2" s="308"/>
      <c r="L2" s="296"/>
      <c r="M2" s="296"/>
    </row>
    <row r="3" spans="1:13" ht="39" customHeight="1" x14ac:dyDescent="0.25">
      <c r="A3" s="449" t="s">
        <v>379</v>
      </c>
      <c r="B3" s="449" t="s">
        <v>181</v>
      </c>
      <c r="C3" s="454" t="s">
        <v>433</v>
      </c>
      <c r="D3" s="455"/>
      <c r="E3" s="456"/>
      <c r="F3" s="457" t="s">
        <v>434</v>
      </c>
      <c r="G3" s="457"/>
      <c r="H3" s="458"/>
      <c r="I3" s="452" t="s">
        <v>435</v>
      </c>
      <c r="J3" s="452"/>
      <c r="K3" s="311" t="s">
        <v>436</v>
      </c>
      <c r="L3" s="299"/>
      <c r="M3" s="296"/>
    </row>
    <row r="4" spans="1:13" ht="39" customHeight="1" x14ac:dyDescent="0.25">
      <c r="A4" s="451"/>
      <c r="B4" s="451"/>
      <c r="C4" s="312" t="s">
        <v>949</v>
      </c>
      <c r="D4" s="312" t="s">
        <v>437</v>
      </c>
      <c r="E4" s="312" t="s">
        <v>950</v>
      </c>
      <c r="F4" s="313" t="s">
        <v>951</v>
      </c>
      <c r="G4" s="312" t="s">
        <v>437</v>
      </c>
      <c r="H4" s="312" t="s">
        <v>952</v>
      </c>
      <c r="I4" s="344" t="s">
        <v>156</v>
      </c>
      <c r="J4" s="313" t="s">
        <v>438</v>
      </c>
      <c r="K4" s="344" t="s">
        <v>156</v>
      </c>
      <c r="L4" s="300"/>
      <c r="M4" s="296"/>
    </row>
    <row r="5" spans="1:13" ht="39.75" customHeight="1" x14ac:dyDescent="0.25">
      <c r="A5" s="314" t="s">
        <v>439</v>
      </c>
      <c r="B5" s="315" t="s">
        <v>440</v>
      </c>
      <c r="C5" s="322">
        <v>1.76</v>
      </c>
      <c r="D5" s="347">
        <v>497477</v>
      </c>
      <c r="E5" s="347">
        <f>C5*D5</f>
        <v>875559.52</v>
      </c>
      <c r="F5" s="322">
        <v>3.08</v>
      </c>
      <c r="G5" s="347">
        <v>497477</v>
      </c>
      <c r="H5" s="347">
        <f>F5*G5</f>
        <v>1532229.1600000001</v>
      </c>
      <c r="I5" s="348">
        <f t="shared" ref="I5:I68" si="0">F5-C5</f>
        <v>1.32</v>
      </c>
      <c r="J5" s="349">
        <f t="shared" ref="J5:J52" si="1">I5*100/C5</f>
        <v>75</v>
      </c>
      <c r="K5" s="347">
        <f t="shared" ref="K5:K68" si="2">H5-E5</f>
        <v>656669.64000000013</v>
      </c>
      <c r="L5" s="301"/>
      <c r="M5" s="296"/>
    </row>
    <row r="6" spans="1:13" ht="73.5" customHeight="1" x14ac:dyDescent="0.25">
      <c r="A6" s="314" t="s">
        <v>441</v>
      </c>
      <c r="B6" s="315" t="s">
        <v>442</v>
      </c>
      <c r="C6" s="322">
        <v>4.1500000000000012</v>
      </c>
      <c r="D6" s="347">
        <v>75889</v>
      </c>
      <c r="E6" s="347">
        <f t="shared" ref="E6:E69" si="3">C6*D6</f>
        <v>314939.35000000009</v>
      </c>
      <c r="F6" s="322">
        <v>5.04</v>
      </c>
      <c r="G6" s="347">
        <v>75889</v>
      </c>
      <c r="H6" s="347">
        <f t="shared" ref="H6:H69" si="4">F6*G6</f>
        <v>382480.56</v>
      </c>
      <c r="I6" s="348">
        <f t="shared" si="0"/>
        <v>0.88999999999999879</v>
      </c>
      <c r="J6" s="349">
        <f t="shared" si="1"/>
        <v>21.445783132530085</v>
      </c>
      <c r="K6" s="347">
        <f t="shared" si="2"/>
        <v>67541.209999999905</v>
      </c>
      <c r="L6" s="301"/>
      <c r="M6" s="296"/>
    </row>
    <row r="7" spans="1:13" ht="41.25" customHeight="1" x14ac:dyDescent="0.25">
      <c r="A7" s="314" t="s">
        <v>443</v>
      </c>
      <c r="B7" s="315" t="s">
        <v>444</v>
      </c>
      <c r="C7" s="322">
        <v>2.13</v>
      </c>
      <c r="D7" s="347">
        <v>88052</v>
      </c>
      <c r="E7" s="347">
        <f t="shared" si="3"/>
        <v>187550.75999999998</v>
      </c>
      <c r="F7" s="322">
        <v>2.48</v>
      </c>
      <c r="G7" s="347">
        <v>88052</v>
      </c>
      <c r="H7" s="347">
        <f t="shared" si="4"/>
        <v>218368.96</v>
      </c>
      <c r="I7" s="348">
        <f t="shared" si="0"/>
        <v>0.35000000000000009</v>
      </c>
      <c r="J7" s="349">
        <f t="shared" si="1"/>
        <v>16.431924882629112</v>
      </c>
      <c r="K7" s="347">
        <f t="shared" si="2"/>
        <v>30818.200000000012</v>
      </c>
      <c r="L7" s="301"/>
      <c r="M7" s="296"/>
    </row>
    <row r="8" spans="1:13" ht="60" x14ac:dyDescent="0.25">
      <c r="A8" s="314" t="s">
        <v>445</v>
      </c>
      <c r="B8" s="315" t="s">
        <v>446</v>
      </c>
      <c r="C8" s="322">
        <v>1.4000000000000001</v>
      </c>
      <c r="D8" s="347">
        <v>73678</v>
      </c>
      <c r="E8" s="347">
        <f t="shared" si="3"/>
        <v>103149.20000000001</v>
      </c>
      <c r="F8" s="322">
        <v>2.58</v>
      </c>
      <c r="G8" s="347">
        <v>73678</v>
      </c>
      <c r="H8" s="347">
        <f t="shared" si="4"/>
        <v>190089.24</v>
      </c>
      <c r="I8" s="348">
        <f t="shared" si="0"/>
        <v>1.18</v>
      </c>
      <c r="J8" s="349">
        <f t="shared" si="1"/>
        <v>84.285714285714278</v>
      </c>
      <c r="K8" s="347">
        <f t="shared" si="2"/>
        <v>86940.039999999979</v>
      </c>
      <c r="L8" s="301"/>
      <c r="M8" s="296"/>
    </row>
    <row r="9" spans="1:13" ht="24" x14ac:dyDescent="0.25">
      <c r="A9" s="314" t="s">
        <v>447</v>
      </c>
      <c r="B9" s="315" t="s">
        <v>448</v>
      </c>
      <c r="C9" s="322">
        <v>9.5699999999999985</v>
      </c>
      <c r="D9" s="347">
        <v>1312</v>
      </c>
      <c r="E9" s="347">
        <f t="shared" si="3"/>
        <v>12555.839999999998</v>
      </c>
      <c r="F9" s="322">
        <v>11.19</v>
      </c>
      <c r="G9" s="347">
        <v>1312</v>
      </c>
      <c r="H9" s="347">
        <f t="shared" si="4"/>
        <v>14681.279999999999</v>
      </c>
      <c r="I9" s="348">
        <f t="shared" si="0"/>
        <v>1.620000000000001</v>
      </c>
      <c r="J9" s="349">
        <f t="shared" si="1"/>
        <v>16.927899686520391</v>
      </c>
      <c r="K9" s="347">
        <f t="shared" si="2"/>
        <v>2125.4400000000005</v>
      </c>
      <c r="L9" s="301"/>
      <c r="M9" s="296"/>
    </row>
    <row r="10" spans="1:13" ht="24" x14ac:dyDescent="0.25">
      <c r="A10" s="314" t="s">
        <v>449</v>
      </c>
      <c r="B10" s="315" t="s">
        <v>450</v>
      </c>
      <c r="C10" s="322">
        <v>6.3900000000000006</v>
      </c>
      <c r="D10" s="347">
        <v>834</v>
      </c>
      <c r="E10" s="347">
        <f t="shared" si="3"/>
        <v>5329.26</v>
      </c>
      <c r="F10" s="322">
        <v>7.44</v>
      </c>
      <c r="G10" s="347">
        <v>834</v>
      </c>
      <c r="H10" s="347">
        <f t="shared" si="4"/>
        <v>6204.96</v>
      </c>
      <c r="I10" s="348">
        <f t="shared" si="0"/>
        <v>1.0499999999999998</v>
      </c>
      <c r="J10" s="349">
        <f t="shared" si="1"/>
        <v>16.431924882629104</v>
      </c>
      <c r="K10" s="347">
        <f t="shared" si="2"/>
        <v>875.69999999999982</v>
      </c>
      <c r="L10" s="301"/>
      <c r="M10" s="296"/>
    </row>
    <row r="11" spans="1:13" ht="24" x14ac:dyDescent="0.25">
      <c r="A11" s="314" t="s">
        <v>451</v>
      </c>
      <c r="B11" s="315" t="s">
        <v>452</v>
      </c>
      <c r="C11" s="322">
        <v>1.4400000000000002</v>
      </c>
      <c r="D11" s="347">
        <v>30321</v>
      </c>
      <c r="E11" s="347">
        <f t="shared" si="3"/>
        <v>43662.240000000005</v>
      </c>
      <c r="F11" s="322">
        <v>1.83</v>
      </c>
      <c r="G11" s="347">
        <v>30321</v>
      </c>
      <c r="H11" s="347">
        <f t="shared" si="4"/>
        <v>55487.43</v>
      </c>
      <c r="I11" s="348">
        <f t="shared" si="0"/>
        <v>0.3899999999999999</v>
      </c>
      <c r="J11" s="349">
        <f t="shared" si="1"/>
        <v>27.083333333333325</v>
      </c>
      <c r="K11" s="347">
        <f t="shared" si="2"/>
        <v>11825.189999999995</v>
      </c>
      <c r="L11" s="301"/>
      <c r="M11" s="296"/>
    </row>
    <row r="12" spans="1:13" x14ac:dyDescent="0.25">
      <c r="A12" s="314" t="s">
        <v>453</v>
      </c>
      <c r="B12" s="315" t="s">
        <v>454</v>
      </c>
      <c r="C12" s="322">
        <v>1.8500000000000003</v>
      </c>
      <c r="D12" s="347">
        <v>2287</v>
      </c>
      <c r="E12" s="347">
        <f t="shared" si="3"/>
        <v>4230.9500000000007</v>
      </c>
      <c r="F12" s="322">
        <v>2.14</v>
      </c>
      <c r="G12" s="347">
        <v>2287</v>
      </c>
      <c r="H12" s="347">
        <f t="shared" si="4"/>
        <v>4894.18</v>
      </c>
      <c r="I12" s="348">
        <f t="shared" si="0"/>
        <v>0.28999999999999981</v>
      </c>
      <c r="J12" s="349">
        <f t="shared" si="1"/>
        <v>15.675675675675663</v>
      </c>
      <c r="K12" s="347">
        <f t="shared" si="2"/>
        <v>663.22999999999956</v>
      </c>
      <c r="L12" s="301"/>
      <c r="M12" s="296"/>
    </row>
    <row r="13" spans="1:13" ht="24" x14ac:dyDescent="0.25">
      <c r="A13" s="314" t="s">
        <v>455</v>
      </c>
      <c r="B13" s="315" t="s">
        <v>456</v>
      </c>
      <c r="C13" s="322">
        <v>2.06</v>
      </c>
      <c r="D13" s="347">
        <v>539</v>
      </c>
      <c r="E13" s="347">
        <f t="shared" si="3"/>
        <v>1110.3399999999999</v>
      </c>
      <c r="F13" s="322">
        <v>2.34</v>
      </c>
      <c r="G13" s="347">
        <v>539</v>
      </c>
      <c r="H13" s="347">
        <f t="shared" si="4"/>
        <v>1261.26</v>
      </c>
      <c r="I13" s="348">
        <f t="shared" si="0"/>
        <v>0.2799999999999998</v>
      </c>
      <c r="J13" s="349">
        <f t="shared" si="1"/>
        <v>13.592233009708726</v>
      </c>
      <c r="K13" s="347">
        <f t="shared" si="2"/>
        <v>150.92000000000007</v>
      </c>
      <c r="L13" s="301"/>
      <c r="M13" s="296"/>
    </row>
    <row r="14" spans="1:13" x14ac:dyDescent="0.25">
      <c r="A14" s="314" t="s">
        <v>457</v>
      </c>
      <c r="B14" s="315" t="s">
        <v>458</v>
      </c>
      <c r="C14" s="322">
        <v>0.57000000000000006</v>
      </c>
      <c r="D14" s="347">
        <v>6613</v>
      </c>
      <c r="E14" s="347">
        <f t="shared" si="3"/>
        <v>3769.4100000000003</v>
      </c>
      <c r="F14" s="322">
        <v>0.78</v>
      </c>
      <c r="G14" s="347">
        <v>6613</v>
      </c>
      <c r="H14" s="347">
        <f t="shared" si="4"/>
        <v>5158.1400000000003</v>
      </c>
      <c r="I14" s="348">
        <f t="shared" si="0"/>
        <v>0.20999999999999996</v>
      </c>
      <c r="J14" s="349">
        <f t="shared" si="1"/>
        <v>36.842105263157883</v>
      </c>
      <c r="K14" s="347">
        <f t="shared" si="2"/>
        <v>1388.73</v>
      </c>
      <c r="L14" s="301"/>
      <c r="M14" s="296"/>
    </row>
    <row r="15" spans="1:13" ht="24" x14ac:dyDescent="0.25">
      <c r="A15" s="314" t="s">
        <v>459</v>
      </c>
      <c r="B15" s="315" t="s">
        <v>460</v>
      </c>
      <c r="C15" s="322">
        <v>2.5300000000000002</v>
      </c>
      <c r="D15" s="347">
        <v>14385</v>
      </c>
      <c r="E15" s="347">
        <f t="shared" si="3"/>
        <v>36394.050000000003</v>
      </c>
      <c r="F15" s="322">
        <v>4.84</v>
      </c>
      <c r="G15" s="347">
        <v>14385</v>
      </c>
      <c r="H15" s="347">
        <f t="shared" si="4"/>
        <v>69623.399999999994</v>
      </c>
      <c r="I15" s="348">
        <f t="shared" si="0"/>
        <v>2.3099999999999996</v>
      </c>
      <c r="J15" s="349">
        <f t="shared" si="1"/>
        <v>91.304347826086939</v>
      </c>
      <c r="K15" s="347">
        <f t="shared" si="2"/>
        <v>33229.349999999991</v>
      </c>
      <c r="L15" s="301"/>
      <c r="M15" s="296"/>
    </row>
    <row r="16" spans="1:13" ht="36" x14ac:dyDescent="0.25">
      <c r="A16" s="314" t="s">
        <v>461</v>
      </c>
      <c r="B16" s="315" t="s">
        <v>462</v>
      </c>
      <c r="C16" s="322">
        <v>1.8900000000000003</v>
      </c>
      <c r="D16" s="347">
        <v>529</v>
      </c>
      <c r="E16" s="347">
        <f t="shared" si="3"/>
        <v>999.81000000000017</v>
      </c>
      <c r="F16" s="322">
        <v>2.2400000000000002</v>
      </c>
      <c r="G16" s="347">
        <v>529</v>
      </c>
      <c r="H16" s="347">
        <f t="shared" si="4"/>
        <v>1184.96</v>
      </c>
      <c r="I16" s="348">
        <f t="shared" si="0"/>
        <v>0.34999999999999987</v>
      </c>
      <c r="J16" s="349">
        <f t="shared" si="1"/>
        <v>18.518518518518508</v>
      </c>
      <c r="K16" s="347">
        <f t="shared" si="2"/>
        <v>185.14999999999986</v>
      </c>
      <c r="L16" s="301"/>
      <c r="M16" s="296"/>
    </row>
    <row r="17" spans="1:13" x14ac:dyDescent="0.25">
      <c r="A17" s="314" t="s">
        <v>463</v>
      </c>
      <c r="B17" s="315" t="s">
        <v>464</v>
      </c>
      <c r="C17" s="322">
        <v>2.21</v>
      </c>
      <c r="D17" s="347">
        <v>5</v>
      </c>
      <c r="E17" s="347">
        <f t="shared" si="3"/>
        <v>11.05</v>
      </c>
      <c r="F17" s="322">
        <v>2.65</v>
      </c>
      <c r="G17" s="347">
        <v>5</v>
      </c>
      <c r="H17" s="347">
        <f t="shared" si="4"/>
        <v>13.25</v>
      </c>
      <c r="I17" s="348">
        <f t="shared" si="0"/>
        <v>0.43999999999999995</v>
      </c>
      <c r="J17" s="349">
        <f t="shared" si="1"/>
        <v>19.909502262443436</v>
      </c>
      <c r="K17" s="347">
        <f t="shared" si="2"/>
        <v>2.1999999999999993</v>
      </c>
      <c r="L17" s="301"/>
      <c r="M17" s="296"/>
    </row>
    <row r="18" spans="1:13" x14ac:dyDescent="0.25">
      <c r="A18" s="314" t="s">
        <v>465</v>
      </c>
      <c r="B18" s="315" t="s">
        <v>466</v>
      </c>
      <c r="C18" s="322">
        <v>1.1200000000000001</v>
      </c>
      <c r="D18" s="347">
        <v>2</v>
      </c>
      <c r="E18" s="347">
        <f t="shared" si="3"/>
        <v>2.2400000000000002</v>
      </c>
      <c r="F18" s="322">
        <v>1.27</v>
      </c>
      <c r="G18" s="347">
        <v>2</v>
      </c>
      <c r="H18" s="347">
        <f t="shared" si="4"/>
        <v>2.54</v>
      </c>
      <c r="I18" s="348">
        <f t="shared" si="0"/>
        <v>0.14999999999999991</v>
      </c>
      <c r="J18" s="349">
        <f t="shared" si="1"/>
        <v>13.392857142857133</v>
      </c>
      <c r="K18" s="347">
        <f t="shared" si="2"/>
        <v>0.29999999999999982</v>
      </c>
      <c r="L18" s="301"/>
      <c r="M18" s="296"/>
    </row>
    <row r="19" spans="1:13" x14ac:dyDescent="0.25">
      <c r="A19" s="314" t="s">
        <v>467</v>
      </c>
      <c r="B19" s="315" t="s">
        <v>468</v>
      </c>
      <c r="C19" s="322">
        <v>3.1200000000000006</v>
      </c>
      <c r="D19" s="347">
        <v>10</v>
      </c>
      <c r="E19" s="347">
        <f t="shared" si="3"/>
        <v>31.200000000000006</v>
      </c>
      <c r="F19" s="322">
        <v>3.98</v>
      </c>
      <c r="G19" s="347">
        <v>10</v>
      </c>
      <c r="H19" s="347">
        <f t="shared" si="4"/>
        <v>39.799999999999997</v>
      </c>
      <c r="I19" s="348">
        <f t="shared" si="0"/>
        <v>0.85999999999999943</v>
      </c>
      <c r="J19" s="349">
        <f t="shared" si="1"/>
        <v>27.564102564102541</v>
      </c>
      <c r="K19" s="347">
        <f t="shared" si="2"/>
        <v>8.5999999999999908</v>
      </c>
      <c r="L19" s="301"/>
      <c r="M19" s="296"/>
    </row>
    <row r="20" spans="1:13" ht="24" x14ac:dyDescent="0.25">
      <c r="A20" s="314" t="s">
        <v>469</v>
      </c>
      <c r="B20" s="315" t="s">
        <v>470</v>
      </c>
      <c r="C20" s="322">
        <v>1.9</v>
      </c>
      <c r="D20" s="347">
        <v>6</v>
      </c>
      <c r="E20" s="347">
        <f t="shared" si="3"/>
        <v>11.399999999999999</v>
      </c>
      <c r="F20" s="322">
        <v>2.36</v>
      </c>
      <c r="G20" s="347">
        <v>6</v>
      </c>
      <c r="H20" s="347">
        <f t="shared" si="4"/>
        <v>14.16</v>
      </c>
      <c r="I20" s="348">
        <f t="shared" si="0"/>
        <v>0.45999999999999996</v>
      </c>
      <c r="J20" s="349">
        <f t="shared" si="1"/>
        <v>24.210526315789476</v>
      </c>
      <c r="K20" s="347">
        <f t="shared" si="2"/>
        <v>2.7600000000000016</v>
      </c>
      <c r="L20" s="301"/>
      <c r="M20" s="296"/>
    </row>
    <row r="21" spans="1:13" ht="24" x14ac:dyDescent="0.25">
      <c r="A21" s="314" t="s">
        <v>471</v>
      </c>
      <c r="B21" s="315" t="s">
        <v>472</v>
      </c>
      <c r="C21" s="322">
        <v>1.97</v>
      </c>
      <c r="D21" s="347">
        <v>1</v>
      </c>
      <c r="E21" s="347">
        <f t="shared" si="3"/>
        <v>1.97</v>
      </c>
      <c r="F21" s="322">
        <v>2.36</v>
      </c>
      <c r="G21" s="347">
        <v>1</v>
      </c>
      <c r="H21" s="347">
        <f t="shared" si="4"/>
        <v>2.36</v>
      </c>
      <c r="I21" s="348">
        <f t="shared" si="0"/>
        <v>0.3899999999999999</v>
      </c>
      <c r="J21" s="349">
        <f t="shared" si="1"/>
        <v>19.796954314720807</v>
      </c>
      <c r="K21" s="347">
        <f t="shared" si="2"/>
        <v>0.3899999999999999</v>
      </c>
      <c r="L21" s="301"/>
      <c r="M21" s="296"/>
    </row>
    <row r="22" spans="1:13" ht="24" x14ac:dyDescent="0.25">
      <c r="A22" s="314" t="s">
        <v>473</v>
      </c>
      <c r="B22" s="315" t="s">
        <v>474</v>
      </c>
      <c r="C22" s="322">
        <v>1.81</v>
      </c>
      <c r="D22" s="347">
        <v>371</v>
      </c>
      <c r="E22" s="347">
        <f t="shared" si="3"/>
        <v>671.51</v>
      </c>
      <c r="F22" s="322">
        <v>2.36</v>
      </c>
      <c r="G22" s="347">
        <v>371</v>
      </c>
      <c r="H22" s="347">
        <f t="shared" si="4"/>
        <v>875.56</v>
      </c>
      <c r="I22" s="348">
        <f t="shared" si="0"/>
        <v>0.54999999999999982</v>
      </c>
      <c r="J22" s="349">
        <f t="shared" si="1"/>
        <v>30.386740331491705</v>
      </c>
      <c r="K22" s="347">
        <f t="shared" si="2"/>
        <v>204.04999999999995</v>
      </c>
      <c r="L22" s="301"/>
      <c r="M22" s="296"/>
    </row>
    <row r="23" spans="1:13" ht="24" x14ac:dyDescent="0.25">
      <c r="A23" s="314" t="s">
        <v>475</v>
      </c>
      <c r="B23" s="315" t="s">
        <v>476</v>
      </c>
      <c r="C23" s="322">
        <v>2.04</v>
      </c>
      <c r="D23" s="347">
        <v>43</v>
      </c>
      <c r="E23" s="347">
        <f t="shared" si="3"/>
        <v>87.72</v>
      </c>
      <c r="F23" s="322">
        <v>2.38</v>
      </c>
      <c r="G23" s="347">
        <v>43</v>
      </c>
      <c r="H23" s="347">
        <f t="shared" si="4"/>
        <v>102.33999999999999</v>
      </c>
      <c r="I23" s="348">
        <f t="shared" si="0"/>
        <v>0.33999999999999986</v>
      </c>
      <c r="J23" s="349">
        <f t="shared" si="1"/>
        <v>16.666666666666661</v>
      </c>
      <c r="K23" s="347">
        <f t="shared" si="2"/>
        <v>14.61999999999999</v>
      </c>
      <c r="L23" s="301"/>
      <c r="M23" s="296"/>
    </row>
    <row r="24" spans="1:13" x14ac:dyDescent="0.25">
      <c r="A24" s="314" t="s">
        <v>477</v>
      </c>
      <c r="B24" s="315" t="s">
        <v>478</v>
      </c>
      <c r="C24" s="322">
        <v>6.3200000000000012</v>
      </c>
      <c r="D24" s="347">
        <v>10</v>
      </c>
      <c r="E24" s="347">
        <f t="shared" si="3"/>
        <v>63.20000000000001</v>
      </c>
      <c r="F24" s="322">
        <v>8.57</v>
      </c>
      <c r="G24" s="347">
        <v>10</v>
      </c>
      <c r="H24" s="347">
        <f t="shared" si="4"/>
        <v>85.7</v>
      </c>
      <c r="I24" s="348">
        <f t="shared" si="0"/>
        <v>2.2499999999999991</v>
      </c>
      <c r="J24" s="349">
        <f t="shared" si="1"/>
        <v>35.601265822784789</v>
      </c>
      <c r="K24" s="347">
        <f t="shared" si="2"/>
        <v>22.499999999999993</v>
      </c>
      <c r="L24" s="301"/>
      <c r="M24" s="296"/>
    </row>
    <row r="25" spans="1:13" ht="24" x14ac:dyDescent="0.25">
      <c r="A25" s="314" t="s">
        <v>479</v>
      </c>
      <c r="B25" s="315" t="s">
        <v>480</v>
      </c>
      <c r="C25" s="322">
        <v>2.13</v>
      </c>
      <c r="D25" s="347">
        <v>3</v>
      </c>
      <c r="E25" s="347">
        <f t="shared" si="3"/>
        <v>6.39</v>
      </c>
      <c r="F25" s="322">
        <v>2.48</v>
      </c>
      <c r="G25" s="347">
        <v>3</v>
      </c>
      <c r="H25" s="347">
        <f t="shared" si="4"/>
        <v>7.4399999999999995</v>
      </c>
      <c r="I25" s="348">
        <f t="shared" si="0"/>
        <v>0.35000000000000009</v>
      </c>
      <c r="J25" s="349">
        <f t="shared" si="1"/>
        <v>16.431924882629112</v>
      </c>
      <c r="K25" s="347">
        <f t="shared" si="2"/>
        <v>1.0499999999999998</v>
      </c>
      <c r="L25" s="301"/>
      <c r="M25" s="296"/>
    </row>
    <row r="26" spans="1:13" ht="24" x14ac:dyDescent="0.25">
      <c r="A26" s="314" t="s">
        <v>481</v>
      </c>
      <c r="B26" s="315" t="s">
        <v>482</v>
      </c>
      <c r="C26" s="322">
        <v>1.8099999999999998</v>
      </c>
      <c r="D26" s="347">
        <v>10025</v>
      </c>
      <c r="E26" s="347">
        <f t="shared" si="3"/>
        <v>18145.25</v>
      </c>
      <c r="F26" s="322">
        <v>2.57</v>
      </c>
      <c r="G26" s="347">
        <v>10025</v>
      </c>
      <c r="H26" s="347">
        <f t="shared" si="4"/>
        <v>25764.25</v>
      </c>
      <c r="I26" s="348">
        <f t="shared" si="0"/>
        <v>0.76</v>
      </c>
      <c r="J26" s="349">
        <f t="shared" si="1"/>
        <v>41.988950276243095</v>
      </c>
      <c r="K26" s="347">
        <f t="shared" si="2"/>
        <v>7619</v>
      </c>
      <c r="L26" s="301"/>
      <c r="M26" s="296"/>
    </row>
    <row r="27" spans="1:13" x14ac:dyDescent="0.25">
      <c r="A27" s="314" t="s">
        <v>483</v>
      </c>
      <c r="B27" s="315" t="s">
        <v>484</v>
      </c>
      <c r="C27" s="322">
        <v>1.6900000000000002</v>
      </c>
      <c r="D27" s="347">
        <v>1977</v>
      </c>
      <c r="E27" s="347">
        <f t="shared" si="3"/>
        <v>3341.13</v>
      </c>
      <c r="F27" s="322">
        <v>2.35</v>
      </c>
      <c r="G27" s="347">
        <v>1977</v>
      </c>
      <c r="H27" s="347">
        <f t="shared" si="4"/>
        <v>4645.95</v>
      </c>
      <c r="I27" s="348">
        <f t="shared" si="0"/>
        <v>0.65999999999999992</v>
      </c>
      <c r="J27" s="349">
        <f t="shared" si="1"/>
        <v>39.053254437869811</v>
      </c>
      <c r="K27" s="347">
        <f t="shared" si="2"/>
        <v>1304.8199999999997</v>
      </c>
      <c r="L27" s="301"/>
      <c r="M27" s="296"/>
    </row>
    <row r="28" spans="1:13" ht="24" x14ac:dyDescent="0.25">
      <c r="A28" s="314" t="s">
        <v>485</v>
      </c>
      <c r="B28" s="315" t="s">
        <v>486</v>
      </c>
      <c r="C28" s="322">
        <v>0.31000000000000005</v>
      </c>
      <c r="D28" s="347">
        <v>17579</v>
      </c>
      <c r="E28" s="347">
        <f t="shared" si="3"/>
        <v>5449.4900000000007</v>
      </c>
      <c r="F28" s="322">
        <v>0.31</v>
      </c>
      <c r="G28" s="347">
        <v>17579</v>
      </c>
      <c r="H28" s="347">
        <f t="shared" si="4"/>
        <v>5449.49</v>
      </c>
      <c r="I28" s="348">
        <f t="shared" si="0"/>
        <v>0</v>
      </c>
      <c r="J28" s="349">
        <f t="shared" si="1"/>
        <v>0</v>
      </c>
      <c r="K28" s="347">
        <f t="shared" si="2"/>
        <v>0</v>
      </c>
      <c r="L28" s="301"/>
      <c r="M28" s="296"/>
    </row>
    <row r="29" spans="1:13" ht="24" x14ac:dyDescent="0.25">
      <c r="A29" s="314" t="s">
        <v>487</v>
      </c>
      <c r="B29" s="315" t="s">
        <v>488</v>
      </c>
      <c r="C29" s="322">
        <v>1.53</v>
      </c>
      <c r="D29" s="347">
        <v>3768</v>
      </c>
      <c r="E29" s="347">
        <f t="shared" si="3"/>
        <v>5765.04</v>
      </c>
      <c r="F29" s="322">
        <v>2.58</v>
      </c>
      <c r="G29" s="347">
        <v>3768</v>
      </c>
      <c r="H29" s="347">
        <f t="shared" si="4"/>
        <v>9721.44</v>
      </c>
      <c r="I29" s="348">
        <f t="shared" si="0"/>
        <v>1.05</v>
      </c>
      <c r="J29" s="349">
        <f t="shared" si="1"/>
        <v>68.627450980392155</v>
      </c>
      <c r="K29" s="347">
        <f t="shared" si="2"/>
        <v>3956.4000000000005</v>
      </c>
      <c r="L29" s="301"/>
      <c r="M29" s="296"/>
    </row>
    <row r="30" spans="1:13" x14ac:dyDescent="0.25">
      <c r="A30" s="314" t="s">
        <v>489</v>
      </c>
      <c r="B30" s="315" t="s">
        <v>490</v>
      </c>
      <c r="C30" s="322">
        <v>1.24</v>
      </c>
      <c r="D30" s="347">
        <v>3998</v>
      </c>
      <c r="E30" s="347">
        <f t="shared" si="3"/>
        <v>4957.5199999999995</v>
      </c>
      <c r="F30" s="322">
        <v>2.36</v>
      </c>
      <c r="G30" s="347">
        <v>3998</v>
      </c>
      <c r="H30" s="347">
        <f t="shared" si="4"/>
        <v>9435.2799999999988</v>
      </c>
      <c r="I30" s="348">
        <f t="shared" si="0"/>
        <v>1.1199999999999999</v>
      </c>
      <c r="J30" s="349">
        <f t="shared" si="1"/>
        <v>90.322580645161281</v>
      </c>
      <c r="K30" s="347">
        <f t="shared" si="2"/>
        <v>4477.7599999999993</v>
      </c>
      <c r="L30" s="301"/>
      <c r="M30" s="296"/>
    </row>
    <row r="31" spans="1:13" ht="24" x14ac:dyDescent="0.25">
      <c r="A31" s="314" t="s">
        <v>491</v>
      </c>
      <c r="B31" s="315" t="s">
        <v>492</v>
      </c>
      <c r="C31" s="322">
        <v>6.87</v>
      </c>
      <c r="D31" s="347">
        <v>6417</v>
      </c>
      <c r="E31" s="347">
        <f t="shared" si="3"/>
        <v>44084.79</v>
      </c>
      <c r="F31" s="322">
        <v>6.87</v>
      </c>
      <c r="G31" s="347">
        <v>6417</v>
      </c>
      <c r="H31" s="347">
        <f t="shared" si="4"/>
        <v>44084.79</v>
      </c>
      <c r="I31" s="348">
        <f t="shared" si="0"/>
        <v>0</v>
      </c>
      <c r="J31" s="349">
        <f t="shared" si="1"/>
        <v>0</v>
      </c>
      <c r="K31" s="347">
        <f t="shared" si="2"/>
        <v>0</v>
      </c>
      <c r="L31" s="301"/>
      <c r="M31" s="296"/>
    </row>
    <row r="32" spans="1:13" x14ac:dyDescent="0.25">
      <c r="A32" s="314" t="s">
        <v>493</v>
      </c>
      <c r="B32" s="315" t="s">
        <v>494</v>
      </c>
      <c r="C32" s="322">
        <v>3</v>
      </c>
      <c r="D32" s="347">
        <v>6</v>
      </c>
      <c r="E32" s="347">
        <f t="shared" si="3"/>
        <v>18</v>
      </c>
      <c r="F32" s="322">
        <v>5.12</v>
      </c>
      <c r="G32" s="347">
        <v>6</v>
      </c>
      <c r="H32" s="347">
        <f t="shared" si="4"/>
        <v>30.72</v>
      </c>
      <c r="I32" s="348">
        <f t="shared" si="0"/>
        <v>2.12</v>
      </c>
      <c r="J32" s="349">
        <f t="shared" si="1"/>
        <v>70.666666666666671</v>
      </c>
      <c r="K32" s="347">
        <f t="shared" si="2"/>
        <v>12.719999999999999</v>
      </c>
      <c r="L32" s="301"/>
      <c r="M32" s="296"/>
    </row>
    <row r="33" spans="1:13" x14ac:dyDescent="0.25">
      <c r="A33" s="314" t="s">
        <v>495</v>
      </c>
      <c r="B33" s="315" t="s">
        <v>496</v>
      </c>
      <c r="C33" s="322">
        <v>3</v>
      </c>
      <c r="D33" s="347">
        <v>2</v>
      </c>
      <c r="E33" s="347">
        <f t="shared" si="3"/>
        <v>6</v>
      </c>
      <c r="F33" s="322">
        <v>5.12</v>
      </c>
      <c r="G33" s="347">
        <v>2</v>
      </c>
      <c r="H33" s="347">
        <f t="shared" si="4"/>
        <v>10.24</v>
      </c>
      <c r="I33" s="348">
        <f t="shared" si="0"/>
        <v>2.12</v>
      </c>
      <c r="J33" s="349">
        <f t="shared" si="1"/>
        <v>70.666666666666671</v>
      </c>
      <c r="K33" s="347">
        <f t="shared" si="2"/>
        <v>4.24</v>
      </c>
      <c r="L33" s="301"/>
      <c r="M33" s="296"/>
    </row>
    <row r="34" spans="1:13" x14ac:dyDescent="0.25">
      <c r="A34" s="314" t="s">
        <v>497</v>
      </c>
      <c r="B34" s="315" t="s">
        <v>498</v>
      </c>
      <c r="C34" s="322">
        <v>3</v>
      </c>
      <c r="D34" s="350"/>
      <c r="E34" s="347">
        <f t="shared" si="3"/>
        <v>0</v>
      </c>
      <c r="F34" s="322">
        <v>5.0199999999999996</v>
      </c>
      <c r="G34" s="350"/>
      <c r="H34" s="347">
        <f t="shared" si="4"/>
        <v>0</v>
      </c>
      <c r="I34" s="348">
        <f t="shared" si="0"/>
        <v>2.0199999999999996</v>
      </c>
      <c r="J34" s="349">
        <f t="shared" si="1"/>
        <v>67.333333333333314</v>
      </c>
      <c r="K34" s="347">
        <f t="shared" si="2"/>
        <v>0</v>
      </c>
      <c r="L34" s="301"/>
      <c r="M34" s="296"/>
    </row>
    <row r="35" spans="1:13" x14ac:dyDescent="0.25">
      <c r="A35" s="314" t="s">
        <v>499</v>
      </c>
      <c r="B35" s="315" t="s">
        <v>500</v>
      </c>
      <c r="C35" s="322">
        <v>7.86</v>
      </c>
      <c r="D35" s="347">
        <v>75</v>
      </c>
      <c r="E35" s="347">
        <f t="shared" si="3"/>
        <v>589.5</v>
      </c>
      <c r="F35" s="322">
        <v>10.29</v>
      </c>
      <c r="G35" s="347">
        <v>75</v>
      </c>
      <c r="H35" s="347">
        <f t="shared" si="4"/>
        <v>771.74999999999989</v>
      </c>
      <c r="I35" s="348">
        <f t="shared" si="0"/>
        <v>2.4299999999999988</v>
      </c>
      <c r="J35" s="349">
        <f t="shared" si="1"/>
        <v>30.91603053435113</v>
      </c>
      <c r="K35" s="347">
        <f t="shared" si="2"/>
        <v>182.24999999999989</v>
      </c>
      <c r="L35" s="301"/>
      <c r="M35" s="296"/>
    </row>
    <row r="36" spans="1:13" x14ac:dyDescent="0.25">
      <c r="A36" s="314" t="s">
        <v>501</v>
      </c>
      <c r="B36" s="315" t="s">
        <v>502</v>
      </c>
      <c r="C36" s="322">
        <v>3</v>
      </c>
      <c r="D36" s="347">
        <v>3</v>
      </c>
      <c r="E36" s="347">
        <f t="shared" si="3"/>
        <v>9</v>
      </c>
      <c r="F36" s="322">
        <v>5.9</v>
      </c>
      <c r="G36" s="347">
        <v>3</v>
      </c>
      <c r="H36" s="347">
        <f t="shared" si="4"/>
        <v>17.700000000000003</v>
      </c>
      <c r="I36" s="348">
        <f t="shared" si="0"/>
        <v>2.9000000000000004</v>
      </c>
      <c r="J36" s="349">
        <f t="shared" si="1"/>
        <v>96.666666666666686</v>
      </c>
      <c r="K36" s="347">
        <f t="shared" si="2"/>
        <v>8.7000000000000028</v>
      </c>
      <c r="L36" s="301"/>
      <c r="M36" s="296"/>
    </row>
    <row r="37" spans="1:13" x14ac:dyDescent="0.25">
      <c r="A37" s="314" t="s">
        <v>503</v>
      </c>
      <c r="B37" s="315" t="s">
        <v>504</v>
      </c>
      <c r="C37" s="322">
        <v>2.2799999999999998</v>
      </c>
      <c r="D37" s="347">
        <v>13924</v>
      </c>
      <c r="E37" s="347">
        <f t="shared" si="3"/>
        <v>31746.719999999998</v>
      </c>
      <c r="F37" s="322">
        <v>3.25</v>
      </c>
      <c r="G37" s="347">
        <v>13924</v>
      </c>
      <c r="H37" s="347">
        <f t="shared" si="4"/>
        <v>45253</v>
      </c>
      <c r="I37" s="348">
        <f t="shared" si="0"/>
        <v>0.9700000000000002</v>
      </c>
      <c r="J37" s="349">
        <f t="shared" si="1"/>
        <v>42.543859649122815</v>
      </c>
      <c r="K37" s="347">
        <f t="shared" si="2"/>
        <v>13506.280000000002</v>
      </c>
      <c r="L37" s="301"/>
      <c r="M37" s="296"/>
    </row>
    <row r="38" spans="1:13" ht="48" x14ac:dyDescent="0.25">
      <c r="A38" s="314" t="s">
        <v>505</v>
      </c>
      <c r="B38" s="315" t="s">
        <v>506</v>
      </c>
      <c r="C38" s="322">
        <v>2.39</v>
      </c>
      <c r="D38" s="347">
        <v>175541</v>
      </c>
      <c r="E38" s="347">
        <f t="shared" si="3"/>
        <v>419542.99000000005</v>
      </c>
      <c r="F38" s="322">
        <v>2.95</v>
      </c>
      <c r="G38" s="347">
        <v>175541</v>
      </c>
      <c r="H38" s="347">
        <f t="shared" si="4"/>
        <v>517845.95</v>
      </c>
      <c r="I38" s="348">
        <f t="shared" si="0"/>
        <v>0.56000000000000005</v>
      </c>
      <c r="J38" s="349">
        <f t="shared" si="1"/>
        <v>23.430962343096237</v>
      </c>
      <c r="K38" s="347">
        <f t="shared" si="2"/>
        <v>98302.959999999963</v>
      </c>
      <c r="L38" s="301"/>
      <c r="M38" s="296"/>
    </row>
    <row r="39" spans="1:13" ht="24" x14ac:dyDescent="0.25">
      <c r="A39" s="314" t="s">
        <v>507</v>
      </c>
      <c r="B39" s="315" t="s">
        <v>508</v>
      </c>
      <c r="C39" s="322">
        <v>0.96000000000000008</v>
      </c>
      <c r="D39" s="347">
        <f xml:space="preserve"> 68960 + 522.5</f>
        <v>69482.5</v>
      </c>
      <c r="E39" s="347">
        <f t="shared" si="3"/>
        <v>66703.200000000012</v>
      </c>
      <c r="F39" s="322">
        <v>2.91</v>
      </c>
      <c r="G39" s="347">
        <f xml:space="preserve"> 68960 + 522.5</f>
        <v>69482.5</v>
      </c>
      <c r="H39" s="347">
        <f t="shared" si="4"/>
        <v>202194.07500000001</v>
      </c>
      <c r="I39" s="348">
        <f t="shared" si="0"/>
        <v>1.9500000000000002</v>
      </c>
      <c r="J39" s="349">
        <f t="shared" si="1"/>
        <v>203.125</v>
      </c>
      <c r="K39" s="347">
        <f t="shared" si="2"/>
        <v>135490.875</v>
      </c>
      <c r="L39" s="301"/>
      <c r="M39" s="296"/>
    </row>
    <row r="40" spans="1:13" ht="24" x14ac:dyDescent="0.25">
      <c r="A40" s="314" t="s">
        <v>509</v>
      </c>
      <c r="B40" s="315" t="s">
        <v>510</v>
      </c>
      <c r="C40" s="322">
        <v>1.2900000000000003</v>
      </c>
      <c r="D40" s="347">
        <f xml:space="preserve"> 54805 + 522.5</f>
        <v>55327.5</v>
      </c>
      <c r="E40" s="347">
        <f t="shared" si="3"/>
        <v>71372.47500000002</v>
      </c>
      <c r="F40" s="322">
        <v>1.76</v>
      </c>
      <c r="G40" s="347">
        <f xml:space="preserve"> 54805 + 522.5</f>
        <v>55327.5</v>
      </c>
      <c r="H40" s="347">
        <f t="shared" si="4"/>
        <v>97376.4</v>
      </c>
      <c r="I40" s="348">
        <f t="shared" si="0"/>
        <v>0.46999999999999975</v>
      </c>
      <c r="J40" s="349">
        <f t="shared" si="1"/>
        <v>36.434108527131755</v>
      </c>
      <c r="K40" s="347">
        <f t="shared" si="2"/>
        <v>26003.924999999974</v>
      </c>
      <c r="L40" s="301"/>
      <c r="M40" s="296"/>
    </row>
    <row r="41" spans="1:13" ht="24" x14ac:dyDescent="0.25">
      <c r="A41" s="314" t="s">
        <v>511</v>
      </c>
      <c r="B41" s="315" t="s">
        <v>512</v>
      </c>
      <c r="C41" s="322">
        <v>3.0500000000000003</v>
      </c>
      <c r="D41" s="347">
        <v>49714</v>
      </c>
      <c r="E41" s="347">
        <f t="shared" si="3"/>
        <v>151627.70000000001</v>
      </c>
      <c r="F41" s="322">
        <v>3.65</v>
      </c>
      <c r="G41" s="347">
        <v>49714</v>
      </c>
      <c r="H41" s="347">
        <f t="shared" si="4"/>
        <v>181456.1</v>
      </c>
      <c r="I41" s="348">
        <f t="shared" si="0"/>
        <v>0.59999999999999964</v>
      </c>
      <c r="J41" s="349">
        <f t="shared" si="1"/>
        <v>19.67213114754097</v>
      </c>
      <c r="K41" s="347">
        <f t="shared" si="2"/>
        <v>29828.399999999994</v>
      </c>
      <c r="L41" s="301"/>
      <c r="M41" s="296"/>
    </row>
    <row r="42" spans="1:13" x14ac:dyDescent="0.25">
      <c r="A42" s="314" t="s">
        <v>513</v>
      </c>
      <c r="B42" s="315" t="s">
        <v>514</v>
      </c>
      <c r="C42" s="322">
        <v>2.97</v>
      </c>
      <c r="D42" s="347">
        <v>119778</v>
      </c>
      <c r="E42" s="347">
        <f t="shared" si="3"/>
        <v>355740.66000000003</v>
      </c>
      <c r="F42" s="322">
        <v>4.7699999999999996</v>
      </c>
      <c r="G42" s="347">
        <v>119778</v>
      </c>
      <c r="H42" s="347">
        <f t="shared" si="4"/>
        <v>571341.05999999994</v>
      </c>
      <c r="I42" s="348">
        <f t="shared" si="0"/>
        <v>1.7999999999999994</v>
      </c>
      <c r="J42" s="349">
        <f t="shared" si="1"/>
        <v>60.606060606060581</v>
      </c>
      <c r="K42" s="347">
        <f t="shared" si="2"/>
        <v>215600.39999999991</v>
      </c>
      <c r="L42" s="301"/>
      <c r="M42" s="296"/>
    </row>
    <row r="43" spans="1:13" ht="24" x14ac:dyDescent="0.25">
      <c r="A43" s="314" t="s">
        <v>515</v>
      </c>
      <c r="B43" s="315" t="s">
        <v>516</v>
      </c>
      <c r="C43" s="322">
        <v>5.58</v>
      </c>
      <c r="D43" s="347">
        <v>31357</v>
      </c>
      <c r="E43" s="347">
        <f t="shared" si="3"/>
        <v>174972.06</v>
      </c>
      <c r="F43" s="322">
        <v>5.58</v>
      </c>
      <c r="G43" s="347">
        <v>31357</v>
      </c>
      <c r="H43" s="347">
        <f t="shared" si="4"/>
        <v>174972.06</v>
      </c>
      <c r="I43" s="348">
        <f t="shared" si="0"/>
        <v>0</v>
      </c>
      <c r="J43" s="349">
        <f t="shared" si="1"/>
        <v>0</v>
      </c>
      <c r="K43" s="347">
        <f t="shared" si="2"/>
        <v>0</v>
      </c>
      <c r="L43" s="301"/>
      <c r="M43" s="296"/>
    </row>
    <row r="44" spans="1:13" ht="24" x14ac:dyDescent="0.25">
      <c r="A44" s="314" t="s">
        <v>517</v>
      </c>
      <c r="B44" s="315" t="s">
        <v>518</v>
      </c>
      <c r="C44" s="322">
        <v>4.6099999999999994</v>
      </c>
      <c r="D44" s="347">
        <v>13453</v>
      </c>
      <c r="E44" s="347">
        <f t="shared" si="3"/>
        <v>62018.329999999994</v>
      </c>
      <c r="F44" s="322">
        <v>5.49</v>
      </c>
      <c r="G44" s="347">
        <v>13453</v>
      </c>
      <c r="H44" s="347">
        <f t="shared" si="4"/>
        <v>73856.97</v>
      </c>
      <c r="I44" s="348">
        <f t="shared" si="0"/>
        <v>0.88000000000000078</v>
      </c>
      <c r="J44" s="349">
        <f t="shared" si="1"/>
        <v>19.088937093275508</v>
      </c>
      <c r="K44" s="347">
        <f t="shared" si="2"/>
        <v>11838.640000000007</v>
      </c>
      <c r="L44" s="301"/>
      <c r="M44" s="296"/>
    </row>
    <row r="45" spans="1:13" x14ac:dyDescent="0.25">
      <c r="A45" s="314" t="s">
        <v>519</v>
      </c>
      <c r="B45" s="315" t="s">
        <v>520</v>
      </c>
      <c r="C45" s="322">
        <v>1.6400000000000003</v>
      </c>
      <c r="D45" s="347">
        <v>1222</v>
      </c>
      <c r="E45" s="347">
        <f t="shared" si="3"/>
        <v>2004.0800000000004</v>
      </c>
      <c r="F45" s="322">
        <v>1.89</v>
      </c>
      <c r="G45" s="347">
        <v>1222</v>
      </c>
      <c r="H45" s="347">
        <f t="shared" si="4"/>
        <v>2309.58</v>
      </c>
      <c r="I45" s="348">
        <f t="shared" si="0"/>
        <v>0.24999999999999956</v>
      </c>
      <c r="J45" s="349">
        <f t="shared" si="1"/>
        <v>15.24390243902436</v>
      </c>
      <c r="K45" s="347">
        <f t="shared" si="2"/>
        <v>305.49999999999955</v>
      </c>
      <c r="L45" s="301"/>
      <c r="M45" s="296"/>
    </row>
    <row r="46" spans="1:13" x14ac:dyDescent="0.25">
      <c r="A46" s="314" t="s">
        <v>521</v>
      </c>
      <c r="B46" s="315" t="s">
        <v>522</v>
      </c>
      <c r="C46" s="322">
        <v>6.0600000000000014</v>
      </c>
      <c r="D46" s="347">
        <v>5738</v>
      </c>
      <c r="E46" s="347">
        <f t="shared" si="3"/>
        <v>34772.280000000006</v>
      </c>
      <c r="F46" s="322">
        <v>6.44</v>
      </c>
      <c r="G46" s="347">
        <v>5738</v>
      </c>
      <c r="H46" s="347">
        <f t="shared" si="4"/>
        <v>36952.720000000001</v>
      </c>
      <c r="I46" s="348">
        <f t="shared" si="0"/>
        <v>0.37999999999999901</v>
      </c>
      <c r="J46" s="349">
        <f t="shared" si="1"/>
        <v>6.2706270627062528</v>
      </c>
      <c r="K46" s="347">
        <f t="shared" si="2"/>
        <v>2180.4399999999951</v>
      </c>
      <c r="L46" s="301"/>
      <c r="M46" s="296"/>
    </row>
    <row r="47" spans="1:13" x14ac:dyDescent="0.25">
      <c r="A47" s="314" t="s">
        <v>523</v>
      </c>
      <c r="B47" s="315" t="s">
        <v>524</v>
      </c>
      <c r="C47" s="322">
        <v>7.5100000000000007</v>
      </c>
      <c r="D47" s="347">
        <v>20106</v>
      </c>
      <c r="E47" s="347">
        <f t="shared" si="3"/>
        <v>150996.06000000003</v>
      </c>
      <c r="F47" s="322">
        <v>8.2799999999999994</v>
      </c>
      <c r="G47" s="347">
        <v>20106</v>
      </c>
      <c r="H47" s="347">
        <f t="shared" si="4"/>
        <v>166477.68</v>
      </c>
      <c r="I47" s="348">
        <f t="shared" si="0"/>
        <v>0.76999999999999869</v>
      </c>
      <c r="J47" s="349">
        <f t="shared" si="1"/>
        <v>10.252996005326214</v>
      </c>
      <c r="K47" s="347">
        <f t="shared" si="2"/>
        <v>15481.619999999966</v>
      </c>
      <c r="L47" s="301"/>
      <c r="M47" s="296"/>
    </row>
    <row r="48" spans="1:13" x14ac:dyDescent="0.25">
      <c r="A48" s="314" t="s">
        <v>525</v>
      </c>
      <c r="B48" s="315" t="s">
        <v>526</v>
      </c>
      <c r="C48" s="322">
        <v>8.68</v>
      </c>
      <c r="D48" s="347">
        <v>13897</v>
      </c>
      <c r="E48" s="347">
        <f t="shared" si="3"/>
        <v>120625.95999999999</v>
      </c>
      <c r="F48" s="322">
        <v>10.52</v>
      </c>
      <c r="G48" s="347">
        <v>13897</v>
      </c>
      <c r="H48" s="347">
        <f t="shared" si="4"/>
        <v>146196.44</v>
      </c>
      <c r="I48" s="348">
        <f t="shared" si="0"/>
        <v>1.8399999999999999</v>
      </c>
      <c r="J48" s="349">
        <f t="shared" si="1"/>
        <v>21.198156682027651</v>
      </c>
      <c r="K48" s="347">
        <f t="shared" si="2"/>
        <v>25570.48000000001</v>
      </c>
      <c r="L48" s="302"/>
      <c r="M48" s="296"/>
    </row>
    <row r="49" spans="1:13" x14ac:dyDescent="0.25">
      <c r="A49" s="314" t="s">
        <v>527</v>
      </c>
      <c r="B49" s="315" t="s">
        <v>528</v>
      </c>
      <c r="C49" s="322">
        <v>11.01</v>
      </c>
      <c r="D49" s="347">
        <v>17859</v>
      </c>
      <c r="E49" s="347">
        <f t="shared" si="3"/>
        <v>196627.59</v>
      </c>
      <c r="F49" s="322">
        <v>11.01</v>
      </c>
      <c r="G49" s="347">
        <v>17859</v>
      </c>
      <c r="H49" s="347">
        <f t="shared" si="4"/>
        <v>196627.59</v>
      </c>
      <c r="I49" s="348">
        <f t="shared" si="0"/>
        <v>0</v>
      </c>
      <c r="J49" s="349">
        <f t="shared" si="1"/>
        <v>0</v>
      </c>
      <c r="K49" s="347">
        <f t="shared" si="2"/>
        <v>0</v>
      </c>
      <c r="L49" s="302"/>
      <c r="M49" s="296"/>
    </row>
    <row r="50" spans="1:13" x14ac:dyDescent="0.25">
      <c r="A50" s="314" t="s">
        <v>529</v>
      </c>
      <c r="B50" s="315" t="s">
        <v>530</v>
      </c>
      <c r="C50" s="322">
        <v>6.370000000000001</v>
      </c>
      <c r="D50" s="347">
        <v>7972</v>
      </c>
      <c r="E50" s="347">
        <f t="shared" si="3"/>
        <v>50781.640000000007</v>
      </c>
      <c r="F50" s="322">
        <v>9.4700000000000006</v>
      </c>
      <c r="G50" s="347">
        <v>7972</v>
      </c>
      <c r="H50" s="347">
        <f t="shared" si="4"/>
        <v>75494.840000000011</v>
      </c>
      <c r="I50" s="348">
        <f t="shared" si="0"/>
        <v>3.0999999999999996</v>
      </c>
      <c r="J50" s="349">
        <f t="shared" si="1"/>
        <v>48.665620094191503</v>
      </c>
      <c r="K50" s="347">
        <f t="shared" si="2"/>
        <v>24713.200000000004</v>
      </c>
      <c r="L50" s="301"/>
      <c r="M50" s="296"/>
    </row>
    <row r="51" spans="1:13" x14ac:dyDescent="0.25">
      <c r="A51" s="314" t="s">
        <v>531</v>
      </c>
      <c r="B51" s="315" t="s">
        <v>532</v>
      </c>
      <c r="C51" s="322">
        <v>8.1800000000000015</v>
      </c>
      <c r="D51" s="347">
        <v>23645</v>
      </c>
      <c r="E51" s="347">
        <f t="shared" si="3"/>
        <v>193416.10000000003</v>
      </c>
      <c r="F51" s="322">
        <v>10.93</v>
      </c>
      <c r="G51" s="347">
        <v>23645</v>
      </c>
      <c r="H51" s="347">
        <f t="shared" si="4"/>
        <v>258439.85</v>
      </c>
      <c r="I51" s="348">
        <f t="shared" si="0"/>
        <v>2.7499999999999982</v>
      </c>
      <c r="J51" s="349">
        <f t="shared" si="1"/>
        <v>33.618581907090437</v>
      </c>
      <c r="K51" s="347">
        <f t="shared" si="2"/>
        <v>65023.749999999971</v>
      </c>
      <c r="L51" s="301"/>
      <c r="M51" s="296"/>
    </row>
    <row r="52" spans="1:13" x14ac:dyDescent="0.25">
      <c r="A52" s="314" t="s">
        <v>533</v>
      </c>
      <c r="B52" s="315" t="s">
        <v>534</v>
      </c>
      <c r="C52" s="322">
        <v>6.6300000000000008</v>
      </c>
      <c r="D52" s="347">
        <v>6825</v>
      </c>
      <c r="E52" s="347">
        <f t="shared" si="3"/>
        <v>45249.750000000007</v>
      </c>
      <c r="F52" s="322">
        <v>11.56</v>
      </c>
      <c r="G52" s="347">
        <v>6825</v>
      </c>
      <c r="H52" s="347">
        <f t="shared" si="4"/>
        <v>78897</v>
      </c>
      <c r="I52" s="348">
        <f t="shared" si="0"/>
        <v>4.93</v>
      </c>
      <c r="J52" s="349">
        <f t="shared" si="1"/>
        <v>74.358974358974351</v>
      </c>
      <c r="K52" s="347">
        <f t="shared" si="2"/>
        <v>33647.249999999993</v>
      </c>
      <c r="L52" s="301"/>
      <c r="M52" s="296"/>
    </row>
    <row r="53" spans="1:13" x14ac:dyDescent="0.25">
      <c r="A53" s="314" t="s">
        <v>535</v>
      </c>
      <c r="B53" s="315" t="s">
        <v>536</v>
      </c>
      <c r="C53" s="322">
        <v>8.56</v>
      </c>
      <c r="D53" s="347">
        <v>23074</v>
      </c>
      <c r="E53" s="347">
        <f t="shared" si="3"/>
        <v>197513.44</v>
      </c>
      <c r="F53" s="322">
        <v>11.4</v>
      </c>
      <c r="G53" s="347">
        <v>23074</v>
      </c>
      <c r="H53" s="347">
        <f t="shared" si="4"/>
        <v>263043.60000000003</v>
      </c>
      <c r="I53" s="348">
        <f t="shared" si="0"/>
        <v>2.84</v>
      </c>
      <c r="J53" s="349">
        <v>100</v>
      </c>
      <c r="K53" s="347">
        <f t="shared" si="2"/>
        <v>65530.160000000033</v>
      </c>
      <c r="L53" s="301"/>
      <c r="M53" s="296"/>
    </row>
    <row r="54" spans="1:13" x14ac:dyDescent="0.25">
      <c r="A54" s="314" t="s">
        <v>537</v>
      </c>
      <c r="B54" s="315" t="s">
        <v>538</v>
      </c>
      <c r="C54" s="322">
        <v>9.74</v>
      </c>
      <c r="D54" s="347">
        <v>921</v>
      </c>
      <c r="E54" s="347">
        <f t="shared" si="3"/>
        <v>8970.5400000000009</v>
      </c>
      <c r="F54" s="322">
        <v>13.02</v>
      </c>
      <c r="G54" s="347">
        <v>921</v>
      </c>
      <c r="H54" s="347">
        <f t="shared" si="4"/>
        <v>11991.42</v>
      </c>
      <c r="I54" s="348">
        <f t="shared" si="0"/>
        <v>3.2799999999999994</v>
      </c>
      <c r="J54" s="349">
        <f t="shared" ref="J54:J117" si="5">I54*100/C54</f>
        <v>33.675564681724836</v>
      </c>
      <c r="K54" s="347">
        <f t="shared" si="2"/>
        <v>3020.8799999999992</v>
      </c>
      <c r="L54" s="301"/>
      <c r="M54" s="296"/>
    </row>
    <row r="55" spans="1:13" x14ac:dyDescent="0.25">
      <c r="A55" s="314" t="s">
        <v>539</v>
      </c>
      <c r="B55" s="315" t="s">
        <v>540</v>
      </c>
      <c r="C55" s="322">
        <v>7.08</v>
      </c>
      <c r="D55" s="347">
        <v>1264</v>
      </c>
      <c r="E55" s="347">
        <f t="shared" si="3"/>
        <v>8949.1200000000008</v>
      </c>
      <c r="F55" s="322">
        <v>7.94</v>
      </c>
      <c r="G55" s="347">
        <v>1264</v>
      </c>
      <c r="H55" s="347">
        <f t="shared" si="4"/>
        <v>10036.16</v>
      </c>
      <c r="I55" s="348">
        <f t="shared" si="0"/>
        <v>0.86000000000000032</v>
      </c>
      <c r="J55" s="349">
        <f t="shared" si="5"/>
        <v>12.146892655367235</v>
      </c>
      <c r="K55" s="347">
        <f t="shared" si="2"/>
        <v>1087.0399999999991</v>
      </c>
      <c r="L55" s="301"/>
      <c r="M55" s="296"/>
    </row>
    <row r="56" spans="1:13" x14ac:dyDescent="0.25">
      <c r="A56" s="314" t="s">
        <v>541</v>
      </c>
      <c r="B56" s="315" t="s">
        <v>542</v>
      </c>
      <c r="C56" s="322">
        <v>8.6399999999999988</v>
      </c>
      <c r="D56" s="347">
        <v>7541</v>
      </c>
      <c r="E56" s="347">
        <f t="shared" si="3"/>
        <v>65154.239999999991</v>
      </c>
      <c r="F56" s="322">
        <v>9.49</v>
      </c>
      <c r="G56" s="347">
        <v>7541</v>
      </c>
      <c r="H56" s="347">
        <f t="shared" si="4"/>
        <v>71564.09</v>
      </c>
      <c r="I56" s="348">
        <f t="shared" si="0"/>
        <v>0.85000000000000142</v>
      </c>
      <c r="J56" s="349">
        <f t="shared" si="5"/>
        <v>9.8379629629629815</v>
      </c>
      <c r="K56" s="347">
        <f t="shared" si="2"/>
        <v>6409.8500000000058</v>
      </c>
      <c r="L56" s="301"/>
      <c r="M56" s="296"/>
    </row>
    <row r="57" spans="1:13" x14ac:dyDescent="0.25">
      <c r="A57" s="314" t="s">
        <v>543</v>
      </c>
      <c r="B57" s="315" t="s">
        <v>544</v>
      </c>
      <c r="C57" s="322">
        <v>9.5400000000000009</v>
      </c>
      <c r="D57" s="347">
        <v>5653</v>
      </c>
      <c r="E57" s="347">
        <f t="shared" si="3"/>
        <v>53929.62</v>
      </c>
      <c r="F57" s="322">
        <v>11.09</v>
      </c>
      <c r="G57" s="347">
        <v>5653</v>
      </c>
      <c r="H57" s="347">
        <f t="shared" si="4"/>
        <v>62691.77</v>
      </c>
      <c r="I57" s="348">
        <f t="shared" si="0"/>
        <v>1.5499999999999989</v>
      </c>
      <c r="J57" s="349">
        <f t="shared" si="5"/>
        <v>16.247379454926612</v>
      </c>
      <c r="K57" s="347">
        <f t="shared" si="2"/>
        <v>8762.1499999999942</v>
      </c>
      <c r="L57" s="301"/>
      <c r="M57" s="296"/>
    </row>
    <row r="58" spans="1:13" x14ac:dyDescent="0.25">
      <c r="A58" s="314" t="s">
        <v>545</v>
      </c>
      <c r="B58" s="315" t="s">
        <v>546</v>
      </c>
      <c r="C58" s="322">
        <v>13.219999999999999</v>
      </c>
      <c r="D58" s="347">
        <f xml:space="preserve"> 3271 + 2030 + 631</f>
        <v>5932</v>
      </c>
      <c r="E58" s="347">
        <f t="shared" si="3"/>
        <v>78421.039999999994</v>
      </c>
      <c r="F58" s="322">
        <v>13.22</v>
      </c>
      <c r="G58" s="347">
        <f xml:space="preserve"> 3271 + 2030 + 631</f>
        <v>5932</v>
      </c>
      <c r="H58" s="347">
        <f t="shared" si="4"/>
        <v>78421.040000000008</v>
      </c>
      <c r="I58" s="348">
        <f t="shared" si="0"/>
        <v>0</v>
      </c>
      <c r="J58" s="349">
        <f t="shared" si="5"/>
        <v>0</v>
      </c>
      <c r="K58" s="347">
        <f t="shared" si="2"/>
        <v>0</v>
      </c>
      <c r="L58" s="301"/>
      <c r="M58" s="296"/>
    </row>
    <row r="59" spans="1:13" x14ac:dyDescent="0.25">
      <c r="A59" s="314" t="s">
        <v>547</v>
      </c>
      <c r="B59" s="315" t="s">
        <v>548</v>
      </c>
      <c r="C59" s="322">
        <v>7.28</v>
      </c>
      <c r="D59" s="347">
        <v>20674</v>
      </c>
      <c r="E59" s="347">
        <f t="shared" si="3"/>
        <v>150506.72</v>
      </c>
      <c r="F59" s="322">
        <v>8.1300000000000008</v>
      </c>
      <c r="G59" s="347">
        <v>20674</v>
      </c>
      <c r="H59" s="347">
        <f t="shared" si="4"/>
        <v>168079.62000000002</v>
      </c>
      <c r="I59" s="348">
        <f t="shared" si="0"/>
        <v>0.85000000000000053</v>
      </c>
      <c r="J59" s="349">
        <f t="shared" si="5"/>
        <v>11.675824175824184</v>
      </c>
      <c r="K59" s="347">
        <f t="shared" si="2"/>
        <v>17572.900000000023</v>
      </c>
      <c r="L59" s="301"/>
      <c r="M59" s="296"/>
    </row>
    <row r="60" spans="1:13" x14ac:dyDescent="0.25">
      <c r="A60" s="314" t="s">
        <v>549</v>
      </c>
      <c r="B60" s="315" t="s">
        <v>550</v>
      </c>
      <c r="C60" s="322">
        <v>8.94</v>
      </c>
      <c r="D60" s="347">
        <v>20940</v>
      </c>
      <c r="E60" s="347">
        <f t="shared" si="3"/>
        <v>187203.59999999998</v>
      </c>
      <c r="F60" s="322">
        <v>9.9</v>
      </c>
      <c r="G60" s="347">
        <v>20940</v>
      </c>
      <c r="H60" s="347">
        <f t="shared" si="4"/>
        <v>207306</v>
      </c>
      <c r="I60" s="348">
        <f t="shared" si="0"/>
        <v>0.96000000000000085</v>
      </c>
      <c r="J60" s="349">
        <f t="shared" si="5"/>
        <v>10.738255033557056</v>
      </c>
      <c r="K60" s="347">
        <f t="shared" si="2"/>
        <v>20102.400000000023</v>
      </c>
      <c r="L60" s="301"/>
      <c r="M60" s="296"/>
    </row>
    <row r="61" spans="1:13" x14ac:dyDescent="0.25">
      <c r="A61" s="314" t="s">
        <v>551</v>
      </c>
      <c r="B61" s="315" t="s">
        <v>552</v>
      </c>
      <c r="C61" s="322">
        <v>9.81</v>
      </c>
      <c r="D61" s="347">
        <v>15249</v>
      </c>
      <c r="E61" s="347">
        <f t="shared" si="3"/>
        <v>149592.69</v>
      </c>
      <c r="F61" s="322">
        <v>11.53</v>
      </c>
      <c r="G61" s="347">
        <v>15249</v>
      </c>
      <c r="H61" s="347">
        <f t="shared" si="4"/>
        <v>175820.97</v>
      </c>
      <c r="I61" s="348">
        <f t="shared" si="0"/>
        <v>1.7199999999999989</v>
      </c>
      <c r="J61" s="349">
        <f t="shared" si="5"/>
        <v>17.533129459734951</v>
      </c>
      <c r="K61" s="347">
        <f t="shared" si="2"/>
        <v>26228.28</v>
      </c>
      <c r="L61" s="301"/>
      <c r="M61" s="296"/>
    </row>
    <row r="62" spans="1:13" x14ac:dyDescent="0.25">
      <c r="A62" s="314" t="s">
        <v>553</v>
      </c>
      <c r="B62" s="315" t="s">
        <v>554</v>
      </c>
      <c r="C62" s="322">
        <v>15.8</v>
      </c>
      <c r="D62" s="347">
        <v>13976</v>
      </c>
      <c r="E62" s="347">
        <f t="shared" si="3"/>
        <v>220820.80000000002</v>
      </c>
      <c r="F62" s="322">
        <v>15.8</v>
      </c>
      <c r="G62" s="347">
        <v>13976</v>
      </c>
      <c r="H62" s="347">
        <f t="shared" si="4"/>
        <v>220820.80000000002</v>
      </c>
      <c r="I62" s="348">
        <f t="shared" si="0"/>
        <v>0</v>
      </c>
      <c r="J62" s="349">
        <f t="shared" si="5"/>
        <v>0</v>
      </c>
      <c r="K62" s="347">
        <f t="shared" si="2"/>
        <v>0</v>
      </c>
      <c r="L62" s="301"/>
      <c r="M62" s="296"/>
    </row>
    <row r="63" spans="1:13" x14ac:dyDescent="0.25">
      <c r="A63" s="314" t="s">
        <v>555</v>
      </c>
      <c r="B63" s="315" t="s">
        <v>556</v>
      </c>
      <c r="C63" s="322">
        <v>8.01</v>
      </c>
      <c r="D63" s="347">
        <v>392</v>
      </c>
      <c r="E63" s="347">
        <f t="shared" si="3"/>
        <v>3139.92</v>
      </c>
      <c r="F63" s="322">
        <v>10.8</v>
      </c>
      <c r="G63" s="347">
        <v>392</v>
      </c>
      <c r="H63" s="347">
        <f t="shared" si="4"/>
        <v>4233.6000000000004</v>
      </c>
      <c r="I63" s="348">
        <f t="shared" si="0"/>
        <v>2.7900000000000009</v>
      </c>
      <c r="J63" s="349">
        <f t="shared" si="5"/>
        <v>34.83146067415732</v>
      </c>
      <c r="K63" s="347">
        <f t="shared" si="2"/>
        <v>1093.6800000000003</v>
      </c>
      <c r="L63" s="301"/>
      <c r="M63" s="296"/>
    </row>
    <row r="64" spans="1:13" x14ac:dyDescent="0.25">
      <c r="A64" s="314" t="s">
        <v>557</v>
      </c>
      <c r="B64" s="315" t="s">
        <v>558</v>
      </c>
      <c r="C64" s="322">
        <v>9.44</v>
      </c>
      <c r="D64" s="347">
        <v>499</v>
      </c>
      <c r="E64" s="347">
        <f t="shared" si="3"/>
        <v>4710.5599999999995</v>
      </c>
      <c r="F64" s="322">
        <v>12.02</v>
      </c>
      <c r="G64" s="347">
        <v>499</v>
      </c>
      <c r="H64" s="347">
        <f t="shared" si="4"/>
        <v>5997.98</v>
      </c>
      <c r="I64" s="348">
        <f t="shared" si="0"/>
        <v>2.58</v>
      </c>
      <c r="J64" s="349">
        <f t="shared" si="5"/>
        <v>27.330508474576273</v>
      </c>
      <c r="K64" s="347">
        <f t="shared" si="2"/>
        <v>1287.42</v>
      </c>
      <c r="L64" s="301"/>
      <c r="M64" s="296"/>
    </row>
    <row r="65" spans="1:13" x14ac:dyDescent="0.25">
      <c r="A65" s="314" t="s">
        <v>559</v>
      </c>
      <c r="B65" s="315" t="s">
        <v>560</v>
      </c>
      <c r="C65" s="322">
        <v>8.01</v>
      </c>
      <c r="D65" s="347">
        <v>4133</v>
      </c>
      <c r="E65" s="347">
        <f t="shared" si="3"/>
        <v>33105.33</v>
      </c>
      <c r="F65" s="322">
        <v>10.93</v>
      </c>
      <c r="G65" s="347">
        <v>4133</v>
      </c>
      <c r="H65" s="347">
        <f t="shared" si="4"/>
        <v>45173.69</v>
      </c>
      <c r="I65" s="348">
        <f t="shared" si="0"/>
        <v>2.92</v>
      </c>
      <c r="J65" s="349">
        <f t="shared" si="5"/>
        <v>36.454431960049938</v>
      </c>
      <c r="K65" s="347">
        <f t="shared" si="2"/>
        <v>12068.36</v>
      </c>
      <c r="L65" s="301"/>
      <c r="M65" s="296"/>
    </row>
    <row r="66" spans="1:13" x14ac:dyDescent="0.25">
      <c r="A66" s="314" t="s">
        <v>561</v>
      </c>
      <c r="B66" s="315" t="s">
        <v>562</v>
      </c>
      <c r="C66" s="322">
        <v>9.02</v>
      </c>
      <c r="D66" s="347">
        <v>28260</v>
      </c>
      <c r="E66" s="347">
        <f t="shared" si="3"/>
        <v>254905.19999999998</v>
      </c>
      <c r="F66" s="322">
        <v>11.97</v>
      </c>
      <c r="G66" s="347">
        <v>28260</v>
      </c>
      <c r="H66" s="347">
        <f t="shared" si="4"/>
        <v>338272.2</v>
      </c>
      <c r="I66" s="348">
        <f t="shared" si="0"/>
        <v>2.9500000000000011</v>
      </c>
      <c r="J66" s="349">
        <f t="shared" si="5"/>
        <v>32.705099778270522</v>
      </c>
      <c r="K66" s="347">
        <f t="shared" si="2"/>
        <v>83367.000000000029</v>
      </c>
      <c r="L66" s="301"/>
      <c r="M66" s="296"/>
    </row>
    <row r="67" spans="1:13" x14ac:dyDescent="0.25">
      <c r="A67" s="314" t="s">
        <v>563</v>
      </c>
      <c r="B67" s="315" t="s">
        <v>564</v>
      </c>
      <c r="C67" s="322">
        <v>8.5299999999999994</v>
      </c>
      <c r="D67" s="347">
        <v>15241</v>
      </c>
      <c r="E67" s="347">
        <f t="shared" si="3"/>
        <v>130005.73</v>
      </c>
      <c r="F67" s="322">
        <v>13.14</v>
      </c>
      <c r="G67" s="347">
        <v>15241</v>
      </c>
      <c r="H67" s="347">
        <f t="shared" si="4"/>
        <v>200266.74000000002</v>
      </c>
      <c r="I67" s="348">
        <f t="shared" si="0"/>
        <v>4.6100000000000012</v>
      </c>
      <c r="J67" s="349">
        <f t="shared" si="5"/>
        <v>54.044548651817131</v>
      </c>
      <c r="K67" s="347">
        <f t="shared" si="2"/>
        <v>70261.010000000024</v>
      </c>
      <c r="L67" s="301"/>
      <c r="M67" s="296"/>
    </row>
    <row r="68" spans="1:13" x14ac:dyDescent="0.25">
      <c r="A68" s="314" t="s">
        <v>565</v>
      </c>
      <c r="B68" s="315" t="s">
        <v>566</v>
      </c>
      <c r="C68" s="322">
        <v>8.870000000000001</v>
      </c>
      <c r="D68" s="347">
        <v>30570</v>
      </c>
      <c r="E68" s="347">
        <f t="shared" si="3"/>
        <v>271155.90000000002</v>
      </c>
      <c r="F68" s="322">
        <v>13.14</v>
      </c>
      <c r="G68" s="347">
        <v>30570</v>
      </c>
      <c r="H68" s="347">
        <f t="shared" si="4"/>
        <v>401689.8</v>
      </c>
      <c r="I68" s="348">
        <f t="shared" si="0"/>
        <v>4.2699999999999996</v>
      </c>
      <c r="J68" s="349">
        <f t="shared" si="5"/>
        <v>48.139797068771124</v>
      </c>
      <c r="K68" s="347">
        <f t="shared" si="2"/>
        <v>130533.89999999997</v>
      </c>
      <c r="L68" s="301"/>
      <c r="M68" s="296"/>
    </row>
    <row r="69" spans="1:13" ht="24" x14ac:dyDescent="0.25">
      <c r="A69" s="314" t="s">
        <v>567</v>
      </c>
      <c r="B69" s="315" t="s">
        <v>568</v>
      </c>
      <c r="C69" s="322">
        <v>10.15</v>
      </c>
      <c r="D69" s="347">
        <v>10591</v>
      </c>
      <c r="E69" s="347">
        <f t="shared" si="3"/>
        <v>107498.65000000001</v>
      </c>
      <c r="F69" s="322">
        <v>14.83</v>
      </c>
      <c r="G69" s="347">
        <v>10591</v>
      </c>
      <c r="H69" s="347">
        <f t="shared" si="4"/>
        <v>157064.53</v>
      </c>
      <c r="I69" s="348">
        <f t="shared" ref="I69:I132" si="6">F69-C69</f>
        <v>4.68</v>
      </c>
      <c r="J69" s="349">
        <f t="shared" si="5"/>
        <v>46.108374384236448</v>
      </c>
      <c r="K69" s="347">
        <f t="shared" ref="K69:K132" si="7">H69-E69</f>
        <v>49565.87999999999</v>
      </c>
      <c r="L69" s="301"/>
      <c r="M69" s="296"/>
    </row>
    <row r="70" spans="1:13" ht="24" x14ac:dyDescent="0.25">
      <c r="A70" s="314" t="s">
        <v>569</v>
      </c>
      <c r="B70" s="315" t="s">
        <v>570</v>
      </c>
      <c r="C70" s="322">
        <v>11.54</v>
      </c>
      <c r="D70" s="347">
        <v>12428</v>
      </c>
      <c r="E70" s="347">
        <f t="shared" ref="E70:E133" si="8">C70*D70</f>
        <v>143419.12</v>
      </c>
      <c r="F70" s="322">
        <v>15.92</v>
      </c>
      <c r="G70" s="347">
        <v>12428</v>
      </c>
      <c r="H70" s="347">
        <f t="shared" ref="H70:H133" si="9">F70*G70</f>
        <v>197853.76</v>
      </c>
      <c r="I70" s="348">
        <f t="shared" si="6"/>
        <v>4.3800000000000008</v>
      </c>
      <c r="J70" s="349">
        <f t="shared" si="5"/>
        <v>37.954939341421152</v>
      </c>
      <c r="K70" s="347">
        <f t="shared" si="7"/>
        <v>54434.640000000014</v>
      </c>
      <c r="L70" s="301"/>
      <c r="M70" s="296"/>
    </row>
    <row r="71" spans="1:13" ht="24" x14ac:dyDescent="0.25">
      <c r="A71" s="314" t="s">
        <v>571</v>
      </c>
      <c r="B71" s="315" t="s">
        <v>572</v>
      </c>
      <c r="C71" s="322">
        <v>14.129999999999999</v>
      </c>
      <c r="D71" s="347">
        <v>19153</v>
      </c>
      <c r="E71" s="347">
        <f t="shared" si="8"/>
        <v>270631.88999999996</v>
      </c>
      <c r="F71" s="322">
        <v>19.510000000000002</v>
      </c>
      <c r="G71" s="347">
        <v>19153</v>
      </c>
      <c r="H71" s="347">
        <f t="shared" si="9"/>
        <v>373675.03</v>
      </c>
      <c r="I71" s="348">
        <f t="shared" si="6"/>
        <v>5.3800000000000026</v>
      </c>
      <c r="J71" s="349">
        <f t="shared" si="5"/>
        <v>38.075017692852107</v>
      </c>
      <c r="K71" s="347">
        <f t="shared" si="7"/>
        <v>103043.14000000007</v>
      </c>
      <c r="L71" s="301"/>
      <c r="M71" s="296"/>
    </row>
    <row r="72" spans="1:13" ht="24" x14ac:dyDescent="0.25">
      <c r="A72" s="314" t="s">
        <v>573</v>
      </c>
      <c r="B72" s="315" t="s">
        <v>574</v>
      </c>
      <c r="C72" s="322">
        <v>15.89</v>
      </c>
      <c r="D72" s="347">
        <v>4091</v>
      </c>
      <c r="E72" s="347">
        <f t="shared" si="8"/>
        <v>65005.990000000005</v>
      </c>
      <c r="F72" s="322">
        <v>21.91</v>
      </c>
      <c r="G72" s="347">
        <v>4091</v>
      </c>
      <c r="H72" s="347">
        <f t="shared" si="9"/>
        <v>89633.81</v>
      </c>
      <c r="I72" s="348">
        <f t="shared" si="6"/>
        <v>6.02</v>
      </c>
      <c r="J72" s="349">
        <f t="shared" si="5"/>
        <v>37.885462555066077</v>
      </c>
      <c r="K72" s="347">
        <f t="shared" si="7"/>
        <v>24627.819999999992</v>
      </c>
      <c r="L72" s="301"/>
      <c r="M72" s="296"/>
    </row>
    <row r="73" spans="1:13" ht="24" x14ac:dyDescent="0.25">
      <c r="A73" s="314" t="s">
        <v>575</v>
      </c>
      <c r="B73" s="315" t="s">
        <v>576</v>
      </c>
      <c r="C73" s="322">
        <v>18.88</v>
      </c>
      <c r="D73" s="347">
        <v>1361</v>
      </c>
      <c r="E73" s="347">
        <f t="shared" si="8"/>
        <v>25695.68</v>
      </c>
      <c r="F73" s="322">
        <v>25.7</v>
      </c>
      <c r="G73" s="347">
        <v>1361</v>
      </c>
      <c r="H73" s="347">
        <f t="shared" si="9"/>
        <v>34977.699999999997</v>
      </c>
      <c r="I73" s="348">
        <f t="shared" si="6"/>
        <v>6.82</v>
      </c>
      <c r="J73" s="349">
        <f t="shared" si="5"/>
        <v>36.122881355932208</v>
      </c>
      <c r="K73" s="347">
        <f t="shared" si="7"/>
        <v>9282.0199999999968</v>
      </c>
      <c r="L73" s="301"/>
      <c r="M73" s="296"/>
    </row>
    <row r="74" spans="1:13" x14ac:dyDescent="0.25">
      <c r="A74" s="318" t="s">
        <v>577</v>
      </c>
      <c r="B74" s="319" t="s">
        <v>578</v>
      </c>
      <c r="C74" s="322">
        <v>1.59</v>
      </c>
      <c r="D74" s="347">
        <v>9707</v>
      </c>
      <c r="E74" s="347">
        <f t="shared" si="8"/>
        <v>15434.130000000001</v>
      </c>
      <c r="F74" s="322">
        <v>1.59</v>
      </c>
      <c r="G74" s="347">
        <v>9707</v>
      </c>
      <c r="H74" s="347">
        <f t="shared" si="9"/>
        <v>15434.130000000001</v>
      </c>
      <c r="I74" s="348">
        <f t="shared" si="6"/>
        <v>0</v>
      </c>
      <c r="J74" s="349">
        <f t="shared" si="5"/>
        <v>0</v>
      </c>
      <c r="K74" s="347">
        <f t="shared" si="7"/>
        <v>0</v>
      </c>
      <c r="L74" s="301"/>
      <c r="M74" s="296"/>
    </row>
    <row r="75" spans="1:13" x14ac:dyDescent="0.25">
      <c r="A75" s="314" t="s">
        <v>579</v>
      </c>
      <c r="B75" s="315" t="s">
        <v>580</v>
      </c>
      <c r="C75" s="322">
        <v>6.8000000000000007</v>
      </c>
      <c r="D75" s="347">
        <v>16709</v>
      </c>
      <c r="E75" s="347">
        <f t="shared" si="8"/>
        <v>113621.20000000001</v>
      </c>
      <c r="F75" s="322">
        <v>9.7200000000000006</v>
      </c>
      <c r="G75" s="347">
        <v>16709</v>
      </c>
      <c r="H75" s="347">
        <f t="shared" si="9"/>
        <v>162411.48000000001</v>
      </c>
      <c r="I75" s="348">
        <f t="shared" si="6"/>
        <v>2.92</v>
      </c>
      <c r="J75" s="349">
        <f t="shared" si="5"/>
        <v>42.941176470588232</v>
      </c>
      <c r="K75" s="347">
        <f t="shared" si="7"/>
        <v>48790.28</v>
      </c>
      <c r="L75" s="301"/>
      <c r="M75" s="296"/>
    </row>
    <row r="76" spans="1:13" ht="24" x14ac:dyDescent="0.25">
      <c r="A76" s="314" t="s">
        <v>581</v>
      </c>
      <c r="B76" s="315" t="s">
        <v>582</v>
      </c>
      <c r="C76" s="322">
        <v>4.18</v>
      </c>
      <c r="D76" s="347">
        <f xml:space="preserve"> 12288 + 1990</f>
        <v>14278</v>
      </c>
      <c r="E76" s="347">
        <f t="shared" si="8"/>
        <v>59682.039999999994</v>
      </c>
      <c r="F76" s="322">
        <v>6.17</v>
      </c>
      <c r="G76" s="347">
        <f xml:space="preserve"> 12288 + 1990</f>
        <v>14278</v>
      </c>
      <c r="H76" s="347">
        <f t="shared" si="9"/>
        <v>88095.26</v>
      </c>
      <c r="I76" s="348">
        <f t="shared" si="6"/>
        <v>1.9900000000000002</v>
      </c>
      <c r="J76" s="349">
        <f t="shared" si="5"/>
        <v>47.607655502392355</v>
      </c>
      <c r="K76" s="347">
        <f t="shared" si="7"/>
        <v>28413.22</v>
      </c>
      <c r="L76" s="301"/>
      <c r="M76" s="296"/>
    </row>
    <row r="77" spans="1:13" x14ac:dyDescent="0.25">
      <c r="A77" s="314" t="s">
        <v>583</v>
      </c>
      <c r="B77" s="315" t="s">
        <v>584</v>
      </c>
      <c r="C77" s="322">
        <v>3.87</v>
      </c>
      <c r="D77" s="347">
        <f xml:space="preserve"> 11649 + 1459</f>
        <v>13108</v>
      </c>
      <c r="E77" s="347">
        <f t="shared" si="8"/>
        <v>50727.96</v>
      </c>
      <c r="F77" s="322">
        <v>5.35</v>
      </c>
      <c r="G77" s="347">
        <f xml:space="preserve"> 11649 + 1459</f>
        <v>13108</v>
      </c>
      <c r="H77" s="347">
        <f t="shared" si="9"/>
        <v>70127.799999999988</v>
      </c>
      <c r="I77" s="348">
        <f t="shared" si="6"/>
        <v>1.4799999999999995</v>
      </c>
      <c r="J77" s="349">
        <f t="shared" si="5"/>
        <v>38.242894056847533</v>
      </c>
      <c r="K77" s="347">
        <f t="shared" si="7"/>
        <v>19399.839999999989</v>
      </c>
      <c r="L77" s="301"/>
      <c r="M77" s="296"/>
    </row>
    <row r="78" spans="1:13" ht="24" x14ac:dyDescent="0.25">
      <c r="A78" s="314" t="s">
        <v>585</v>
      </c>
      <c r="B78" s="315" t="s">
        <v>586</v>
      </c>
      <c r="C78" s="322">
        <v>8.2999999999999989</v>
      </c>
      <c r="D78" s="347">
        <v>195</v>
      </c>
      <c r="E78" s="347">
        <f t="shared" si="8"/>
        <v>1618.4999999999998</v>
      </c>
      <c r="F78" s="322">
        <v>14.76</v>
      </c>
      <c r="G78" s="347">
        <v>195</v>
      </c>
      <c r="H78" s="347">
        <f t="shared" si="9"/>
        <v>2878.2</v>
      </c>
      <c r="I78" s="348">
        <f t="shared" si="6"/>
        <v>6.4600000000000009</v>
      </c>
      <c r="J78" s="349">
        <f t="shared" si="5"/>
        <v>77.831325301204842</v>
      </c>
      <c r="K78" s="347">
        <f t="shared" si="7"/>
        <v>1259.7</v>
      </c>
      <c r="L78" s="301"/>
      <c r="M78" s="296"/>
    </row>
    <row r="79" spans="1:13" ht="24" x14ac:dyDescent="0.25">
      <c r="A79" s="314" t="s">
        <v>587</v>
      </c>
      <c r="B79" s="315" t="s">
        <v>588</v>
      </c>
      <c r="C79" s="322">
        <v>4.18</v>
      </c>
      <c r="D79" s="347">
        <v>86</v>
      </c>
      <c r="E79" s="347">
        <f t="shared" si="8"/>
        <v>359.47999999999996</v>
      </c>
      <c r="F79" s="322">
        <v>8.9700000000000006</v>
      </c>
      <c r="G79" s="347">
        <v>86</v>
      </c>
      <c r="H79" s="347">
        <f t="shared" si="9"/>
        <v>771.42000000000007</v>
      </c>
      <c r="I79" s="348">
        <f t="shared" si="6"/>
        <v>4.7900000000000009</v>
      </c>
      <c r="J79" s="349">
        <f t="shared" si="5"/>
        <v>114.59330143540673</v>
      </c>
      <c r="K79" s="347">
        <f t="shared" si="7"/>
        <v>411.94000000000011</v>
      </c>
      <c r="L79" s="301"/>
      <c r="M79" s="296"/>
    </row>
    <row r="80" spans="1:13" ht="24" x14ac:dyDescent="0.25">
      <c r="A80" s="314" t="s">
        <v>589</v>
      </c>
      <c r="B80" s="315" t="s">
        <v>590</v>
      </c>
      <c r="C80" s="322">
        <v>7.45</v>
      </c>
      <c r="D80" s="347">
        <v>437</v>
      </c>
      <c r="E80" s="347">
        <f t="shared" si="8"/>
        <v>3255.65</v>
      </c>
      <c r="F80" s="322">
        <v>12.81</v>
      </c>
      <c r="G80" s="347">
        <v>437</v>
      </c>
      <c r="H80" s="347">
        <f t="shared" si="9"/>
        <v>5597.97</v>
      </c>
      <c r="I80" s="348">
        <f t="shared" si="6"/>
        <v>5.36</v>
      </c>
      <c r="J80" s="349">
        <f t="shared" si="5"/>
        <v>71.946308724832207</v>
      </c>
      <c r="K80" s="347">
        <f t="shared" si="7"/>
        <v>2342.3200000000002</v>
      </c>
      <c r="L80" s="301"/>
      <c r="M80" s="296"/>
    </row>
    <row r="81" spans="1:13" ht="24" x14ac:dyDescent="0.25">
      <c r="A81" s="314" t="s">
        <v>591</v>
      </c>
      <c r="B81" s="315" t="s">
        <v>592</v>
      </c>
      <c r="C81" s="322">
        <v>7.06</v>
      </c>
      <c r="D81" s="347">
        <f xml:space="preserve"> 7372 + 300</f>
        <v>7672</v>
      </c>
      <c r="E81" s="347">
        <f t="shared" si="8"/>
        <v>54164.32</v>
      </c>
      <c r="F81" s="322">
        <v>11.6</v>
      </c>
      <c r="G81" s="347">
        <f xml:space="preserve"> 7372 + 300</f>
        <v>7672</v>
      </c>
      <c r="H81" s="347">
        <f t="shared" si="9"/>
        <v>88995.199999999997</v>
      </c>
      <c r="I81" s="348">
        <f t="shared" si="6"/>
        <v>4.54</v>
      </c>
      <c r="J81" s="349">
        <f t="shared" si="5"/>
        <v>64.305949008498587</v>
      </c>
      <c r="K81" s="347">
        <f t="shared" si="7"/>
        <v>34830.879999999997</v>
      </c>
      <c r="L81" s="301"/>
      <c r="M81" s="296"/>
    </row>
    <row r="82" spans="1:13" x14ac:dyDescent="0.25">
      <c r="A82" s="314" t="s">
        <v>593</v>
      </c>
      <c r="B82" s="315" t="s">
        <v>594</v>
      </c>
      <c r="C82" s="322">
        <v>8.3899999999999988</v>
      </c>
      <c r="D82" s="347">
        <v>50</v>
      </c>
      <c r="E82" s="347">
        <f t="shared" si="8"/>
        <v>419.49999999999994</v>
      </c>
      <c r="F82" s="322">
        <v>18.03</v>
      </c>
      <c r="G82" s="347">
        <v>50</v>
      </c>
      <c r="H82" s="347">
        <f t="shared" si="9"/>
        <v>901.5</v>
      </c>
      <c r="I82" s="348">
        <f t="shared" si="6"/>
        <v>9.6400000000000023</v>
      </c>
      <c r="J82" s="349">
        <f t="shared" si="5"/>
        <v>114.89868891537549</v>
      </c>
      <c r="K82" s="347">
        <f t="shared" si="7"/>
        <v>482.00000000000006</v>
      </c>
      <c r="L82" s="301"/>
      <c r="M82" s="296"/>
    </row>
    <row r="83" spans="1:13" x14ac:dyDescent="0.25">
      <c r="A83" s="314" t="s">
        <v>595</v>
      </c>
      <c r="B83" s="315" t="s">
        <v>596</v>
      </c>
      <c r="C83" s="322">
        <v>11.059999999999999</v>
      </c>
      <c r="D83" s="347">
        <v>36</v>
      </c>
      <c r="E83" s="347">
        <f t="shared" si="8"/>
        <v>398.15999999999997</v>
      </c>
      <c r="F83" s="322">
        <v>25.88</v>
      </c>
      <c r="G83" s="347">
        <v>36</v>
      </c>
      <c r="H83" s="347">
        <f t="shared" si="9"/>
        <v>931.68</v>
      </c>
      <c r="I83" s="348">
        <f t="shared" si="6"/>
        <v>14.82</v>
      </c>
      <c r="J83" s="349">
        <f t="shared" si="5"/>
        <v>133.99638336347198</v>
      </c>
      <c r="K83" s="347">
        <f t="shared" si="7"/>
        <v>533.52</v>
      </c>
      <c r="L83" s="301"/>
      <c r="M83" s="296"/>
    </row>
    <row r="84" spans="1:13" x14ac:dyDescent="0.25">
      <c r="A84" s="314" t="s">
        <v>597</v>
      </c>
      <c r="B84" s="315" t="s">
        <v>598</v>
      </c>
      <c r="C84" s="322">
        <v>11.559999999999999</v>
      </c>
      <c r="D84" s="347">
        <v>113</v>
      </c>
      <c r="E84" s="347">
        <f t="shared" si="8"/>
        <v>1306.2799999999997</v>
      </c>
      <c r="F84" s="322">
        <v>31.47</v>
      </c>
      <c r="G84" s="347">
        <v>113</v>
      </c>
      <c r="H84" s="347">
        <f t="shared" si="9"/>
        <v>3556.1099999999997</v>
      </c>
      <c r="I84" s="348">
        <f t="shared" si="6"/>
        <v>19.91</v>
      </c>
      <c r="J84" s="349">
        <f t="shared" si="5"/>
        <v>172.23183391003462</v>
      </c>
      <c r="K84" s="347">
        <f t="shared" si="7"/>
        <v>2249.83</v>
      </c>
      <c r="L84" s="301"/>
      <c r="M84" s="296"/>
    </row>
    <row r="85" spans="1:13" ht="24" x14ac:dyDescent="0.25">
      <c r="A85" s="314" t="s">
        <v>599</v>
      </c>
      <c r="B85" s="315" t="s">
        <v>600</v>
      </c>
      <c r="C85" s="322">
        <v>3.6900000000000004</v>
      </c>
      <c r="D85" s="347">
        <v>9</v>
      </c>
      <c r="E85" s="347">
        <f t="shared" si="8"/>
        <v>33.21</v>
      </c>
      <c r="F85" s="322">
        <v>10.19</v>
      </c>
      <c r="G85" s="347">
        <v>9</v>
      </c>
      <c r="H85" s="347">
        <f t="shared" si="9"/>
        <v>91.71</v>
      </c>
      <c r="I85" s="348">
        <f t="shared" si="6"/>
        <v>6.4999999999999991</v>
      </c>
      <c r="J85" s="349">
        <f t="shared" si="5"/>
        <v>176.15176151761511</v>
      </c>
      <c r="K85" s="347">
        <f t="shared" si="7"/>
        <v>58.499999999999993</v>
      </c>
      <c r="L85" s="301"/>
      <c r="M85" s="296"/>
    </row>
    <row r="86" spans="1:13" ht="24" x14ac:dyDescent="0.25">
      <c r="A86" s="314" t="s">
        <v>601</v>
      </c>
      <c r="B86" s="315" t="s">
        <v>602</v>
      </c>
      <c r="C86" s="322">
        <v>6.11</v>
      </c>
      <c r="D86" s="347">
        <v>59</v>
      </c>
      <c r="E86" s="347">
        <f t="shared" si="8"/>
        <v>360.49</v>
      </c>
      <c r="F86" s="322">
        <v>11.8</v>
      </c>
      <c r="G86" s="347">
        <v>59</v>
      </c>
      <c r="H86" s="347">
        <f t="shared" si="9"/>
        <v>696.2</v>
      </c>
      <c r="I86" s="348">
        <f t="shared" si="6"/>
        <v>5.69</v>
      </c>
      <c r="J86" s="349">
        <f t="shared" si="5"/>
        <v>93.126022913256946</v>
      </c>
      <c r="K86" s="347">
        <f t="shared" si="7"/>
        <v>335.71000000000004</v>
      </c>
      <c r="L86" s="301"/>
      <c r="M86" s="296"/>
    </row>
    <row r="87" spans="1:13" ht="24" x14ac:dyDescent="0.25">
      <c r="A87" s="314" t="s">
        <v>603</v>
      </c>
      <c r="B87" s="315" t="s">
        <v>604</v>
      </c>
      <c r="C87" s="322">
        <v>8.77</v>
      </c>
      <c r="D87" s="347">
        <v>18</v>
      </c>
      <c r="E87" s="347">
        <f t="shared" si="8"/>
        <v>157.85999999999999</v>
      </c>
      <c r="F87" s="322">
        <v>16.38</v>
      </c>
      <c r="G87" s="347">
        <v>18</v>
      </c>
      <c r="H87" s="347">
        <f t="shared" si="9"/>
        <v>294.83999999999997</v>
      </c>
      <c r="I87" s="348">
        <f t="shared" si="6"/>
        <v>7.6099999999999994</v>
      </c>
      <c r="J87" s="349">
        <f t="shared" si="5"/>
        <v>86.773090079817564</v>
      </c>
      <c r="K87" s="347">
        <f t="shared" si="7"/>
        <v>136.97999999999999</v>
      </c>
      <c r="L87" s="301"/>
      <c r="M87" s="296"/>
    </row>
    <row r="88" spans="1:13" ht="24" x14ac:dyDescent="0.25">
      <c r="A88" s="314" t="s">
        <v>605</v>
      </c>
      <c r="B88" s="315" t="s">
        <v>606</v>
      </c>
      <c r="C88" s="322">
        <v>8.14</v>
      </c>
      <c r="D88" s="347">
        <v>123</v>
      </c>
      <c r="E88" s="347">
        <f t="shared" si="8"/>
        <v>1001.22</v>
      </c>
      <c r="F88" s="322">
        <v>17.11</v>
      </c>
      <c r="G88" s="347">
        <v>123</v>
      </c>
      <c r="H88" s="347">
        <f t="shared" si="9"/>
        <v>2104.5299999999997</v>
      </c>
      <c r="I88" s="348">
        <f t="shared" si="6"/>
        <v>8.9699999999999989</v>
      </c>
      <c r="J88" s="349">
        <f t="shared" si="5"/>
        <v>110.19656019656017</v>
      </c>
      <c r="K88" s="347">
        <f t="shared" si="7"/>
        <v>1103.3099999999997</v>
      </c>
      <c r="L88" s="301"/>
      <c r="M88" s="296"/>
    </row>
    <row r="89" spans="1:13" ht="24" x14ac:dyDescent="0.25">
      <c r="A89" s="314" t="s">
        <v>607</v>
      </c>
      <c r="B89" s="315" t="s">
        <v>608</v>
      </c>
      <c r="C89" s="322">
        <v>3.6900000000000004</v>
      </c>
      <c r="D89" s="347">
        <v>4</v>
      </c>
      <c r="E89" s="347">
        <f t="shared" si="8"/>
        <v>14.760000000000002</v>
      </c>
      <c r="F89" s="322">
        <v>6.7</v>
      </c>
      <c r="G89" s="347">
        <v>4</v>
      </c>
      <c r="H89" s="347">
        <f t="shared" si="9"/>
        <v>26.8</v>
      </c>
      <c r="I89" s="348">
        <f t="shared" si="6"/>
        <v>3.01</v>
      </c>
      <c r="J89" s="349">
        <f t="shared" si="5"/>
        <v>81.571815718157168</v>
      </c>
      <c r="K89" s="347">
        <f t="shared" si="7"/>
        <v>12.04</v>
      </c>
      <c r="L89" s="301"/>
      <c r="M89" s="296"/>
    </row>
    <row r="90" spans="1:13" ht="24" x14ac:dyDescent="0.25">
      <c r="A90" s="314" t="s">
        <v>609</v>
      </c>
      <c r="B90" s="315" t="s">
        <v>610</v>
      </c>
      <c r="C90" s="322">
        <v>6.97</v>
      </c>
      <c r="D90" s="347">
        <v>2702</v>
      </c>
      <c r="E90" s="347">
        <f t="shared" si="8"/>
        <v>18832.939999999999</v>
      </c>
      <c r="F90" s="322">
        <v>12.9</v>
      </c>
      <c r="G90" s="347">
        <v>2702</v>
      </c>
      <c r="H90" s="347">
        <f t="shared" si="9"/>
        <v>34855.800000000003</v>
      </c>
      <c r="I90" s="348">
        <f t="shared" si="6"/>
        <v>5.9300000000000006</v>
      </c>
      <c r="J90" s="349">
        <f t="shared" si="5"/>
        <v>85.078909612625552</v>
      </c>
      <c r="K90" s="347">
        <f t="shared" si="7"/>
        <v>16022.860000000004</v>
      </c>
      <c r="L90" s="301"/>
      <c r="M90" s="296"/>
    </row>
    <row r="91" spans="1:13" ht="24" x14ac:dyDescent="0.25">
      <c r="A91" s="314" t="s">
        <v>611</v>
      </c>
      <c r="B91" s="315" t="s">
        <v>612</v>
      </c>
      <c r="C91" s="322">
        <v>8.44</v>
      </c>
      <c r="D91" s="347">
        <v>3651</v>
      </c>
      <c r="E91" s="347">
        <f t="shared" si="8"/>
        <v>30814.44</v>
      </c>
      <c r="F91" s="322">
        <v>16.25</v>
      </c>
      <c r="G91" s="347">
        <v>3651</v>
      </c>
      <c r="H91" s="347">
        <f t="shared" si="9"/>
        <v>59328.75</v>
      </c>
      <c r="I91" s="348">
        <f t="shared" si="6"/>
        <v>7.8100000000000005</v>
      </c>
      <c r="J91" s="349">
        <f t="shared" si="5"/>
        <v>92.535545023696685</v>
      </c>
      <c r="K91" s="347">
        <f t="shared" si="7"/>
        <v>28514.31</v>
      </c>
      <c r="L91" s="301"/>
      <c r="M91" s="296"/>
    </row>
    <row r="92" spans="1:13" ht="24" x14ac:dyDescent="0.25">
      <c r="A92" s="314" t="s">
        <v>613</v>
      </c>
      <c r="B92" s="315" t="s">
        <v>614</v>
      </c>
      <c r="C92" s="322">
        <v>10.82</v>
      </c>
      <c r="D92" s="347">
        <v>1593</v>
      </c>
      <c r="E92" s="347">
        <f t="shared" si="8"/>
        <v>17236.260000000002</v>
      </c>
      <c r="F92" s="322">
        <v>22.69</v>
      </c>
      <c r="G92" s="347">
        <v>1593</v>
      </c>
      <c r="H92" s="347">
        <f t="shared" si="9"/>
        <v>36145.170000000006</v>
      </c>
      <c r="I92" s="348">
        <f t="shared" si="6"/>
        <v>11.870000000000001</v>
      </c>
      <c r="J92" s="349">
        <f t="shared" si="5"/>
        <v>109.70425138632163</v>
      </c>
      <c r="K92" s="347">
        <f t="shared" si="7"/>
        <v>18908.910000000003</v>
      </c>
      <c r="L92" s="301"/>
      <c r="M92" s="296"/>
    </row>
    <row r="93" spans="1:13" ht="24" x14ac:dyDescent="0.25">
      <c r="A93" s="314" t="s">
        <v>615</v>
      </c>
      <c r="B93" s="315" t="s">
        <v>616</v>
      </c>
      <c r="C93" s="322">
        <v>13.48</v>
      </c>
      <c r="D93" s="347">
        <v>5196</v>
      </c>
      <c r="E93" s="347">
        <f t="shared" si="8"/>
        <v>70042.080000000002</v>
      </c>
      <c r="F93" s="322">
        <v>28.19</v>
      </c>
      <c r="G93" s="347">
        <v>5196</v>
      </c>
      <c r="H93" s="347">
        <f t="shared" si="9"/>
        <v>146475.24000000002</v>
      </c>
      <c r="I93" s="348">
        <f t="shared" si="6"/>
        <v>14.71</v>
      </c>
      <c r="J93" s="349">
        <f t="shared" si="5"/>
        <v>109.12462908011869</v>
      </c>
      <c r="K93" s="347">
        <f t="shared" si="7"/>
        <v>76433.160000000018</v>
      </c>
      <c r="L93" s="301"/>
      <c r="M93" s="296"/>
    </row>
    <row r="94" spans="1:13" ht="24" x14ac:dyDescent="0.25">
      <c r="A94" s="314" t="s">
        <v>617</v>
      </c>
      <c r="B94" s="315" t="s">
        <v>618</v>
      </c>
      <c r="C94" s="322">
        <v>3.6900000000000004</v>
      </c>
      <c r="D94" s="347">
        <v>279</v>
      </c>
      <c r="E94" s="347">
        <f t="shared" si="8"/>
        <v>1029.5100000000002</v>
      </c>
      <c r="F94" s="322">
        <v>8.4499999999999993</v>
      </c>
      <c r="G94" s="347">
        <v>279</v>
      </c>
      <c r="H94" s="347">
        <f t="shared" si="9"/>
        <v>2357.5499999999997</v>
      </c>
      <c r="I94" s="348">
        <f t="shared" si="6"/>
        <v>4.7599999999999989</v>
      </c>
      <c r="J94" s="349">
        <f t="shared" si="5"/>
        <v>128.99728997289969</v>
      </c>
      <c r="K94" s="347">
        <f t="shared" si="7"/>
        <v>1328.0399999999995</v>
      </c>
      <c r="L94" s="301"/>
      <c r="M94" s="296"/>
    </row>
    <row r="95" spans="1:13" ht="24" x14ac:dyDescent="0.25">
      <c r="A95" s="314" t="s">
        <v>619</v>
      </c>
      <c r="B95" s="315" t="s">
        <v>620</v>
      </c>
      <c r="C95" s="322">
        <v>8.44</v>
      </c>
      <c r="D95" s="347">
        <v>709</v>
      </c>
      <c r="E95" s="347">
        <f t="shared" si="8"/>
        <v>5983.96</v>
      </c>
      <c r="F95" s="322">
        <v>16.25</v>
      </c>
      <c r="G95" s="347">
        <v>709</v>
      </c>
      <c r="H95" s="347">
        <f t="shared" si="9"/>
        <v>11521.25</v>
      </c>
      <c r="I95" s="348">
        <f t="shared" si="6"/>
        <v>7.8100000000000005</v>
      </c>
      <c r="J95" s="349">
        <f t="shared" si="5"/>
        <v>92.535545023696685</v>
      </c>
      <c r="K95" s="347">
        <f t="shared" si="7"/>
        <v>5537.29</v>
      </c>
      <c r="L95" s="301"/>
      <c r="M95" s="296"/>
    </row>
    <row r="96" spans="1:13" ht="24" x14ac:dyDescent="0.25">
      <c r="A96" s="314" t="s">
        <v>621</v>
      </c>
      <c r="B96" s="315" t="s">
        <v>622</v>
      </c>
      <c r="C96" s="322">
        <v>11.099999999999998</v>
      </c>
      <c r="D96" s="347">
        <v>219</v>
      </c>
      <c r="E96" s="347">
        <f t="shared" si="8"/>
        <v>2430.8999999999996</v>
      </c>
      <c r="F96" s="322">
        <v>23.15</v>
      </c>
      <c r="G96" s="347">
        <v>219</v>
      </c>
      <c r="H96" s="347">
        <f t="shared" si="9"/>
        <v>5069.8499999999995</v>
      </c>
      <c r="I96" s="348">
        <f t="shared" si="6"/>
        <v>12.05</v>
      </c>
      <c r="J96" s="349">
        <f t="shared" si="5"/>
        <v>108.55855855855857</v>
      </c>
      <c r="K96" s="347">
        <f t="shared" si="7"/>
        <v>2638.95</v>
      </c>
      <c r="L96" s="301"/>
      <c r="M96" s="296"/>
    </row>
    <row r="97" spans="1:13" ht="24" x14ac:dyDescent="0.25">
      <c r="A97" s="314" t="s">
        <v>623</v>
      </c>
      <c r="B97" s="315" t="s">
        <v>624</v>
      </c>
      <c r="C97" s="322">
        <v>12.650000000000002</v>
      </c>
      <c r="D97" s="347">
        <v>617</v>
      </c>
      <c r="E97" s="347">
        <f t="shared" si="8"/>
        <v>7805.0500000000011</v>
      </c>
      <c r="F97" s="322">
        <v>27.56</v>
      </c>
      <c r="G97" s="347">
        <v>617</v>
      </c>
      <c r="H97" s="347">
        <f t="shared" si="9"/>
        <v>17004.52</v>
      </c>
      <c r="I97" s="348">
        <f t="shared" si="6"/>
        <v>14.909999999999997</v>
      </c>
      <c r="J97" s="349">
        <f t="shared" si="5"/>
        <v>117.86561264822129</v>
      </c>
      <c r="K97" s="347">
        <f t="shared" si="7"/>
        <v>9199.4699999999993</v>
      </c>
      <c r="L97" s="301"/>
      <c r="M97" s="296"/>
    </row>
    <row r="98" spans="1:13" ht="24" x14ac:dyDescent="0.25">
      <c r="A98" s="314" t="s">
        <v>625</v>
      </c>
      <c r="B98" s="315" t="s">
        <v>626</v>
      </c>
      <c r="C98" s="322">
        <v>2.68</v>
      </c>
      <c r="D98" s="347">
        <v>54</v>
      </c>
      <c r="E98" s="347">
        <f t="shared" si="8"/>
        <v>144.72</v>
      </c>
      <c r="F98" s="322">
        <v>7.14</v>
      </c>
      <c r="G98" s="347">
        <v>54</v>
      </c>
      <c r="H98" s="347">
        <f t="shared" si="9"/>
        <v>385.56</v>
      </c>
      <c r="I98" s="348">
        <f t="shared" si="6"/>
        <v>4.4599999999999991</v>
      </c>
      <c r="J98" s="349">
        <f t="shared" si="5"/>
        <v>166.41791044776113</v>
      </c>
      <c r="K98" s="347">
        <f t="shared" si="7"/>
        <v>240.84</v>
      </c>
      <c r="L98" s="301"/>
      <c r="M98" s="296"/>
    </row>
    <row r="99" spans="1:13" ht="24" x14ac:dyDescent="0.25">
      <c r="A99" s="314" t="s">
        <v>627</v>
      </c>
      <c r="B99" s="315" t="s">
        <v>628</v>
      </c>
      <c r="C99" s="322">
        <v>5.7900000000000018</v>
      </c>
      <c r="D99" s="347">
        <v>5466</v>
      </c>
      <c r="E99" s="347">
        <f t="shared" si="8"/>
        <v>31648.14000000001</v>
      </c>
      <c r="F99" s="322">
        <v>13.55</v>
      </c>
      <c r="G99" s="347">
        <v>5466</v>
      </c>
      <c r="H99" s="347">
        <f t="shared" si="9"/>
        <v>74064.3</v>
      </c>
      <c r="I99" s="348">
        <f t="shared" si="6"/>
        <v>7.7599999999999989</v>
      </c>
      <c r="J99" s="349">
        <f t="shared" si="5"/>
        <v>134.02417962003449</v>
      </c>
      <c r="K99" s="347">
        <f t="shared" si="7"/>
        <v>42416.159999999989</v>
      </c>
      <c r="L99" s="301"/>
      <c r="M99" s="296"/>
    </row>
    <row r="100" spans="1:13" x14ac:dyDescent="0.25">
      <c r="A100" s="314" t="s">
        <v>629</v>
      </c>
      <c r="B100" s="315" t="s">
        <v>630</v>
      </c>
      <c r="C100" s="322">
        <v>4.6300000000000008</v>
      </c>
      <c r="D100" s="347">
        <v>4351</v>
      </c>
      <c r="E100" s="347">
        <f t="shared" si="8"/>
        <v>20145.130000000005</v>
      </c>
      <c r="F100" s="322">
        <v>5.57</v>
      </c>
      <c r="G100" s="347">
        <v>4351</v>
      </c>
      <c r="H100" s="347">
        <f t="shared" si="9"/>
        <v>24235.07</v>
      </c>
      <c r="I100" s="348">
        <f t="shared" si="6"/>
        <v>0.9399999999999995</v>
      </c>
      <c r="J100" s="349">
        <f t="shared" si="5"/>
        <v>20.302375809935189</v>
      </c>
      <c r="K100" s="347">
        <f t="shared" si="7"/>
        <v>4089.9399999999951</v>
      </c>
      <c r="L100" s="301"/>
      <c r="M100" s="296"/>
    </row>
    <row r="101" spans="1:13" ht="24" x14ac:dyDescent="0.25">
      <c r="A101" s="314" t="s">
        <v>631</v>
      </c>
      <c r="B101" s="315" t="s">
        <v>632</v>
      </c>
      <c r="C101" s="322">
        <v>7.3400000000000007</v>
      </c>
      <c r="D101" s="347">
        <v>2222</v>
      </c>
      <c r="E101" s="347">
        <f t="shared" si="8"/>
        <v>16309.480000000001</v>
      </c>
      <c r="F101" s="322">
        <v>18.5</v>
      </c>
      <c r="G101" s="347">
        <v>2222</v>
      </c>
      <c r="H101" s="347">
        <f t="shared" si="9"/>
        <v>41107</v>
      </c>
      <c r="I101" s="348">
        <f t="shared" si="6"/>
        <v>11.16</v>
      </c>
      <c r="J101" s="349">
        <f t="shared" si="5"/>
        <v>152.04359673024521</v>
      </c>
      <c r="K101" s="347">
        <f t="shared" si="7"/>
        <v>24797.519999999997</v>
      </c>
      <c r="L101" s="301"/>
      <c r="M101" s="296"/>
    </row>
    <row r="102" spans="1:13" x14ac:dyDescent="0.25">
      <c r="A102" s="314" t="s">
        <v>633</v>
      </c>
      <c r="B102" s="315" t="s">
        <v>634</v>
      </c>
      <c r="C102" s="322">
        <v>7.4300000000000006</v>
      </c>
      <c r="D102" s="347">
        <v>1822</v>
      </c>
      <c r="E102" s="347">
        <f t="shared" si="8"/>
        <v>13537.460000000001</v>
      </c>
      <c r="F102" s="322">
        <v>9.3800000000000008</v>
      </c>
      <c r="G102" s="347">
        <v>1822</v>
      </c>
      <c r="H102" s="347">
        <f t="shared" si="9"/>
        <v>17090.36</v>
      </c>
      <c r="I102" s="348">
        <f t="shared" si="6"/>
        <v>1.9500000000000002</v>
      </c>
      <c r="J102" s="349">
        <f t="shared" si="5"/>
        <v>26.244952893674295</v>
      </c>
      <c r="K102" s="347">
        <f t="shared" si="7"/>
        <v>3552.8999999999996</v>
      </c>
      <c r="L102" s="301"/>
      <c r="M102" s="296"/>
    </row>
    <row r="103" spans="1:13" x14ac:dyDescent="0.25">
      <c r="A103" s="314" t="s">
        <v>635</v>
      </c>
      <c r="B103" s="315" t="s">
        <v>636</v>
      </c>
      <c r="C103" s="322">
        <v>11.89</v>
      </c>
      <c r="D103" s="347">
        <v>9684</v>
      </c>
      <c r="E103" s="347">
        <f t="shared" si="8"/>
        <v>115142.76000000001</v>
      </c>
      <c r="F103" s="322">
        <v>23.86</v>
      </c>
      <c r="G103" s="347">
        <v>9684</v>
      </c>
      <c r="H103" s="347">
        <f t="shared" si="9"/>
        <v>231060.24</v>
      </c>
      <c r="I103" s="348">
        <f t="shared" si="6"/>
        <v>11.969999999999999</v>
      </c>
      <c r="J103" s="349">
        <f t="shared" si="5"/>
        <v>100.67283431455003</v>
      </c>
      <c r="K103" s="347">
        <f t="shared" si="7"/>
        <v>115917.47999999998</v>
      </c>
      <c r="L103" s="301"/>
      <c r="M103" s="296"/>
    </row>
    <row r="104" spans="1:13" x14ac:dyDescent="0.25">
      <c r="A104" s="314" t="s">
        <v>637</v>
      </c>
      <c r="B104" s="315" t="s">
        <v>638</v>
      </c>
      <c r="C104" s="322">
        <v>9.6900000000000013</v>
      </c>
      <c r="D104" s="347">
        <v>6060</v>
      </c>
      <c r="E104" s="347">
        <f t="shared" si="8"/>
        <v>58721.400000000009</v>
      </c>
      <c r="F104" s="322">
        <v>12.84</v>
      </c>
      <c r="G104" s="347">
        <v>6060</v>
      </c>
      <c r="H104" s="347">
        <f t="shared" si="9"/>
        <v>77810.399999999994</v>
      </c>
      <c r="I104" s="348">
        <f t="shared" si="6"/>
        <v>3.1499999999999986</v>
      </c>
      <c r="J104" s="349">
        <f t="shared" si="5"/>
        <v>32.507739938080476</v>
      </c>
      <c r="K104" s="347">
        <f t="shared" si="7"/>
        <v>19088.999999999985</v>
      </c>
      <c r="L104" s="301"/>
      <c r="M104" s="296"/>
    </row>
    <row r="105" spans="1:13" x14ac:dyDescent="0.25">
      <c r="A105" s="314" t="s">
        <v>639</v>
      </c>
      <c r="B105" s="315" t="s">
        <v>640</v>
      </c>
      <c r="C105" s="322">
        <v>4.08</v>
      </c>
      <c r="D105" s="347">
        <v>557</v>
      </c>
      <c r="E105" s="347">
        <f t="shared" si="8"/>
        <v>2272.56</v>
      </c>
      <c r="F105" s="322">
        <v>8.4499999999999993</v>
      </c>
      <c r="G105" s="347">
        <v>557</v>
      </c>
      <c r="H105" s="347">
        <f t="shared" si="9"/>
        <v>4706.6499999999996</v>
      </c>
      <c r="I105" s="348">
        <f t="shared" si="6"/>
        <v>4.3699999999999992</v>
      </c>
      <c r="J105" s="349">
        <f t="shared" si="5"/>
        <v>107.10784313725489</v>
      </c>
      <c r="K105" s="347">
        <f t="shared" si="7"/>
        <v>2434.0899999999997</v>
      </c>
      <c r="L105" s="301"/>
      <c r="M105" s="296"/>
    </row>
    <row r="106" spans="1:13" x14ac:dyDescent="0.25">
      <c r="A106" s="314" t="s">
        <v>641</v>
      </c>
      <c r="B106" s="315" t="s">
        <v>642</v>
      </c>
      <c r="C106" s="322">
        <v>3.81</v>
      </c>
      <c r="D106" s="347">
        <v>373</v>
      </c>
      <c r="E106" s="347">
        <f t="shared" si="8"/>
        <v>1421.13</v>
      </c>
      <c r="F106" s="322">
        <v>5.14</v>
      </c>
      <c r="G106" s="347">
        <v>373</v>
      </c>
      <c r="H106" s="347">
        <f t="shared" si="9"/>
        <v>1917.2199999999998</v>
      </c>
      <c r="I106" s="348">
        <f t="shared" si="6"/>
        <v>1.3299999999999996</v>
      </c>
      <c r="J106" s="349">
        <f t="shared" si="5"/>
        <v>34.908136482939625</v>
      </c>
      <c r="K106" s="347">
        <f t="shared" si="7"/>
        <v>496.08999999999969</v>
      </c>
      <c r="L106" s="301"/>
      <c r="M106" s="296"/>
    </row>
    <row r="107" spans="1:13" x14ac:dyDescent="0.25">
      <c r="A107" s="314" t="s">
        <v>643</v>
      </c>
      <c r="B107" s="315" t="s">
        <v>644</v>
      </c>
      <c r="C107" s="322">
        <v>9.7700000000000014</v>
      </c>
      <c r="D107" s="347">
        <v>81</v>
      </c>
      <c r="E107" s="347">
        <f t="shared" si="8"/>
        <v>791.37000000000012</v>
      </c>
      <c r="F107" s="322">
        <v>19.3</v>
      </c>
      <c r="G107" s="347">
        <v>81</v>
      </c>
      <c r="H107" s="347">
        <f t="shared" si="9"/>
        <v>1563.3</v>
      </c>
      <c r="I107" s="348">
        <f t="shared" si="6"/>
        <v>9.5299999999999994</v>
      </c>
      <c r="J107" s="349">
        <f t="shared" si="5"/>
        <v>97.543500511770702</v>
      </c>
      <c r="K107" s="347">
        <f t="shared" si="7"/>
        <v>771.92999999999984</v>
      </c>
      <c r="L107" s="301"/>
      <c r="M107" s="296"/>
    </row>
    <row r="108" spans="1:13" x14ac:dyDescent="0.25">
      <c r="A108" s="314" t="s">
        <v>645</v>
      </c>
      <c r="B108" s="315" t="s">
        <v>646</v>
      </c>
      <c r="C108" s="322">
        <v>11.37</v>
      </c>
      <c r="D108" s="347">
        <v>28</v>
      </c>
      <c r="E108" s="347">
        <f t="shared" si="8"/>
        <v>318.35999999999996</v>
      </c>
      <c r="F108" s="322">
        <v>24.24</v>
      </c>
      <c r="G108" s="347">
        <v>28</v>
      </c>
      <c r="H108" s="347">
        <f t="shared" si="9"/>
        <v>678.71999999999991</v>
      </c>
      <c r="I108" s="348">
        <f t="shared" si="6"/>
        <v>12.87</v>
      </c>
      <c r="J108" s="349">
        <f t="shared" si="5"/>
        <v>113.19261213720317</v>
      </c>
      <c r="K108" s="347">
        <f t="shared" si="7"/>
        <v>360.35999999999996</v>
      </c>
      <c r="L108" s="301"/>
      <c r="M108" s="296"/>
    </row>
    <row r="109" spans="1:13" x14ac:dyDescent="0.25">
      <c r="A109" s="314" t="s">
        <v>647</v>
      </c>
      <c r="B109" s="315" t="s">
        <v>648</v>
      </c>
      <c r="C109" s="322">
        <v>14.030000000000001</v>
      </c>
      <c r="D109" s="347">
        <v>123</v>
      </c>
      <c r="E109" s="347">
        <f t="shared" si="8"/>
        <v>1725.69</v>
      </c>
      <c r="F109" s="322">
        <v>30.99</v>
      </c>
      <c r="G109" s="347">
        <v>123</v>
      </c>
      <c r="H109" s="347">
        <f t="shared" si="9"/>
        <v>3811.77</v>
      </c>
      <c r="I109" s="348">
        <f t="shared" si="6"/>
        <v>16.959999999999997</v>
      </c>
      <c r="J109" s="349">
        <f t="shared" si="5"/>
        <v>120.8838203848895</v>
      </c>
      <c r="K109" s="347">
        <f t="shared" si="7"/>
        <v>2086.08</v>
      </c>
      <c r="L109" s="301"/>
      <c r="M109" s="296"/>
    </row>
    <row r="110" spans="1:13" x14ac:dyDescent="0.25">
      <c r="A110" s="314" t="s">
        <v>649</v>
      </c>
      <c r="B110" s="315" t="s">
        <v>650</v>
      </c>
      <c r="C110" s="322">
        <v>3.6900000000000004</v>
      </c>
      <c r="D110" s="347">
        <v>26</v>
      </c>
      <c r="E110" s="347">
        <f t="shared" si="8"/>
        <v>95.940000000000012</v>
      </c>
      <c r="F110" s="322">
        <v>7.64</v>
      </c>
      <c r="G110" s="347">
        <v>26</v>
      </c>
      <c r="H110" s="347">
        <f t="shared" si="9"/>
        <v>198.64</v>
      </c>
      <c r="I110" s="348">
        <f t="shared" si="6"/>
        <v>3.9499999999999993</v>
      </c>
      <c r="J110" s="349">
        <f t="shared" si="5"/>
        <v>107.04607046070458</v>
      </c>
      <c r="K110" s="347">
        <f t="shared" si="7"/>
        <v>102.69999999999997</v>
      </c>
      <c r="L110" s="301"/>
      <c r="M110" s="296"/>
    </row>
    <row r="111" spans="1:13" x14ac:dyDescent="0.25">
      <c r="A111" s="314" t="s">
        <v>651</v>
      </c>
      <c r="B111" s="315" t="s">
        <v>652</v>
      </c>
      <c r="C111" s="322">
        <v>7.4200000000000008</v>
      </c>
      <c r="D111" s="347">
        <v>79</v>
      </c>
      <c r="E111" s="347">
        <f t="shared" si="8"/>
        <v>586.18000000000006</v>
      </c>
      <c r="F111" s="322">
        <v>7.42</v>
      </c>
      <c r="G111" s="347">
        <v>79</v>
      </c>
      <c r="H111" s="347">
        <f t="shared" si="9"/>
        <v>586.17999999999995</v>
      </c>
      <c r="I111" s="348">
        <f t="shared" si="6"/>
        <v>0</v>
      </c>
      <c r="J111" s="349">
        <f t="shared" si="5"/>
        <v>0</v>
      </c>
      <c r="K111" s="347">
        <f t="shared" si="7"/>
        <v>0</v>
      </c>
      <c r="L111" s="301"/>
      <c r="M111" s="296"/>
    </row>
    <row r="112" spans="1:13" x14ac:dyDescent="0.25">
      <c r="A112" s="314" t="s">
        <v>653</v>
      </c>
      <c r="B112" s="315" t="s">
        <v>654</v>
      </c>
      <c r="C112" s="322">
        <v>3.7100000000000004</v>
      </c>
      <c r="D112" s="347">
        <v>73</v>
      </c>
      <c r="E112" s="347">
        <f t="shared" si="8"/>
        <v>270.83000000000004</v>
      </c>
      <c r="F112" s="322">
        <v>4.03</v>
      </c>
      <c r="G112" s="347">
        <v>73</v>
      </c>
      <c r="H112" s="347">
        <f t="shared" si="9"/>
        <v>294.19</v>
      </c>
      <c r="I112" s="348">
        <f t="shared" si="6"/>
        <v>0.31999999999999984</v>
      </c>
      <c r="J112" s="349">
        <f t="shared" si="5"/>
        <v>8.6253369272237155</v>
      </c>
      <c r="K112" s="347">
        <f t="shared" si="7"/>
        <v>23.359999999999957</v>
      </c>
      <c r="L112" s="301"/>
      <c r="M112" s="296"/>
    </row>
    <row r="113" spans="1:13" x14ac:dyDescent="0.25">
      <c r="A113" s="314" t="s">
        <v>655</v>
      </c>
      <c r="B113" s="315" t="s">
        <v>656</v>
      </c>
      <c r="C113" s="322">
        <v>2.71</v>
      </c>
      <c r="D113" s="347">
        <v>16933</v>
      </c>
      <c r="E113" s="347">
        <f t="shared" si="8"/>
        <v>45888.43</v>
      </c>
      <c r="F113" s="322">
        <v>2.71</v>
      </c>
      <c r="G113" s="347">
        <v>16933</v>
      </c>
      <c r="H113" s="347">
        <f t="shared" si="9"/>
        <v>45888.43</v>
      </c>
      <c r="I113" s="348">
        <f t="shared" si="6"/>
        <v>0</v>
      </c>
      <c r="J113" s="349">
        <f t="shared" si="5"/>
        <v>0</v>
      </c>
      <c r="K113" s="347">
        <f t="shared" si="7"/>
        <v>0</v>
      </c>
      <c r="L113" s="301"/>
      <c r="M113" s="296"/>
    </row>
    <row r="114" spans="1:13" x14ac:dyDescent="0.25">
      <c r="A114" s="314" t="s">
        <v>657</v>
      </c>
      <c r="B114" s="315" t="s">
        <v>658</v>
      </c>
      <c r="C114" s="322">
        <v>4.1300000000000008</v>
      </c>
      <c r="D114" s="347">
        <v>15059</v>
      </c>
      <c r="E114" s="347">
        <f t="shared" si="8"/>
        <v>62193.670000000013</v>
      </c>
      <c r="F114" s="322">
        <v>4.13</v>
      </c>
      <c r="G114" s="347">
        <v>15059</v>
      </c>
      <c r="H114" s="347">
        <f t="shared" si="9"/>
        <v>62193.67</v>
      </c>
      <c r="I114" s="348">
        <f t="shared" si="6"/>
        <v>0</v>
      </c>
      <c r="J114" s="349">
        <f t="shared" si="5"/>
        <v>0</v>
      </c>
      <c r="K114" s="347">
        <f t="shared" si="7"/>
        <v>0</v>
      </c>
      <c r="L114" s="301"/>
      <c r="M114" s="296"/>
    </row>
    <row r="115" spans="1:13" x14ac:dyDescent="0.25">
      <c r="A115" s="314" t="s">
        <v>659</v>
      </c>
      <c r="B115" s="315" t="s">
        <v>660</v>
      </c>
      <c r="C115" s="322">
        <v>8.9500000000000011</v>
      </c>
      <c r="D115" s="347">
        <v>31173</v>
      </c>
      <c r="E115" s="347">
        <f t="shared" si="8"/>
        <v>278998.35000000003</v>
      </c>
      <c r="F115" s="322">
        <v>8.9499999999999993</v>
      </c>
      <c r="G115" s="347">
        <v>31173</v>
      </c>
      <c r="H115" s="347">
        <f t="shared" si="9"/>
        <v>278998.34999999998</v>
      </c>
      <c r="I115" s="348">
        <f t="shared" si="6"/>
        <v>0</v>
      </c>
      <c r="J115" s="349">
        <f t="shared" si="5"/>
        <v>0</v>
      </c>
      <c r="K115" s="347">
        <f t="shared" si="7"/>
        <v>0</v>
      </c>
      <c r="L115" s="301"/>
      <c r="M115" s="296"/>
    </row>
    <row r="116" spans="1:13" ht="36" x14ac:dyDescent="0.25">
      <c r="A116" s="314" t="s">
        <v>661</v>
      </c>
      <c r="B116" s="315" t="s">
        <v>662</v>
      </c>
      <c r="C116" s="322">
        <v>9.7200000000000006</v>
      </c>
      <c r="D116" s="347">
        <v>144</v>
      </c>
      <c r="E116" s="347">
        <f t="shared" si="8"/>
        <v>1399.68</v>
      </c>
      <c r="F116" s="322">
        <v>9.7200000000000006</v>
      </c>
      <c r="G116" s="347">
        <v>144</v>
      </c>
      <c r="H116" s="347">
        <f t="shared" si="9"/>
        <v>1399.68</v>
      </c>
      <c r="I116" s="348">
        <f t="shared" si="6"/>
        <v>0</v>
      </c>
      <c r="J116" s="349">
        <f t="shared" si="5"/>
        <v>0</v>
      </c>
      <c r="K116" s="347">
        <f t="shared" si="7"/>
        <v>0</v>
      </c>
      <c r="L116" s="301"/>
      <c r="M116" s="296"/>
    </row>
    <row r="117" spans="1:13" x14ac:dyDescent="0.25">
      <c r="A117" s="314" t="s">
        <v>663</v>
      </c>
      <c r="B117" s="315" t="s">
        <v>664</v>
      </c>
      <c r="C117" s="322">
        <v>11.26</v>
      </c>
      <c r="D117" s="347">
        <v>215</v>
      </c>
      <c r="E117" s="347">
        <f t="shared" si="8"/>
        <v>2420.9</v>
      </c>
      <c r="F117" s="322">
        <v>11.43</v>
      </c>
      <c r="G117" s="347">
        <v>215</v>
      </c>
      <c r="H117" s="347">
        <f t="shared" si="9"/>
        <v>2457.4499999999998</v>
      </c>
      <c r="I117" s="348">
        <f t="shared" si="6"/>
        <v>0.16999999999999993</v>
      </c>
      <c r="J117" s="349">
        <f t="shared" si="5"/>
        <v>1.5097690941385429</v>
      </c>
      <c r="K117" s="347">
        <f t="shared" si="7"/>
        <v>36.549999999999727</v>
      </c>
      <c r="L117" s="301"/>
      <c r="M117" s="296"/>
    </row>
    <row r="118" spans="1:13" x14ac:dyDescent="0.25">
      <c r="A118" s="314" t="s">
        <v>665</v>
      </c>
      <c r="B118" s="315" t="s">
        <v>666</v>
      </c>
      <c r="C118" s="322">
        <v>13.659999999999998</v>
      </c>
      <c r="D118" s="347">
        <v>1793</v>
      </c>
      <c r="E118" s="347">
        <f t="shared" si="8"/>
        <v>24492.379999999997</v>
      </c>
      <c r="F118" s="322">
        <v>14.16</v>
      </c>
      <c r="G118" s="347">
        <v>1793</v>
      </c>
      <c r="H118" s="347">
        <f t="shared" si="9"/>
        <v>25388.880000000001</v>
      </c>
      <c r="I118" s="348">
        <f t="shared" si="6"/>
        <v>0.50000000000000178</v>
      </c>
      <c r="J118" s="349">
        <f t="shared" ref="J118:J170" si="10">I118*100/C118</f>
        <v>3.6603221083455479</v>
      </c>
      <c r="K118" s="347">
        <f t="shared" si="7"/>
        <v>896.50000000000364</v>
      </c>
      <c r="L118" s="301"/>
      <c r="M118" s="296"/>
    </row>
    <row r="119" spans="1:13" x14ac:dyDescent="0.25">
      <c r="A119" s="314" t="s">
        <v>667</v>
      </c>
      <c r="B119" s="315" t="s">
        <v>668</v>
      </c>
      <c r="C119" s="322">
        <v>16.690000000000001</v>
      </c>
      <c r="D119" s="347">
        <v>1106</v>
      </c>
      <c r="E119" s="347">
        <f t="shared" si="8"/>
        <v>18459.140000000003</v>
      </c>
      <c r="F119" s="322">
        <v>18.510000000000002</v>
      </c>
      <c r="G119" s="347">
        <v>1106</v>
      </c>
      <c r="H119" s="347">
        <f t="shared" si="9"/>
        <v>20472.060000000001</v>
      </c>
      <c r="I119" s="348">
        <f t="shared" si="6"/>
        <v>1.8200000000000003</v>
      </c>
      <c r="J119" s="349">
        <f t="shared" si="10"/>
        <v>10.904733373277413</v>
      </c>
      <c r="K119" s="347">
        <f t="shared" si="7"/>
        <v>2012.9199999999983</v>
      </c>
      <c r="L119" s="301"/>
      <c r="M119" s="296"/>
    </row>
    <row r="120" spans="1:13" x14ac:dyDescent="0.25">
      <c r="A120" s="314" t="s">
        <v>669</v>
      </c>
      <c r="B120" s="315" t="s">
        <v>670</v>
      </c>
      <c r="C120" s="322">
        <v>17.260000000000002</v>
      </c>
      <c r="D120" s="347">
        <v>113</v>
      </c>
      <c r="E120" s="347">
        <f t="shared" si="8"/>
        <v>1950.38</v>
      </c>
      <c r="F120" s="322">
        <v>18.7</v>
      </c>
      <c r="G120" s="347">
        <v>113</v>
      </c>
      <c r="H120" s="347">
        <f t="shared" si="9"/>
        <v>2113.1</v>
      </c>
      <c r="I120" s="348">
        <f t="shared" si="6"/>
        <v>1.4399999999999977</v>
      </c>
      <c r="J120" s="349">
        <f t="shared" si="10"/>
        <v>8.342989571263022</v>
      </c>
      <c r="K120" s="347">
        <f t="shared" si="7"/>
        <v>162.7199999999998</v>
      </c>
      <c r="L120" s="301"/>
      <c r="M120" s="296"/>
    </row>
    <row r="121" spans="1:13" x14ac:dyDescent="0.25">
      <c r="A121" s="314" t="s">
        <v>671</v>
      </c>
      <c r="B121" s="315" t="s">
        <v>672</v>
      </c>
      <c r="C121" s="322">
        <v>12.22</v>
      </c>
      <c r="D121" s="347">
        <v>16</v>
      </c>
      <c r="E121" s="347">
        <f t="shared" si="8"/>
        <v>195.52</v>
      </c>
      <c r="F121" s="322">
        <v>12.47</v>
      </c>
      <c r="G121" s="347">
        <v>16</v>
      </c>
      <c r="H121" s="347">
        <f t="shared" si="9"/>
        <v>199.52</v>
      </c>
      <c r="I121" s="348">
        <f t="shared" si="6"/>
        <v>0.25</v>
      </c>
      <c r="J121" s="349">
        <f t="shared" si="10"/>
        <v>2.0458265139116203</v>
      </c>
      <c r="K121" s="347">
        <f t="shared" si="7"/>
        <v>4</v>
      </c>
      <c r="L121" s="301"/>
      <c r="M121" s="296"/>
    </row>
    <row r="122" spans="1:13" ht="24" x14ac:dyDescent="0.25">
      <c r="A122" s="314" t="s">
        <v>673</v>
      </c>
      <c r="B122" s="315" t="s">
        <v>674</v>
      </c>
      <c r="C122" s="322">
        <v>23.78</v>
      </c>
      <c r="D122" s="347">
        <v>11</v>
      </c>
      <c r="E122" s="347">
        <f t="shared" si="8"/>
        <v>261.58000000000004</v>
      </c>
      <c r="F122" s="322">
        <v>26.69</v>
      </c>
      <c r="G122" s="347">
        <v>11</v>
      </c>
      <c r="H122" s="347">
        <f t="shared" si="9"/>
        <v>293.59000000000003</v>
      </c>
      <c r="I122" s="348">
        <f t="shared" si="6"/>
        <v>2.91</v>
      </c>
      <c r="J122" s="349">
        <f t="shared" si="10"/>
        <v>12.237174095878888</v>
      </c>
      <c r="K122" s="347">
        <f t="shared" si="7"/>
        <v>32.009999999999991</v>
      </c>
      <c r="L122" s="301"/>
      <c r="M122" s="296"/>
    </row>
    <row r="123" spans="1:13" x14ac:dyDescent="0.25">
      <c r="A123" s="314" t="s">
        <v>675</v>
      </c>
      <c r="B123" s="315" t="s">
        <v>676</v>
      </c>
      <c r="C123" s="322">
        <v>14.410000000000002</v>
      </c>
      <c r="D123" s="347">
        <v>9</v>
      </c>
      <c r="E123" s="347">
        <f t="shared" si="8"/>
        <v>129.69000000000003</v>
      </c>
      <c r="F123" s="322">
        <v>15.26</v>
      </c>
      <c r="G123" s="347">
        <v>9</v>
      </c>
      <c r="H123" s="347">
        <f t="shared" si="9"/>
        <v>137.34</v>
      </c>
      <c r="I123" s="348">
        <f t="shared" si="6"/>
        <v>0.84999999999999787</v>
      </c>
      <c r="J123" s="349">
        <f t="shared" si="10"/>
        <v>5.8986814712005398</v>
      </c>
      <c r="K123" s="347">
        <f t="shared" si="7"/>
        <v>7.6499999999999773</v>
      </c>
      <c r="L123" s="301"/>
      <c r="M123" s="296"/>
    </row>
    <row r="124" spans="1:13" x14ac:dyDescent="0.25">
      <c r="A124" s="314" t="s">
        <v>677</v>
      </c>
      <c r="B124" s="315" t="s">
        <v>678</v>
      </c>
      <c r="C124" s="322">
        <v>20.830000000000005</v>
      </c>
      <c r="D124" s="347">
        <v>2</v>
      </c>
      <c r="E124" s="347">
        <f t="shared" si="8"/>
        <v>41.660000000000011</v>
      </c>
      <c r="F124" s="322">
        <v>23.27</v>
      </c>
      <c r="G124" s="347">
        <v>2</v>
      </c>
      <c r="H124" s="347">
        <f t="shared" si="9"/>
        <v>46.54</v>
      </c>
      <c r="I124" s="348">
        <f t="shared" si="6"/>
        <v>2.4399999999999942</v>
      </c>
      <c r="J124" s="349">
        <f t="shared" si="10"/>
        <v>11.71387421987515</v>
      </c>
      <c r="K124" s="347">
        <f t="shared" si="7"/>
        <v>4.8799999999999883</v>
      </c>
      <c r="L124" s="301"/>
      <c r="M124" s="296"/>
    </row>
    <row r="125" spans="1:13" x14ac:dyDescent="0.25">
      <c r="A125" s="314" t="s">
        <v>679</v>
      </c>
      <c r="B125" s="315" t="s">
        <v>680</v>
      </c>
      <c r="C125" s="322">
        <v>16.920000000000002</v>
      </c>
      <c r="D125" s="347">
        <v>7</v>
      </c>
      <c r="E125" s="347">
        <f t="shared" si="8"/>
        <v>118.44000000000001</v>
      </c>
      <c r="F125" s="322">
        <v>17.95</v>
      </c>
      <c r="G125" s="347">
        <v>7</v>
      </c>
      <c r="H125" s="347">
        <f t="shared" si="9"/>
        <v>125.64999999999999</v>
      </c>
      <c r="I125" s="348">
        <f t="shared" si="6"/>
        <v>1.0299999999999976</v>
      </c>
      <c r="J125" s="349">
        <f t="shared" si="10"/>
        <v>6.087470449172562</v>
      </c>
      <c r="K125" s="347">
        <f t="shared" si="7"/>
        <v>7.2099999999999795</v>
      </c>
      <c r="L125" s="301"/>
      <c r="M125" s="296"/>
    </row>
    <row r="126" spans="1:13" x14ac:dyDescent="0.25">
      <c r="A126" s="314" t="s">
        <v>681</v>
      </c>
      <c r="B126" s="315" t="s">
        <v>682</v>
      </c>
      <c r="C126" s="322">
        <v>21.66</v>
      </c>
      <c r="D126" s="350"/>
      <c r="E126" s="347">
        <f t="shared" si="8"/>
        <v>0</v>
      </c>
      <c r="F126" s="322">
        <v>23.37</v>
      </c>
      <c r="G126" s="350"/>
      <c r="H126" s="347">
        <f t="shared" si="9"/>
        <v>0</v>
      </c>
      <c r="I126" s="348">
        <f t="shared" si="6"/>
        <v>1.7100000000000009</v>
      </c>
      <c r="J126" s="349">
        <f t="shared" si="10"/>
        <v>7.8947368421052673</v>
      </c>
      <c r="K126" s="347">
        <f t="shared" si="7"/>
        <v>0</v>
      </c>
      <c r="L126" s="301"/>
      <c r="M126" s="296"/>
    </row>
    <row r="127" spans="1:13" x14ac:dyDescent="0.25">
      <c r="A127" s="314" t="s">
        <v>683</v>
      </c>
      <c r="B127" s="315" t="s">
        <v>684</v>
      </c>
      <c r="C127" s="322">
        <v>28.46</v>
      </c>
      <c r="D127" s="350"/>
      <c r="E127" s="347">
        <f t="shared" si="8"/>
        <v>0</v>
      </c>
      <c r="F127" s="322">
        <v>31.51</v>
      </c>
      <c r="G127" s="350"/>
      <c r="H127" s="347">
        <f t="shared" si="9"/>
        <v>0</v>
      </c>
      <c r="I127" s="348">
        <f t="shared" si="6"/>
        <v>3.0500000000000007</v>
      </c>
      <c r="J127" s="349">
        <f t="shared" si="10"/>
        <v>10.716795502459593</v>
      </c>
      <c r="K127" s="347">
        <f t="shared" si="7"/>
        <v>0</v>
      </c>
      <c r="L127" s="301"/>
      <c r="M127" s="296"/>
    </row>
    <row r="128" spans="1:13" ht="24" x14ac:dyDescent="0.25">
      <c r="A128" s="314" t="s">
        <v>685</v>
      </c>
      <c r="B128" s="315" t="s">
        <v>686</v>
      </c>
      <c r="C128" s="322">
        <v>7.5600000000000005</v>
      </c>
      <c r="D128" s="347">
        <v>1</v>
      </c>
      <c r="E128" s="347">
        <f t="shared" si="8"/>
        <v>7.5600000000000005</v>
      </c>
      <c r="F128" s="322">
        <v>7.56</v>
      </c>
      <c r="G128" s="347">
        <v>1</v>
      </c>
      <c r="H128" s="347">
        <f t="shared" si="9"/>
        <v>7.56</v>
      </c>
      <c r="I128" s="348">
        <f t="shared" si="6"/>
        <v>0</v>
      </c>
      <c r="J128" s="349">
        <f t="shared" si="10"/>
        <v>0</v>
      </c>
      <c r="K128" s="347">
        <f t="shared" si="7"/>
        <v>0</v>
      </c>
      <c r="L128" s="301"/>
      <c r="M128" s="296"/>
    </row>
    <row r="129" spans="1:13" x14ac:dyDescent="0.25">
      <c r="A129" s="314" t="s">
        <v>687</v>
      </c>
      <c r="B129" s="315" t="s">
        <v>688</v>
      </c>
      <c r="C129" s="322">
        <v>6.75</v>
      </c>
      <c r="D129" s="347">
        <v>6</v>
      </c>
      <c r="E129" s="347">
        <f t="shared" si="8"/>
        <v>40.5</v>
      </c>
      <c r="F129" s="322">
        <v>7.29</v>
      </c>
      <c r="G129" s="347">
        <v>6</v>
      </c>
      <c r="H129" s="347">
        <f t="shared" si="9"/>
        <v>43.74</v>
      </c>
      <c r="I129" s="348">
        <f t="shared" si="6"/>
        <v>0.54</v>
      </c>
      <c r="J129" s="349">
        <f t="shared" si="10"/>
        <v>8</v>
      </c>
      <c r="K129" s="347">
        <f t="shared" si="7"/>
        <v>3.240000000000002</v>
      </c>
      <c r="L129" s="301"/>
      <c r="M129" s="296"/>
    </row>
    <row r="130" spans="1:13" x14ac:dyDescent="0.25">
      <c r="A130" s="314" t="s">
        <v>689</v>
      </c>
      <c r="B130" s="315" t="s">
        <v>690</v>
      </c>
      <c r="C130" s="322">
        <v>19.309999999999999</v>
      </c>
      <c r="D130" s="347">
        <v>878</v>
      </c>
      <c r="E130" s="347">
        <f t="shared" si="8"/>
        <v>16954.18</v>
      </c>
      <c r="F130" s="322">
        <v>20.71</v>
      </c>
      <c r="G130" s="347">
        <v>878</v>
      </c>
      <c r="H130" s="347">
        <f t="shared" si="9"/>
        <v>18183.38</v>
      </c>
      <c r="I130" s="348">
        <f t="shared" si="6"/>
        <v>1.4000000000000021</v>
      </c>
      <c r="J130" s="349">
        <f t="shared" si="10"/>
        <v>7.2501294665976301</v>
      </c>
      <c r="K130" s="347">
        <f t="shared" si="7"/>
        <v>1229.2000000000007</v>
      </c>
      <c r="L130" s="301"/>
      <c r="M130" s="296"/>
    </row>
    <row r="131" spans="1:13" x14ac:dyDescent="0.25">
      <c r="A131" s="314" t="s">
        <v>691</v>
      </c>
      <c r="B131" s="315" t="s">
        <v>692</v>
      </c>
      <c r="C131" s="322">
        <v>7.3900000000000015</v>
      </c>
      <c r="D131" s="347">
        <v>7</v>
      </c>
      <c r="E131" s="347">
        <f t="shared" si="8"/>
        <v>51.730000000000011</v>
      </c>
      <c r="F131" s="322">
        <v>7.39</v>
      </c>
      <c r="G131" s="347">
        <v>7</v>
      </c>
      <c r="H131" s="347">
        <f t="shared" si="9"/>
        <v>51.73</v>
      </c>
      <c r="I131" s="348">
        <f t="shared" si="6"/>
        <v>0</v>
      </c>
      <c r="J131" s="349">
        <f t="shared" si="10"/>
        <v>0</v>
      </c>
      <c r="K131" s="347">
        <f t="shared" si="7"/>
        <v>0</v>
      </c>
      <c r="L131" s="301"/>
      <c r="M131" s="296"/>
    </row>
    <row r="132" spans="1:13" ht="24" x14ac:dyDescent="0.25">
      <c r="A132" s="314" t="s">
        <v>693</v>
      </c>
      <c r="B132" s="315" t="s">
        <v>694</v>
      </c>
      <c r="C132" s="322">
        <v>8.370000000000001</v>
      </c>
      <c r="D132" s="347">
        <v>1204</v>
      </c>
      <c r="E132" s="347">
        <f t="shared" si="8"/>
        <v>10077.480000000001</v>
      </c>
      <c r="F132" s="322">
        <v>8.3699999999999992</v>
      </c>
      <c r="G132" s="347">
        <v>1204</v>
      </c>
      <c r="H132" s="347">
        <f t="shared" si="9"/>
        <v>10077.48</v>
      </c>
      <c r="I132" s="348">
        <f t="shared" si="6"/>
        <v>0</v>
      </c>
      <c r="J132" s="349">
        <f t="shared" si="10"/>
        <v>0</v>
      </c>
      <c r="K132" s="347">
        <f t="shared" si="7"/>
        <v>0</v>
      </c>
      <c r="L132" s="301"/>
      <c r="M132" s="296"/>
    </row>
    <row r="133" spans="1:13" x14ac:dyDescent="0.25">
      <c r="A133" s="314" t="s">
        <v>695</v>
      </c>
      <c r="B133" s="315" t="s">
        <v>696</v>
      </c>
      <c r="C133" s="322">
        <v>10.39</v>
      </c>
      <c r="D133" s="347">
        <v>1880</v>
      </c>
      <c r="E133" s="347">
        <f t="shared" si="8"/>
        <v>19533.2</v>
      </c>
      <c r="F133" s="322">
        <v>11.18</v>
      </c>
      <c r="G133" s="347">
        <v>1880</v>
      </c>
      <c r="H133" s="347">
        <f t="shared" si="9"/>
        <v>21018.399999999998</v>
      </c>
      <c r="I133" s="348">
        <f t="shared" ref="I133:I170" si="11">F133-C133</f>
        <v>0.78999999999999915</v>
      </c>
      <c r="J133" s="349">
        <f t="shared" si="10"/>
        <v>7.6034648700673637</v>
      </c>
      <c r="K133" s="347">
        <f t="shared" ref="K133:K196" si="12">H133-E133</f>
        <v>1485.1999999999971</v>
      </c>
      <c r="L133" s="301"/>
      <c r="M133" s="296"/>
    </row>
    <row r="134" spans="1:13" ht="24" x14ac:dyDescent="0.25">
      <c r="A134" s="314" t="s">
        <v>697</v>
      </c>
      <c r="B134" s="315" t="s">
        <v>698</v>
      </c>
      <c r="C134" s="322">
        <v>11.64</v>
      </c>
      <c r="D134" s="347">
        <v>1761</v>
      </c>
      <c r="E134" s="347">
        <f t="shared" ref="E134:E197" si="13">C134*D134</f>
        <v>20498.04</v>
      </c>
      <c r="F134" s="322">
        <v>15.44</v>
      </c>
      <c r="G134" s="347">
        <v>1761</v>
      </c>
      <c r="H134" s="347">
        <f t="shared" ref="H134:H197" si="14">F134*G134</f>
        <v>27189.84</v>
      </c>
      <c r="I134" s="348">
        <f t="shared" si="11"/>
        <v>3.7999999999999989</v>
      </c>
      <c r="J134" s="349">
        <f t="shared" si="10"/>
        <v>32.646048109965626</v>
      </c>
      <c r="K134" s="347">
        <f t="shared" si="12"/>
        <v>6691.7999999999993</v>
      </c>
      <c r="L134" s="301"/>
      <c r="M134" s="296"/>
    </row>
    <row r="135" spans="1:13" ht="24" x14ac:dyDescent="0.25">
      <c r="A135" s="314" t="s">
        <v>699</v>
      </c>
      <c r="B135" s="315" t="s">
        <v>700</v>
      </c>
      <c r="C135" s="322">
        <v>17.670000000000002</v>
      </c>
      <c r="D135" s="347">
        <v>41</v>
      </c>
      <c r="E135" s="347">
        <f t="shared" si="13"/>
        <v>724.47</v>
      </c>
      <c r="F135" s="322">
        <v>19.239999999999998</v>
      </c>
      <c r="G135" s="347">
        <v>41</v>
      </c>
      <c r="H135" s="347">
        <f t="shared" si="14"/>
        <v>788.83999999999992</v>
      </c>
      <c r="I135" s="348">
        <f t="shared" si="11"/>
        <v>1.5699999999999967</v>
      </c>
      <c r="J135" s="349">
        <f t="shared" si="10"/>
        <v>8.8851160158460463</v>
      </c>
      <c r="K135" s="347">
        <f t="shared" si="12"/>
        <v>64.369999999999891</v>
      </c>
      <c r="L135" s="301"/>
      <c r="M135" s="296"/>
    </row>
    <row r="136" spans="1:13" ht="24" x14ac:dyDescent="0.25">
      <c r="A136" s="314" t="s">
        <v>701</v>
      </c>
      <c r="B136" s="315" t="s">
        <v>702</v>
      </c>
      <c r="C136" s="322">
        <v>6.53</v>
      </c>
      <c r="D136" s="347">
        <v>50</v>
      </c>
      <c r="E136" s="347">
        <f t="shared" si="13"/>
        <v>326.5</v>
      </c>
      <c r="F136" s="322">
        <v>8.48</v>
      </c>
      <c r="G136" s="347">
        <v>50</v>
      </c>
      <c r="H136" s="347">
        <f t="shared" si="14"/>
        <v>424</v>
      </c>
      <c r="I136" s="348">
        <f t="shared" si="11"/>
        <v>1.9500000000000002</v>
      </c>
      <c r="J136" s="349">
        <f t="shared" si="10"/>
        <v>29.862174578866771</v>
      </c>
      <c r="K136" s="347">
        <f t="shared" si="12"/>
        <v>97.5</v>
      </c>
      <c r="L136" s="301"/>
      <c r="M136" s="296"/>
    </row>
    <row r="137" spans="1:13" x14ac:dyDescent="0.25">
      <c r="A137" s="314" t="s">
        <v>703</v>
      </c>
      <c r="B137" s="315" t="s">
        <v>704</v>
      </c>
      <c r="C137" s="322">
        <v>17.13</v>
      </c>
      <c r="D137" s="347">
        <v>32</v>
      </c>
      <c r="E137" s="347">
        <f t="shared" si="13"/>
        <v>548.16</v>
      </c>
      <c r="F137" s="322">
        <v>17.13</v>
      </c>
      <c r="G137" s="347">
        <v>32</v>
      </c>
      <c r="H137" s="347">
        <f t="shared" si="14"/>
        <v>548.16</v>
      </c>
      <c r="I137" s="348">
        <f t="shared" si="11"/>
        <v>0</v>
      </c>
      <c r="J137" s="349">
        <f t="shared" si="10"/>
        <v>0</v>
      </c>
      <c r="K137" s="347">
        <f t="shared" si="12"/>
        <v>0</v>
      </c>
      <c r="L137" s="301"/>
      <c r="M137" s="296"/>
    </row>
    <row r="138" spans="1:13" x14ac:dyDescent="0.25">
      <c r="A138" s="314" t="s">
        <v>705</v>
      </c>
      <c r="B138" s="315" t="s">
        <v>706</v>
      </c>
      <c r="C138" s="322">
        <v>15.809999999999999</v>
      </c>
      <c r="D138" s="347">
        <v>1</v>
      </c>
      <c r="E138" s="347">
        <f t="shared" si="13"/>
        <v>15.809999999999999</v>
      </c>
      <c r="F138" s="322">
        <v>17.13</v>
      </c>
      <c r="G138" s="347">
        <v>1</v>
      </c>
      <c r="H138" s="347">
        <f t="shared" si="14"/>
        <v>17.13</v>
      </c>
      <c r="I138" s="348">
        <f t="shared" si="11"/>
        <v>1.3200000000000003</v>
      </c>
      <c r="J138" s="349">
        <f t="shared" si="10"/>
        <v>8.3491461100569282</v>
      </c>
      <c r="K138" s="347">
        <f t="shared" si="12"/>
        <v>1.3200000000000003</v>
      </c>
      <c r="L138" s="301"/>
      <c r="M138" s="296"/>
    </row>
    <row r="139" spans="1:13" ht="24" x14ac:dyDescent="0.25">
      <c r="A139" s="314" t="s">
        <v>707</v>
      </c>
      <c r="B139" s="315" t="s">
        <v>708</v>
      </c>
      <c r="C139" s="322">
        <v>11.610000000000001</v>
      </c>
      <c r="D139" s="347">
        <v>1</v>
      </c>
      <c r="E139" s="347">
        <f t="shared" si="13"/>
        <v>11.610000000000001</v>
      </c>
      <c r="F139" s="322">
        <v>12.63</v>
      </c>
      <c r="G139" s="347">
        <v>1</v>
      </c>
      <c r="H139" s="347">
        <f t="shared" si="14"/>
        <v>12.63</v>
      </c>
      <c r="I139" s="348">
        <f t="shared" si="11"/>
        <v>1.0199999999999996</v>
      </c>
      <c r="J139" s="349">
        <f t="shared" si="10"/>
        <v>8.7855297157622694</v>
      </c>
      <c r="K139" s="347">
        <f t="shared" si="12"/>
        <v>1.0199999999999996</v>
      </c>
      <c r="L139" s="301"/>
      <c r="M139" s="296"/>
    </row>
    <row r="140" spans="1:13" x14ac:dyDescent="0.25">
      <c r="A140" s="314" t="s">
        <v>709</v>
      </c>
      <c r="B140" s="315" t="s">
        <v>710</v>
      </c>
      <c r="C140" s="322">
        <v>25.09</v>
      </c>
      <c r="D140" s="347">
        <v>30</v>
      </c>
      <c r="E140" s="347">
        <f t="shared" si="13"/>
        <v>752.7</v>
      </c>
      <c r="F140" s="322">
        <v>25.09</v>
      </c>
      <c r="G140" s="347">
        <v>30</v>
      </c>
      <c r="H140" s="347">
        <f t="shared" si="14"/>
        <v>752.7</v>
      </c>
      <c r="I140" s="348">
        <f t="shared" si="11"/>
        <v>0</v>
      </c>
      <c r="J140" s="349">
        <f t="shared" si="10"/>
        <v>0</v>
      </c>
      <c r="K140" s="347">
        <f t="shared" si="12"/>
        <v>0</v>
      </c>
      <c r="L140" s="301"/>
      <c r="M140" s="296"/>
    </row>
    <row r="141" spans="1:13" x14ac:dyDescent="0.25">
      <c r="A141" s="314" t="s">
        <v>711</v>
      </c>
      <c r="B141" s="315" t="s">
        <v>712</v>
      </c>
      <c r="C141" s="322">
        <v>21.39</v>
      </c>
      <c r="D141" s="347">
        <v>8</v>
      </c>
      <c r="E141" s="347">
        <f t="shared" si="13"/>
        <v>171.12</v>
      </c>
      <c r="F141" s="322">
        <v>24.07</v>
      </c>
      <c r="G141" s="347">
        <v>8</v>
      </c>
      <c r="H141" s="347">
        <f t="shared" si="14"/>
        <v>192.56</v>
      </c>
      <c r="I141" s="348">
        <f t="shared" si="11"/>
        <v>2.6799999999999997</v>
      </c>
      <c r="J141" s="349">
        <f t="shared" si="10"/>
        <v>12.529219261337072</v>
      </c>
      <c r="K141" s="347">
        <f t="shared" si="12"/>
        <v>21.439999999999998</v>
      </c>
      <c r="L141" s="301"/>
      <c r="M141" s="296"/>
    </row>
    <row r="142" spans="1:13" ht="24" x14ac:dyDescent="0.25">
      <c r="A142" s="314" t="s">
        <v>713</v>
      </c>
      <c r="B142" s="315" t="s">
        <v>714</v>
      </c>
      <c r="C142" s="322">
        <v>12.869999999999997</v>
      </c>
      <c r="D142" s="347">
        <v>4</v>
      </c>
      <c r="E142" s="347">
        <f t="shared" si="13"/>
        <v>51.47999999999999</v>
      </c>
      <c r="F142" s="322">
        <v>14.09</v>
      </c>
      <c r="G142" s="347">
        <v>4</v>
      </c>
      <c r="H142" s="347">
        <f t="shared" si="14"/>
        <v>56.36</v>
      </c>
      <c r="I142" s="348">
        <f t="shared" si="11"/>
        <v>1.2200000000000024</v>
      </c>
      <c r="J142" s="349">
        <f t="shared" si="10"/>
        <v>9.4794094794094992</v>
      </c>
      <c r="K142" s="347">
        <f t="shared" si="12"/>
        <v>4.8800000000000097</v>
      </c>
      <c r="L142" s="301"/>
      <c r="M142" s="296"/>
    </row>
    <row r="143" spans="1:13" x14ac:dyDescent="0.25">
      <c r="A143" s="314" t="s">
        <v>715</v>
      </c>
      <c r="B143" s="315" t="s">
        <v>716</v>
      </c>
      <c r="C143" s="322">
        <v>2.2399999999999998</v>
      </c>
      <c r="D143" s="347">
        <v>44</v>
      </c>
      <c r="E143" s="347">
        <f t="shared" si="13"/>
        <v>98.559999999999988</v>
      </c>
      <c r="F143" s="322">
        <v>2.5099999999999998</v>
      </c>
      <c r="G143" s="347">
        <v>44</v>
      </c>
      <c r="H143" s="347">
        <f t="shared" si="14"/>
        <v>110.44</v>
      </c>
      <c r="I143" s="348">
        <f t="shared" si="11"/>
        <v>0.27</v>
      </c>
      <c r="J143" s="349">
        <f t="shared" si="10"/>
        <v>12.053571428571431</v>
      </c>
      <c r="K143" s="347">
        <f t="shared" si="12"/>
        <v>11.88000000000001</v>
      </c>
      <c r="L143" s="301"/>
      <c r="M143" s="296"/>
    </row>
    <row r="144" spans="1:13" ht="24" x14ac:dyDescent="0.25">
      <c r="A144" s="314" t="s">
        <v>717</v>
      </c>
      <c r="B144" s="315" t="s">
        <v>718</v>
      </c>
      <c r="C144" s="322">
        <v>1.1499999999999999</v>
      </c>
      <c r="D144" s="347">
        <v>3</v>
      </c>
      <c r="E144" s="347">
        <f t="shared" si="13"/>
        <v>3.4499999999999997</v>
      </c>
      <c r="F144" s="322">
        <v>1.53</v>
      </c>
      <c r="G144" s="347">
        <v>3</v>
      </c>
      <c r="H144" s="347">
        <f t="shared" si="14"/>
        <v>4.59</v>
      </c>
      <c r="I144" s="348">
        <f t="shared" si="11"/>
        <v>0.38000000000000012</v>
      </c>
      <c r="J144" s="349">
        <f t="shared" si="10"/>
        <v>33.043478260869577</v>
      </c>
      <c r="K144" s="347">
        <f t="shared" si="12"/>
        <v>1.1400000000000001</v>
      </c>
      <c r="L144" s="301"/>
      <c r="M144" s="296"/>
    </row>
    <row r="145" spans="1:13" x14ac:dyDescent="0.25">
      <c r="A145" s="314" t="s">
        <v>719</v>
      </c>
      <c r="B145" s="315" t="s">
        <v>720</v>
      </c>
      <c r="C145" s="322">
        <v>9.3500000000000014</v>
      </c>
      <c r="D145" s="347">
        <v>3</v>
      </c>
      <c r="E145" s="347">
        <f t="shared" si="13"/>
        <v>28.050000000000004</v>
      </c>
      <c r="F145" s="322">
        <v>11.25</v>
      </c>
      <c r="G145" s="347">
        <v>3</v>
      </c>
      <c r="H145" s="347">
        <f t="shared" si="14"/>
        <v>33.75</v>
      </c>
      <c r="I145" s="348">
        <f t="shared" si="11"/>
        <v>1.8999999999999986</v>
      </c>
      <c r="J145" s="349">
        <f t="shared" si="10"/>
        <v>20.320855614973244</v>
      </c>
      <c r="K145" s="347">
        <f t="shared" si="12"/>
        <v>5.6999999999999957</v>
      </c>
      <c r="L145" s="301"/>
      <c r="M145" s="296"/>
    </row>
    <row r="146" spans="1:13" x14ac:dyDescent="0.25">
      <c r="A146" s="314" t="s">
        <v>721</v>
      </c>
      <c r="B146" s="315" t="s">
        <v>722</v>
      </c>
      <c r="C146" s="322">
        <v>16.41</v>
      </c>
      <c r="D146" s="347">
        <v>40</v>
      </c>
      <c r="E146" s="347">
        <f t="shared" si="13"/>
        <v>656.4</v>
      </c>
      <c r="F146" s="322">
        <v>17.5</v>
      </c>
      <c r="G146" s="347">
        <v>40</v>
      </c>
      <c r="H146" s="347">
        <f t="shared" si="14"/>
        <v>700</v>
      </c>
      <c r="I146" s="348">
        <f t="shared" si="11"/>
        <v>1.0899999999999999</v>
      </c>
      <c r="J146" s="349">
        <f t="shared" si="10"/>
        <v>6.6422912858013401</v>
      </c>
      <c r="K146" s="347">
        <f t="shared" si="12"/>
        <v>43.600000000000023</v>
      </c>
      <c r="L146" s="301"/>
      <c r="M146" s="296"/>
    </row>
    <row r="147" spans="1:13" x14ac:dyDescent="0.25">
      <c r="A147" s="314" t="s">
        <v>723</v>
      </c>
      <c r="B147" s="315" t="s">
        <v>724</v>
      </c>
      <c r="C147" s="322">
        <v>5.6800000000000006</v>
      </c>
      <c r="D147" s="350"/>
      <c r="E147" s="347">
        <f t="shared" si="13"/>
        <v>0</v>
      </c>
      <c r="F147" s="322">
        <v>6.31</v>
      </c>
      <c r="G147" s="350"/>
      <c r="H147" s="347">
        <f t="shared" si="14"/>
        <v>0</v>
      </c>
      <c r="I147" s="348">
        <f t="shared" si="11"/>
        <v>0.62999999999999901</v>
      </c>
      <c r="J147" s="349">
        <f t="shared" si="10"/>
        <v>11.091549295774628</v>
      </c>
      <c r="K147" s="347">
        <f t="shared" si="12"/>
        <v>0</v>
      </c>
      <c r="L147" s="301"/>
      <c r="M147" s="296"/>
    </row>
    <row r="148" spans="1:13" x14ac:dyDescent="0.25">
      <c r="A148" s="314" t="s">
        <v>725</v>
      </c>
      <c r="B148" s="315" t="s">
        <v>726</v>
      </c>
      <c r="C148" s="322">
        <v>7.5600000000000014</v>
      </c>
      <c r="D148" s="347">
        <v>1</v>
      </c>
      <c r="E148" s="347">
        <f t="shared" si="13"/>
        <v>7.5600000000000014</v>
      </c>
      <c r="F148" s="322">
        <v>7.56</v>
      </c>
      <c r="G148" s="347">
        <v>1</v>
      </c>
      <c r="H148" s="347">
        <f t="shared" si="14"/>
        <v>7.56</v>
      </c>
      <c r="I148" s="348">
        <f t="shared" si="11"/>
        <v>0</v>
      </c>
      <c r="J148" s="349">
        <f t="shared" si="10"/>
        <v>0</v>
      </c>
      <c r="K148" s="347">
        <f t="shared" si="12"/>
        <v>0</v>
      </c>
      <c r="L148" s="301"/>
      <c r="M148" s="296"/>
    </row>
    <row r="149" spans="1:13" x14ac:dyDescent="0.25">
      <c r="A149" s="314" t="s">
        <v>727</v>
      </c>
      <c r="B149" s="315" t="s">
        <v>728</v>
      </c>
      <c r="C149" s="322">
        <v>24.439999999999998</v>
      </c>
      <c r="D149" s="347">
        <v>56</v>
      </c>
      <c r="E149" s="347">
        <f t="shared" si="13"/>
        <v>1368.6399999999999</v>
      </c>
      <c r="F149" s="322">
        <v>26.28</v>
      </c>
      <c r="G149" s="347">
        <v>56</v>
      </c>
      <c r="H149" s="347">
        <f t="shared" si="14"/>
        <v>1471.68</v>
      </c>
      <c r="I149" s="348">
        <f t="shared" si="11"/>
        <v>1.8400000000000034</v>
      </c>
      <c r="J149" s="349">
        <f t="shared" si="10"/>
        <v>7.5286415711947772</v>
      </c>
      <c r="K149" s="347">
        <f t="shared" si="12"/>
        <v>103.04000000000019</v>
      </c>
      <c r="L149" s="301"/>
      <c r="M149" s="296"/>
    </row>
    <row r="150" spans="1:13" ht="24" x14ac:dyDescent="0.25">
      <c r="A150" s="314" t="s">
        <v>729</v>
      </c>
      <c r="B150" s="315" t="s">
        <v>730</v>
      </c>
      <c r="C150" s="322">
        <v>11.940000000000001</v>
      </c>
      <c r="D150" s="347">
        <v>1079</v>
      </c>
      <c r="E150" s="347">
        <f t="shared" si="13"/>
        <v>12883.260000000002</v>
      </c>
      <c r="F150" s="322">
        <v>12.41</v>
      </c>
      <c r="G150" s="347">
        <v>1079</v>
      </c>
      <c r="H150" s="347">
        <f t="shared" si="14"/>
        <v>13390.39</v>
      </c>
      <c r="I150" s="348">
        <f t="shared" si="11"/>
        <v>0.46999999999999886</v>
      </c>
      <c r="J150" s="349">
        <f t="shared" si="10"/>
        <v>3.9363484087102076</v>
      </c>
      <c r="K150" s="347">
        <f t="shared" si="12"/>
        <v>507.12999999999738</v>
      </c>
      <c r="L150" s="301"/>
      <c r="M150" s="296"/>
    </row>
    <row r="151" spans="1:13" x14ac:dyDescent="0.25">
      <c r="A151" s="314" t="s">
        <v>731</v>
      </c>
      <c r="B151" s="315" t="s">
        <v>732</v>
      </c>
      <c r="C151" s="322">
        <v>17.490000000000002</v>
      </c>
      <c r="D151" s="347">
        <v>321</v>
      </c>
      <c r="E151" s="347">
        <f t="shared" si="13"/>
        <v>5614.2900000000009</v>
      </c>
      <c r="F151" s="322">
        <v>18.260000000000002</v>
      </c>
      <c r="G151" s="347">
        <v>321</v>
      </c>
      <c r="H151" s="347">
        <f t="shared" si="14"/>
        <v>5861.4600000000009</v>
      </c>
      <c r="I151" s="348">
        <f t="shared" si="11"/>
        <v>0.76999999999999957</v>
      </c>
      <c r="J151" s="349">
        <f t="shared" si="10"/>
        <v>4.4025157232704375</v>
      </c>
      <c r="K151" s="347">
        <f t="shared" si="12"/>
        <v>247.17000000000007</v>
      </c>
      <c r="L151" s="301"/>
      <c r="M151" s="296"/>
    </row>
    <row r="152" spans="1:13" x14ac:dyDescent="0.25">
      <c r="A152" s="314" t="s">
        <v>733</v>
      </c>
      <c r="B152" s="315" t="s">
        <v>734</v>
      </c>
      <c r="C152" s="322">
        <v>14.469999999999999</v>
      </c>
      <c r="D152" s="347">
        <v>47</v>
      </c>
      <c r="E152" s="347">
        <f t="shared" si="13"/>
        <v>680.08999999999992</v>
      </c>
      <c r="F152" s="322">
        <v>15.2</v>
      </c>
      <c r="G152" s="347">
        <v>47</v>
      </c>
      <c r="H152" s="347">
        <f t="shared" si="14"/>
        <v>714.4</v>
      </c>
      <c r="I152" s="348">
        <f t="shared" si="11"/>
        <v>0.73000000000000043</v>
      </c>
      <c r="J152" s="349">
        <f t="shared" si="10"/>
        <v>5.0449205252246063</v>
      </c>
      <c r="K152" s="347">
        <f t="shared" si="12"/>
        <v>34.310000000000059</v>
      </c>
      <c r="L152" s="301"/>
      <c r="M152" s="296"/>
    </row>
    <row r="153" spans="1:13" ht="36" x14ac:dyDescent="0.25">
      <c r="A153" s="314" t="s">
        <v>735</v>
      </c>
      <c r="B153" s="315" t="s">
        <v>736</v>
      </c>
      <c r="C153" s="322">
        <v>4.8900000000000006</v>
      </c>
      <c r="D153" s="347">
        <v>877</v>
      </c>
      <c r="E153" s="347">
        <f t="shared" si="13"/>
        <v>4288.5300000000007</v>
      </c>
      <c r="F153" s="322">
        <v>4.8899999999999997</v>
      </c>
      <c r="G153" s="347">
        <v>877</v>
      </c>
      <c r="H153" s="347">
        <f t="shared" si="14"/>
        <v>4288.53</v>
      </c>
      <c r="I153" s="348">
        <f t="shared" si="11"/>
        <v>0</v>
      </c>
      <c r="J153" s="349">
        <f t="shared" si="10"/>
        <v>0</v>
      </c>
      <c r="K153" s="347">
        <f t="shared" si="12"/>
        <v>0</v>
      </c>
      <c r="L153" s="301"/>
      <c r="M153" s="296"/>
    </row>
    <row r="154" spans="1:13" ht="24" x14ac:dyDescent="0.25">
      <c r="A154" s="314" t="s">
        <v>737</v>
      </c>
      <c r="B154" s="315" t="s">
        <v>738</v>
      </c>
      <c r="C154" s="322">
        <v>6.36</v>
      </c>
      <c r="D154" s="347">
        <v>358</v>
      </c>
      <c r="E154" s="347">
        <f t="shared" si="13"/>
        <v>2276.88</v>
      </c>
      <c r="F154" s="322">
        <v>6.36</v>
      </c>
      <c r="G154" s="347">
        <v>358</v>
      </c>
      <c r="H154" s="347">
        <f t="shared" si="14"/>
        <v>2276.88</v>
      </c>
      <c r="I154" s="348">
        <f t="shared" si="11"/>
        <v>0</v>
      </c>
      <c r="J154" s="349">
        <f t="shared" si="10"/>
        <v>0</v>
      </c>
      <c r="K154" s="347">
        <f t="shared" si="12"/>
        <v>0</v>
      </c>
      <c r="L154" s="301"/>
      <c r="M154" s="296"/>
    </row>
    <row r="155" spans="1:13" x14ac:dyDescent="0.25">
      <c r="A155" s="314" t="s">
        <v>739</v>
      </c>
      <c r="B155" s="315" t="s">
        <v>740</v>
      </c>
      <c r="C155" s="322">
        <v>4.8600000000000012</v>
      </c>
      <c r="D155" s="347">
        <v>116</v>
      </c>
      <c r="E155" s="347">
        <f t="shared" si="13"/>
        <v>563.7600000000001</v>
      </c>
      <c r="F155" s="322">
        <v>4.8600000000000003</v>
      </c>
      <c r="G155" s="347">
        <v>116</v>
      </c>
      <c r="H155" s="347">
        <f t="shared" si="14"/>
        <v>563.76</v>
      </c>
      <c r="I155" s="348">
        <f t="shared" si="11"/>
        <v>0</v>
      </c>
      <c r="J155" s="349">
        <f t="shared" si="10"/>
        <v>0</v>
      </c>
      <c r="K155" s="347">
        <f t="shared" si="12"/>
        <v>0</v>
      </c>
      <c r="L155" s="301"/>
      <c r="M155" s="296"/>
    </row>
    <row r="156" spans="1:13" x14ac:dyDescent="0.25">
      <c r="A156" s="314" t="s">
        <v>741</v>
      </c>
      <c r="B156" s="315" t="s">
        <v>742</v>
      </c>
      <c r="C156" s="322">
        <v>8.9</v>
      </c>
      <c r="D156" s="347">
        <v>96</v>
      </c>
      <c r="E156" s="347">
        <f t="shared" si="13"/>
        <v>854.40000000000009</v>
      </c>
      <c r="F156" s="322">
        <v>8.9</v>
      </c>
      <c r="G156" s="347">
        <v>96</v>
      </c>
      <c r="H156" s="347">
        <f t="shared" si="14"/>
        <v>854.40000000000009</v>
      </c>
      <c r="I156" s="348">
        <f t="shared" si="11"/>
        <v>0</v>
      </c>
      <c r="J156" s="349">
        <f t="shared" si="10"/>
        <v>0</v>
      </c>
      <c r="K156" s="347">
        <f t="shared" si="12"/>
        <v>0</v>
      </c>
      <c r="L156" s="301"/>
      <c r="M156" s="296"/>
    </row>
    <row r="157" spans="1:13" x14ac:dyDescent="0.25">
      <c r="A157" s="314" t="s">
        <v>743</v>
      </c>
      <c r="B157" s="315" t="s">
        <v>744</v>
      </c>
      <c r="C157" s="322">
        <v>11.89</v>
      </c>
      <c r="D157" s="347">
        <v>501</v>
      </c>
      <c r="E157" s="347">
        <f t="shared" si="13"/>
        <v>5956.89</v>
      </c>
      <c r="F157" s="322">
        <v>11.99</v>
      </c>
      <c r="G157" s="347">
        <v>501</v>
      </c>
      <c r="H157" s="347">
        <f t="shared" si="14"/>
        <v>6006.99</v>
      </c>
      <c r="I157" s="348">
        <f t="shared" si="11"/>
        <v>9.9999999999999645E-2</v>
      </c>
      <c r="J157" s="349">
        <f t="shared" si="10"/>
        <v>0.84104289318754955</v>
      </c>
      <c r="K157" s="347">
        <f t="shared" si="12"/>
        <v>50.099999999999454</v>
      </c>
      <c r="L157" s="301"/>
      <c r="M157" s="296"/>
    </row>
    <row r="158" spans="1:13" x14ac:dyDescent="0.25">
      <c r="A158" s="314" t="s">
        <v>745</v>
      </c>
      <c r="B158" s="315" t="s">
        <v>746</v>
      </c>
      <c r="C158" s="322">
        <v>14.05</v>
      </c>
      <c r="D158" s="347">
        <v>5</v>
      </c>
      <c r="E158" s="347">
        <f t="shared" si="13"/>
        <v>70.25</v>
      </c>
      <c r="F158" s="322">
        <v>14.67</v>
      </c>
      <c r="G158" s="347">
        <v>5</v>
      </c>
      <c r="H158" s="347">
        <f t="shared" si="14"/>
        <v>73.349999999999994</v>
      </c>
      <c r="I158" s="348">
        <f t="shared" si="11"/>
        <v>0.61999999999999922</v>
      </c>
      <c r="J158" s="349">
        <f t="shared" si="10"/>
        <v>4.4128113879003497</v>
      </c>
      <c r="K158" s="347">
        <f t="shared" si="12"/>
        <v>3.0999999999999943</v>
      </c>
      <c r="L158" s="301"/>
      <c r="M158" s="296"/>
    </row>
    <row r="159" spans="1:13" x14ac:dyDescent="0.25">
      <c r="A159" s="314" t="s">
        <v>747</v>
      </c>
      <c r="B159" s="315" t="s">
        <v>748</v>
      </c>
      <c r="C159" s="322">
        <v>11.07</v>
      </c>
      <c r="D159" s="347">
        <v>365</v>
      </c>
      <c r="E159" s="347">
        <f t="shared" si="13"/>
        <v>4040.55</v>
      </c>
      <c r="F159" s="322">
        <v>12.41</v>
      </c>
      <c r="G159" s="347">
        <v>365</v>
      </c>
      <c r="H159" s="347">
        <f t="shared" si="14"/>
        <v>4529.6499999999996</v>
      </c>
      <c r="I159" s="348">
        <f t="shared" si="11"/>
        <v>1.3399999999999999</v>
      </c>
      <c r="J159" s="349">
        <f t="shared" si="10"/>
        <v>12.104787714543813</v>
      </c>
      <c r="K159" s="347">
        <f t="shared" si="12"/>
        <v>489.09999999999945</v>
      </c>
      <c r="L159" s="301"/>
      <c r="M159" s="296"/>
    </row>
    <row r="160" spans="1:13" ht="36" x14ac:dyDescent="0.25">
      <c r="A160" s="314" t="s">
        <v>749</v>
      </c>
      <c r="B160" s="315" t="s">
        <v>750</v>
      </c>
      <c r="C160" s="322">
        <v>16.739999999999998</v>
      </c>
      <c r="D160" s="347">
        <v>13</v>
      </c>
      <c r="E160" s="347">
        <f t="shared" si="13"/>
        <v>217.61999999999998</v>
      </c>
      <c r="F160" s="322">
        <v>17.91</v>
      </c>
      <c r="G160" s="347">
        <v>13</v>
      </c>
      <c r="H160" s="347">
        <f t="shared" si="14"/>
        <v>232.83</v>
      </c>
      <c r="I160" s="348">
        <f t="shared" si="11"/>
        <v>1.1700000000000017</v>
      </c>
      <c r="J160" s="349">
        <f t="shared" si="10"/>
        <v>6.9892473118279677</v>
      </c>
      <c r="K160" s="347">
        <f t="shared" si="12"/>
        <v>15.210000000000036</v>
      </c>
      <c r="L160" s="301"/>
      <c r="M160" s="296"/>
    </row>
    <row r="161" spans="1:13" x14ac:dyDescent="0.25">
      <c r="A161" s="314" t="s">
        <v>751</v>
      </c>
      <c r="B161" s="315" t="s">
        <v>752</v>
      </c>
      <c r="C161" s="322">
        <v>21.52</v>
      </c>
      <c r="D161" s="347">
        <v>92</v>
      </c>
      <c r="E161" s="347">
        <f t="shared" si="13"/>
        <v>1979.84</v>
      </c>
      <c r="F161" s="322">
        <v>24.13</v>
      </c>
      <c r="G161" s="347">
        <v>92</v>
      </c>
      <c r="H161" s="347">
        <f t="shared" si="14"/>
        <v>2219.96</v>
      </c>
      <c r="I161" s="348">
        <f t="shared" si="11"/>
        <v>2.6099999999999994</v>
      </c>
      <c r="J161" s="349">
        <f t="shared" si="10"/>
        <v>12.128252788104087</v>
      </c>
      <c r="K161" s="347">
        <f t="shared" si="12"/>
        <v>240.12000000000012</v>
      </c>
      <c r="L161" s="301"/>
      <c r="M161" s="296"/>
    </row>
    <row r="162" spans="1:13" ht="36" x14ac:dyDescent="0.25">
      <c r="A162" s="314" t="s">
        <v>753</v>
      </c>
      <c r="B162" s="315" t="s">
        <v>754</v>
      </c>
      <c r="C162" s="322">
        <v>8.6</v>
      </c>
      <c r="D162" s="347">
        <v>220</v>
      </c>
      <c r="E162" s="347">
        <f t="shared" si="13"/>
        <v>1892</v>
      </c>
      <c r="F162" s="322">
        <v>17.809999999999999</v>
      </c>
      <c r="G162" s="347">
        <v>220</v>
      </c>
      <c r="H162" s="347">
        <f t="shared" si="14"/>
        <v>3918.2</v>
      </c>
      <c r="I162" s="348">
        <f t="shared" si="11"/>
        <v>9.2099999999999991</v>
      </c>
      <c r="J162" s="349">
        <f t="shared" si="10"/>
        <v>107.09302325581395</v>
      </c>
      <c r="K162" s="347">
        <f t="shared" si="12"/>
        <v>2026.1999999999998</v>
      </c>
      <c r="L162" s="301"/>
      <c r="M162" s="296"/>
    </row>
    <row r="163" spans="1:13" x14ac:dyDescent="0.25">
      <c r="A163" s="314" t="s">
        <v>755</v>
      </c>
      <c r="B163" s="315" t="s">
        <v>756</v>
      </c>
      <c r="C163" s="322">
        <v>21.77</v>
      </c>
      <c r="D163" s="347">
        <v>12</v>
      </c>
      <c r="E163" s="347">
        <f t="shared" si="13"/>
        <v>261.24</v>
      </c>
      <c r="F163" s="322">
        <v>24.03</v>
      </c>
      <c r="G163" s="347">
        <v>12</v>
      </c>
      <c r="H163" s="347">
        <f t="shared" si="14"/>
        <v>288.36</v>
      </c>
      <c r="I163" s="348">
        <f t="shared" si="11"/>
        <v>2.2600000000000016</v>
      </c>
      <c r="J163" s="349">
        <f t="shared" si="10"/>
        <v>10.381258612769875</v>
      </c>
      <c r="K163" s="347">
        <f t="shared" si="12"/>
        <v>27.120000000000005</v>
      </c>
      <c r="L163" s="301"/>
      <c r="M163" s="296"/>
    </row>
    <row r="164" spans="1:13" x14ac:dyDescent="0.25">
      <c r="A164" s="314" t="s">
        <v>757</v>
      </c>
      <c r="B164" s="315" t="s">
        <v>758</v>
      </c>
      <c r="C164" s="322">
        <v>10.4</v>
      </c>
      <c r="D164" s="347">
        <v>19</v>
      </c>
      <c r="E164" s="347">
        <f t="shared" si="13"/>
        <v>197.6</v>
      </c>
      <c r="F164" s="322">
        <v>22.75</v>
      </c>
      <c r="G164" s="347">
        <v>19</v>
      </c>
      <c r="H164" s="347">
        <f t="shared" si="14"/>
        <v>432.25</v>
      </c>
      <c r="I164" s="348">
        <f t="shared" si="11"/>
        <v>12.35</v>
      </c>
      <c r="J164" s="349">
        <f t="shared" si="10"/>
        <v>118.75</v>
      </c>
      <c r="K164" s="347">
        <f t="shared" si="12"/>
        <v>234.65</v>
      </c>
      <c r="L164" s="301"/>
      <c r="M164" s="296"/>
    </row>
    <row r="165" spans="1:13" x14ac:dyDescent="0.25">
      <c r="A165" s="314" t="s">
        <v>759</v>
      </c>
      <c r="B165" s="315" t="s">
        <v>760</v>
      </c>
      <c r="C165" s="322">
        <v>10.4</v>
      </c>
      <c r="D165" s="347">
        <v>29</v>
      </c>
      <c r="E165" s="347">
        <f t="shared" si="13"/>
        <v>301.60000000000002</v>
      </c>
      <c r="F165" s="322">
        <v>22.75</v>
      </c>
      <c r="G165" s="347">
        <v>29</v>
      </c>
      <c r="H165" s="347">
        <f t="shared" si="14"/>
        <v>659.75</v>
      </c>
      <c r="I165" s="348">
        <f t="shared" si="11"/>
        <v>12.35</v>
      </c>
      <c r="J165" s="349">
        <f t="shared" si="10"/>
        <v>118.75</v>
      </c>
      <c r="K165" s="347">
        <f t="shared" si="12"/>
        <v>358.15</v>
      </c>
      <c r="L165" s="301"/>
      <c r="M165" s="296"/>
    </row>
    <row r="166" spans="1:13" x14ac:dyDescent="0.25">
      <c r="A166" s="314" t="s">
        <v>761</v>
      </c>
      <c r="B166" s="315" t="s">
        <v>762</v>
      </c>
      <c r="C166" s="322">
        <v>12.93</v>
      </c>
      <c r="D166" s="347">
        <v>18</v>
      </c>
      <c r="E166" s="347">
        <f t="shared" si="13"/>
        <v>232.74</v>
      </c>
      <c r="F166" s="322">
        <v>22.79</v>
      </c>
      <c r="G166" s="347">
        <v>18</v>
      </c>
      <c r="H166" s="347">
        <f t="shared" si="14"/>
        <v>410.21999999999997</v>
      </c>
      <c r="I166" s="348">
        <f t="shared" si="11"/>
        <v>9.86</v>
      </c>
      <c r="J166" s="349">
        <f t="shared" si="10"/>
        <v>76.256767208043314</v>
      </c>
      <c r="K166" s="347">
        <f t="shared" si="12"/>
        <v>177.47999999999996</v>
      </c>
      <c r="L166" s="301"/>
      <c r="M166" s="296"/>
    </row>
    <row r="167" spans="1:13" ht="24" x14ac:dyDescent="0.25">
      <c r="A167" s="314" t="s">
        <v>763</v>
      </c>
      <c r="B167" s="315" t="s">
        <v>764</v>
      </c>
      <c r="C167" s="322">
        <v>24.11</v>
      </c>
      <c r="D167" s="347">
        <v>3</v>
      </c>
      <c r="E167" s="347">
        <f t="shared" si="13"/>
        <v>72.33</v>
      </c>
      <c r="F167" s="322">
        <v>26.28</v>
      </c>
      <c r="G167" s="347">
        <v>3</v>
      </c>
      <c r="H167" s="347">
        <f t="shared" si="14"/>
        <v>78.84</v>
      </c>
      <c r="I167" s="348">
        <f t="shared" si="11"/>
        <v>2.1700000000000017</v>
      </c>
      <c r="J167" s="349">
        <f t="shared" si="10"/>
        <v>9.0004147656574105</v>
      </c>
      <c r="K167" s="347">
        <f t="shared" si="12"/>
        <v>6.5100000000000051</v>
      </c>
      <c r="L167" s="301"/>
      <c r="M167" s="296"/>
    </row>
    <row r="168" spans="1:13" x14ac:dyDescent="0.25">
      <c r="A168" s="314" t="s">
        <v>765</v>
      </c>
      <c r="B168" s="315" t="s">
        <v>766</v>
      </c>
      <c r="C168" s="322">
        <v>33.880000000000003</v>
      </c>
      <c r="D168" s="350"/>
      <c r="E168" s="347">
        <f t="shared" si="13"/>
        <v>0</v>
      </c>
      <c r="F168" s="322">
        <v>37.78</v>
      </c>
      <c r="G168" s="350"/>
      <c r="H168" s="347">
        <f t="shared" si="14"/>
        <v>0</v>
      </c>
      <c r="I168" s="348">
        <f t="shared" si="11"/>
        <v>3.8999999999999986</v>
      </c>
      <c r="J168" s="349">
        <f t="shared" si="10"/>
        <v>11.511216056670598</v>
      </c>
      <c r="K168" s="347">
        <f t="shared" si="12"/>
        <v>0</v>
      </c>
      <c r="L168" s="301"/>
      <c r="M168" s="296"/>
    </row>
    <row r="169" spans="1:13" ht="24" x14ac:dyDescent="0.25">
      <c r="A169" s="314" t="s">
        <v>767</v>
      </c>
      <c r="B169" s="315" t="s">
        <v>768</v>
      </c>
      <c r="C169" s="322">
        <v>4.92</v>
      </c>
      <c r="D169" s="347">
        <f xml:space="preserve"> 16600 + 2384</f>
        <v>18984</v>
      </c>
      <c r="E169" s="347">
        <f t="shared" si="13"/>
        <v>93401.279999999999</v>
      </c>
      <c r="F169" s="322">
        <v>6.58</v>
      </c>
      <c r="G169" s="347">
        <f xml:space="preserve"> 16600 + 2384</f>
        <v>18984</v>
      </c>
      <c r="H169" s="347">
        <f t="shared" si="14"/>
        <v>124914.72</v>
      </c>
      <c r="I169" s="348">
        <f t="shared" si="11"/>
        <v>1.6600000000000001</v>
      </c>
      <c r="J169" s="349">
        <f t="shared" si="10"/>
        <v>33.739837398373986</v>
      </c>
      <c r="K169" s="347">
        <f t="shared" si="12"/>
        <v>31513.440000000002</v>
      </c>
      <c r="L169" s="301"/>
      <c r="M169" s="296"/>
    </row>
    <row r="170" spans="1:13" x14ac:dyDescent="0.25">
      <c r="A170" s="314" t="s">
        <v>769</v>
      </c>
      <c r="B170" s="315" t="s">
        <v>770</v>
      </c>
      <c r="C170" s="322">
        <v>0.98</v>
      </c>
      <c r="D170" s="347">
        <v>274</v>
      </c>
      <c r="E170" s="347">
        <f t="shared" si="13"/>
        <v>268.52</v>
      </c>
      <c r="F170" s="322">
        <v>0.98</v>
      </c>
      <c r="G170" s="347">
        <v>274</v>
      </c>
      <c r="H170" s="347">
        <f t="shared" si="14"/>
        <v>268.52</v>
      </c>
      <c r="I170" s="348">
        <f t="shared" si="11"/>
        <v>0</v>
      </c>
      <c r="J170" s="349">
        <f t="shared" si="10"/>
        <v>0</v>
      </c>
      <c r="K170" s="347">
        <f t="shared" si="12"/>
        <v>0</v>
      </c>
      <c r="L170" s="301"/>
      <c r="M170" s="296"/>
    </row>
    <row r="171" spans="1:13" x14ac:dyDescent="0.25">
      <c r="A171" s="314" t="s">
        <v>771</v>
      </c>
      <c r="B171" s="315" t="s">
        <v>772</v>
      </c>
      <c r="C171" s="322" t="e">
        <v>#N/A</v>
      </c>
      <c r="D171" s="347">
        <v>0</v>
      </c>
      <c r="E171" s="347">
        <v>0</v>
      </c>
      <c r="F171" s="322"/>
      <c r="G171" s="347">
        <v>0</v>
      </c>
      <c r="H171" s="347">
        <f t="shared" si="14"/>
        <v>0</v>
      </c>
      <c r="I171" s="348">
        <v>0</v>
      </c>
      <c r="J171" s="349">
        <v>0</v>
      </c>
      <c r="K171" s="347">
        <f t="shared" si="12"/>
        <v>0</v>
      </c>
      <c r="L171" s="301"/>
      <c r="M171" s="296"/>
    </row>
    <row r="172" spans="1:13" x14ac:dyDescent="0.25">
      <c r="A172" s="314" t="s">
        <v>773</v>
      </c>
      <c r="B172" s="315" t="s">
        <v>774</v>
      </c>
      <c r="C172" s="322">
        <v>9.2100000000000009</v>
      </c>
      <c r="D172" s="347">
        <v>727</v>
      </c>
      <c r="E172" s="347">
        <f t="shared" si="13"/>
        <v>6695.670000000001</v>
      </c>
      <c r="F172" s="322">
        <v>14.48</v>
      </c>
      <c r="G172" s="347">
        <v>727</v>
      </c>
      <c r="H172" s="347">
        <f t="shared" si="14"/>
        <v>10526.960000000001</v>
      </c>
      <c r="I172" s="348">
        <f t="shared" ref="I172:I181" si="15">F172-C172</f>
        <v>5.27</v>
      </c>
      <c r="J172" s="349">
        <f t="shared" ref="J172:J181" si="16">I172*100/C172</f>
        <v>57.220412595005421</v>
      </c>
      <c r="K172" s="347">
        <f t="shared" si="12"/>
        <v>3831.29</v>
      </c>
      <c r="L172" s="301"/>
      <c r="M172" s="296"/>
    </row>
    <row r="173" spans="1:13" ht="72" x14ac:dyDescent="0.25">
      <c r="A173" s="314" t="s">
        <v>775</v>
      </c>
      <c r="B173" s="315" t="s">
        <v>776</v>
      </c>
      <c r="C173" s="322">
        <v>6.1900000000000013</v>
      </c>
      <c r="D173" s="347">
        <v>20883</v>
      </c>
      <c r="E173" s="347">
        <f t="shared" si="13"/>
        <v>129265.77000000003</v>
      </c>
      <c r="F173" s="322">
        <v>6.44</v>
      </c>
      <c r="G173" s="347">
        <v>20883</v>
      </c>
      <c r="H173" s="347">
        <f t="shared" si="14"/>
        <v>134486.52000000002</v>
      </c>
      <c r="I173" s="348">
        <f t="shared" si="15"/>
        <v>0.24999999999999911</v>
      </c>
      <c r="J173" s="349">
        <f t="shared" si="16"/>
        <v>4.0387722132471575</v>
      </c>
      <c r="K173" s="347">
        <f t="shared" si="12"/>
        <v>5220.7499999999854</v>
      </c>
      <c r="L173" s="301"/>
      <c r="M173" s="296"/>
    </row>
    <row r="174" spans="1:13" ht="72" x14ac:dyDescent="0.25">
      <c r="A174" s="314" t="s">
        <v>777</v>
      </c>
      <c r="B174" s="315" t="s">
        <v>778</v>
      </c>
      <c r="C174" s="322">
        <v>10.8</v>
      </c>
      <c r="D174" s="347">
        <v>22231</v>
      </c>
      <c r="E174" s="347">
        <f t="shared" si="13"/>
        <v>240094.80000000002</v>
      </c>
      <c r="F174" s="322">
        <v>12.16</v>
      </c>
      <c r="G174" s="347">
        <v>22231</v>
      </c>
      <c r="H174" s="347">
        <f t="shared" si="14"/>
        <v>270328.96000000002</v>
      </c>
      <c r="I174" s="348">
        <f t="shared" si="15"/>
        <v>1.3599999999999994</v>
      </c>
      <c r="J174" s="349">
        <f t="shared" si="16"/>
        <v>12.592592592592586</v>
      </c>
      <c r="K174" s="347">
        <f t="shared" si="12"/>
        <v>30234.160000000003</v>
      </c>
      <c r="L174" s="301"/>
      <c r="M174" s="296"/>
    </row>
    <row r="175" spans="1:13" ht="53.25" customHeight="1" x14ac:dyDescent="0.25">
      <c r="A175" s="314" t="s">
        <v>779</v>
      </c>
      <c r="B175" s="315" t="s">
        <v>780</v>
      </c>
      <c r="C175" s="322">
        <v>18.670000000000002</v>
      </c>
      <c r="D175" s="347">
        <v>212</v>
      </c>
      <c r="E175" s="347">
        <f t="shared" si="13"/>
        <v>3958.0400000000004</v>
      </c>
      <c r="F175" s="322">
        <v>22.37</v>
      </c>
      <c r="G175" s="347">
        <v>212</v>
      </c>
      <c r="H175" s="347">
        <f t="shared" si="14"/>
        <v>4742.4400000000005</v>
      </c>
      <c r="I175" s="348">
        <f t="shared" si="15"/>
        <v>3.6999999999999993</v>
      </c>
      <c r="J175" s="349">
        <f t="shared" si="16"/>
        <v>19.817889662560251</v>
      </c>
      <c r="K175" s="347">
        <f t="shared" si="12"/>
        <v>784.40000000000009</v>
      </c>
      <c r="L175" s="301"/>
      <c r="M175" s="296"/>
    </row>
    <row r="176" spans="1:13" ht="50.25" customHeight="1" x14ac:dyDescent="0.25">
      <c r="A176" s="314" t="s">
        <v>781</v>
      </c>
      <c r="B176" s="315" t="s">
        <v>782</v>
      </c>
      <c r="C176" s="322">
        <v>26.299999999999997</v>
      </c>
      <c r="D176" s="347">
        <v>3</v>
      </c>
      <c r="E176" s="347">
        <f t="shared" si="13"/>
        <v>78.899999999999991</v>
      </c>
      <c r="F176" s="322">
        <v>33.31</v>
      </c>
      <c r="G176" s="347">
        <v>3</v>
      </c>
      <c r="H176" s="347">
        <f t="shared" si="14"/>
        <v>99.93</v>
      </c>
      <c r="I176" s="348">
        <f t="shared" si="15"/>
        <v>7.0100000000000051</v>
      </c>
      <c r="J176" s="349">
        <f t="shared" si="16"/>
        <v>26.653992395437282</v>
      </c>
      <c r="K176" s="347">
        <f t="shared" si="12"/>
        <v>21.030000000000015</v>
      </c>
      <c r="L176" s="301"/>
      <c r="M176" s="296"/>
    </row>
    <row r="177" spans="1:13" ht="72" x14ac:dyDescent="0.25">
      <c r="A177" s="314" t="s">
        <v>783</v>
      </c>
      <c r="B177" s="315" t="s">
        <v>784</v>
      </c>
      <c r="C177" s="322">
        <v>8.120000000000001</v>
      </c>
      <c r="D177" s="347">
        <v>3</v>
      </c>
      <c r="E177" s="347">
        <f t="shared" si="13"/>
        <v>24.360000000000003</v>
      </c>
      <c r="F177" s="322">
        <v>8.1199999999999992</v>
      </c>
      <c r="G177" s="347">
        <v>3</v>
      </c>
      <c r="H177" s="347">
        <f t="shared" si="14"/>
        <v>24.36</v>
      </c>
      <c r="I177" s="348">
        <f t="shared" si="15"/>
        <v>0</v>
      </c>
      <c r="J177" s="349">
        <f t="shared" si="16"/>
        <v>0</v>
      </c>
      <c r="K177" s="347">
        <f t="shared" si="12"/>
        <v>0</v>
      </c>
      <c r="L177" s="301"/>
      <c r="M177" s="296"/>
    </row>
    <row r="178" spans="1:13" ht="72" x14ac:dyDescent="0.25">
      <c r="A178" s="314" t="s">
        <v>785</v>
      </c>
      <c r="B178" s="315" t="s">
        <v>786</v>
      </c>
      <c r="C178" s="322">
        <v>12.34</v>
      </c>
      <c r="D178" s="347">
        <v>3</v>
      </c>
      <c r="E178" s="347">
        <f t="shared" si="13"/>
        <v>37.019999999999996</v>
      </c>
      <c r="F178" s="322">
        <v>12.89</v>
      </c>
      <c r="G178" s="347">
        <v>3</v>
      </c>
      <c r="H178" s="347">
        <f t="shared" si="14"/>
        <v>38.67</v>
      </c>
      <c r="I178" s="348">
        <f t="shared" si="15"/>
        <v>0.55000000000000071</v>
      </c>
      <c r="J178" s="349">
        <f t="shared" si="16"/>
        <v>4.4570502431118371</v>
      </c>
      <c r="K178" s="347">
        <f t="shared" si="12"/>
        <v>1.6500000000000057</v>
      </c>
      <c r="L178" s="301"/>
      <c r="M178" s="296"/>
    </row>
    <row r="179" spans="1:13" ht="72" x14ac:dyDescent="0.25">
      <c r="A179" s="314" t="s">
        <v>787</v>
      </c>
      <c r="B179" s="315" t="s">
        <v>788</v>
      </c>
      <c r="C179" s="322">
        <v>19.830000000000005</v>
      </c>
      <c r="D179" s="347">
        <v>10</v>
      </c>
      <c r="E179" s="347">
        <f t="shared" si="13"/>
        <v>198.30000000000007</v>
      </c>
      <c r="F179" s="322">
        <v>23.49</v>
      </c>
      <c r="G179" s="347">
        <v>10</v>
      </c>
      <c r="H179" s="347">
        <f t="shared" si="14"/>
        <v>234.89999999999998</v>
      </c>
      <c r="I179" s="348">
        <f t="shared" si="15"/>
        <v>3.659999999999993</v>
      </c>
      <c r="J179" s="349">
        <f t="shared" si="16"/>
        <v>18.456883509833546</v>
      </c>
      <c r="K179" s="347">
        <f t="shared" si="12"/>
        <v>36.599999999999909</v>
      </c>
      <c r="L179" s="301"/>
      <c r="M179" s="296"/>
    </row>
    <row r="180" spans="1:13" ht="72" x14ac:dyDescent="0.25">
      <c r="A180" s="314" t="s">
        <v>789</v>
      </c>
      <c r="B180" s="315" t="s">
        <v>790</v>
      </c>
      <c r="C180" s="322">
        <v>28.24</v>
      </c>
      <c r="D180" s="350"/>
      <c r="E180" s="347">
        <f t="shared" si="13"/>
        <v>0</v>
      </c>
      <c r="F180" s="322">
        <v>33.21</v>
      </c>
      <c r="G180" s="350"/>
      <c r="H180" s="347">
        <f t="shared" si="14"/>
        <v>0</v>
      </c>
      <c r="I180" s="348">
        <f t="shared" si="15"/>
        <v>4.9700000000000024</v>
      </c>
      <c r="J180" s="349">
        <f t="shared" si="16"/>
        <v>17.599150141643069</v>
      </c>
      <c r="K180" s="347">
        <f t="shared" si="12"/>
        <v>0</v>
      </c>
      <c r="L180" s="301"/>
      <c r="M180" s="296"/>
    </row>
    <row r="181" spans="1:13" ht="30.75" customHeight="1" x14ac:dyDescent="0.25">
      <c r="A181" s="314" t="s">
        <v>791</v>
      </c>
      <c r="B181" s="315" t="s">
        <v>792</v>
      </c>
      <c r="C181" s="322">
        <v>2.4699999999999998</v>
      </c>
      <c r="D181" s="347">
        <f xml:space="preserve"> 773 + 437</f>
        <v>1210</v>
      </c>
      <c r="E181" s="347">
        <f t="shared" si="13"/>
        <v>2988.7</v>
      </c>
      <c r="F181" s="322">
        <v>5.77</v>
      </c>
      <c r="G181" s="347">
        <f xml:space="preserve"> 773 + 437</f>
        <v>1210</v>
      </c>
      <c r="H181" s="347">
        <f t="shared" si="14"/>
        <v>6981.7</v>
      </c>
      <c r="I181" s="348">
        <f t="shared" si="15"/>
        <v>3.3</v>
      </c>
      <c r="J181" s="349">
        <f t="shared" si="16"/>
        <v>133.60323886639677</v>
      </c>
      <c r="K181" s="347">
        <f t="shared" si="12"/>
        <v>3993</v>
      </c>
      <c r="L181" s="301"/>
      <c r="M181" s="296"/>
    </row>
    <row r="182" spans="1:13" ht="27.75" customHeight="1" x14ac:dyDescent="0.25">
      <c r="A182" s="314" t="s">
        <v>793</v>
      </c>
      <c r="B182" s="315" t="s">
        <v>794</v>
      </c>
      <c r="C182" s="322" t="e">
        <v>#N/A</v>
      </c>
      <c r="D182" s="347">
        <v>0</v>
      </c>
      <c r="E182" s="347">
        <v>0</v>
      </c>
      <c r="F182" s="322"/>
      <c r="G182" s="347">
        <v>0</v>
      </c>
      <c r="H182" s="347">
        <f t="shared" si="14"/>
        <v>0</v>
      </c>
      <c r="I182" s="348">
        <v>0</v>
      </c>
      <c r="J182" s="349">
        <v>0</v>
      </c>
      <c r="K182" s="347">
        <f t="shared" si="12"/>
        <v>0</v>
      </c>
      <c r="L182" s="301"/>
      <c r="M182" s="296"/>
    </row>
    <row r="183" spans="1:13" ht="36" x14ac:dyDescent="0.25">
      <c r="A183" s="314" t="s">
        <v>795</v>
      </c>
      <c r="B183" s="315" t="s">
        <v>796</v>
      </c>
      <c r="C183" s="322">
        <v>0.95000000000000007</v>
      </c>
      <c r="D183" s="347">
        <v>596</v>
      </c>
      <c r="E183" s="347">
        <f t="shared" si="13"/>
        <v>566.20000000000005</v>
      </c>
      <c r="F183" s="322">
        <v>1.17</v>
      </c>
      <c r="G183" s="347">
        <v>596</v>
      </c>
      <c r="H183" s="347">
        <f t="shared" si="14"/>
        <v>697.31999999999994</v>
      </c>
      <c r="I183" s="348">
        <f t="shared" ref="I183:I244" si="17">F183-C183</f>
        <v>0.21999999999999986</v>
      </c>
      <c r="J183" s="349">
        <f t="shared" ref="J183:J244" si="18">I183*100/C183</f>
        <v>23.157894736842088</v>
      </c>
      <c r="K183" s="347">
        <f t="shared" si="12"/>
        <v>131.11999999999989</v>
      </c>
      <c r="L183" s="301"/>
      <c r="M183" s="296"/>
    </row>
    <row r="184" spans="1:13" ht="24" x14ac:dyDescent="0.25">
      <c r="A184" s="314" t="s">
        <v>797</v>
      </c>
      <c r="B184" s="315" t="s">
        <v>798</v>
      </c>
      <c r="C184" s="322">
        <v>8.1999999999999993</v>
      </c>
      <c r="D184" s="347">
        <v>20</v>
      </c>
      <c r="E184" s="347">
        <f t="shared" si="13"/>
        <v>164</v>
      </c>
      <c r="F184" s="322">
        <v>10.36</v>
      </c>
      <c r="G184" s="347">
        <v>20</v>
      </c>
      <c r="H184" s="347">
        <f t="shared" si="14"/>
        <v>207.2</v>
      </c>
      <c r="I184" s="348">
        <f t="shared" si="17"/>
        <v>2.16</v>
      </c>
      <c r="J184" s="349">
        <f t="shared" si="18"/>
        <v>26.341463414634148</v>
      </c>
      <c r="K184" s="347">
        <f t="shared" si="12"/>
        <v>43.199999999999989</v>
      </c>
      <c r="L184" s="301"/>
      <c r="M184" s="296"/>
    </row>
    <row r="185" spans="1:13" x14ac:dyDescent="0.25">
      <c r="A185" s="314" t="s">
        <v>799</v>
      </c>
      <c r="B185" s="315" t="s">
        <v>800</v>
      </c>
      <c r="C185" s="322">
        <v>8.2700000000000014</v>
      </c>
      <c r="D185" s="347">
        <v>74</v>
      </c>
      <c r="E185" s="347">
        <f t="shared" si="13"/>
        <v>611.98000000000013</v>
      </c>
      <c r="F185" s="322">
        <v>8.77</v>
      </c>
      <c r="G185" s="347">
        <v>74</v>
      </c>
      <c r="H185" s="347">
        <f t="shared" si="14"/>
        <v>648.98</v>
      </c>
      <c r="I185" s="348">
        <f t="shared" si="17"/>
        <v>0.49999999999999822</v>
      </c>
      <c r="J185" s="349">
        <f t="shared" si="18"/>
        <v>6.0459492140265798</v>
      </c>
      <c r="K185" s="347">
        <f t="shared" si="12"/>
        <v>36.999999999999886</v>
      </c>
      <c r="L185" s="301"/>
      <c r="M185" s="296"/>
    </row>
    <row r="186" spans="1:13" x14ac:dyDescent="0.25">
      <c r="A186" s="314" t="s">
        <v>801</v>
      </c>
      <c r="B186" s="315" t="s">
        <v>802</v>
      </c>
      <c r="C186" s="322">
        <v>4.4000000000000012</v>
      </c>
      <c r="D186" s="347">
        <v>30</v>
      </c>
      <c r="E186" s="347">
        <f t="shared" si="13"/>
        <v>132.00000000000003</v>
      </c>
      <c r="F186" s="322">
        <v>4.76</v>
      </c>
      <c r="G186" s="347">
        <v>30</v>
      </c>
      <c r="H186" s="347">
        <f t="shared" si="14"/>
        <v>142.79999999999998</v>
      </c>
      <c r="I186" s="348">
        <f t="shared" si="17"/>
        <v>0.35999999999999854</v>
      </c>
      <c r="J186" s="349">
        <f t="shared" si="18"/>
        <v>8.1818181818181479</v>
      </c>
      <c r="K186" s="347">
        <f t="shared" si="12"/>
        <v>10.799999999999955</v>
      </c>
      <c r="L186" s="301"/>
      <c r="M186" s="296"/>
    </row>
    <row r="187" spans="1:13" x14ac:dyDescent="0.25">
      <c r="A187" s="314" t="s">
        <v>803</v>
      </c>
      <c r="B187" s="315" t="s">
        <v>804</v>
      </c>
      <c r="C187" s="322">
        <v>14.200000000000003</v>
      </c>
      <c r="D187" s="347">
        <v>1</v>
      </c>
      <c r="E187" s="347">
        <f t="shared" si="13"/>
        <v>14.200000000000003</v>
      </c>
      <c r="F187" s="322">
        <v>15.69</v>
      </c>
      <c r="G187" s="347">
        <v>1</v>
      </c>
      <c r="H187" s="347">
        <f t="shared" si="14"/>
        <v>15.69</v>
      </c>
      <c r="I187" s="348">
        <f t="shared" si="17"/>
        <v>1.4899999999999967</v>
      </c>
      <c r="J187" s="349">
        <f t="shared" si="18"/>
        <v>10.492957746478847</v>
      </c>
      <c r="K187" s="347">
        <f t="shared" si="12"/>
        <v>1.4899999999999967</v>
      </c>
      <c r="L187" s="301"/>
      <c r="M187" s="296"/>
    </row>
    <row r="188" spans="1:13" x14ac:dyDescent="0.25">
      <c r="A188" s="314" t="s">
        <v>805</v>
      </c>
      <c r="B188" s="315" t="s">
        <v>806</v>
      </c>
      <c r="C188" s="322">
        <v>19.100000000000001</v>
      </c>
      <c r="D188" s="350"/>
      <c r="E188" s="347">
        <f t="shared" si="13"/>
        <v>0</v>
      </c>
      <c r="F188" s="322">
        <v>21.28</v>
      </c>
      <c r="G188" s="350"/>
      <c r="H188" s="347">
        <f t="shared" si="14"/>
        <v>0</v>
      </c>
      <c r="I188" s="348">
        <f t="shared" si="17"/>
        <v>2.1799999999999997</v>
      </c>
      <c r="J188" s="349">
        <f t="shared" si="18"/>
        <v>11.413612565445025</v>
      </c>
      <c r="K188" s="347">
        <f t="shared" si="12"/>
        <v>0</v>
      </c>
      <c r="L188" s="301"/>
      <c r="M188" s="296"/>
    </row>
    <row r="189" spans="1:13" x14ac:dyDescent="0.25">
      <c r="A189" s="314" t="s">
        <v>807</v>
      </c>
      <c r="B189" s="315" t="s">
        <v>808</v>
      </c>
      <c r="C189" s="322">
        <v>22.33</v>
      </c>
      <c r="D189" s="347">
        <v>1</v>
      </c>
      <c r="E189" s="347">
        <f t="shared" si="13"/>
        <v>22.33</v>
      </c>
      <c r="F189" s="322">
        <v>24.06</v>
      </c>
      <c r="G189" s="347">
        <v>1</v>
      </c>
      <c r="H189" s="347">
        <f t="shared" si="14"/>
        <v>24.06</v>
      </c>
      <c r="I189" s="348">
        <f t="shared" si="17"/>
        <v>1.7300000000000004</v>
      </c>
      <c r="J189" s="349">
        <f t="shared" si="18"/>
        <v>7.7474249888043021</v>
      </c>
      <c r="K189" s="347">
        <f t="shared" si="12"/>
        <v>1.7300000000000004</v>
      </c>
      <c r="L189" s="301"/>
      <c r="M189" s="296"/>
    </row>
    <row r="190" spans="1:13" x14ac:dyDescent="0.25">
      <c r="A190" s="314" t="s">
        <v>809</v>
      </c>
      <c r="B190" s="315" t="s">
        <v>810</v>
      </c>
      <c r="C190" s="322">
        <v>6.7</v>
      </c>
      <c r="D190" s="347">
        <v>4</v>
      </c>
      <c r="E190" s="347">
        <f t="shared" si="13"/>
        <v>26.8</v>
      </c>
      <c r="F190" s="322">
        <v>7.5</v>
      </c>
      <c r="G190" s="347">
        <v>4</v>
      </c>
      <c r="H190" s="347">
        <f t="shared" si="14"/>
        <v>30</v>
      </c>
      <c r="I190" s="348">
        <f t="shared" si="17"/>
        <v>0.79999999999999982</v>
      </c>
      <c r="J190" s="349">
        <f t="shared" si="18"/>
        <v>11.940298507462684</v>
      </c>
      <c r="K190" s="347">
        <f t="shared" si="12"/>
        <v>3.1999999999999993</v>
      </c>
      <c r="L190" s="301"/>
      <c r="M190" s="296"/>
    </row>
    <row r="191" spans="1:13" x14ac:dyDescent="0.25">
      <c r="A191" s="314" t="s">
        <v>811</v>
      </c>
      <c r="B191" s="315" t="s">
        <v>812</v>
      </c>
      <c r="C191" s="322">
        <v>2.0699999999999998</v>
      </c>
      <c r="D191" s="350"/>
      <c r="E191" s="347">
        <f t="shared" si="13"/>
        <v>0</v>
      </c>
      <c r="F191" s="322">
        <v>2.0699999999999998</v>
      </c>
      <c r="G191" s="350"/>
      <c r="H191" s="347">
        <f t="shared" si="14"/>
        <v>0</v>
      </c>
      <c r="I191" s="348">
        <f t="shared" si="17"/>
        <v>0</v>
      </c>
      <c r="J191" s="349">
        <f t="shared" si="18"/>
        <v>0</v>
      </c>
      <c r="K191" s="347">
        <f t="shared" si="12"/>
        <v>0</v>
      </c>
      <c r="L191" s="301"/>
      <c r="M191" s="296"/>
    </row>
    <row r="192" spans="1:13" x14ac:dyDescent="0.25">
      <c r="A192" s="314" t="s">
        <v>813</v>
      </c>
      <c r="B192" s="315" t="s">
        <v>814</v>
      </c>
      <c r="C192" s="322">
        <v>33.199999999999996</v>
      </c>
      <c r="D192" s="347">
        <v>2</v>
      </c>
      <c r="E192" s="347">
        <f t="shared" si="13"/>
        <v>66.399999999999991</v>
      </c>
      <c r="F192" s="322">
        <v>36.130000000000003</v>
      </c>
      <c r="G192" s="347">
        <v>2</v>
      </c>
      <c r="H192" s="347">
        <f t="shared" si="14"/>
        <v>72.260000000000005</v>
      </c>
      <c r="I192" s="348">
        <f t="shared" si="17"/>
        <v>2.9300000000000068</v>
      </c>
      <c r="J192" s="349">
        <f t="shared" si="18"/>
        <v>8.8253012048192989</v>
      </c>
      <c r="K192" s="347">
        <f t="shared" si="12"/>
        <v>5.8600000000000136</v>
      </c>
      <c r="L192" s="301"/>
      <c r="M192" s="296"/>
    </row>
    <row r="193" spans="1:13" ht="24" x14ac:dyDescent="0.25">
      <c r="A193" s="314" t="s">
        <v>815</v>
      </c>
      <c r="B193" s="315" t="s">
        <v>816</v>
      </c>
      <c r="C193" s="322">
        <v>35.799999999999997</v>
      </c>
      <c r="D193" s="322"/>
      <c r="E193" s="347">
        <f t="shared" si="13"/>
        <v>0</v>
      </c>
      <c r="F193" s="322">
        <v>40.28</v>
      </c>
      <c r="G193" s="322"/>
      <c r="H193" s="347">
        <f t="shared" si="14"/>
        <v>0</v>
      </c>
      <c r="I193" s="348">
        <f t="shared" si="17"/>
        <v>4.480000000000004</v>
      </c>
      <c r="J193" s="349">
        <f t="shared" si="18"/>
        <v>12.513966480446939</v>
      </c>
      <c r="K193" s="347">
        <f t="shared" si="12"/>
        <v>0</v>
      </c>
      <c r="L193" s="301"/>
      <c r="M193" s="296"/>
    </row>
    <row r="194" spans="1:13" x14ac:dyDescent="0.25">
      <c r="A194" s="314" t="s">
        <v>817</v>
      </c>
      <c r="B194" s="315" t="s">
        <v>818</v>
      </c>
      <c r="C194" s="322">
        <v>41.109999999999992</v>
      </c>
      <c r="D194" s="347">
        <v>1</v>
      </c>
      <c r="E194" s="347">
        <f t="shared" si="13"/>
        <v>41.109999999999992</v>
      </c>
      <c r="F194" s="322">
        <v>45.76</v>
      </c>
      <c r="G194" s="347">
        <v>1</v>
      </c>
      <c r="H194" s="347">
        <f t="shared" si="14"/>
        <v>45.76</v>
      </c>
      <c r="I194" s="348">
        <f t="shared" si="17"/>
        <v>4.6500000000000057</v>
      </c>
      <c r="J194" s="349">
        <f t="shared" si="18"/>
        <v>11.311116516662629</v>
      </c>
      <c r="K194" s="347">
        <f t="shared" si="12"/>
        <v>4.6500000000000057</v>
      </c>
      <c r="L194" s="301"/>
      <c r="M194" s="296"/>
    </row>
    <row r="195" spans="1:13" x14ac:dyDescent="0.25">
      <c r="A195" s="314" t="s">
        <v>819</v>
      </c>
      <c r="B195" s="315" t="s">
        <v>820</v>
      </c>
      <c r="C195" s="322">
        <v>17.93</v>
      </c>
      <c r="D195" s="347">
        <v>2</v>
      </c>
      <c r="E195" s="347">
        <f t="shared" si="13"/>
        <v>35.86</v>
      </c>
      <c r="F195" s="322">
        <v>20.93</v>
      </c>
      <c r="G195" s="347">
        <v>2</v>
      </c>
      <c r="H195" s="347">
        <f t="shared" si="14"/>
        <v>41.86</v>
      </c>
      <c r="I195" s="348">
        <f t="shared" si="17"/>
        <v>3</v>
      </c>
      <c r="J195" s="349">
        <f t="shared" si="18"/>
        <v>16.731734523145565</v>
      </c>
      <c r="K195" s="347">
        <f t="shared" si="12"/>
        <v>6</v>
      </c>
      <c r="L195" s="301"/>
      <c r="M195" s="296"/>
    </row>
    <row r="196" spans="1:13" ht="24" x14ac:dyDescent="0.25">
      <c r="A196" s="314" t="s">
        <v>821</v>
      </c>
      <c r="B196" s="315" t="s">
        <v>822</v>
      </c>
      <c r="C196" s="322">
        <v>24.330000000000002</v>
      </c>
      <c r="D196" s="322"/>
      <c r="E196" s="347">
        <f t="shared" si="13"/>
        <v>0</v>
      </c>
      <c r="F196" s="322">
        <v>26.61</v>
      </c>
      <c r="G196" s="322"/>
      <c r="H196" s="347">
        <f t="shared" si="14"/>
        <v>0</v>
      </c>
      <c r="I196" s="348">
        <f t="shared" si="17"/>
        <v>2.2799999999999976</v>
      </c>
      <c r="J196" s="349">
        <f t="shared" si="18"/>
        <v>9.3711467324290894</v>
      </c>
      <c r="K196" s="347">
        <f t="shared" si="12"/>
        <v>0</v>
      </c>
      <c r="L196" s="301"/>
      <c r="M196" s="296"/>
    </row>
    <row r="197" spans="1:13" x14ac:dyDescent="0.25">
      <c r="A197" s="314" t="s">
        <v>823</v>
      </c>
      <c r="B197" s="315" t="s">
        <v>824</v>
      </c>
      <c r="C197" s="322">
        <v>40.200000000000003</v>
      </c>
      <c r="D197" s="322"/>
      <c r="E197" s="347">
        <f t="shared" si="13"/>
        <v>0</v>
      </c>
      <c r="F197" s="322">
        <v>46.4</v>
      </c>
      <c r="G197" s="322"/>
      <c r="H197" s="347">
        <f t="shared" si="14"/>
        <v>0</v>
      </c>
      <c r="I197" s="348">
        <f t="shared" si="17"/>
        <v>6.1999999999999957</v>
      </c>
      <c r="J197" s="349">
        <f t="shared" si="18"/>
        <v>15.422885572139291</v>
      </c>
      <c r="K197" s="347">
        <f t="shared" ref="K197:K244" si="19">H197-E197</f>
        <v>0</v>
      </c>
      <c r="L197" s="301"/>
      <c r="M197" s="296"/>
    </row>
    <row r="198" spans="1:13" x14ac:dyDescent="0.25">
      <c r="A198" s="314" t="s">
        <v>825</v>
      </c>
      <c r="B198" s="315" t="s">
        <v>826</v>
      </c>
      <c r="C198" s="322">
        <v>40.200000000000003</v>
      </c>
      <c r="D198" s="347">
        <v>1</v>
      </c>
      <c r="E198" s="347">
        <f t="shared" ref="E198:E244" si="20">C198*D198</f>
        <v>40.200000000000003</v>
      </c>
      <c r="F198" s="322">
        <v>46.4</v>
      </c>
      <c r="G198" s="347">
        <v>1</v>
      </c>
      <c r="H198" s="347">
        <f t="shared" ref="H198:H244" si="21">F198*G198</f>
        <v>46.4</v>
      </c>
      <c r="I198" s="348">
        <f t="shared" si="17"/>
        <v>6.1999999999999957</v>
      </c>
      <c r="J198" s="349">
        <f t="shared" si="18"/>
        <v>15.422885572139291</v>
      </c>
      <c r="K198" s="347">
        <f t="shared" si="19"/>
        <v>6.1999999999999957</v>
      </c>
      <c r="L198" s="301"/>
      <c r="M198" s="296"/>
    </row>
    <row r="199" spans="1:13" x14ac:dyDescent="0.25">
      <c r="A199" s="314" t="s">
        <v>827</v>
      </c>
      <c r="B199" s="315" t="s">
        <v>828</v>
      </c>
      <c r="C199" s="322">
        <v>51.87</v>
      </c>
      <c r="D199" s="322"/>
      <c r="E199" s="347">
        <f t="shared" si="20"/>
        <v>0</v>
      </c>
      <c r="F199" s="322">
        <v>58.64</v>
      </c>
      <c r="G199" s="322"/>
      <c r="H199" s="347">
        <f t="shared" si="21"/>
        <v>0</v>
      </c>
      <c r="I199" s="348">
        <f t="shared" si="17"/>
        <v>6.7700000000000031</v>
      </c>
      <c r="J199" s="349">
        <f t="shared" si="18"/>
        <v>13.05186042028148</v>
      </c>
      <c r="K199" s="347">
        <f t="shared" si="19"/>
        <v>0</v>
      </c>
      <c r="L199" s="301"/>
      <c r="M199" s="296"/>
    </row>
    <row r="200" spans="1:13" ht="24" x14ac:dyDescent="0.25">
      <c r="A200" s="314" t="s">
        <v>829</v>
      </c>
      <c r="B200" s="315" t="s">
        <v>830</v>
      </c>
      <c r="C200" s="322">
        <v>40.08</v>
      </c>
      <c r="D200" s="322"/>
      <c r="E200" s="347">
        <f t="shared" si="20"/>
        <v>0</v>
      </c>
      <c r="F200" s="322">
        <v>46.38</v>
      </c>
      <c r="G200" s="322"/>
      <c r="H200" s="347">
        <f t="shared" si="21"/>
        <v>0</v>
      </c>
      <c r="I200" s="348">
        <f t="shared" si="17"/>
        <v>6.3000000000000043</v>
      </c>
      <c r="J200" s="349">
        <f t="shared" si="18"/>
        <v>15.718562874251509</v>
      </c>
      <c r="K200" s="347">
        <f t="shared" si="19"/>
        <v>0</v>
      </c>
      <c r="L200" s="301"/>
      <c r="M200" s="296"/>
    </row>
    <row r="201" spans="1:13" x14ac:dyDescent="0.25">
      <c r="A201" s="314" t="s">
        <v>831</v>
      </c>
      <c r="B201" s="315" t="s">
        <v>832</v>
      </c>
      <c r="C201" s="322">
        <v>39.950000000000003</v>
      </c>
      <c r="D201" s="322"/>
      <c r="E201" s="347">
        <f t="shared" si="20"/>
        <v>0</v>
      </c>
      <c r="F201" s="322">
        <v>46.66</v>
      </c>
      <c r="G201" s="322"/>
      <c r="H201" s="347">
        <f t="shared" si="21"/>
        <v>0</v>
      </c>
      <c r="I201" s="348">
        <f t="shared" si="17"/>
        <v>6.7099999999999937</v>
      </c>
      <c r="J201" s="349">
        <f t="shared" si="18"/>
        <v>16.795994993742159</v>
      </c>
      <c r="K201" s="347">
        <f t="shared" si="19"/>
        <v>0</v>
      </c>
      <c r="L201" s="301"/>
      <c r="M201" s="296"/>
    </row>
    <row r="202" spans="1:13" x14ac:dyDescent="0.25">
      <c r="A202" s="314" t="s">
        <v>833</v>
      </c>
      <c r="B202" s="315" t="s">
        <v>834</v>
      </c>
      <c r="C202" s="322">
        <v>2.3199999999999994</v>
      </c>
      <c r="D202" s="347">
        <v>2</v>
      </c>
      <c r="E202" s="347">
        <f t="shared" si="20"/>
        <v>4.6399999999999988</v>
      </c>
      <c r="F202" s="322">
        <v>3.49</v>
      </c>
      <c r="G202" s="347">
        <v>2</v>
      </c>
      <c r="H202" s="347">
        <f t="shared" si="21"/>
        <v>6.98</v>
      </c>
      <c r="I202" s="348">
        <f t="shared" si="17"/>
        <v>1.1700000000000008</v>
      </c>
      <c r="J202" s="349">
        <f t="shared" si="18"/>
        <v>50.431034482758669</v>
      </c>
      <c r="K202" s="347">
        <f t="shared" si="19"/>
        <v>2.3400000000000016</v>
      </c>
      <c r="L202" s="301"/>
      <c r="M202" s="296"/>
    </row>
    <row r="203" spans="1:13" x14ac:dyDescent="0.25">
      <c r="A203" s="314" t="s">
        <v>835</v>
      </c>
      <c r="B203" s="315" t="s">
        <v>836</v>
      </c>
      <c r="C203" s="322">
        <v>4.580000000000001</v>
      </c>
      <c r="D203" s="322"/>
      <c r="E203" s="347">
        <f t="shared" si="20"/>
        <v>0</v>
      </c>
      <c r="F203" s="322">
        <v>7.22</v>
      </c>
      <c r="G203" s="322"/>
      <c r="H203" s="347">
        <f t="shared" si="21"/>
        <v>0</v>
      </c>
      <c r="I203" s="348">
        <f t="shared" si="17"/>
        <v>2.6399999999999988</v>
      </c>
      <c r="J203" s="349">
        <f t="shared" si="18"/>
        <v>57.641921397379875</v>
      </c>
      <c r="K203" s="347">
        <f t="shared" si="19"/>
        <v>0</v>
      </c>
      <c r="L203" s="301"/>
      <c r="M203" s="296"/>
    </row>
    <row r="204" spans="1:13" x14ac:dyDescent="0.25">
      <c r="A204" s="314" t="s">
        <v>837</v>
      </c>
      <c r="B204" s="315" t="s">
        <v>838</v>
      </c>
      <c r="C204" s="322">
        <v>2.3199999999999994</v>
      </c>
      <c r="D204" s="322"/>
      <c r="E204" s="347">
        <f t="shared" si="20"/>
        <v>0</v>
      </c>
      <c r="F204" s="322">
        <v>3.49</v>
      </c>
      <c r="G204" s="322"/>
      <c r="H204" s="347">
        <f t="shared" si="21"/>
        <v>0</v>
      </c>
      <c r="I204" s="348">
        <f t="shared" si="17"/>
        <v>1.1700000000000008</v>
      </c>
      <c r="J204" s="349">
        <f t="shared" si="18"/>
        <v>50.431034482758669</v>
      </c>
      <c r="K204" s="347">
        <f t="shared" si="19"/>
        <v>0</v>
      </c>
      <c r="L204" s="301"/>
      <c r="M204" s="296"/>
    </row>
    <row r="205" spans="1:13" x14ac:dyDescent="0.25">
      <c r="A205" s="314" t="s">
        <v>839</v>
      </c>
      <c r="B205" s="315" t="s">
        <v>840</v>
      </c>
      <c r="C205" s="322">
        <v>7</v>
      </c>
      <c r="D205" s="347">
        <v>116</v>
      </c>
      <c r="E205" s="347">
        <f t="shared" si="20"/>
        <v>812</v>
      </c>
      <c r="F205" s="322">
        <v>8.9</v>
      </c>
      <c r="G205" s="347">
        <v>116</v>
      </c>
      <c r="H205" s="347">
        <f t="shared" si="21"/>
        <v>1032.4000000000001</v>
      </c>
      <c r="I205" s="348">
        <f t="shared" si="17"/>
        <v>1.9000000000000004</v>
      </c>
      <c r="J205" s="349">
        <f t="shared" si="18"/>
        <v>27.142857142857146</v>
      </c>
      <c r="K205" s="347">
        <f t="shared" si="19"/>
        <v>220.40000000000009</v>
      </c>
      <c r="L205" s="301"/>
      <c r="M205" s="296"/>
    </row>
    <row r="206" spans="1:13" x14ac:dyDescent="0.25">
      <c r="A206" s="314" t="s">
        <v>841</v>
      </c>
      <c r="B206" s="315" t="s">
        <v>842</v>
      </c>
      <c r="C206" s="322">
        <v>12.190000000000001</v>
      </c>
      <c r="D206" s="347">
        <v>4</v>
      </c>
      <c r="E206" s="347">
        <f t="shared" si="20"/>
        <v>48.760000000000005</v>
      </c>
      <c r="F206" s="322">
        <v>15.47</v>
      </c>
      <c r="G206" s="347">
        <v>4</v>
      </c>
      <c r="H206" s="347">
        <f t="shared" si="21"/>
        <v>61.88</v>
      </c>
      <c r="I206" s="348">
        <f t="shared" si="17"/>
        <v>3.2799999999999994</v>
      </c>
      <c r="J206" s="349">
        <f t="shared" si="18"/>
        <v>26.9073010664479</v>
      </c>
      <c r="K206" s="347">
        <f t="shared" si="19"/>
        <v>13.119999999999997</v>
      </c>
      <c r="L206" s="301"/>
      <c r="M206" s="296"/>
    </row>
    <row r="207" spans="1:13" x14ac:dyDescent="0.25">
      <c r="A207" s="314" t="s">
        <v>843</v>
      </c>
      <c r="B207" s="315" t="s">
        <v>844</v>
      </c>
      <c r="C207" s="322">
        <v>17.190000000000001</v>
      </c>
      <c r="D207" s="322"/>
      <c r="E207" s="347">
        <f t="shared" si="20"/>
        <v>0</v>
      </c>
      <c r="F207" s="322">
        <v>21.31</v>
      </c>
      <c r="G207" s="322"/>
      <c r="H207" s="347">
        <f t="shared" si="21"/>
        <v>0</v>
      </c>
      <c r="I207" s="348">
        <f t="shared" si="17"/>
        <v>4.1199999999999974</v>
      </c>
      <c r="J207" s="349">
        <f t="shared" si="18"/>
        <v>23.967422920302486</v>
      </c>
      <c r="K207" s="347">
        <f t="shared" si="19"/>
        <v>0</v>
      </c>
      <c r="L207" s="301"/>
      <c r="M207" s="296"/>
    </row>
    <row r="208" spans="1:13" x14ac:dyDescent="0.25">
      <c r="A208" s="314" t="s">
        <v>845</v>
      </c>
      <c r="B208" s="315" t="s">
        <v>846</v>
      </c>
      <c r="C208" s="322">
        <v>16.559999999999999</v>
      </c>
      <c r="D208" s="347">
        <v>14</v>
      </c>
      <c r="E208" s="347">
        <f t="shared" si="20"/>
        <v>231.83999999999997</v>
      </c>
      <c r="F208" s="322">
        <v>16.559999999999999</v>
      </c>
      <c r="G208" s="347">
        <v>14</v>
      </c>
      <c r="H208" s="347">
        <f t="shared" si="21"/>
        <v>231.83999999999997</v>
      </c>
      <c r="I208" s="348">
        <f t="shared" si="17"/>
        <v>0</v>
      </c>
      <c r="J208" s="349">
        <f t="shared" si="18"/>
        <v>0</v>
      </c>
      <c r="K208" s="347">
        <f t="shared" si="19"/>
        <v>0</v>
      </c>
      <c r="L208" s="301"/>
      <c r="M208" s="296"/>
    </row>
    <row r="209" spans="1:13" x14ac:dyDescent="0.25">
      <c r="A209" s="314" t="s">
        <v>847</v>
      </c>
      <c r="B209" s="315" t="s">
        <v>848</v>
      </c>
      <c r="C209" s="322">
        <v>20.720000000000002</v>
      </c>
      <c r="D209" s="347">
        <v>4</v>
      </c>
      <c r="E209" s="347">
        <f t="shared" si="20"/>
        <v>82.88000000000001</v>
      </c>
      <c r="F209" s="322">
        <v>21.31</v>
      </c>
      <c r="G209" s="347">
        <v>4</v>
      </c>
      <c r="H209" s="347">
        <f t="shared" si="21"/>
        <v>85.24</v>
      </c>
      <c r="I209" s="348">
        <f t="shared" si="17"/>
        <v>0.58999999999999631</v>
      </c>
      <c r="J209" s="349">
        <f t="shared" si="18"/>
        <v>2.8474903474903295</v>
      </c>
      <c r="K209" s="347">
        <f t="shared" si="19"/>
        <v>2.3599999999999852</v>
      </c>
      <c r="L209" s="301"/>
      <c r="M209" s="296"/>
    </row>
    <row r="210" spans="1:13" x14ac:dyDescent="0.25">
      <c r="A210" s="314" t="s">
        <v>849</v>
      </c>
      <c r="B210" s="315" t="s">
        <v>850</v>
      </c>
      <c r="C210" s="322">
        <v>25.050000000000004</v>
      </c>
      <c r="D210" s="347">
        <v>3</v>
      </c>
      <c r="E210" s="347">
        <f t="shared" si="20"/>
        <v>75.150000000000006</v>
      </c>
      <c r="F210" s="322">
        <v>26.23</v>
      </c>
      <c r="G210" s="347">
        <v>3</v>
      </c>
      <c r="H210" s="347">
        <f t="shared" si="21"/>
        <v>78.69</v>
      </c>
      <c r="I210" s="348">
        <f t="shared" si="17"/>
        <v>1.1799999999999962</v>
      </c>
      <c r="J210" s="349">
        <f t="shared" si="18"/>
        <v>4.7105788423153534</v>
      </c>
      <c r="K210" s="347">
        <f t="shared" si="19"/>
        <v>3.539999999999992</v>
      </c>
      <c r="L210" s="301"/>
      <c r="M210" s="296"/>
    </row>
    <row r="211" spans="1:13" x14ac:dyDescent="0.25">
      <c r="A211" s="314" t="s">
        <v>851</v>
      </c>
      <c r="B211" s="315" t="s">
        <v>852</v>
      </c>
      <c r="C211" s="322">
        <v>30.33</v>
      </c>
      <c r="D211" s="347">
        <v>8</v>
      </c>
      <c r="E211" s="347">
        <f t="shared" si="20"/>
        <v>242.64</v>
      </c>
      <c r="F211" s="322">
        <v>31.34</v>
      </c>
      <c r="G211" s="347">
        <v>8</v>
      </c>
      <c r="H211" s="347">
        <f t="shared" si="21"/>
        <v>250.72</v>
      </c>
      <c r="I211" s="348">
        <f t="shared" si="17"/>
        <v>1.0100000000000016</v>
      </c>
      <c r="J211" s="349">
        <f t="shared" si="18"/>
        <v>3.330036267721733</v>
      </c>
      <c r="K211" s="347">
        <f t="shared" si="19"/>
        <v>8.0800000000000125</v>
      </c>
      <c r="L211" s="301"/>
      <c r="M211" s="296"/>
    </row>
    <row r="212" spans="1:13" x14ac:dyDescent="0.25">
      <c r="A212" s="314" t="s">
        <v>853</v>
      </c>
      <c r="B212" s="315" t="s">
        <v>854</v>
      </c>
      <c r="C212" s="322">
        <v>34.549999999999997</v>
      </c>
      <c r="D212" s="322"/>
      <c r="E212" s="347">
        <f t="shared" si="20"/>
        <v>0</v>
      </c>
      <c r="F212" s="322">
        <v>36.229999999999997</v>
      </c>
      <c r="G212" s="322"/>
      <c r="H212" s="347">
        <f t="shared" si="21"/>
        <v>0</v>
      </c>
      <c r="I212" s="348">
        <f t="shared" si="17"/>
        <v>1.6799999999999997</v>
      </c>
      <c r="J212" s="349">
        <f t="shared" si="18"/>
        <v>4.862518089725036</v>
      </c>
      <c r="K212" s="347">
        <f t="shared" si="19"/>
        <v>0</v>
      </c>
      <c r="L212" s="301"/>
      <c r="M212" s="296"/>
    </row>
    <row r="213" spans="1:13" x14ac:dyDescent="0.25">
      <c r="A213" s="314" t="s">
        <v>855</v>
      </c>
      <c r="B213" s="315" t="s">
        <v>856</v>
      </c>
      <c r="C213" s="322">
        <v>38.909999999999989</v>
      </c>
      <c r="D213" s="322"/>
      <c r="E213" s="347">
        <f t="shared" si="20"/>
        <v>0</v>
      </c>
      <c r="F213" s="322">
        <v>41.17</v>
      </c>
      <c r="G213" s="322"/>
      <c r="H213" s="347">
        <f t="shared" si="21"/>
        <v>0</v>
      </c>
      <c r="I213" s="348">
        <f t="shared" si="17"/>
        <v>2.2600000000000122</v>
      </c>
      <c r="J213" s="349">
        <f t="shared" si="18"/>
        <v>5.8082755075816319</v>
      </c>
      <c r="K213" s="347">
        <f t="shared" si="19"/>
        <v>0</v>
      </c>
      <c r="L213" s="301"/>
      <c r="M213" s="296"/>
    </row>
    <row r="214" spans="1:13" ht="24" x14ac:dyDescent="0.25">
      <c r="A214" s="314" t="s">
        <v>857</v>
      </c>
      <c r="B214" s="315" t="s">
        <v>858</v>
      </c>
      <c r="C214" s="322">
        <v>18.829999999999998</v>
      </c>
      <c r="D214" s="347">
        <v>5</v>
      </c>
      <c r="E214" s="347">
        <f t="shared" si="20"/>
        <v>94.149999999999991</v>
      </c>
      <c r="F214" s="322">
        <v>19.37</v>
      </c>
      <c r="G214" s="347">
        <v>5</v>
      </c>
      <c r="H214" s="347">
        <f t="shared" si="21"/>
        <v>96.850000000000009</v>
      </c>
      <c r="I214" s="348">
        <f t="shared" si="17"/>
        <v>0.5400000000000027</v>
      </c>
      <c r="J214" s="349">
        <f t="shared" si="18"/>
        <v>2.8677642060541837</v>
      </c>
      <c r="K214" s="347">
        <f t="shared" si="19"/>
        <v>2.7000000000000171</v>
      </c>
      <c r="L214" s="301"/>
      <c r="M214" s="296"/>
    </row>
    <row r="215" spans="1:13" ht="24" x14ac:dyDescent="0.25">
      <c r="A215" s="314" t="s">
        <v>859</v>
      </c>
      <c r="B215" s="315" t="s">
        <v>860</v>
      </c>
      <c r="C215" s="322">
        <v>23.17</v>
      </c>
      <c r="D215" s="347">
        <v>10</v>
      </c>
      <c r="E215" s="347">
        <f t="shared" si="20"/>
        <v>231.70000000000002</v>
      </c>
      <c r="F215" s="322">
        <v>24.3</v>
      </c>
      <c r="G215" s="347">
        <v>10</v>
      </c>
      <c r="H215" s="347">
        <f t="shared" si="21"/>
        <v>243</v>
      </c>
      <c r="I215" s="348">
        <f t="shared" si="17"/>
        <v>1.129999999999999</v>
      </c>
      <c r="J215" s="349">
        <f t="shared" si="18"/>
        <v>4.876996115666806</v>
      </c>
      <c r="K215" s="347">
        <f t="shared" si="19"/>
        <v>11.299999999999983</v>
      </c>
      <c r="L215" s="301"/>
      <c r="M215" s="296"/>
    </row>
    <row r="216" spans="1:13" ht="24" x14ac:dyDescent="0.25">
      <c r="A216" s="314" t="s">
        <v>861</v>
      </c>
      <c r="B216" s="315" t="s">
        <v>862</v>
      </c>
      <c r="C216" s="322">
        <v>28.650000000000002</v>
      </c>
      <c r="D216" s="347">
        <v>5</v>
      </c>
      <c r="E216" s="347">
        <f t="shared" si="20"/>
        <v>143.25</v>
      </c>
      <c r="F216" s="322">
        <v>30.61</v>
      </c>
      <c r="G216" s="347">
        <v>5</v>
      </c>
      <c r="H216" s="347">
        <f t="shared" si="21"/>
        <v>153.05000000000001</v>
      </c>
      <c r="I216" s="348">
        <f t="shared" si="17"/>
        <v>1.9599999999999973</v>
      </c>
      <c r="J216" s="349">
        <f t="shared" si="18"/>
        <v>6.8411867364746843</v>
      </c>
      <c r="K216" s="347">
        <f t="shared" si="19"/>
        <v>9.8000000000000114</v>
      </c>
      <c r="L216" s="301"/>
      <c r="M216" s="296"/>
    </row>
    <row r="217" spans="1:13" ht="24" x14ac:dyDescent="0.25">
      <c r="A217" s="314" t="s">
        <v>863</v>
      </c>
      <c r="B217" s="315" t="s">
        <v>864</v>
      </c>
      <c r="C217" s="322">
        <v>32.6</v>
      </c>
      <c r="D217" s="347">
        <v>15</v>
      </c>
      <c r="E217" s="347">
        <f t="shared" si="20"/>
        <v>489</v>
      </c>
      <c r="F217" s="322">
        <v>34.159999999999997</v>
      </c>
      <c r="G217" s="347">
        <v>15</v>
      </c>
      <c r="H217" s="347">
        <f t="shared" si="21"/>
        <v>512.4</v>
      </c>
      <c r="I217" s="348">
        <f t="shared" si="17"/>
        <v>1.5599999999999952</v>
      </c>
      <c r="J217" s="349">
        <f t="shared" si="18"/>
        <v>4.7852760736196167</v>
      </c>
      <c r="K217" s="347">
        <f t="shared" si="19"/>
        <v>23.399999999999977</v>
      </c>
      <c r="L217" s="301"/>
      <c r="M217" s="296"/>
    </row>
    <row r="218" spans="1:13" ht="24" x14ac:dyDescent="0.25">
      <c r="A218" s="314" t="s">
        <v>865</v>
      </c>
      <c r="B218" s="315" t="s">
        <v>866</v>
      </c>
      <c r="C218" s="322">
        <v>36.93</v>
      </c>
      <c r="D218" s="347">
        <v>1</v>
      </c>
      <c r="E218" s="347">
        <f t="shared" si="20"/>
        <v>36.93</v>
      </c>
      <c r="F218" s="322">
        <v>39.090000000000003</v>
      </c>
      <c r="G218" s="347">
        <v>1</v>
      </c>
      <c r="H218" s="347">
        <f t="shared" si="21"/>
        <v>39.090000000000003</v>
      </c>
      <c r="I218" s="348">
        <f t="shared" si="17"/>
        <v>2.1600000000000037</v>
      </c>
      <c r="J218" s="349">
        <f t="shared" si="18"/>
        <v>5.848903330625518</v>
      </c>
      <c r="K218" s="347">
        <f t="shared" si="19"/>
        <v>2.1600000000000037</v>
      </c>
      <c r="L218" s="301"/>
      <c r="M218" s="296"/>
    </row>
    <row r="219" spans="1:13" ht="24" x14ac:dyDescent="0.25">
      <c r="A219" s="314" t="s">
        <v>867</v>
      </c>
      <c r="B219" s="315" t="s">
        <v>868</v>
      </c>
      <c r="C219" s="322">
        <v>41.26</v>
      </c>
      <c r="D219" s="347">
        <v>1</v>
      </c>
      <c r="E219" s="347">
        <f t="shared" si="20"/>
        <v>41.26</v>
      </c>
      <c r="F219" s="322">
        <v>44.02</v>
      </c>
      <c r="G219" s="347">
        <v>1</v>
      </c>
      <c r="H219" s="347">
        <f t="shared" si="21"/>
        <v>44.02</v>
      </c>
      <c r="I219" s="348">
        <f t="shared" si="17"/>
        <v>2.7600000000000051</v>
      </c>
      <c r="J219" s="349">
        <f t="shared" si="18"/>
        <v>6.6892874454677784</v>
      </c>
      <c r="K219" s="347">
        <f t="shared" si="19"/>
        <v>2.7600000000000051</v>
      </c>
      <c r="L219" s="301"/>
      <c r="M219" s="296"/>
    </row>
    <row r="220" spans="1:13" ht="24" x14ac:dyDescent="0.25">
      <c r="A220" s="314" t="s">
        <v>869</v>
      </c>
      <c r="B220" s="315" t="s">
        <v>870</v>
      </c>
      <c r="C220" s="322">
        <v>24.99</v>
      </c>
      <c r="D220" s="350"/>
      <c r="E220" s="347">
        <f t="shared" si="20"/>
        <v>0</v>
      </c>
      <c r="F220" s="322">
        <v>24.99</v>
      </c>
      <c r="G220" s="350"/>
      <c r="H220" s="347">
        <f t="shared" si="21"/>
        <v>0</v>
      </c>
      <c r="I220" s="348">
        <f t="shared" si="17"/>
        <v>0</v>
      </c>
      <c r="J220" s="349">
        <f t="shared" si="18"/>
        <v>0</v>
      </c>
      <c r="K220" s="347">
        <f t="shared" si="19"/>
        <v>0</v>
      </c>
      <c r="L220" s="301"/>
      <c r="M220" s="296"/>
    </row>
    <row r="221" spans="1:13" ht="24" x14ac:dyDescent="0.25">
      <c r="A221" s="314" t="s">
        <v>871</v>
      </c>
      <c r="B221" s="315" t="s">
        <v>872</v>
      </c>
      <c r="C221" s="322">
        <v>30.5</v>
      </c>
      <c r="D221" s="347">
        <v>2</v>
      </c>
      <c r="E221" s="347">
        <f t="shared" si="20"/>
        <v>61</v>
      </c>
      <c r="F221" s="322">
        <v>30.5</v>
      </c>
      <c r="G221" s="347">
        <v>2</v>
      </c>
      <c r="H221" s="347">
        <f t="shared" si="21"/>
        <v>61</v>
      </c>
      <c r="I221" s="348">
        <f t="shared" si="17"/>
        <v>0</v>
      </c>
      <c r="J221" s="349">
        <f t="shared" si="18"/>
        <v>0</v>
      </c>
      <c r="K221" s="347">
        <f t="shared" si="19"/>
        <v>0</v>
      </c>
      <c r="L221" s="301"/>
      <c r="M221" s="296"/>
    </row>
    <row r="222" spans="1:13" ht="24" x14ac:dyDescent="0.25">
      <c r="A222" s="314" t="s">
        <v>873</v>
      </c>
      <c r="B222" s="315" t="s">
        <v>874</v>
      </c>
      <c r="C222" s="322">
        <v>38.660000000000011</v>
      </c>
      <c r="D222" s="347">
        <v>2</v>
      </c>
      <c r="E222" s="347">
        <f t="shared" si="20"/>
        <v>77.320000000000022</v>
      </c>
      <c r="F222" s="322">
        <v>38.659999999999997</v>
      </c>
      <c r="G222" s="347">
        <v>2</v>
      </c>
      <c r="H222" s="347">
        <f t="shared" si="21"/>
        <v>77.319999999999993</v>
      </c>
      <c r="I222" s="348">
        <f t="shared" si="17"/>
        <v>0</v>
      </c>
      <c r="J222" s="349">
        <f t="shared" si="18"/>
        <v>0</v>
      </c>
      <c r="K222" s="347">
        <f t="shared" si="19"/>
        <v>0</v>
      </c>
      <c r="L222" s="301"/>
      <c r="M222" s="296"/>
    </row>
    <row r="223" spans="1:13" ht="24" x14ac:dyDescent="0.25">
      <c r="A223" s="314" t="s">
        <v>875</v>
      </c>
      <c r="B223" s="315" t="s">
        <v>876</v>
      </c>
      <c r="C223" s="322">
        <v>44.15</v>
      </c>
      <c r="D223" s="347">
        <v>4</v>
      </c>
      <c r="E223" s="347">
        <f t="shared" si="20"/>
        <v>176.6</v>
      </c>
      <c r="F223" s="322">
        <v>44.15</v>
      </c>
      <c r="G223" s="347">
        <v>4</v>
      </c>
      <c r="H223" s="347">
        <f t="shared" si="21"/>
        <v>176.6</v>
      </c>
      <c r="I223" s="348">
        <f t="shared" si="17"/>
        <v>0</v>
      </c>
      <c r="J223" s="349">
        <f t="shared" si="18"/>
        <v>0</v>
      </c>
      <c r="K223" s="347">
        <f t="shared" si="19"/>
        <v>0</v>
      </c>
      <c r="L223" s="301"/>
      <c r="M223" s="296"/>
    </row>
    <row r="224" spans="1:13" ht="24" x14ac:dyDescent="0.25">
      <c r="A224" s="314" t="s">
        <v>877</v>
      </c>
      <c r="B224" s="315" t="s">
        <v>878</v>
      </c>
      <c r="C224" s="322">
        <v>50.999999999999993</v>
      </c>
      <c r="D224" s="350"/>
      <c r="E224" s="347">
        <f t="shared" si="20"/>
        <v>0</v>
      </c>
      <c r="F224" s="322">
        <v>51</v>
      </c>
      <c r="G224" s="350"/>
      <c r="H224" s="347">
        <f t="shared" si="21"/>
        <v>0</v>
      </c>
      <c r="I224" s="348">
        <f t="shared" si="17"/>
        <v>0</v>
      </c>
      <c r="J224" s="349">
        <f t="shared" si="18"/>
        <v>0</v>
      </c>
      <c r="K224" s="347">
        <f t="shared" si="19"/>
        <v>0</v>
      </c>
      <c r="L224" s="301"/>
      <c r="M224" s="296"/>
    </row>
    <row r="225" spans="1:13" ht="24" x14ac:dyDescent="0.25">
      <c r="A225" s="314" t="s">
        <v>879</v>
      </c>
      <c r="B225" s="315" t="s">
        <v>880</v>
      </c>
      <c r="C225" s="322">
        <v>57.830000000000005</v>
      </c>
      <c r="D225" s="347">
        <v>1</v>
      </c>
      <c r="E225" s="347">
        <f t="shared" si="20"/>
        <v>57.830000000000005</v>
      </c>
      <c r="F225" s="322">
        <v>57.83</v>
      </c>
      <c r="G225" s="347">
        <v>1</v>
      </c>
      <c r="H225" s="347">
        <f t="shared" si="21"/>
        <v>57.83</v>
      </c>
      <c r="I225" s="348">
        <f t="shared" si="17"/>
        <v>0</v>
      </c>
      <c r="J225" s="349">
        <f t="shared" si="18"/>
        <v>0</v>
      </c>
      <c r="K225" s="347">
        <f t="shared" si="19"/>
        <v>0</v>
      </c>
      <c r="L225" s="301"/>
      <c r="M225" s="296"/>
    </row>
    <row r="226" spans="1:13" x14ac:dyDescent="0.25">
      <c r="A226" s="314" t="s">
        <v>881</v>
      </c>
      <c r="B226" s="315" t="s">
        <v>882</v>
      </c>
      <c r="C226" s="322">
        <v>4.330000000000001</v>
      </c>
      <c r="D226" s="347">
        <v>29</v>
      </c>
      <c r="E226" s="347">
        <f t="shared" si="20"/>
        <v>125.57000000000002</v>
      </c>
      <c r="F226" s="322">
        <v>4.43</v>
      </c>
      <c r="G226" s="347">
        <v>29</v>
      </c>
      <c r="H226" s="347">
        <f t="shared" si="21"/>
        <v>128.47</v>
      </c>
      <c r="I226" s="348">
        <f t="shared" si="17"/>
        <v>9.9999999999998757E-2</v>
      </c>
      <c r="J226" s="349">
        <f t="shared" si="18"/>
        <v>2.3094688221708717</v>
      </c>
      <c r="K226" s="347">
        <f t="shared" si="19"/>
        <v>2.8999999999999773</v>
      </c>
      <c r="L226" s="301"/>
      <c r="M226" s="296"/>
    </row>
    <row r="227" spans="1:13" x14ac:dyDescent="0.25">
      <c r="A227" s="314" t="s">
        <v>883</v>
      </c>
      <c r="B227" s="315" t="s">
        <v>884</v>
      </c>
      <c r="C227" s="322">
        <v>6.3200000000000012</v>
      </c>
      <c r="D227" s="347">
        <v>3</v>
      </c>
      <c r="E227" s="347">
        <f t="shared" si="20"/>
        <v>18.960000000000004</v>
      </c>
      <c r="F227" s="322">
        <v>7.46</v>
      </c>
      <c r="G227" s="347">
        <v>3</v>
      </c>
      <c r="H227" s="347">
        <f t="shared" si="21"/>
        <v>22.38</v>
      </c>
      <c r="I227" s="348">
        <f t="shared" si="17"/>
        <v>1.1399999999999988</v>
      </c>
      <c r="J227" s="349">
        <f t="shared" si="18"/>
        <v>18.037974683544281</v>
      </c>
      <c r="K227" s="347">
        <f t="shared" si="19"/>
        <v>3.4199999999999946</v>
      </c>
      <c r="L227" s="301"/>
      <c r="M227" s="296"/>
    </row>
    <row r="228" spans="1:13" x14ac:dyDescent="0.25">
      <c r="A228" s="314" t="s">
        <v>885</v>
      </c>
      <c r="B228" s="315" t="s">
        <v>886</v>
      </c>
      <c r="C228" s="322">
        <v>9.4599999999999991</v>
      </c>
      <c r="D228" s="322"/>
      <c r="E228" s="347">
        <f t="shared" si="20"/>
        <v>0</v>
      </c>
      <c r="F228" s="322">
        <v>11.14</v>
      </c>
      <c r="G228" s="322"/>
      <c r="H228" s="347">
        <f t="shared" si="21"/>
        <v>0</v>
      </c>
      <c r="I228" s="348">
        <f t="shared" si="17"/>
        <v>1.6800000000000015</v>
      </c>
      <c r="J228" s="349">
        <f t="shared" si="18"/>
        <v>17.758985200845682</v>
      </c>
      <c r="K228" s="347">
        <f t="shared" si="19"/>
        <v>0</v>
      </c>
      <c r="L228" s="301"/>
      <c r="M228" s="296"/>
    </row>
    <row r="229" spans="1:13" x14ac:dyDescent="0.25">
      <c r="A229" s="314" t="s">
        <v>887</v>
      </c>
      <c r="B229" s="315" t="s">
        <v>888</v>
      </c>
      <c r="C229" s="322">
        <v>12.680000000000001</v>
      </c>
      <c r="D229" s="322"/>
      <c r="E229" s="347">
        <f t="shared" si="20"/>
        <v>0</v>
      </c>
      <c r="F229" s="322">
        <v>14.93</v>
      </c>
      <c r="G229" s="322"/>
      <c r="H229" s="347">
        <f t="shared" si="21"/>
        <v>0</v>
      </c>
      <c r="I229" s="348">
        <f t="shared" si="17"/>
        <v>2.2499999999999982</v>
      </c>
      <c r="J229" s="349">
        <f t="shared" si="18"/>
        <v>17.744479495268124</v>
      </c>
      <c r="K229" s="347">
        <f t="shared" si="19"/>
        <v>0</v>
      </c>
      <c r="L229" s="301"/>
      <c r="M229" s="296"/>
    </row>
    <row r="230" spans="1:13" x14ac:dyDescent="0.25">
      <c r="A230" s="314" t="s">
        <v>889</v>
      </c>
      <c r="B230" s="315" t="s">
        <v>890</v>
      </c>
      <c r="C230" s="322">
        <v>15.92</v>
      </c>
      <c r="D230" s="322"/>
      <c r="E230" s="347">
        <f t="shared" si="20"/>
        <v>0</v>
      </c>
      <c r="F230" s="322">
        <v>18.690000000000001</v>
      </c>
      <c r="G230" s="322"/>
      <c r="H230" s="347">
        <f t="shared" si="21"/>
        <v>0</v>
      </c>
      <c r="I230" s="348">
        <f t="shared" si="17"/>
        <v>2.7700000000000014</v>
      </c>
      <c r="J230" s="349">
        <f t="shared" si="18"/>
        <v>17.399497487437195</v>
      </c>
      <c r="K230" s="347">
        <f t="shared" si="19"/>
        <v>0</v>
      </c>
      <c r="L230" s="301"/>
      <c r="M230" s="296"/>
    </row>
    <row r="231" spans="1:13" x14ac:dyDescent="0.25">
      <c r="A231" s="320" t="s">
        <v>891</v>
      </c>
      <c r="B231" s="321" t="s">
        <v>892</v>
      </c>
      <c r="C231" s="351">
        <v>19.010000000000002</v>
      </c>
      <c r="D231" s="350"/>
      <c r="E231" s="352">
        <f t="shared" si="20"/>
        <v>0</v>
      </c>
      <c r="F231" s="351">
        <v>22.42</v>
      </c>
      <c r="G231" s="350"/>
      <c r="H231" s="352">
        <f t="shared" si="21"/>
        <v>0</v>
      </c>
      <c r="I231" s="353">
        <f t="shared" si="17"/>
        <v>3.41</v>
      </c>
      <c r="J231" s="354">
        <f t="shared" si="18"/>
        <v>17.937927406628088</v>
      </c>
      <c r="K231" s="352">
        <f t="shared" si="19"/>
        <v>0</v>
      </c>
      <c r="L231" s="301"/>
      <c r="M231" s="296"/>
    </row>
    <row r="232" spans="1:13" x14ac:dyDescent="0.25">
      <c r="A232" s="314" t="s">
        <v>893</v>
      </c>
      <c r="B232" s="315" t="s">
        <v>894</v>
      </c>
      <c r="C232" s="322">
        <v>1.24</v>
      </c>
      <c r="D232" s="347">
        <v>12141</v>
      </c>
      <c r="E232" s="347">
        <f t="shared" si="20"/>
        <v>15054.84</v>
      </c>
      <c r="F232" s="322">
        <v>2.5099999999999998</v>
      </c>
      <c r="G232" s="347">
        <v>12141</v>
      </c>
      <c r="H232" s="347">
        <f t="shared" si="21"/>
        <v>30473.909999999996</v>
      </c>
      <c r="I232" s="348">
        <f t="shared" si="17"/>
        <v>1.2699999999999998</v>
      </c>
      <c r="J232" s="349">
        <f t="shared" si="18"/>
        <v>102.41935483870967</v>
      </c>
      <c r="K232" s="347">
        <f t="shared" si="19"/>
        <v>15419.069999999996</v>
      </c>
      <c r="L232" s="301"/>
      <c r="M232" s="296"/>
    </row>
    <row r="233" spans="1:13" ht="24" x14ac:dyDescent="0.25">
      <c r="A233" s="314" t="s">
        <v>895</v>
      </c>
      <c r="B233" s="315" t="s">
        <v>896</v>
      </c>
      <c r="C233" s="322">
        <v>0.67999999999999994</v>
      </c>
      <c r="D233" s="347">
        <v>41375</v>
      </c>
      <c r="E233" s="347">
        <f t="shared" si="20"/>
        <v>28134.999999999996</v>
      </c>
      <c r="F233" s="322">
        <v>0.68</v>
      </c>
      <c r="G233" s="347">
        <v>41375</v>
      </c>
      <c r="H233" s="347">
        <f t="shared" si="21"/>
        <v>28135.000000000004</v>
      </c>
      <c r="I233" s="348">
        <f t="shared" si="17"/>
        <v>0</v>
      </c>
      <c r="J233" s="349">
        <f t="shared" si="18"/>
        <v>0</v>
      </c>
      <c r="K233" s="347">
        <f t="shared" si="19"/>
        <v>0</v>
      </c>
      <c r="L233" s="301"/>
      <c r="M233" s="296"/>
    </row>
    <row r="234" spans="1:13" x14ac:dyDescent="0.25">
      <c r="A234" s="314" t="s">
        <v>897</v>
      </c>
      <c r="B234" s="315" t="s">
        <v>898</v>
      </c>
      <c r="C234" s="322">
        <v>1.4000000000000001</v>
      </c>
      <c r="D234" s="347">
        <v>1131</v>
      </c>
      <c r="E234" s="347">
        <f t="shared" si="20"/>
        <v>1583.4</v>
      </c>
      <c r="F234" s="322">
        <v>1.51</v>
      </c>
      <c r="G234" s="347">
        <v>1131</v>
      </c>
      <c r="H234" s="347">
        <f t="shared" si="21"/>
        <v>1707.81</v>
      </c>
      <c r="I234" s="348">
        <f t="shared" si="17"/>
        <v>0.10999999999999988</v>
      </c>
      <c r="J234" s="349">
        <f t="shared" si="18"/>
        <v>7.8571428571428479</v>
      </c>
      <c r="K234" s="347">
        <f t="shared" si="19"/>
        <v>124.40999999999985</v>
      </c>
      <c r="L234" s="301"/>
      <c r="M234" s="296"/>
    </row>
    <row r="235" spans="1:13" x14ac:dyDescent="0.25">
      <c r="A235" s="314" t="s">
        <v>899</v>
      </c>
      <c r="B235" s="315" t="s">
        <v>900</v>
      </c>
      <c r="C235" s="322">
        <v>2.04</v>
      </c>
      <c r="D235" s="347">
        <v>63856</v>
      </c>
      <c r="E235" s="347">
        <f t="shared" si="20"/>
        <v>130266.24000000001</v>
      </c>
      <c r="F235" s="322">
        <v>2.04</v>
      </c>
      <c r="G235" s="347">
        <v>63856</v>
      </c>
      <c r="H235" s="347">
        <f t="shared" si="21"/>
        <v>130266.24000000001</v>
      </c>
      <c r="I235" s="348">
        <f t="shared" si="17"/>
        <v>0</v>
      </c>
      <c r="J235" s="349">
        <f t="shared" si="18"/>
        <v>0</v>
      </c>
      <c r="K235" s="347">
        <f t="shared" si="19"/>
        <v>0</v>
      </c>
      <c r="L235" s="301"/>
      <c r="M235" s="296"/>
    </row>
    <row r="236" spans="1:13" x14ac:dyDescent="0.25">
      <c r="A236" s="314" t="s">
        <v>901</v>
      </c>
      <c r="B236" s="315" t="s">
        <v>902</v>
      </c>
      <c r="C236" s="322">
        <v>2.58</v>
      </c>
      <c r="D236" s="347">
        <v>17556</v>
      </c>
      <c r="E236" s="347">
        <f t="shared" si="20"/>
        <v>45294.48</v>
      </c>
      <c r="F236" s="322">
        <v>2.58</v>
      </c>
      <c r="G236" s="347">
        <v>17556</v>
      </c>
      <c r="H236" s="347">
        <f t="shared" si="21"/>
        <v>45294.48</v>
      </c>
      <c r="I236" s="348">
        <f t="shared" si="17"/>
        <v>0</v>
      </c>
      <c r="J236" s="349">
        <f t="shared" si="18"/>
        <v>0</v>
      </c>
      <c r="K236" s="347">
        <f t="shared" si="19"/>
        <v>0</v>
      </c>
      <c r="L236" s="301"/>
      <c r="M236" s="296"/>
    </row>
    <row r="237" spans="1:13" x14ac:dyDescent="0.25">
      <c r="A237" s="314" t="s">
        <v>903</v>
      </c>
      <c r="B237" s="315" t="s">
        <v>904</v>
      </c>
      <c r="C237" s="322">
        <v>2.0599999999999996</v>
      </c>
      <c r="D237" s="347">
        <v>249</v>
      </c>
      <c r="E237" s="347">
        <f t="shared" si="20"/>
        <v>512.93999999999994</v>
      </c>
      <c r="F237" s="322">
        <v>2.44</v>
      </c>
      <c r="G237" s="347">
        <v>249</v>
      </c>
      <c r="H237" s="347">
        <f t="shared" si="21"/>
        <v>607.55999999999995</v>
      </c>
      <c r="I237" s="348">
        <f t="shared" si="17"/>
        <v>0.38000000000000034</v>
      </c>
      <c r="J237" s="349">
        <f t="shared" si="18"/>
        <v>18.446601941747595</v>
      </c>
      <c r="K237" s="347">
        <f t="shared" si="19"/>
        <v>94.62</v>
      </c>
      <c r="L237" s="301"/>
      <c r="M237" s="296"/>
    </row>
    <row r="238" spans="1:13" x14ac:dyDescent="0.25">
      <c r="A238" s="314" t="s">
        <v>905</v>
      </c>
      <c r="B238" s="315" t="s">
        <v>906</v>
      </c>
      <c r="C238" s="322">
        <v>0.54</v>
      </c>
      <c r="D238" s="347">
        <v>5</v>
      </c>
      <c r="E238" s="347">
        <f t="shared" si="20"/>
        <v>2.7</v>
      </c>
      <c r="F238" s="322">
        <v>0.71</v>
      </c>
      <c r="G238" s="347">
        <v>5</v>
      </c>
      <c r="H238" s="347">
        <f t="shared" si="21"/>
        <v>3.55</v>
      </c>
      <c r="I238" s="348">
        <f t="shared" si="17"/>
        <v>0.16999999999999993</v>
      </c>
      <c r="J238" s="349">
        <f t="shared" si="18"/>
        <v>31.481481481481467</v>
      </c>
      <c r="K238" s="347">
        <f t="shared" si="19"/>
        <v>0.84999999999999964</v>
      </c>
      <c r="L238" s="301"/>
      <c r="M238" s="296"/>
    </row>
    <row r="239" spans="1:13" x14ac:dyDescent="0.25">
      <c r="A239" s="314" t="s">
        <v>907</v>
      </c>
      <c r="B239" s="315" t="s">
        <v>908</v>
      </c>
      <c r="C239" s="322">
        <v>1.1200000000000001</v>
      </c>
      <c r="D239" s="347">
        <v>4</v>
      </c>
      <c r="E239" s="347">
        <f t="shared" si="20"/>
        <v>4.4800000000000004</v>
      </c>
      <c r="F239" s="322">
        <v>1.63</v>
      </c>
      <c r="G239" s="347">
        <v>4</v>
      </c>
      <c r="H239" s="347">
        <f t="shared" si="21"/>
        <v>6.52</v>
      </c>
      <c r="I239" s="348">
        <f t="shared" si="17"/>
        <v>0.50999999999999979</v>
      </c>
      <c r="J239" s="349">
        <f t="shared" si="18"/>
        <v>45.535714285714263</v>
      </c>
      <c r="K239" s="347">
        <f t="shared" si="19"/>
        <v>2.0399999999999991</v>
      </c>
      <c r="L239" s="301"/>
      <c r="M239" s="296"/>
    </row>
    <row r="240" spans="1:13" x14ac:dyDescent="0.25">
      <c r="A240" s="314" t="s">
        <v>909</v>
      </c>
      <c r="B240" s="315" t="s">
        <v>910</v>
      </c>
      <c r="C240" s="322">
        <v>1.1100000000000001</v>
      </c>
      <c r="D240" s="347">
        <v>2</v>
      </c>
      <c r="E240" s="347">
        <f t="shared" si="20"/>
        <v>2.2200000000000002</v>
      </c>
      <c r="F240" s="322">
        <v>1.54</v>
      </c>
      <c r="G240" s="347">
        <v>2</v>
      </c>
      <c r="H240" s="347">
        <f t="shared" si="21"/>
        <v>3.08</v>
      </c>
      <c r="I240" s="348">
        <f t="shared" si="17"/>
        <v>0.42999999999999994</v>
      </c>
      <c r="J240" s="349">
        <f t="shared" si="18"/>
        <v>38.738738738738732</v>
      </c>
      <c r="K240" s="347">
        <f t="shared" si="19"/>
        <v>0.85999999999999988</v>
      </c>
      <c r="L240" s="301"/>
      <c r="M240" s="296"/>
    </row>
    <row r="241" spans="1:13" ht="24" x14ac:dyDescent="0.25">
      <c r="A241" s="314" t="s">
        <v>911</v>
      </c>
      <c r="B241" s="315" t="s">
        <v>912</v>
      </c>
      <c r="C241" s="322">
        <v>0.9900000000000001</v>
      </c>
      <c r="D241" s="347">
        <v>23013</v>
      </c>
      <c r="E241" s="347">
        <f t="shared" si="20"/>
        <v>22782.870000000003</v>
      </c>
      <c r="F241" s="322">
        <v>2.46</v>
      </c>
      <c r="G241" s="347">
        <v>23013</v>
      </c>
      <c r="H241" s="347">
        <f t="shared" si="21"/>
        <v>56611.979999999996</v>
      </c>
      <c r="I241" s="348">
        <f t="shared" si="17"/>
        <v>1.4699999999999998</v>
      </c>
      <c r="J241" s="349">
        <f t="shared" si="18"/>
        <v>148.48484848484844</v>
      </c>
      <c r="K241" s="347">
        <f t="shared" si="19"/>
        <v>33829.109999999993</v>
      </c>
      <c r="L241" s="301"/>
      <c r="M241" s="296"/>
    </row>
    <row r="242" spans="1:13" ht="24" x14ac:dyDescent="0.25">
      <c r="A242" s="314" t="s">
        <v>913</v>
      </c>
      <c r="B242" s="315" t="s">
        <v>914</v>
      </c>
      <c r="C242" s="322">
        <v>1.5700000000000003</v>
      </c>
      <c r="D242" s="347">
        <v>2896</v>
      </c>
      <c r="E242" s="347">
        <f t="shared" si="20"/>
        <v>4546.7200000000012</v>
      </c>
      <c r="F242" s="322">
        <v>1.57</v>
      </c>
      <c r="G242" s="347">
        <v>2896</v>
      </c>
      <c r="H242" s="347">
        <f t="shared" si="21"/>
        <v>4546.72</v>
      </c>
      <c r="I242" s="348">
        <f t="shared" si="17"/>
        <v>0</v>
      </c>
      <c r="J242" s="349">
        <f t="shared" si="18"/>
        <v>0</v>
      </c>
      <c r="K242" s="347">
        <f t="shared" si="19"/>
        <v>0</v>
      </c>
      <c r="L242" s="301"/>
      <c r="M242" s="296"/>
    </row>
    <row r="243" spans="1:13" ht="48" x14ac:dyDescent="0.25">
      <c r="A243" s="314" t="s">
        <v>915</v>
      </c>
      <c r="B243" s="315" t="s">
        <v>916</v>
      </c>
      <c r="C243" s="322">
        <v>11.620000000000001</v>
      </c>
      <c r="D243" s="347">
        <v>2942</v>
      </c>
      <c r="E243" s="347">
        <f t="shared" si="20"/>
        <v>34186.04</v>
      </c>
      <c r="F243" s="322">
        <v>11.62</v>
      </c>
      <c r="G243" s="347">
        <v>2942</v>
      </c>
      <c r="H243" s="347">
        <f t="shared" si="21"/>
        <v>34186.04</v>
      </c>
      <c r="I243" s="348">
        <f t="shared" si="17"/>
        <v>0</v>
      </c>
      <c r="J243" s="349">
        <f t="shared" si="18"/>
        <v>0</v>
      </c>
      <c r="K243" s="347">
        <f t="shared" si="19"/>
        <v>0</v>
      </c>
      <c r="L243" s="301"/>
      <c r="M243" s="296"/>
    </row>
    <row r="244" spans="1:13" ht="48" x14ac:dyDescent="0.25">
      <c r="A244" s="322" t="s">
        <v>917</v>
      </c>
      <c r="B244" s="315" t="s">
        <v>918</v>
      </c>
      <c r="C244" s="322">
        <v>5.9799999999999995</v>
      </c>
      <c r="D244" s="347">
        <v>331</v>
      </c>
      <c r="E244" s="347">
        <f t="shared" si="20"/>
        <v>1979.3799999999999</v>
      </c>
      <c r="F244" s="322">
        <v>5.98</v>
      </c>
      <c r="G244" s="347">
        <v>331</v>
      </c>
      <c r="H244" s="347">
        <f t="shared" si="21"/>
        <v>1979.38</v>
      </c>
      <c r="I244" s="348">
        <f t="shared" si="17"/>
        <v>0</v>
      </c>
      <c r="J244" s="349">
        <f t="shared" si="18"/>
        <v>0</v>
      </c>
      <c r="K244" s="347">
        <f t="shared" si="19"/>
        <v>0</v>
      </c>
      <c r="L244" s="301"/>
      <c r="M244" s="296"/>
    </row>
    <row r="245" spans="1:13" x14ac:dyDescent="0.25">
      <c r="A245" s="453" t="s">
        <v>159</v>
      </c>
      <c r="B245" s="453"/>
      <c r="C245" s="348"/>
      <c r="D245" s="347">
        <f>SUM(D5:D244)</f>
        <v>2120375</v>
      </c>
      <c r="E245" s="347">
        <f>SUM(E5:E244)</f>
        <v>8267893.6750000054</v>
      </c>
      <c r="F245" s="347"/>
      <c r="G245" s="347">
        <f>SUM(G5:G244)</f>
        <v>2120375</v>
      </c>
      <c r="H245" s="347">
        <f>SUM(H5:H244)</f>
        <v>11222235.525000013</v>
      </c>
      <c r="I245" s="347">
        <f>SUM(I5:I244)</f>
        <v>622.99999999999943</v>
      </c>
      <c r="J245" s="347"/>
      <c r="K245" s="347">
        <f>SUM(K5:K244)</f>
        <v>2954341.8499999992</v>
      </c>
      <c r="L245" s="301"/>
      <c r="M245" s="298"/>
    </row>
    <row r="246" spans="1:13" x14ac:dyDescent="0.25">
      <c r="A246" s="323"/>
      <c r="B246" s="323"/>
      <c r="C246" s="324"/>
      <c r="D246" s="325"/>
      <c r="E246" s="325"/>
      <c r="F246" s="324"/>
      <c r="G246" s="325"/>
      <c r="H246" s="325"/>
      <c r="I246" s="324"/>
      <c r="J246" s="326"/>
      <c r="K246" s="325"/>
      <c r="L246" s="301"/>
      <c r="M246" s="304"/>
    </row>
    <row r="247" spans="1:13" x14ac:dyDescent="0.25">
      <c r="A247" s="447" t="s">
        <v>953</v>
      </c>
      <c r="B247" s="447"/>
      <c r="C247" s="447"/>
      <c r="D247" s="447"/>
      <c r="E247" s="447"/>
      <c r="F247" s="447"/>
      <c r="G247" s="447"/>
      <c r="H247" s="327">
        <f>H245-E245</f>
        <v>2954341.850000008</v>
      </c>
      <c r="I247" s="328"/>
      <c r="J247" s="329"/>
      <c r="K247" s="330"/>
      <c r="L247" s="305"/>
      <c r="M247" s="296"/>
    </row>
    <row r="248" spans="1:13" x14ac:dyDescent="0.25">
      <c r="A248" s="447" t="s">
        <v>919</v>
      </c>
      <c r="B248" s="447"/>
      <c r="C248" s="447"/>
      <c r="D248" s="447"/>
      <c r="E248" s="447"/>
      <c r="F248" s="447"/>
      <c r="G248" s="447"/>
      <c r="H248" s="331">
        <f>H247*100/E245</f>
        <v>35.732702501160382</v>
      </c>
      <c r="I248" s="332"/>
      <c r="J248" s="329"/>
      <c r="K248" s="330"/>
      <c r="L248" s="305"/>
      <c r="M248" s="296"/>
    </row>
    <row r="249" spans="1:13" x14ac:dyDescent="0.25">
      <c r="A249" s="447" t="s">
        <v>920</v>
      </c>
      <c r="B249" s="447"/>
      <c r="C249" s="447"/>
      <c r="D249" s="447"/>
      <c r="E249" s="447"/>
      <c r="F249" s="447"/>
      <c r="G249" s="447"/>
      <c r="H249" s="317">
        <f>H247-H250-H251</f>
        <v>2938907.7200000081</v>
      </c>
      <c r="I249" s="332"/>
      <c r="J249" s="333"/>
      <c r="K249" s="332"/>
      <c r="L249" s="304"/>
      <c r="M249" s="296"/>
    </row>
    <row r="250" spans="1:13" x14ac:dyDescent="0.25">
      <c r="A250" s="453" t="s">
        <v>921</v>
      </c>
      <c r="B250" s="453"/>
      <c r="C250" s="453"/>
      <c r="D250" s="453"/>
      <c r="E250" s="453"/>
      <c r="F250" s="453"/>
      <c r="G250" s="453"/>
      <c r="H250" s="317">
        <f>(H233+H235+H236)-(E233+E235+E236)</f>
        <v>0</v>
      </c>
      <c r="I250" s="332" t="s">
        <v>922</v>
      </c>
      <c r="J250" s="333"/>
      <c r="K250" s="332"/>
      <c r="L250" s="304"/>
      <c r="M250" s="304"/>
    </row>
    <row r="251" spans="1:13" x14ac:dyDescent="0.25">
      <c r="A251" s="447" t="s">
        <v>923</v>
      </c>
      <c r="B251" s="447"/>
      <c r="C251" s="447"/>
      <c r="D251" s="447"/>
      <c r="E251" s="447"/>
      <c r="F251" s="447"/>
      <c r="G251" s="447"/>
      <c r="H251" s="317">
        <f>H74</f>
        <v>15434.130000000001</v>
      </c>
      <c r="I251" s="332"/>
      <c r="J251" s="329"/>
      <c r="K251" s="332"/>
      <c r="L251" s="304"/>
      <c r="M251" s="304"/>
    </row>
    <row r="252" spans="1:13" x14ac:dyDescent="0.25">
      <c r="A252" s="447" t="s">
        <v>954</v>
      </c>
      <c r="B252" s="447"/>
      <c r="C252" s="447"/>
      <c r="D252" s="447"/>
      <c r="E252" s="447"/>
      <c r="F252" s="447"/>
      <c r="G252" s="447"/>
      <c r="H252" s="356">
        <f>H245*0.2</f>
        <v>2244447.1050000028</v>
      </c>
      <c r="I252" s="317">
        <f>J260</f>
        <v>3917106</v>
      </c>
      <c r="J252" s="329"/>
      <c r="K252" s="332"/>
      <c r="L252" s="304"/>
      <c r="M252" s="304"/>
    </row>
    <row r="253" spans="1:13" x14ac:dyDescent="0.25">
      <c r="A253" s="447" t="s">
        <v>955</v>
      </c>
      <c r="B253" s="447"/>
      <c r="C253" s="447"/>
      <c r="D253" s="447"/>
      <c r="E253" s="447"/>
      <c r="F253" s="447"/>
      <c r="G253" s="447"/>
      <c r="H253" s="356">
        <f>H252+H247</f>
        <v>5198788.9550000113</v>
      </c>
      <c r="I253" s="334">
        <f>I252+H247</f>
        <v>6871447.850000008</v>
      </c>
      <c r="J253" s="329"/>
      <c r="K253" s="325"/>
      <c r="L253" s="303"/>
      <c r="M253" s="304"/>
    </row>
    <row r="254" spans="1:13" ht="15.75" customHeight="1" x14ac:dyDescent="0.25">
      <c r="A254" s="335"/>
      <c r="B254" s="448"/>
      <c r="C254" s="448"/>
      <c r="D254" s="448"/>
      <c r="E254" s="309"/>
      <c r="F254" s="308"/>
      <c r="G254" s="308"/>
      <c r="H254" s="309"/>
      <c r="I254" s="308"/>
      <c r="J254" s="329"/>
      <c r="K254" s="332"/>
      <c r="L254" s="304"/>
      <c r="M254" s="304"/>
    </row>
    <row r="255" spans="1:13" ht="18.75" customHeight="1" x14ac:dyDescent="0.25">
      <c r="A255" s="335"/>
      <c r="B255" s="448"/>
      <c r="C255" s="448"/>
      <c r="D255" s="448"/>
      <c r="E255" s="309"/>
      <c r="F255" s="308"/>
      <c r="G255" s="308"/>
      <c r="H255" s="309"/>
      <c r="I255" s="315" t="s">
        <v>958</v>
      </c>
      <c r="J255" s="355">
        <v>357643</v>
      </c>
      <c r="K255" s="308"/>
      <c r="L255" s="296"/>
      <c r="M255" s="296"/>
    </row>
    <row r="256" spans="1:13" ht="28.5" customHeight="1" x14ac:dyDescent="0.25">
      <c r="A256" s="308"/>
      <c r="B256" s="308"/>
      <c r="C256" s="308"/>
      <c r="D256" s="308"/>
      <c r="E256" s="309"/>
      <c r="F256" s="308"/>
      <c r="G256" s="308"/>
      <c r="H256" s="309"/>
      <c r="I256" s="315" t="s">
        <v>959</v>
      </c>
      <c r="J256" s="355">
        <v>187102</v>
      </c>
      <c r="K256" s="308"/>
      <c r="L256" s="296"/>
      <c r="M256" s="296"/>
    </row>
    <row r="257" spans="1:13" ht="23.25" customHeight="1" x14ac:dyDescent="0.25">
      <c r="A257" s="336"/>
      <c r="B257" s="449" t="s">
        <v>924</v>
      </c>
      <c r="C257" s="346">
        <v>13255</v>
      </c>
      <c r="D257" s="357">
        <f>C257/$C$259</f>
        <v>2.1956269670366075</v>
      </c>
      <c r="E257" s="309"/>
      <c r="F257" s="308"/>
      <c r="G257" s="308"/>
      <c r="H257" s="309"/>
      <c r="I257" s="315" t="s">
        <v>960</v>
      </c>
      <c r="J257" s="355">
        <f>ROUND(J256/J255*100,2)</f>
        <v>52.32</v>
      </c>
      <c r="K257" s="308"/>
      <c r="L257" s="296"/>
      <c r="M257" s="296"/>
    </row>
    <row r="258" spans="1:13" ht="31.5" customHeight="1" x14ac:dyDescent="0.25">
      <c r="A258" s="308"/>
      <c r="B258" s="450"/>
      <c r="C258" s="346">
        <v>23726</v>
      </c>
      <c r="D258" s="357">
        <f>C258/$C$259</f>
        <v>3.9300977306609242</v>
      </c>
      <c r="E258" s="309"/>
      <c r="F258" s="308"/>
      <c r="G258" s="308"/>
      <c r="H258" s="309"/>
      <c r="I258" s="315" t="s">
        <v>956</v>
      </c>
      <c r="J258" s="355">
        <f>ROUND(H245/J256,0)</f>
        <v>60</v>
      </c>
      <c r="K258" s="308"/>
      <c r="L258" s="296"/>
      <c r="M258" s="297"/>
    </row>
    <row r="259" spans="1:13" ht="25.5" customHeight="1" x14ac:dyDescent="0.25">
      <c r="A259" s="308"/>
      <c r="B259" s="450"/>
      <c r="C259" s="346">
        <v>6037</v>
      </c>
      <c r="D259" s="357">
        <f>C259/$C$259</f>
        <v>1</v>
      </c>
      <c r="E259" s="309"/>
      <c r="F259" s="308"/>
      <c r="G259" s="309"/>
      <c r="H259" s="309"/>
      <c r="I259" s="315" t="s">
        <v>925</v>
      </c>
      <c r="J259" s="355">
        <f>ROUND(J255*70/100,0)</f>
        <v>250350</v>
      </c>
      <c r="K259" s="308"/>
      <c r="L259" s="296"/>
      <c r="M259" s="297"/>
    </row>
    <row r="260" spans="1:13" ht="27" customHeight="1" x14ac:dyDescent="0.25">
      <c r="A260" s="308"/>
      <c r="B260" s="451"/>
      <c r="C260" s="346">
        <f>C257+C258+C259</f>
        <v>43018</v>
      </c>
      <c r="D260" s="346">
        <f>D257+D258+D259</f>
        <v>7.1257246976975317</v>
      </c>
      <c r="E260" s="309"/>
      <c r="F260" s="308"/>
      <c r="G260" s="308"/>
      <c r="H260" s="309"/>
      <c r="I260" s="315" t="s">
        <v>957</v>
      </c>
      <c r="J260" s="355">
        <f>ROUND(((J259*J258)-H245)*1.0311526,0)</f>
        <v>3917106</v>
      </c>
      <c r="K260" s="308"/>
      <c r="L260" s="296"/>
      <c r="M260" s="297"/>
    </row>
    <row r="261" spans="1:13" x14ac:dyDescent="0.25">
      <c r="A261" s="308"/>
      <c r="B261" s="449" t="s">
        <v>926</v>
      </c>
      <c r="C261" s="345">
        <v>526698</v>
      </c>
      <c r="D261" s="316" t="s">
        <v>991</v>
      </c>
      <c r="E261" s="309"/>
      <c r="F261" s="332"/>
      <c r="G261" s="332"/>
      <c r="H261" s="309"/>
      <c r="I261" s="316" t="s">
        <v>927</v>
      </c>
      <c r="J261" s="355">
        <v>1.0311526</v>
      </c>
      <c r="K261" s="308"/>
      <c r="L261" s="296"/>
      <c r="M261" s="297"/>
    </row>
    <row r="262" spans="1:13" x14ac:dyDescent="0.25">
      <c r="A262" s="308"/>
      <c r="B262" s="460"/>
      <c r="C262" s="346">
        <f>C261-C260</f>
        <v>483680</v>
      </c>
      <c r="D262" s="358">
        <f>ROUND(C262*0.31,2)</f>
        <v>149940.79999999999</v>
      </c>
      <c r="E262" s="346">
        <f>D262-C257</f>
        <v>136685.79999999999</v>
      </c>
      <c r="F262" s="332"/>
      <c r="G262" s="332"/>
      <c r="H262" s="309"/>
      <c r="I262" s="308"/>
      <c r="J262" s="310"/>
      <c r="K262" s="308"/>
      <c r="L262" s="296"/>
      <c r="M262" s="296"/>
    </row>
    <row r="263" spans="1:13" x14ac:dyDescent="0.25">
      <c r="A263" s="308"/>
      <c r="B263" s="460"/>
      <c r="C263" s="345"/>
      <c r="D263" s="358">
        <f>ROUND(C262*0.55,2)</f>
        <v>266024</v>
      </c>
      <c r="E263" s="346">
        <f>D263-C258</f>
        <v>242298</v>
      </c>
      <c r="F263" s="332"/>
      <c r="G263" s="332"/>
      <c r="H263" s="309"/>
      <c r="I263" s="308"/>
      <c r="J263" s="310"/>
      <c r="K263" s="308"/>
      <c r="L263" s="296"/>
      <c r="M263" s="296"/>
    </row>
    <row r="264" spans="1:13" x14ac:dyDescent="0.25">
      <c r="A264" s="308"/>
      <c r="B264" s="460"/>
      <c r="C264" s="316"/>
      <c r="D264" s="358">
        <f>ROUND(C262*0.14,2)</f>
        <v>67715.199999999997</v>
      </c>
      <c r="E264" s="346">
        <f>D264-C259</f>
        <v>61678.2</v>
      </c>
      <c r="F264" s="332"/>
      <c r="G264" s="332"/>
      <c r="H264" s="309"/>
      <c r="I264" s="308"/>
      <c r="J264" s="310"/>
      <c r="K264" s="308"/>
      <c r="L264" s="296"/>
      <c r="M264" s="296"/>
    </row>
    <row r="265" spans="1:13" x14ac:dyDescent="0.25">
      <c r="A265" s="308"/>
      <c r="B265" s="461"/>
      <c r="C265" s="316"/>
      <c r="D265" s="358">
        <f>D264+D263+D262</f>
        <v>483680</v>
      </c>
      <c r="E265" s="358">
        <f t="shared" ref="E265" si="22">E264+E263+E262</f>
        <v>440662</v>
      </c>
      <c r="F265" s="337"/>
      <c r="G265" s="337"/>
      <c r="H265" s="309"/>
      <c r="I265" s="308"/>
      <c r="J265" s="310"/>
      <c r="K265" s="308"/>
      <c r="L265" s="296"/>
      <c r="M265" s="296"/>
    </row>
    <row r="266" spans="1:13" x14ac:dyDescent="0.25">
      <c r="A266" s="308"/>
      <c r="B266" s="308"/>
      <c r="C266" s="316"/>
      <c r="D266" s="345"/>
      <c r="E266" s="357">
        <v>1</v>
      </c>
      <c r="F266" s="338"/>
      <c r="G266" s="332"/>
      <c r="H266" s="309"/>
      <c r="I266" s="308"/>
      <c r="J266" s="310"/>
      <c r="K266" s="308"/>
      <c r="L266" s="296"/>
      <c r="M266" s="296"/>
    </row>
    <row r="267" spans="1:13" x14ac:dyDescent="0.25">
      <c r="A267" s="308"/>
      <c r="B267" s="308"/>
      <c r="C267" s="332"/>
      <c r="D267" s="375"/>
      <c r="E267" s="376"/>
      <c r="F267" s="338"/>
      <c r="G267" s="332"/>
      <c r="H267" s="309"/>
      <c r="I267" s="308"/>
      <c r="J267" s="310"/>
      <c r="K267" s="308"/>
      <c r="L267" s="296"/>
      <c r="M267" s="296"/>
    </row>
    <row r="268" spans="1:13" x14ac:dyDescent="0.25">
      <c r="A268" s="339" t="s">
        <v>983</v>
      </c>
      <c r="B268" s="339"/>
      <c r="C268" s="339"/>
      <c r="D268" s="339"/>
      <c r="E268" s="339"/>
      <c r="F268" s="377"/>
      <c r="G268" s="377"/>
      <c r="H268" s="309"/>
      <c r="I268" s="308"/>
      <c r="J268" s="310"/>
      <c r="K268" s="308"/>
      <c r="L268" s="296"/>
      <c r="M268" s="296"/>
    </row>
    <row r="269" spans="1:13" ht="15" customHeight="1" x14ac:dyDescent="0.25">
      <c r="A269" s="449" t="s">
        <v>379</v>
      </c>
      <c r="B269" s="449" t="s">
        <v>181</v>
      </c>
      <c r="C269" s="459" t="s">
        <v>984</v>
      </c>
      <c r="D269" s="462" t="s">
        <v>928</v>
      </c>
      <c r="E269" s="463"/>
      <c r="F269" s="79"/>
      <c r="G269" s="79"/>
      <c r="H269" s="309"/>
      <c r="I269" s="308"/>
      <c r="J269" s="310"/>
      <c r="K269" s="308"/>
      <c r="L269" s="296"/>
      <c r="M269" s="296"/>
    </row>
    <row r="270" spans="1:13" ht="36.75" x14ac:dyDescent="0.25">
      <c r="A270" s="451"/>
      <c r="B270" s="451"/>
      <c r="C270" s="459"/>
      <c r="D270" s="378" t="s">
        <v>985</v>
      </c>
      <c r="E270" s="379" t="s">
        <v>986</v>
      </c>
      <c r="F270" s="79"/>
      <c r="G270" s="79"/>
      <c r="H270" s="309"/>
      <c r="I270" s="308"/>
      <c r="J270" s="310"/>
      <c r="K270" s="308"/>
      <c r="L270" s="296"/>
      <c r="M270" s="296"/>
    </row>
    <row r="271" spans="1:13" x14ac:dyDescent="0.25">
      <c r="A271" s="340" t="s">
        <v>929</v>
      </c>
      <c r="B271" s="341" t="s">
        <v>930</v>
      </c>
      <c r="C271" s="380">
        <v>3175</v>
      </c>
      <c r="D271" s="381">
        <v>14.58</v>
      </c>
      <c r="E271" s="382">
        <f t="shared" ref="E271:E280" si="23">C271*D271</f>
        <v>46291.5</v>
      </c>
      <c r="F271" s="79"/>
      <c r="G271" s="79"/>
      <c r="H271" s="309"/>
      <c r="I271" s="308"/>
      <c r="J271" s="310"/>
      <c r="K271" s="308"/>
      <c r="L271" s="296"/>
      <c r="M271" s="296"/>
    </row>
    <row r="272" spans="1:13" x14ac:dyDescent="0.25">
      <c r="A272" s="340" t="s">
        <v>931</v>
      </c>
      <c r="B272" s="341" t="s">
        <v>932</v>
      </c>
      <c r="C272" s="380">
        <v>5576</v>
      </c>
      <c r="D272" s="381">
        <v>16.05</v>
      </c>
      <c r="E272" s="382">
        <f t="shared" si="23"/>
        <v>89494.8</v>
      </c>
      <c r="F272" s="79"/>
      <c r="G272" s="79"/>
      <c r="H272" s="309"/>
      <c r="I272" s="308"/>
      <c r="J272" s="310"/>
      <c r="K272" s="308"/>
      <c r="L272" s="296"/>
      <c r="M272" s="296"/>
    </row>
    <row r="273" spans="1:13" x14ac:dyDescent="0.25">
      <c r="A273" s="340" t="s">
        <v>933</v>
      </c>
      <c r="B273" s="341" t="s">
        <v>934</v>
      </c>
      <c r="C273" s="380">
        <v>3297</v>
      </c>
      <c r="D273" s="381">
        <v>19.63</v>
      </c>
      <c r="E273" s="382">
        <f t="shared" si="23"/>
        <v>64720.109999999993</v>
      </c>
      <c r="F273" s="79"/>
      <c r="G273" s="79"/>
      <c r="H273" s="309"/>
      <c r="I273" s="308"/>
      <c r="J273" s="310"/>
      <c r="K273" s="308"/>
      <c r="L273" s="296"/>
      <c r="M273" s="296"/>
    </row>
    <row r="274" spans="1:13" x14ac:dyDescent="0.25">
      <c r="A274" s="340" t="s">
        <v>935</v>
      </c>
      <c r="B274" s="341" t="s">
        <v>936</v>
      </c>
      <c r="C274" s="380">
        <v>652</v>
      </c>
      <c r="D274" s="381">
        <v>22.900000000000002</v>
      </c>
      <c r="E274" s="382">
        <f t="shared" si="23"/>
        <v>14930.800000000001</v>
      </c>
      <c r="F274" s="79"/>
      <c r="G274" s="79"/>
      <c r="H274" s="309"/>
      <c r="I274" s="308"/>
      <c r="J274" s="310"/>
      <c r="K274" s="308"/>
      <c r="L274" s="296"/>
      <c r="M274" s="296"/>
    </row>
    <row r="275" spans="1:13" x14ac:dyDescent="0.25">
      <c r="A275" s="340" t="s">
        <v>937</v>
      </c>
      <c r="B275" s="341" t="s">
        <v>938</v>
      </c>
      <c r="C275" s="380">
        <v>141</v>
      </c>
      <c r="D275" s="381">
        <v>27.76</v>
      </c>
      <c r="E275" s="382">
        <f t="shared" si="23"/>
        <v>3914.1600000000003</v>
      </c>
      <c r="F275" s="79"/>
      <c r="G275" s="79"/>
      <c r="H275" s="309"/>
      <c r="I275" s="308"/>
      <c r="J275" s="310"/>
      <c r="K275" s="308"/>
      <c r="L275" s="296"/>
      <c r="M275" s="296"/>
    </row>
    <row r="276" spans="1:13" x14ac:dyDescent="0.25">
      <c r="A276" s="340" t="s">
        <v>939</v>
      </c>
      <c r="B276" s="341" t="s">
        <v>940</v>
      </c>
      <c r="C276" s="380">
        <v>12894</v>
      </c>
      <c r="D276" s="381">
        <v>14.76</v>
      </c>
      <c r="E276" s="382">
        <f t="shared" si="23"/>
        <v>190315.44</v>
      </c>
      <c r="F276" s="79"/>
      <c r="G276" s="79"/>
      <c r="H276" s="309"/>
      <c r="I276" s="308"/>
      <c r="J276" s="310"/>
      <c r="K276" s="308"/>
      <c r="L276" s="296"/>
      <c r="M276" s="296"/>
    </row>
    <row r="277" spans="1:13" x14ac:dyDescent="0.25">
      <c r="A277" s="340" t="s">
        <v>941</v>
      </c>
      <c r="B277" s="341" t="s">
        <v>942</v>
      </c>
      <c r="C277" s="380">
        <v>6988</v>
      </c>
      <c r="D277" s="381">
        <v>18.66</v>
      </c>
      <c r="E277" s="382">
        <f t="shared" si="23"/>
        <v>130396.08</v>
      </c>
      <c r="F277" s="79"/>
      <c r="G277" s="79"/>
      <c r="H277" s="309"/>
      <c r="I277" s="308"/>
      <c r="J277" s="310"/>
      <c r="K277" s="308"/>
      <c r="L277" s="296"/>
      <c r="M277" s="296"/>
    </row>
    <row r="278" spans="1:13" x14ac:dyDescent="0.25">
      <c r="A278" s="340" t="s">
        <v>943</v>
      </c>
      <c r="B278" s="341" t="s">
        <v>944</v>
      </c>
      <c r="C278" s="380">
        <v>4651</v>
      </c>
      <c r="D278" s="381">
        <v>22.020000000000003</v>
      </c>
      <c r="E278" s="382">
        <f t="shared" si="23"/>
        <v>102415.02000000002</v>
      </c>
      <c r="F278" s="79"/>
      <c r="G278" s="79"/>
      <c r="H278" s="309"/>
      <c r="I278" s="308"/>
      <c r="J278" s="310"/>
      <c r="K278" s="308"/>
      <c r="L278" s="296"/>
      <c r="M278" s="296"/>
    </row>
    <row r="279" spans="1:13" x14ac:dyDescent="0.25">
      <c r="A279" s="340" t="s">
        <v>945</v>
      </c>
      <c r="B279" s="341" t="s">
        <v>946</v>
      </c>
      <c r="C279" s="380">
        <v>1611</v>
      </c>
      <c r="D279" s="381">
        <v>26.87</v>
      </c>
      <c r="E279" s="382">
        <f t="shared" si="23"/>
        <v>43287.57</v>
      </c>
      <c r="F279" s="79"/>
      <c r="G279" s="79"/>
      <c r="H279" s="309"/>
      <c r="I279" s="308"/>
      <c r="J279" s="310"/>
      <c r="K279" s="308"/>
      <c r="L279" s="296"/>
      <c r="M279" s="296"/>
    </row>
    <row r="280" spans="1:13" x14ac:dyDescent="0.25">
      <c r="A280" s="340" t="s">
        <v>947</v>
      </c>
      <c r="B280" s="341" t="s">
        <v>948</v>
      </c>
      <c r="C280" s="380">
        <v>285</v>
      </c>
      <c r="D280" s="381">
        <v>30.330000000000005</v>
      </c>
      <c r="E280" s="382">
        <f t="shared" si="23"/>
        <v>8644.0500000000011</v>
      </c>
      <c r="F280" s="79"/>
      <c r="G280" s="79"/>
      <c r="H280" s="309"/>
      <c r="I280" s="308"/>
      <c r="J280" s="310"/>
      <c r="K280" s="308"/>
      <c r="L280" s="296"/>
      <c r="M280" s="296"/>
    </row>
    <row r="281" spans="1:13" x14ac:dyDescent="0.25">
      <c r="A281" s="343"/>
      <c r="B281" s="383" t="s">
        <v>987</v>
      </c>
      <c r="C281" s="384">
        <f>SUM(C271:C280)</f>
        <v>39270</v>
      </c>
      <c r="D281" s="385">
        <f>E281/C281</f>
        <v>17.682952126305064</v>
      </c>
      <c r="E281" s="384">
        <f t="shared" ref="E281" si="24">SUM(E271:E280)</f>
        <v>694409.52999999991</v>
      </c>
      <c r="F281" s="79"/>
      <c r="G281" s="79"/>
      <c r="H281" s="309"/>
      <c r="I281" s="308"/>
      <c r="J281" s="310"/>
      <c r="K281" s="308"/>
      <c r="L281" s="296"/>
      <c r="M281" s="296"/>
    </row>
    <row r="282" spans="1:13" x14ac:dyDescent="0.25">
      <c r="A282" s="339" t="s">
        <v>988</v>
      </c>
      <c r="B282" s="339"/>
      <c r="C282" s="339"/>
      <c r="D282" s="339"/>
      <c r="E282" s="339"/>
      <c r="F282" s="79"/>
      <c r="G282" s="79"/>
      <c r="H282" s="309"/>
      <c r="I282" s="308"/>
      <c r="J282" s="310"/>
      <c r="K282" s="308"/>
      <c r="L282" s="296"/>
      <c r="M282" s="296"/>
    </row>
    <row r="283" spans="1:13" x14ac:dyDescent="0.25">
      <c r="A283" s="60"/>
      <c r="B283" s="60"/>
      <c r="C283" s="60"/>
      <c r="D283" s="60"/>
      <c r="E283" s="60"/>
      <c r="F283" s="60"/>
      <c r="G283" s="308"/>
      <c r="H283" s="308"/>
      <c r="I283" s="342"/>
      <c r="J283" s="342"/>
      <c r="K283" s="342"/>
      <c r="L283" s="306"/>
      <c r="M283" s="306"/>
    </row>
    <row r="284" spans="1:13" x14ac:dyDescent="0.25">
      <c r="A284" s="342"/>
      <c r="B284" s="342"/>
      <c r="C284" s="308"/>
      <c r="D284" s="308"/>
      <c r="E284" s="309"/>
      <c r="F284" s="308"/>
      <c r="G284" s="308"/>
      <c r="H284" s="309"/>
      <c r="I284" s="308"/>
      <c r="J284" s="310"/>
      <c r="K284" s="308"/>
      <c r="L284" s="296"/>
      <c r="M284" s="306"/>
    </row>
    <row r="285" spans="1:13" x14ac:dyDescent="0.25">
      <c r="A285" s="342"/>
      <c r="B285" s="342"/>
      <c r="C285" s="308"/>
      <c r="D285" s="308"/>
      <c r="E285" s="309"/>
      <c r="F285" s="359" t="s">
        <v>989</v>
      </c>
      <c r="G285" s="360"/>
      <c r="H285" s="361"/>
      <c r="I285" s="360"/>
      <c r="J285" s="362"/>
      <c r="K285" s="363">
        <f>H247+E281</f>
        <v>3648751.3800000078</v>
      </c>
      <c r="L285" s="296"/>
      <c r="M285" s="306"/>
    </row>
    <row r="286" spans="1:13" x14ac:dyDescent="0.25">
      <c r="A286" s="342"/>
      <c r="B286" s="342"/>
      <c r="C286" s="308"/>
      <c r="D286" s="308"/>
      <c r="E286" s="309"/>
      <c r="F286" s="359" t="s">
        <v>990</v>
      </c>
      <c r="G286" s="360"/>
      <c r="H286" s="361"/>
      <c r="I286" s="360"/>
      <c r="J286" s="362"/>
      <c r="K286" s="363">
        <f>I253+E281</f>
        <v>7565857.3800000083</v>
      </c>
      <c r="L286" s="296"/>
      <c r="M286" s="306"/>
    </row>
    <row r="287" spans="1:13" x14ac:dyDescent="0.25">
      <c r="A287" s="342"/>
      <c r="B287" s="342"/>
      <c r="C287" s="308"/>
      <c r="D287" s="308"/>
      <c r="E287" s="309"/>
      <c r="F287" s="308"/>
      <c r="G287" s="308"/>
      <c r="H287" s="309"/>
      <c r="I287" s="308"/>
      <c r="J287" s="310"/>
      <c r="K287" s="308"/>
      <c r="L287" s="296"/>
      <c r="M287" s="306"/>
    </row>
    <row r="288" spans="1:13" x14ac:dyDescent="0.25">
      <c r="A288" s="307"/>
      <c r="B288" s="307"/>
      <c r="C288" s="296"/>
      <c r="D288" s="296"/>
      <c r="E288" s="297"/>
      <c r="F288" s="296"/>
      <c r="G288" s="296"/>
      <c r="H288" s="297"/>
      <c r="I288" s="296"/>
      <c r="J288" s="298"/>
      <c r="K288" s="296"/>
      <c r="L288" s="296"/>
      <c r="M288" s="306"/>
    </row>
  </sheetData>
  <mergeCells count="22">
    <mergeCell ref="B269:B270"/>
    <mergeCell ref="A252:G252"/>
    <mergeCell ref="A245:B245"/>
    <mergeCell ref="A3:A4"/>
    <mergeCell ref="B3:B4"/>
    <mergeCell ref="C3:E3"/>
    <mergeCell ref="F3:H3"/>
    <mergeCell ref="A247:G247"/>
    <mergeCell ref="A248:G248"/>
    <mergeCell ref="A249:G249"/>
    <mergeCell ref="A250:G250"/>
    <mergeCell ref="A251:G251"/>
    <mergeCell ref="C269:C270"/>
    <mergeCell ref="B261:B265"/>
    <mergeCell ref="D269:E269"/>
    <mergeCell ref="A269:A270"/>
    <mergeCell ref="J1:K1"/>
    <mergeCell ref="A253:G253"/>
    <mergeCell ref="B254:D254"/>
    <mergeCell ref="B255:D255"/>
    <mergeCell ref="B257:B260"/>
    <mergeCell ref="I3:J3"/>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D29" sqref="D29"/>
    </sheetView>
  </sheetViews>
  <sheetFormatPr defaultRowHeight="15" x14ac:dyDescent="0.25"/>
  <cols>
    <col min="1" max="1" width="11.5703125" customWidth="1"/>
    <col min="2" max="2" width="35.28515625" customWidth="1"/>
    <col min="4" max="4" width="29.42578125" customWidth="1"/>
    <col min="5" max="5" width="11.28515625" customWidth="1"/>
  </cols>
  <sheetData>
    <row r="1" spans="1:9" x14ac:dyDescent="0.25">
      <c r="F1" s="446" t="s">
        <v>214</v>
      </c>
      <c r="G1" s="446"/>
    </row>
    <row r="2" spans="1:9" x14ac:dyDescent="0.25">
      <c r="A2" s="60" t="s">
        <v>212</v>
      </c>
      <c r="B2" s="60"/>
      <c r="C2" s="60"/>
      <c r="D2" s="60"/>
      <c r="E2" s="60"/>
      <c r="F2" s="60"/>
      <c r="G2" s="60"/>
      <c r="H2" s="60"/>
      <c r="I2" s="138"/>
    </row>
    <row r="3" spans="1:9" ht="36" x14ac:dyDescent="0.25">
      <c r="A3" s="118" t="s">
        <v>163</v>
      </c>
      <c r="B3" s="118" t="s">
        <v>181</v>
      </c>
      <c r="C3" s="118" t="s">
        <v>234</v>
      </c>
      <c r="D3" s="118" t="s">
        <v>201</v>
      </c>
      <c r="E3" s="118" t="s">
        <v>235</v>
      </c>
      <c r="F3" s="149"/>
      <c r="G3" s="149"/>
      <c r="H3" s="60"/>
      <c r="I3" s="138"/>
    </row>
    <row r="4" spans="1:9" ht="24" x14ac:dyDescent="0.25">
      <c r="A4" s="114">
        <v>44015</v>
      </c>
      <c r="B4" s="158" t="s">
        <v>202</v>
      </c>
      <c r="C4" s="114">
        <v>7.74</v>
      </c>
      <c r="D4" s="114">
        <f>ROUND(D7*0.71,0)</f>
        <v>15449</v>
      </c>
      <c r="E4" s="114">
        <f>ROUND(C4*D4,0)</f>
        <v>119575</v>
      </c>
      <c r="F4" s="60"/>
      <c r="G4" s="60"/>
      <c r="H4" s="60"/>
      <c r="I4" s="138"/>
    </row>
    <row r="5" spans="1:9" ht="24" x14ac:dyDescent="0.25">
      <c r="A5" s="114">
        <v>44016</v>
      </c>
      <c r="B5" s="158" t="s">
        <v>203</v>
      </c>
      <c r="C5" s="114">
        <v>8.2100000000000009</v>
      </c>
      <c r="D5" s="114">
        <f>ROUND(D7*0.29,0)</f>
        <v>6310</v>
      </c>
      <c r="E5" s="114">
        <f>ROUND(C5*D5,0)</f>
        <v>51805</v>
      </c>
      <c r="F5" s="60"/>
      <c r="G5" s="60"/>
      <c r="H5" s="60"/>
      <c r="I5" s="138"/>
    </row>
    <row r="6" spans="1:9" x14ac:dyDescent="0.25">
      <c r="A6" s="114">
        <v>41096</v>
      </c>
      <c r="B6" s="158" t="s">
        <v>204</v>
      </c>
      <c r="C6" s="114">
        <v>3.06</v>
      </c>
      <c r="D6" s="114">
        <f>D7</f>
        <v>21759</v>
      </c>
      <c r="E6" s="114">
        <f>ROUND(C6*D6,0)</f>
        <v>66583</v>
      </c>
      <c r="F6" s="60"/>
      <c r="G6" s="60"/>
      <c r="H6" s="60"/>
      <c r="I6" s="138"/>
    </row>
    <row r="7" spans="1:9" x14ac:dyDescent="0.25">
      <c r="A7" s="110"/>
      <c r="B7" s="110"/>
      <c r="C7" s="114"/>
      <c r="D7" s="114">
        <v>21759</v>
      </c>
      <c r="E7" s="169">
        <f>SUM(E4:E6)</f>
        <v>237963</v>
      </c>
      <c r="F7" s="60"/>
      <c r="G7" s="60"/>
      <c r="H7" s="60"/>
      <c r="I7" s="138"/>
    </row>
    <row r="8" spans="1:9" x14ac:dyDescent="0.25">
      <c r="A8" s="150" t="s">
        <v>205</v>
      </c>
      <c r="B8" s="60"/>
      <c r="C8" s="60"/>
      <c r="D8" s="60"/>
      <c r="E8" s="60"/>
      <c r="F8" s="60"/>
      <c r="G8" s="60"/>
      <c r="H8" s="60"/>
      <c r="I8" s="138"/>
    </row>
    <row r="9" spans="1:9" x14ac:dyDescent="0.25">
      <c r="A9" s="60"/>
      <c r="B9" s="60"/>
      <c r="C9" s="60"/>
      <c r="D9" s="60"/>
      <c r="E9" s="60"/>
      <c r="F9" s="60"/>
      <c r="G9" s="60"/>
      <c r="H9" s="60"/>
      <c r="I9" s="138"/>
    </row>
    <row r="10" spans="1:9" x14ac:dyDescent="0.25">
      <c r="A10" s="60" t="s">
        <v>213</v>
      </c>
      <c r="B10" s="60"/>
      <c r="C10" s="60"/>
      <c r="D10" s="60"/>
      <c r="E10" s="60"/>
      <c r="F10" s="60"/>
      <c r="G10" s="60"/>
      <c r="H10" s="60"/>
      <c r="I10" s="138"/>
    </row>
    <row r="11" spans="1:9" ht="85.5" customHeight="1" x14ac:dyDescent="0.25">
      <c r="A11" s="118" t="s">
        <v>206</v>
      </c>
      <c r="B11" s="118" t="s">
        <v>302</v>
      </c>
      <c r="C11" s="118" t="s">
        <v>211</v>
      </c>
      <c r="D11" s="118" t="s">
        <v>207</v>
      </c>
      <c r="E11" s="151" t="s">
        <v>209</v>
      </c>
      <c r="F11" s="118" t="s">
        <v>235</v>
      </c>
      <c r="G11" s="151" t="s">
        <v>210</v>
      </c>
      <c r="H11" s="60"/>
      <c r="I11" s="138"/>
    </row>
    <row r="12" spans="1:9" x14ac:dyDescent="0.25">
      <c r="A12" s="139" t="s">
        <v>208</v>
      </c>
      <c r="B12" s="139">
        <v>7.78</v>
      </c>
      <c r="C12" s="139">
        <v>4.2699999999999996</v>
      </c>
      <c r="D12" s="139">
        <v>496</v>
      </c>
      <c r="E12" s="182">
        <v>444</v>
      </c>
      <c r="F12" s="148">
        <f>ROUND((B12+C12)*D12,0)</f>
        <v>5977</v>
      </c>
      <c r="G12" s="182">
        <f>ROUND((B12+C12)*E12,0)</f>
        <v>5350</v>
      </c>
      <c r="H12" s="60"/>
      <c r="I12" s="138"/>
    </row>
    <row r="13" spans="1:9" x14ac:dyDescent="0.25">
      <c r="A13" s="60"/>
      <c r="B13" s="60"/>
      <c r="C13" s="60"/>
      <c r="D13" s="60"/>
      <c r="E13" s="60"/>
      <c r="F13" s="60"/>
      <c r="G13" s="60"/>
      <c r="H13" s="60"/>
      <c r="I13" s="138"/>
    </row>
    <row r="14" spans="1:9" x14ac:dyDescent="0.25">
      <c r="A14" s="438" t="s">
        <v>275</v>
      </c>
      <c r="B14" s="439"/>
      <c r="C14" s="119">
        <f>E7+F12</f>
        <v>243940</v>
      </c>
      <c r="D14" s="60"/>
      <c r="E14" s="60"/>
      <c r="F14" s="60"/>
      <c r="G14" s="60"/>
      <c r="H14" s="60"/>
      <c r="I14" s="138"/>
    </row>
    <row r="15" spans="1:9" x14ac:dyDescent="0.25">
      <c r="A15" s="83"/>
      <c r="B15" s="60"/>
      <c r="C15" s="60"/>
      <c r="D15" s="60"/>
      <c r="E15" s="60"/>
      <c r="F15" s="60"/>
      <c r="G15" s="60"/>
      <c r="H15" s="60"/>
      <c r="I15" s="138"/>
    </row>
  </sheetData>
  <mergeCells count="2">
    <mergeCell ref="A14:B14"/>
    <mergeCell ref="F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5</vt:i4>
      </vt:variant>
    </vt:vector>
  </HeadingPairs>
  <TitlesOfParts>
    <vt:vector size="27" baseType="lpstr">
      <vt:lpstr>Kopsavilkums</vt:lpstr>
      <vt:lpstr>1.1.</vt:lpstr>
      <vt:lpstr>1.2</vt:lpstr>
      <vt:lpstr>1.3</vt:lpstr>
      <vt:lpstr>1.4.1</vt:lpstr>
      <vt:lpstr>1.4.2</vt:lpstr>
      <vt:lpstr>1.4.3</vt:lpstr>
      <vt:lpstr>1.5.2_2</vt:lpstr>
      <vt:lpstr>2.1_1</vt:lpstr>
      <vt:lpstr>2.2</vt:lpstr>
      <vt:lpstr>2.3</vt:lpstr>
      <vt:lpstr>2.4</vt:lpstr>
      <vt:lpstr>2.5</vt:lpstr>
      <vt:lpstr>2.6_1</vt:lpstr>
      <vt:lpstr>2.6_2</vt:lpstr>
      <vt:lpstr>2.6_3</vt:lpstr>
      <vt:lpstr>2.6.2.</vt:lpstr>
      <vt:lpstr>2.8</vt:lpstr>
      <vt:lpstr>2.10</vt:lpstr>
      <vt:lpstr>3.1_2</vt:lpstr>
      <vt:lpstr>3.1_3</vt:lpstr>
      <vt:lpstr>3.2_1</vt:lpstr>
      <vt:lpstr>'1.4.3'!_edn2</vt:lpstr>
      <vt:lpstr>'1.4.3'!_ednref1</vt:lpstr>
      <vt:lpstr>'1.4.3'!_ednref2</vt:lpstr>
      <vt:lpstr>'1.4.3'!_Ref487107203</vt:lpstr>
      <vt:lpstr>'1.4.3'!_Ref487107251</vt:lpstr>
    </vt:vector>
  </TitlesOfParts>
  <Company>Veselības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Veselības aprūpes pakalpojumu onkoloģijas jomā uzlabošanas plāns 2017.-2020.gadam</dc:title>
  <dc:subject>Plāna pielikums</dc:subject>
  <dc:creator>Anda Strazdina</dc:creator>
  <dc:description>Strazdina, 67876042 _x000d_
Anda.Strazdina@vm.gov.lv</dc:description>
  <cp:lastModifiedBy>iarzova</cp:lastModifiedBy>
  <cp:lastPrinted>2017-10-02T10:38:43Z</cp:lastPrinted>
  <dcterms:created xsi:type="dcterms:W3CDTF">2016-11-03T07:26:23Z</dcterms:created>
  <dcterms:modified xsi:type="dcterms:W3CDTF">2017-10-02T12:06:51Z</dcterms:modified>
</cp:coreProperties>
</file>