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08" windowHeight="5952" tabRatio="882" activeTab="3"/>
  </bookViews>
  <sheets>
    <sheet name="Pielikums Nr.1_kopsav" sheetId="1" r:id="rId1"/>
    <sheet name="Pielik_ Nr_2_Onko_grozs_2018" sheetId="2" r:id="rId2"/>
    <sheet name="Pielik_ Nr_3_Onko_grozs_2019" sheetId="3" r:id="rId3"/>
    <sheet name="Pielik_ Nr_4_Onko_grozs_2020" sheetId="4" r:id="rId4"/>
    <sheet name="Pielikums Nr_5_Darba kārtība" sheetId="5" r:id="rId5"/>
    <sheet name="Pielikums Nr_6_Supervīzijas" sheetId="6" r:id="rId6"/>
    <sheet name="Pielikums Nr_7_pārraudziba" sheetId="7" r:id="rId7"/>
  </sheets>
  <definedNames>
    <definedName name="_xlfn.AGGREGATE" hidden="1">#NAME?</definedName>
    <definedName name="_xlnm.Print_Titles" localSheetId="1">'Pielik_ Nr_2_Onko_grozs_2018'!$3:$4</definedName>
    <definedName name="_xlnm.Print_Titles" localSheetId="2">'Pielik_ Nr_3_Onko_grozs_2019'!$3:$4</definedName>
    <definedName name="_xlnm.Print_Titles" localSheetId="3">'Pielik_ Nr_4_Onko_grozs_2020'!$3:$4</definedName>
  </definedNames>
  <calcPr fullCalcOnLoad="1"/>
</workbook>
</file>

<file path=xl/sharedStrings.xml><?xml version="1.0" encoding="utf-8"?>
<sst xmlns="http://schemas.openxmlformats.org/spreadsheetml/2006/main" count="996" uniqueCount="226">
  <si>
    <t>stundas</t>
  </si>
  <si>
    <t>Izdevumu posteņa nosaukums</t>
  </si>
  <si>
    <t>vienības</t>
  </si>
  <si>
    <t>grupu nodarbības</t>
  </si>
  <si>
    <t xml:space="preserve">Darba devēja apmaksātie veselības apdrošināšanas un darbinieku kvalifikācijas celšanas izdevumi </t>
  </si>
  <si>
    <t>Ar pakalpojuma organizēšanu un normatīvajos aktos noteikto prasību nodrošināšanu saistītās izmaksas</t>
  </si>
  <si>
    <t>vienas vienības cena EURO</t>
  </si>
  <si>
    <r>
      <rPr>
        <b/>
        <sz val="12"/>
        <rFont val="Times New Roman"/>
        <family val="1"/>
      </rPr>
      <t xml:space="preserve"> dienā                                    </t>
    </r>
    <r>
      <rPr>
        <sz val="12"/>
        <rFont val="Times New Roman"/>
        <family val="1"/>
      </rPr>
      <t>(vidēji 1 dienā)</t>
    </r>
  </si>
  <si>
    <t xml:space="preserve">dienā </t>
  </si>
  <si>
    <t>Izdevumi konkrētam laika periodam</t>
  </si>
  <si>
    <t>x</t>
  </si>
  <si>
    <r>
      <rPr>
        <b/>
        <sz val="12"/>
        <rFont val="Times New Roman"/>
        <family val="1"/>
      </rPr>
      <t xml:space="preserve"> kursā  </t>
    </r>
    <r>
      <rPr>
        <sz val="12"/>
        <rFont val="Times New Roman"/>
        <family val="1"/>
      </rPr>
      <t xml:space="preserve">                          (6 dienās)</t>
    </r>
  </si>
  <si>
    <r>
      <rPr>
        <b/>
        <sz val="12"/>
        <rFont val="Times New Roman"/>
        <family val="1"/>
      </rPr>
      <t>kursā</t>
    </r>
    <r>
      <rPr>
        <sz val="12"/>
        <rFont val="Times New Roman"/>
        <family val="1"/>
      </rPr>
      <t xml:space="preserve"> (6 dienas) vienam klientam</t>
    </r>
  </si>
  <si>
    <t>Fizioterapeits</t>
  </si>
  <si>
    <t>Sociālais darbinieks</t>
  </si>
  <si>
    <t>Sertificētas ārstniecības personas individuālās konsultācijas</t>
  </si>
  <si>
    <r>
      <t xml:space="preserve">konsultāciju / nodarbību skaits uz 1 klientu, </t>
    </r>
    <r>
      <rPr>
        <b/>
        <sz val="12"/>
        <rFont val="Times New Roman"/>
        <family val="1"/>
      </rPr>
      <t>h</t>
    </r>
  </si>
  <si>
    <r>
      <t xml:space="preserve">izdevumi uz 1 klientu, </t>
    </r>
    <r>
      <rPr>
        <b/>
        <sz val="12"/>
        <rFont val="Times New Roman"/>
        <family val="1"/>
      </rPr>
      <t>euro</t>
    </r>
  </si>
  <si>
    <t>1 speciālista 1 h izmaksas x 2 h (gatvaošanās uz katru nodarbību, kopā 2 nodarbības). 23.40 x 2h = 46.80 euro.</t>
  </si>
  <si>
    <t>1 speciālista 1 h izmaksas x 7 h (gatvaošanās uz katru nodarbību, kopā 7 nodarbības). 23.40 x 7h = 163.80 euro.</t>
  </si>
  <si>
    <t>Grupā komplektējot līdz 24 dalībniekiem, tiek nodrošināts vismaz viena pusotru stundu gara  kustību nodarbība instruktora vadībā.</t>
  </si>
  <si>
    <t>1 stunda (gatavošanās nodarbībai, atskaišu un izdales materiālu sagatavošana), kopā 2 h gatavošanās grupu nodarbībām.</t>
  </si>
  <si>
    <t>1 stunda (gatavošanās nodarbībai, atskaišu un izdales materiālu sagatavošana), kopā 7 h gatavošanās grupu nodarbībām.</t>
  </si>
  <si>
    <r>
      <t xml:space="preserve">izdevumi uz </t>
    </r>
    <r>
      <rPr>
        <b/>
        <sz val="12"/>
        <rFont val="Times New Roman"/>
        <family val="1"/>
      </rPr>
      <t xml:space="preserve">24 </t>
    </r>
    <r>
      <rPr>
        <sz val="12"/>
        <rFont val="Times New Roman"/>
        <family val="1"/>
      </rPr>
      <t xml:space="preserve">klientu grupu, </t>
    </r>
    <r>
      <rPr>
        <b/>
        <sz val="12"/>
        <rFont val="Times New Roman"/>
        <family val="1"/>
      </rPr>
      <t>euro</t>
    </r>
  </si>
  <si>
    <r>
      <t xml:space="preserve">konsultāciju / nodarbību skaits uz </t>
    </r>
    <r>
      <rPr>
        <b/>
        <sz val="12"/>
        <rFont val="Times New Roman"/>
        <family val="1"/>
      </rPr>
      <t>24</t>
    </r>
    <r>
      <rPr>
        <sz val="12"/>
        <rFont val="Times New Roman"/>
        <family val="1"/>
      </rPr>
      <t xml:space="preserve"> klientu grupu, </t>
    </r>
    <r>
      <rPr>
        <b/>
        <sz val="12"/>
        <rFont val="Times New Roman"/>
        <family val="1"/>
      </rPr>
      <t>h</t>
    </r>
  </si>
  <si>
    <r>
      <t xml:space="preserve">konsultāciju / nodarbību skaits uz </t>
    </r>
    <r>
      <rPr>
        <b/>
        <sz val="12"/>
        <rFont val="Times New Roman"/>
        <family val="1"/>
      </rPr>
      <t>12</t>
    </r>
    <r>
      <rPr>
        <sz val="12"/>
        <rFont val="Times New Roman"/>
        <family val="1"/>
      </rPr>
      <t xml:space="preserve"> klientugrupu, </t>
    </r>
    <r>
      <rPr>
        <b/>
        <sz val="12"/>
        <rFont val="Times New Roman"/>
        <family val="1"/>
      </rPr>
      <t>h</t>
    </r>
  </si>
  <si>
    <r>
      <t xml:space="preserve">izdevumi uz </t>
    </r>
    <r>
      <rPr>
        <b/>
        <sz val="12"/>
        <rFont val="Times New Roman"/>
        <family val="1"/>
      </rPr>
      <t>12</t>
    </r>
    <r>
      <rPr>
        <sz val="12"/>
        <rFont val="Times New Roman"/>
        <family val="1"/>
      </rPr>
      <t xml:space="preserve"> klientu grupu, </t>
    </r>
    <r>
      <rPr>
        <b/>
        <sz val="12"/>
        <rFont val="Times New Roman"/>
        <family val="1"/>
      </rPr>
      <t>euro</t>
    </r>
  </si>
  <si>
    <t>1.gr.</t>
  </si>
  <si>
    <t>2.gr.</t>
  </si>
  <si>
    <t>Brokastis</t>
  </si>
  <si>
    <t>Kafija Tēja</t>
  </si>
  <si>
    <t>Pusdienas</t>
  </si>
  <si>
    <t>Vakariņas</t>
  </si>
  <si>
    <t>Individuālās konsultācijas</t>
  </si>
  <si>
    <t>Rīta vingrošana</t>
  </si>
  <si>
    <t>Pirm- diena</t>
  </si>
  <si>
    <t>Speciālistu noslodze</t>
  </si>
  <si>
    <t>Otr- diena</t>
  </si>
  <si>
    <t>Treš- diena</t>
  </si>
  <si>
    <t>Ceturt- diena</t>
  </si>
  <si>
    <t>Piekt- diena</t>
  </si>
  <si>
    <t>KONCERTS</t>
  </si>
  <si>
    <t>Sest- diena</t>
  </si>
  <si>
    <t>NOSLĒGUMS</t>
  </si>
  <si>
    <t>Došanās mājās</t>
  </si>
  <si>
    <t>Svēt- diena</t>
  </si>
  <si>
    <t>Ierašanās, iekārtošanās</t>
  </si>
  <si>
    <t>launags</t>
  </si>
  <si>
    <t>KOPĀ UZ 1 PERS.</t>
  </si>
  <si>
    <t>kopā NODARBĪBAS:</t>
  </si>
  <si>
    <t xml:space="preserve">KOPĀ </t>
  </si>
  <si>
    <t>Vidēji uz 1 pers. kosultācijas ilgums, h</t>
  </si>
  <si>
    <t>spec.</t>
  </si>
  <si>
    <t>h</t>
  </si>
  <si>
    <t>8:00-8:30</t>
  </si>
  <si>
    <t>19:00-19:30</t>
  </si>
  <si>
    <t>2. Ar pakalpojuma organizēšanu un  normatīvajos aktos noteikto prasību nodrošināšanu saistītās aktivitātes un izmaksas KOPĀ</t>
  </si>
  <si>
    <t>1.Tiešās pakalpojuma aktivitātes un izmaksas KOPĀ:</t>
  </si>
  <si>
    <t>Pakalpojuma nodoršināšanas  izmaksas kopā</t>
  </si>
  <si>
    <t xml:space="preserve">3.Administrēšanas izmaksas </t>
  </si>
  <si>
    <r>
      <t>DARBA KĀRTĪBA</t>
    </r>
    <r>
      <rPr>
        <b/>
        <i/>
        <sz val="16"/>
        <rFont val="Arial"/>
        <family val="2"/>
      </rPr>
      <t xml:space="preserve"> </t>
    </r>
  </si>
  <si>
    <t>Pakalpojuma "Psihosociālo rehabilitācija onkoloģiskajiem slimniekiem  un viņu ģimenes locekļiem”                                                                                                   groza aprēķina kopsavilkums</t>
  </si>
  <si>
    <t>8:50-10:20</t>
  </si>
  <si>
    <t>10:20-10:50</t>
  </si>
  <si>
    <t>10:50-12:20</t>
  </si>
  <si>
    <t>12:40-13:40</t>
  </si>
  <si>
    <t>14:10-15:40</t>
  </si>
  <si>
    <t>15:40-16:10</t>
  </si>
  <si>
    <t>16:10-17:40</t>
  </si>
  <si>
    <t>17:40-18:40</t>
  </si>
  <si>
    <r>
      <t xml:space="preserve">izdevumi uz </t>
    </r>
    <r>
      <rPr>
        <b/>
        <sz val="12"/>
        <rFont val="Times New Roman"/>
        <family val="1"/>
      </rPr>
      <t xml:space="preserve">24 klientiem </t>
    </r>
    <r>
      <rPr>
        <sz val="12"/>
        <rFont val="Times New Roman"/>
        <family val="1"/>
      </rPr>
      <t xml:space="preserve">KOPĀ, </t>
    </r>
    <r>
      <rPr>
        <b/>
        <sz val="12"/>
        <rFont val="Times New Roman"/>
        <family val="1"/>
      </rPr>
      <t>euro</t>
    </r>
  </si>
  <si>
    <t>Pakalpojuma izmaksas vidēji uz vienu personu dienā, euro</t>
  </si>
  <si>
    <t>Pakalpojuma izmaksas vidēji uz vienu personu kursā (6 dienas), euro</t>
  </si>
  <si>
    <t>Darbinieku kvalifikācijas celšanas, supervīziju un veselības apdrošināšanas izmaksu aprēķins                                                                                                                                                                                           pakalpojumam "Psihosociālā rehabilitācija paliatīvajā aprūpē esošajiem bērniem un to ģimenes locekļiem"</t>
  </si>
  <si>
    <t>Pakalpojumi/speciālisti</t>
  </si>
  <si>
    <t>Speciālistu (slodžu) noapaļotais skaits, lai nodrošinātu kopējo stundu skaitu mēnesī*</t>
  </si>
  <si>
    <t>Kvalifikācijas celšanas izmaksas uz speciālistu gadā, euro**</t>
  </si>
  <si>
    <t>Supervīziju izmaksas uz speciālistu gadā, euro   ****</t>
  </si>
  <si>
    <t>4=2*3</t>
  </si>
  <si>
    <t>5</t>
  </si>
  <si>
    <t>6</t>
  </si>
  <si>
    <t>7=2*6</t>
  </si>
  <si>
    <t>=(4+5+7)/12</t>
  </si>
  <si>
    <t>=4+5+7</t>
  </si>
  <si>
    <t>Kopējās izmaksas</t>
  </si>
  <si>
    <t>X</t>
  </si>
  <si>
    <t>*Aprēķinot darbinieku skaitu, kas nodrošina pakalpojumu ieviešanu tiek apaļots uz augšu, jo visiem darbiniekiem neatkarīgi no slodzes apmēra ir jānodrošina kvalifikācijas celšana un veselības apdrošināšana.</t>
  </si>
  <si>
    <t>**Veicot pakalpojumu sniedzēju, kas organizē kvalifikācijas celšanas kursus, kursu cenu aptauju  tika konstatēts, ka viena 8 stundas gara semināra vidējā cena ir 39 euro. Kvalifikācijas celšana tiek nodrošināta personālam, kas tieši strādā ar klientu. Darbinieku kvalifikācijas celšanas apjomi (sociālais darbinieks, psihologs 24 h/gadā) noteikti saskaņā ar izstrādāto MK noteikumu projektu "Prasības sociālo pakalpojumu sniedzējiem" 10.1. apakšpunktu. Soc.darbinieks 24h gadā = 3 x 39 euro = 117 euro gadā.</t>
  </si>
  <si>
    <t>*** Likuma par iedzīvotāju ienākuma nodokli 8.panta 5 daļa nosaka, ka " No maksātāja ienākumiem, par kuriem maksā algas nodokli .....veselības vai nelaimes gadījumu apdrošināšanas prēmiju summas, kas nepārsniedz 10 procentus no maksātājam aprēķinātās bruto darba samaksas taksācijas gadā, bet ne vairāk kā 426,86 euro gadā....." un savukārt  Valsts un pašvaldību institūciju amatpersonu un darbinieku atlīdzības likumā paredzētās normas (37.pants 1.;2.daļa)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</si>
  <si>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19:45-20:45</t>
  </si>
  <si>
    <t>Personu sk. Grupā</t>
  </si>
  <si>
    <t>nodarbība</t>
  </si>
  <si>
    <t>nodabība</t>
  </si>
  <si>
    <t>kopējās nodarbības līdz 24 personas grupā</t>
  </si>
  <si>
    <t>dalītās nodarbības līdz 12 personas grupā</t>
  </si>
  <si>
    <t>speciālistu sk.</t>
  </si>
  <si>
    <t xml:space="preserve">Grupā komplektējot līdz 24 dalībniekiem, tiek nodrošināts ne vairāk kā 7 pusotru stundu garas (7*1.5 = 10.5h) informatīvi konsultatīvās nodarbības sertificētas ārstniecības personas (piemēram, onkologa - ķīmijterapeita, imunologa, fizioterapeita) vadībā. </t>
  </si>
  <si>
    <t>Nodarbību vadītāja atlīdzība par sagatavošanos grupu nodarbību vadīšanai</t>
  </si>
  <si>
    <t>1 speciālista 1 h izmaksas x 1 h (gatvaošanās uz katru nodarbību, kopā 1 nodarbība). 23.40 x 1h = 23.40 euro.</t>
  </si>
  <si>
    <t>1 stunda (gatavošanās nodarbībai, atskaišu un izdales materiālu sagatavošana).</t>
  </si>
  <si>
    <t>Psihoterapeits, klīniskais psihologs, mākslu terapeits vai sociālais darbinieks</t>
  </si>
  <si>
    <t>Uztura speciālists</t>
  </si>
  <si>
    <t>Grupā komplektējot līdz 12 dalībniekiem, tiek nodrošināts ne mazāk kā vienu pusotru stundu garu nodarbību uztura speciālista vadībā.</t>
  </si>
  <si>
    <t>Grupā komplektējot līdz 12 dalībniekiem, tiek nodrošināts ne mazāk kā vienu pusotru stundu garu nodarbību fizioterapeita vadībā.</t>
  </si>
  <si>
    <t xml:space="preserve">Individuāli piesakoties, personai tiek nodrošināta iespēja saņemt ne vairāk kā 2 individuālas sertificētu ārstniecības personu konsultācijas. </t>
  </si>
  <si>
    <t>1 speciālista 1 h izmaksas x 8 h (gatvaošanās uz katru nodarbību, kopā 8 nodarbības). 23.40 x 8h = 187.20 euro.</t>
  </si>
  <si>
    <t>1 stunda (gatavošanās nodarbībai, atskaišu un izdales materiālu sagatavošana), kopā 8 h gatavošanās grupu nodarbībām.</t>
  </si>
  <si>
    <t>Plānotie pakalpojuma izdevumi gadā (vidēji 40 kursi, 960 personas), euro</t>
  </si>
  <si>
    <t>Citos valsts apmaksātajos sociālās rehabilitācijas pakalpojumiem plānotajos izdevumos, katram pakalpojuma saņēmējam grupu organizēšanas izdevumi nepārsniedz 2 euro.  2 euro * vidēji 19 nodarbības = vidēji 38 euro personai kursā. Kursā izdevumi 38 * 24 = 912.00 euro.</t>
  </si>
  <si>
    <t xml:space="preserve">Vidēji vienā kursā plānotas 21 nodarbība (vidēji 10 nodarbības 24 personu grupā un 11 nodarbības 12 personu grupā). Nodarbību skaits uz vienu personu, kuras plānoti organizēšanas izdevumi vidēji 19 nodarbības uz 1 personu. Pieņemot, ka 2 nodarbības ir siastītas ar fiziskām aktivitātēm, t.i. deju, kustību, fizioterapijas nodarbības. </t>
  </si>
  <si>
    <t>Nodarbību organizēšanas izmaksas (izdales materiālu kopēšana, kancelejas preču izdevumi u.c. nodarbību nodrošināšanai nepieciešamie materiāli, piem., māls, pārtika (uztura spec.nodarbībām), krāsas u.c.)</t>
  </si>
  <si>
    <t xml:space="preserve">PielikumsNr. 2.1.  pakalpojuma "Psihosociālo rehabilitācija onkoloģiskajiem slimniekiem  un viņu ģimenes locekļiem” groza aprēķinam       </t>
  </si>
  <si>
    <r>
      <t xml:space="preserve">Kopējās </t>
    </r>
    <r>
      <rPr>
        <u val="single"/>
        <sz val="12"/>
        <rFont val="Times New Roman"/>
        <family val="1"/>
      </rPr>
      <t>kvalifikācijas celšanas izmaksa</t>
    </r>
    <r>
      <rPr>
        <sz val="12"/>
        <rFont val="Times New Roman"/>
        <family val="1"/>
      </rPr>
      <t>s  gadā, euro</t>
    </r>
  </si>
  <si>
    <r>
      <t xml:space="preserve">Kopējās </t>
    </r>
    <r>
      <rPr>
        <u val="single"/>
        <sz val="12"/>
        <rFont val="Times New Roman"/>
        <family val="1"/>
      </rPr>
      <t>veselības apdrošināšanas izmaksas</t>
    </r>
    <r>
      <rPr>
        <sz val="12"/>
        <rFont val="Times New Roman"/>
        <family val="1"/>
      </rPr>
      <t xml:space="preserve"> gadā, euro***</t>
    </r>
  </si>
  <si>
    <r>
      <rPr>
        <u val="single"/>
        <sz val="12"/>
        <rFont val="Times New Roman"/>
        <family val="1"/>
      </rPr>
      <t xml:space="preserve">Supervīziju izmaksas </t>
    </r>
    <r>
      <rPr>
        <sz val="12"/>
        <rFont val="Times New Roman"/>
        <family val="1"/>
      </rPr>
      <t xml:space="preserve"> gadā, euro</t>
    </r>
  </si>
  <si>
    <r>
      <rPr>
        <sz val="12"/>
        <rFont val="Times New Roman"/>
        <family val="1"/>
      </rPr>
      <t xml:space="preserve">Kvalifikācijas celšanas, supervīziju un veselības apdrošināšanas izmaksas </t>
    </r>
    <r>
      <rPr>
        <b/>
        <sz val="12"/>
        <rFont val="Times New Roman"/>
        <family val="1"/>
      </rPr>
      <t>mēnesī</t>
    </r>
  </si>
  <si>
    <r>
      <rPr>
        <sz val="12"/>
        <rFont val="Times New Roman"/>
        <family val="1"/>
      </rPr>
      <t>Kvalifikācijas celšanas, supervīziju un veselības apdrošināšanas izmaksas</t>
    </r>
    <r>
      <rPr>
        <b/>
        <sz val="12"/>
        <rFont val="Times New Roman"/>
        <family val="1"/>
      </rPr>
      <t xml:space="preserve"> gadā</t>
    </r>
  </si>
  <si>
    <t xml:space="preserve">Citos valsts apmaksātajos sociālās rehabilitācijas pakalpojumiem plānotajos izdevumos, katram pakalpojuma saņēmējam transporta izdevumi nepārsniedz 7 euro. Ņemot vērā pakalpojuma sniegšanas atrašanās vietu (sabiedriskā transporta nepieejamību, attālums no Rīgas),  katram pakalpojuma ""Psihosociālo rehabilitācija onkoloģiskajiem slimniekiem  un viņu ģimenes locekļiem”" saņēmējam transporta izdevumi nepārsniedz 10 euro. </t>
  </si>
  <si>
    <t>Vidēji vienā kursā plānotas 24 personas. 40 kursi. KOPĀ 960 personas x 10 euro = 9 600.00 Pakalpojuma sniedzējs var organizēt transportu, lai nodrošinātu personu transportēšanu no Rīgas līdz pakalpojuma sniegšanas vietai, vidēji izdevumi 1 personai nepārsniedz 10 euro.</t>
  </si>
  <si>
    <t>Nr.p.k.</t>
  </si>
  <si>
    <t>Apakšprogramma uz kuru attiecināmi izdevumi</t>
  </si>
  <si>
    <t>n.gads</t>
  </si>
  <si>
    <t>n+1.gads</t>
  </si>
  <si>
    <t>n+2.gads</t>
  </si>
  <si>
    <t>05.01.00.</t>
  </si>
  <si>
    <t>97.01.00</t>
  </si>
  <si>
    <t>Pakalpojuma "Psihosociālo rehabilitācija onkoloģiskajiem slimniekiem  un viņu ģimenes locekļiem" plānotais nepieciešamais finansējums pirmajā ieviešanas gadā un turpmākajos gados</t>
  </si>
  <si>
    <r>
      <t>Pakalpojuma "Psihosociālo rehabilitācija onkoloģiskajiem slimniekiem  un viņu ģimenes locekļiem"</t>
    </r>
    <r>
      <rPr>
        <b/>
        <sz val="12"/>
        <rFont val="Times New Roman"/>
        <family val="1"/>
      </rPr>
      <t xml:space="preserve"> groza izmaksas      </t>
    </r>
    <r>
      <rPr>
        <sz val="12"/>
        <rFont val="Times New Roman"/>
        <family val="1"/>
      </rPr>
      <t xml:space="preserve"> </t>
    </r>
  </si>
  <si>
    <t>Pielikums Nr.2 Ministru kabineta noteikumu „Noteikumi par psihosociālo rehabilitāciju onkoloģiskajiem slimniekiem  un viņu ģimenes locekļiem” sākotnējās ietekmes novērtējuma ziņojumam (anotācija)</t>
  </si>
  <si>
    <t>1.pielikums                                                                                                                                                                                                                                                                                                                              Ministru kabineta noteikumu „Noteikumi par psihosociālo rehabilitāciju onkoloģiskajiem slimniekiem  un viņu ģimenes locekļiem” sākotnējās ietekmes novērtējuma ziņojumam (anotācija)</t>
  </si>
  <si>
    <t>Grupā komplektējot līdz 12 dalībniekiem, tiek nodrošināts pusotru stundu garas grupu terapijas nodarbības, attiecīgi psihoterapeita, klīniskā psihologa, mākslu terapeita vai sociālā darbinieka vadībā - kopā ne vairāk kā deviņas nodarbības (ne vairāk kā 8 nodarbības nodrošina pieaicinātie speciālisti, ne mazāk kā 1 nodarbību nodrošina centra vadītājs -veselības aprūpes speciālists vai sociālais darbinieks ).</t>
  </si>
  <si>
    <r>
      <rPr>
        <u val="single"/>
        <sz val="12"/>
        <rFont val="Times New Roman"/>
        <family val="1"/>
      </rPr>
      <t>Ar pakalpojuma organizēšanu saistītās izmaksas</t>
    </r>
    <r>
      <rPr>
        <sz val="12"/>
        <rFont val="Times New Roman"/>
        <family val="1"/>
      </rPr>
      <t xml:space="preserve"> - telu īre, ēdināšana, komunālie maksājumi, sakaru pakalpojumi, saimniecības preces u.c. ar iestāžu uzturēšanu saistīti preču un pakalpojumu izdevumi.</t>
    </r>
  </si>
  <si>
    <t>Pakalpojumu grozā ar izmitināšanu šīs izmaksas 1 klientam dienā ir 20.34 euro .</t>
  </si>
  <si>
    <t>1 slodze</t>
  </si>
  <si>
    <t xml:space="preserve">ne vairāk kā 10% no pakalpojumam novirzītā finansējuma </t>
  </si>
  <si>
    <t>Programmas/kursa vadītājs - ārstniecības persona vai sociālais darbinieks</t>
  </si>
  <si>
    <t>Vada ne mazāk kā vienu grupu nodarbību. Nodrošina regulāru personai pakalpojuma saņemšanai pieejamo tēmu pilnveidi un papildināšanu.</t>
  </si>
  <si>
    <t>Transporta izdevumi klientiem</t>
  </si>
  <si>
    <t>Transporta izdevumi speciālistiem</t>
  </si>
  <si>
    <t xml:space="preserve">Citos valsts apmaksātajos sociālās rehabilitācijas pakalpojumiem plānotajos izdevumos, katram speciālistam (pakalpojuma sniedzējam) transporta izdevumi nepārsniedz 7 euro. Ņemot vērā pakalpojuma sniegšanas atrašanās vietu (sabiedriskā transporta nepieejamību, attālums no Rīgas),  katram pakalpojuma ""Psihosociālo rehabilitācija onkoloģiskajiem slimniekiem  un viņu ģimenes locekļiem”" saņēmējam transporta izdevumi nepārsniedz 10 euro. </t>
  </si>
  <si>
    <t>Vidēji vienā kursā plānots, ka piedalīsies 11 speciālisti, 10 speciālisti brauks no citiem reģioniem. KOPĀ 10 personas x 10 euro x 40 kursi = 4 000.00 Pakalpojuma sniedzējs var organizēt transportu, lai nodrošinātu personu transportēšanu no Rīgas līdz pakalpojuma sniegšanas vietai, vidēji izdevumi 1 personai nepārsniedz 10 euro.</t>
  </si>
  <si>
    <t>Aprēķina paskaidrojums</t>
  </si>
  <si>
    <t>Pielikums Nr. 6.pakalpojuma "Psihosociālo rehabilitācija onkoloģiskajiem slimniekiem  un viņu ģimenes locekļiem” groza aprēķinam</t>
  </si>
  <si>
    <t>pielikums Nr.5. "Darba kārtība"</t>
  </si>
  <si>
    <t>Pielikums Nr.6.</t>
  </si>
  <si>
    <t>Plānotie pakalpojuma izdevumi gadā (vidēji 35 kursi, 840 personas), euro</t>
  </si>
  <si>
    <t>Plānotie pakalpojuma izdevumi gadā (vidēji 30 kursi, 720 personas), euro</t>
  </si>
  <si>
    <t>Atbilstoši plānotajam:                                                                                                                                                                                                                                                                      n gadā 30 kursi (rehabilitāciju saņēmušas 720 personas),                                                                                                                                                                                                                                                                                                                                n+1 gadā 35 kursi (rehabilitāciju saņēmušas 840 personas),                                                                                                                                                                                                                                                                                                                           n+2 gadā 40 kursi (rehabilitāciju saņēmušas 960 personas).</t>
  </si>
  <si>
    <t xml:space="preserve">Speciālistu grupas saskaņā ar MK noteikumu projekta 9.2.apakšpunktu </t>
  </si>
  <si>
    <t>Supervīziju stundu skaits gadā līdz 31.12.2017.</t>
  </si>
  <si>
    <t>Supervīziju sesiju skaits grupu supervīziju gadījumā*</t>
  </si>
  <si>
    <t>Supervīzijas cena**</t>
  </si>
  <si>
    <t>Aprēķinātais finansējums vienam darbiniekam gadā</t>
  </si>
  <si>
    <t>Supervīzijas cena gadā vienam darbiniekam***</t>
  </si>
  <si>
    <t xml:space="preserve">individuālās </t>
  </si>
  <si>
    <t>grupu</t>
  </si>
  <si>
    <t xml:space="preserve">individuālās supervīzijas </t>
  </si>
  <si>
    <t xml:space="preserve">grupu                            supervīzijas </t>
  </si>
  <si>
    <t>kopā (izmaksas 18 h)</t>
  </si>
  <si>
    <t>kopā (izmaksas 21 h)</t>
  </si>
  <si>
    <t>3=2/3h</t>
  </si>
  <si>
    <t>6=2*4</t>
  </si>
  <si>
    <t>7=3*5</t>
  </si>
  <si>
    <t>8=6*5%</t>
  </si>
  <si>
    <t>9=7*95%</t>
  </si>
  <si>
    <t>10=8+9</t>
  </si>
  <si>
    <t>sociālā darba speciālistam</t>
  </si>
  <si>
    <t>institūcijas vadītājam un struktūrvienības vadītājam</t>
  </si>
  <si>
    <t>pārējiem darbiniekiem, t.sk., psihologam, sociālajam pedagogam</t>
  </si>
  <si>
    <r>
      <t>*S</t>
    </r>
    <r>
      <rPr>
        <b/>
        <u val="single"/>
        <sz val="12"/>
        <color indexed="8"/>
        <rFont val="Times New Roman"/>
        <family val="1"/>
      </rPr>
      <t>upervīziju sesiju skaits grupu supervīziju gadījumā</t>
    </r>
    <r>
      <rPr>
        <sz val="12"/>
        <color indexed="8"/>
        <rFont val="Times New Roman"/>
        <family val="1"/>
      </rPr>
      <t xml:space="preserve">  tiek aprēķināts pieņemot, ka vienas sesijas ilgums ir 3 stundas</t>
    </r>
  </si>
  <si>
    <r>
      <t>**S</t>
    </r>
    <r>
      <rPr>
        <b/>
        <u val="single"/>
        <sz val="12"/>
        <color indexed="8"/>
        <rFont val="Times New Roman"/>
        <family val="1"/>
      </rPr>
      <t>upervīzijas cena</t>
    </r>
    <r>
      <rPr>
        <sz val="12"/>
        <color indexed="8"/>
        <rFont val="Times New Roman"/>
        <family val="1"/>
      </rPr>
      <t xml:space="preserve">  - pašvaldību darbinieki 2014.gadā ir piedalījušies supervīzijas sesijās, kur:
1) vidējā cena vienam darbiniekam individuālās supervīzijas sesijā, 1 stundas apjoms ir 30 euro,
2) vidējā cena vienam darbiniekma grupas supervīzijas sesijā, 3 stundu apjoms ir 23 euro.          </t>
    </r>
  </si>
  <si>
    <r>
      <t>***</t>
    </r>
    <r>
      <rPr>
        <b/>
        <u val="single"/>
        <sz val="12"/>
        <color indexed="8"/>
        <rFont val="Times New Roman"/>
        <family val="1"/>
      </rPr>
      <t>Aprēķinātais finansējums vienam darbiniekam</t>
    </r>
    <r>
      <rPr>
        <sz val="12"/>
        <color indexed="8"/>
        <rFont val="Times New Roman"/>
        <family val="1"/>
      </rPr>
      <t xml:space="preserve"> - dati no ikgadējo Pārskatu par sociālajiem pakalpojumiem un sociālo palīdzību (novada/republikas pilsētas) pašvaldībā kopsavilkuma par 2014. gadu rāda, ka 95% darbinieku piedalījās grupas supervīzijā un 5% darbinieku – individuālā supervīzijā. Izmantojot minēto proporciju un attiecinot to uz izmaksām par supervīziju arī turpmākajiem gadiem, tiek pieņemts, ka dalība supervīzijā vienam darbiniekam gada laikā izmaksā vidēji 158.10 euro (95% no 138,00 euro + 5% no 540,00 euro)</t>
    </r>
  </si>
  <si>
    <t>Supervīzijas cenas aprēķins vienam darbiniekam****</t>
  </si>
  <si>
    <t>Vidēji vienā kursā plānotas 24 personas. 30 kursi. KOPĀ 720 personas x 10 euro = 7 200.00 Pakalpojuma sniedzējs var organizēt transportu, lai nodrošinātu personu transportēšanu no Rīgas līdz pakalpojuma sniegšanas vietai, vidēji izdevumi 1 personai nepārsniedz 10 euro.</t>
  </si>
  <si>
    <t>Vidēji vienā kursā plānotas 24 personas. 35 kursi. KOPĀ 840 personas x 10 euro = 8 400.00 Pakalpojuma sniedzējs var organizēt transportu, lai nodrošinātu personu transportēšanu no Rīgas līdz pakalpojuma sniegšanas vietai, vidēji izdevumi 1 personai nepārsniedz 10 euro.</t>
  </si>
  <si>
    <t>Vidēji vienā kursā plānots, ka piedalīsies 11 speciālisti, 10 speciālisti brauks no citiem reģioniem. KOPĀ 10 personas x 10 euro x 30 kursi = 3 000.00 Pakalpojuma sniedzējs var organizēt transportu, lai nodrošinātu personu transportēšanu no Rīgas līdz pakalpojuma sniegšanas vietai, vidēji izdevumi 1 personai nepārsniedz 10 euro.</t>
  </si>
  <si>
    <t>Vidēji vienā kursā plānots, ka piedalīsies 11 speciālisti, 10 speciālisti brauks no citiem reģioniem. KOPĀ 10 personas x 10 euro x 35 kursi = 3 500.00 Pakalpojuma sniedzējs var organizēt transportu, lai nodrošinātu personu transportēšanu no Rīgas līdz pakalpojuma sniegšanas vietai, vidēji izdevumi 1 personai nepārsniedz 10 euro.</t>
  </si>
  <si>
    <r>
      <rPr>
        <u val="single"/>
        <sz val="11"/>
        <rFont val="Times New Roman"/>
        <family val="1"/>
      </rPr>
      <t>Ar pakalpojuma organizēšanu saistītās izmaksas</t>
    </r>
    <r>
      <rPr>
        <sz val="11"/>
        <rFont val="Times New Roman"/>
        <family val="1"/>
      </rPr>
      <t xml:space="preserve"> - telu īre, ēdināšana, komunālie maksājumi, sakaru pakalpojumi, saimniecības preces u.c. ar iestāžu uzturēšanu saistīti preču un pakalpojumu izdevumi.</t>
    </r>
  </si>
  <si>
    <t>grupu nodarbību vadītāji</t>
  </si>
  <si>
    <t>Sagatavoja:
Sandra Strēle, 
Sociālo pakalpojumu departamenta vecākā eksperte</t>
  </si>
  <si>
    <t>Vecākais referents</t>
  </si>
  <si>
    <r>
      <t xml:space="preserve">Pakalpojuma "Psihosociālo rehabilitācija onkoloģiskajiem slimniekiem  un viņu ģimenes locekļiem” groza aprēķins           </t>
    </r>
    <r>
      <rPr>
        <b/>
        <sz val="16"/>
        <color indexed="10"/>
        <rFont val="Times New Roman"/>
        <family val="1"/>
      </rPr>
      <t xml:space="preserve">      </t>
    </r>
    <r>
      <rPr>
        <b/>
        <sz val="16"/>
        <rFont val="Times New Roman"/>
        <family val="1"/>
      </rPr>
      <t xml:space="preserve">  2018. gads (30 kursi 720 personas)  </t>
    </r>
    <r>
      <rPr>
        <b/>
        <sz val="16"/>
        <color indexed="10"/>
        <rFont val="Times New Roman"/>
        <family val="1"/>
      </rPr>
      <t xml:space="preserve">                </t>
    </r>
    <r>
      <rPr>
        <b/>
        <sz val="16"/>
        <rFont val="Times New Roman"/>
        <family val="1"/>
      </rPr>
      <t xml:space="preserve">                                                                                                                                                                                                                                                   </t>
    </r>
  </si>
  <si>
    <t>1 konsultācijas cena 23.40 euro veidojas no 18.86 euro (bruto alga) + 4.54 euro (24.09% darba devēja sociālais nodoklis). Viena speciālista vienas vienības cena 23.40 x 3h (1.5h x2) = 70.20 euro</t>
  </si>
  <si>
    <t>1 konsultācijas cena 23.40 euro veidojas no 18.86 euro (bruto alga) + 4.54 euro (24.09% darba devēja sociālais nodoklis). Viena speciālista vienas vienības cena 23.40 x 10.5h (1.5h x7) = 245.70 euro</t>
  </si>
  <si>
    <t>1 konsultācijas cena 23.40 euro veidojas no 18.86 euro (bruto alga) + 4.54 euro (24.09% darba devēja sociālais nodoklis). Viena speciālista vienas vienības cena 23.40 x 1.5h = 35.10 euro</t>
  </si>
  <si>
    <t>1 konsultācijas cena 23.40 euro veidojas no 18.86 euro (bruto alga) + 4.54 euro (24.09% darba devēja sociālais nodoklis). Viena speciālista vienas vienības cena 23.40 x 13.5h (1.5h x8) = 280.80euro</t>
  </si>
  <si>
    <t>1 konsultācijas cena 23.40 euro veidojas no 18.86 euro (bruto alga) + 4.54 euro (24.09% darba devēja sociālais nodoklis). Viena speciālista vienas vienības cena 23.40 x 1.5h  = 35.10 euro</t>
  </si>
  <si>
    <t xml:space="preserve">Saskaņā ar MK 29.01.2013. noteikumiem Nr.66  atbilstoši 12 mēnešalgu grupai 3 kategorijas max. Aprēķins: mēnešalga 1640.36 + VSAOI 24.09% = 2 035.53 euro mēn/1 slodze. </t>
  </si>
  <si>
    <t>Sniegto konsultāciju  samaksa par 1h (45 minūtes konsultācija un 15 minūtes dokumentu kārtošana) ir 23.40 euro veidojas no 18.86 euro (bruto alga) + 4.54 euro (24.09% darba devēja sociālais nodoklis). Atbilstoši darba kārtībai kopējais konsultāciju laiks vidējhi kursā ir 18 h (katru dienu vidēji 2 speciālisti x 2 h x  4 dienas = 16h + piektdienā 2 h konsultāciju laiks = 18h kursā )</t>
  </si>
  <si>
    <r>
      <t xml:space="preserve">Informācijas sistēmā SPOLIS modulis. </t>
    </r>
    <r>
      <rPr>
        <sz val="12"/>
        <rFont val="Times New Roman"/>
        <family val="1"/>
      </rPr>
      <t xml:space="preserve">Pēc priekšizpētes vidējiem rādītājiem sistēmu projektēšanas un programmēšanas darbu izmaksas uz 01.02.2014. ir 43,54 euro stundā (ar PVN). Apzinot darbu apjomu, programmēšanas darbi pēc provizoriskiem aprēķiniem var sastādīt 1200 stundas. Kopējās programmēšanas izmaksas  43,54euro x 1200h = 52 250 euro (noapaļojot). </t>
    </r>
  </si>
  <si>
    <t>Sociālās rehabilitācijas pakalpojuma administrēšanas izdevumu nodrošināšana</t>
  </si>
  <si>
    <t>Aprēķins par piemaksām par papildu darbu Labklājības ministrijas speciālistiem saistībā ar pakalpojuma ieviešanas uzraudzību, finansējuma plānošanu un izpildes uzraudzību, kā arī rezultatīvo rādītāju snieguma izvērtēšanu.</t>
  </si>
  <si>
    <t>Nr.</t>
  </si>
  <si>
    <t>Amatu klasifikācija</t>
  </si>
  <si>
    <t>Mēneša alga</t>
  </si>
  <si>
    <t>Amata vienību skaits</t>
  </si>
  <si>
    <t>Plānotais mēnešu skaits</t>
  </si>
  <si>
    <t>Mēneša alga ievērojot amata slodzi</t>
  </si>
  <si>
    <r>
      <t xml:space="preserve">Piemaksa 30% apmērā  par papildus darbu </t>
    </r>
    <r>
      <rPr>
        <sz val="8"/>
        <rFont val="Times New Roman"/>
        <family val="1"/>
      </rPr>
      <t>(Valsts un pašvaldību institūciju amatpersonu un darbinieku atlīdzības likuma 14.panta 1. daļa)</t>
    </r>
  </si>
  <si>
    <t>VSAOI</t>
  </si>
  <si>
    <t>KOPĀ atlīdzība</t>
  </si>
  <si>
    <t>Amatu saime (apakšsaime) un līmenis pēc MK 1075</t>
  </si>
  <si>
    <t>Mēneš-algu grupa pēc MK 66</t>
  </si>
  <si>
    <t>Kategorija pēc MK 66</t>
  </si>
  <si>
    <t>KOPĀ 97.01.00."Labklājības nozares vadība un politikas plānošana"*</t>
  </si>
  <si>
    <t>Labklājības ministrijas personāls</t>
  </si>
  <si>
    <t>Vadošais finansists</t>
  </si>
  <si>
    <t>12.1;IIC</t>
  </si>
  <si>
    <t>3</t>
  </si>
  <si>
    <t>Vecākais eksperts</t>
  </si>
  <si>
    <t>36;III</t>
  </si>
  <si>
    <t>26.3;IIIB</t>
  </si>
  <si>
    <t>*Darbinieku motivēšanai (piemaksas par papildu darbu nodrošināšanai) saistībā ar pakalpojuma ieviešanas uzraudzību, finansējuma plānošanu un izpildes uzraudzību, kā arī rezultatīvo rādītāju snieguma izvērtēšanu.</t>
  </si>
  <si>
    <t>Sagatavotājs:I.Ķīse, tel. 67021651</t>
  </si>
  <si>
    <t>Finanšu vadības departamenta direktora vietniece</t>
  </si>
  <si>
    <t xml:space="preserve">7. pielikums                                                                                                                                                                                                                                                                                                                                        pakalpojuma "Psihosociālo rehabilitācija onkoloģiskajiem slimniekiem  un viņu ģimenes locekļiem” groza aprēķinam                                                                                                                                                                                                                                                                                                                                                                                                                                                                                                                             </t>
  </si>
  <si>
    <t>Vidēji uz 1 pers. kosultācijas ilgums, min</t>
  </si>
  <si>
    <t>97.02.00</t>
  </si>
  <si>
    <t xml:space="preserve">Mākslu terapeits </t>
  </si>
  <si>
    <r>
      <t xml:space="preserve">Pakalpojuma "Psihosociālo rehabilitācija onkoloģiskajiem slimniekiem  un viņu ģimenes locekļiem” groza aprēķins           </t>
    </r>
    <r>
      <rPr>
        <b/>
        <sz val="16"/>
        <color indexed="10"/>
        <rFont val="Times New Roman"/>
        <family val="1"/>
      </rPr>
      <t xml:space="preserve">     </t>
    </r>
    <r>
      <rPr>
        <b/>
        <sz val="16"/>
        <rFont val="Times New Roman"/>
        <family val="1"/>
      </rPr>
      <t xml:space="preserve"> 2020. gads (40 kursi 960 personas)</t>
    </r>
    <r>
      <rPr>
        <b/>
        <sz val="16"/>
        <color indexed="10"/>
        <rFont val="Times New Roman"/>
        <family val="1"/>
      </rPr>
      <t xml:space="preserve">         </t>
    </r>
    <r>
      <rPr>
        <b/>
        <sz val="16"/>
        <rFont val="Times New Roman"/>
        <family val="1"/>
      </rPr>
      <t xml:space="preserve">                                                                                                                                                                                                                                                   </t>
    </r>
  </si>
  <si>
    <t>Grupā komplektējot līdz 24 dalībniekiem, tiek nodrošināts ne vairāk kā divas pusotru stundu garas (kopā 3 h) mākslu terapijas nodarbības mākslas terapeita vadībā.</t>
  </si>
  <si>
    <t>Kustību nodarbību vadītājs</t>
  </si>
  <si>
    <t>Sertificēta ārstniecības persona (onkologs ķīmijterapeits,  ergoterapeits u.c.)</t>
  </si>
  <si>
    <t xml:space="preserve">Grupā komplektējot līdz 24 dalībniekiem, tiek nodrošināts ne vairāk kā 7 pusotru stundu garas (7*1.5 = 10.5h) informatīvi konsultatīvās nodarbības sertificētas ārstniecības personas (piemēram, onkologa  ķīmijterapeita, ergoterapeita) vadībā. </t>
  </si>
  <si>
    <r>
      <t xml:space="preserve">Pakalpojuma "Psihosociālo rehabilitācija onkoloģiskajiem slimniekiem  un viņu ģimenes locekļiem” groza aprēķins           </t>
    </r>
    <r>
      <rPr>
        <b/>
        <sz val="16"/>
        <color indexed="10"/>
        <rFont val="Times New Roman"/>
        <family val="1"/>
      </rPr>
      <t xml:space="preserve">       </t>
    </r>
    <r>
      <rPr>
        <b/>
        <sz val="16"/>
        <rFont val="Times New Roman"/>
        <family val="1"/>
      </rPr>
      <t xml:space="preserve"> 2019. gads (35 kursi 840 personas)</t>
    </r>
    <r>
      <rPr>
        <b/>
        <sz val="16"/>
        <color indexed="10"/>
        <rFont val="Times New Roman"/>
        <family val="1"/>
      </rPr>
      <t xml:space="preserve">                  </t>
    </r>
    <r>
      <rPr>
        <b/>
        <sz val="16"/>
        <rFont val="Times New Roman"/>
        <family val="1"/>
      </rPr>
      <t xml:space="preserve">                                                                                                                                                                                                                                                   </t>
    </r>
  </si>
  <si>
    <t xml:space="preserve">Grupā komplektējot līdz 24 dalībniekiem, tiek nodrošināts ne vairāk kā 7 pusotru stundu garas (7*1.5 = 10.5h) informatīvi konsultatīvās nodarbības sertificētas ārstniecības personas (piemēram, onkologa  ķīmijterapeita,ergoterapeita) vadībā.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</si>
</sst>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
    <numFmt numFmtId="176" formatCode="0.000"/>
    <numFmt numFmtId="177" formatCode="0.00000"/>
    <numFmt numFmtId="178" formatCode="#,##0.0"/>
    <numFmt numFmtId="179" formatCode="#,##0.000"/>
    <numFmt numFmtId="180" formatCode="0.000000"/>
    <numFmt numFmtId="181" formatCode="0.0000000"/>
    <numFmt numFmtId="182" formatCode="0.00000000"/>
    <numFmt numFmtId="183" formatCode="0.000000000"/>
    <numFmt numFmtId="184" formatCode="[$-426]dddd\,\ yyyy&quot;. gada &quot;d\.\ mmmm"/>
    <numFmt numFmtId="185" formatCode="0.0%"/>
    <numFmt numFmtId="186" formatCode="#,##0.0000000000000"/>
  </numFmts>
  <fonts count="92">
    <font>
      <sz val="10"/>
      <name val="Arial"/>
      <family val="0"/>
    </font>
    <font>
      <b/>
      <sz val="14"/>
      <name val="Times New Roman"/>
      <family val="1"/>
    </font>
    <font>
      <sz val="12"/>
      <name val="Times New Roman"/>
      <family val="1"/>
    </font>
    <font>
      <b/>
      <sz val="12"/>
      <name val="Times New Roman"/>
      <family val="1"/>
    </font>
    <font>
      <sz val="10"/>
      <name val="Times New Roman"/>
      <family val="1"/>
    </font>
    <font>
      <u val="single"/>
      <sz val="12"/>
      <name val="Times New Roman"/>
      <family val="1"/>
    </font>
    <font>
      <b/>
      <sz val="16"/>
      <name val="Times New Roman"/>
      <family val="1"/>
    </font>
    <font>
      <sz val="8"/>
      <name val="Arial"/>
      <family val="2"/>
    </font>
    <font>
      <b/>
      <sz val="8"/>
      <name val="Arial"/>
      <family val="2"/>
    </font>
    <font>
      <b/>
      <sz val="10"/>
      <name val="Arial"/>
      <family val="2"/>
    </font>
    <font>
      <b/>
      <u val="single"/>
      <sz val="10"/>
      <name val="Arial"/>
      <family val="2"/>
    </font>
    <font>
      <sz val="11"/>
      <name val="Arial"/>
      <family val="2"/>
    </font>
    <font>
      <sz val="10"/>
      <name val="Times New Roman Baltic"/>
      <family val="0"/>
    </font>
    <font>
      <b/>
      <sz val="16"/>
      <name val="Arial"/>
      <family val="2"/>
    </font>
    <font>
      <b/>
      <i/>
      <sz val="16"/>
      <name val="Arial"/>
      <family val="2"/>
    </font>
    <font>
      <sz val="12"/>
      <name val="Arial"/>
      <family val="2"/>
    </font>
    <font>
      <sz val="8"/>
      <name val="Times New Roman"/>
      <family val="1"/>
    </font>
    <font>
      <sz val="14"/>
      <name val="Times New Roman"/>
      <family val="1"/>
    </font>
    <font>
      <sz val="11"/>
      <name val="Times New Roman"/>
      <family val="1"/>
    </font>
    <font>
      <b/>
      <sz val="11"/>
      <name val="Times New Roman"/>
      <family val="1"/>
    </font>
    <font>
      <sz val="16"/>
      <name val="Times New Roman"/>
      <family val="1"/>
    </font>
    <font>
      <b/>
      <sz val="16"/>
      <color indexed="10"/>
      <name val="Times New Roman"/>
      <family val="1"/>
    </font>
    <font>
      <i/>
      <sz val="12"/>
      <name val="Times New Roman"/>
      <family val="1"/>
    </font>
    <font>
      <b/>
      <u val="single"/>
      <sz val="12"/>
      <color indexed="8"/>
      <name val="Times New Roman"/>
      <family val="1"/>
    </font>
    <font>
      <sz val="12"/>
      <color indexed="8"/>
      <name val="Times New Roman"/>
      <family val="1"/>
    </font>
    <font>
      <u val="single"/>
      <sz val="11"/>
      <name val="Times New Roman"/>
      <family val="1"/>
    </font>
    <font>
      <i/>
      <sz val="10"/>
      <name val="Times New Roman"/>
      <family val="1"/>
    </font>
    <font>
      <sz val="11"/>
      <color indexed="10"/>
      <name val="Times New Roman"/>
      <family val="1"/>
    </font>
    <font>
      <b/>
      <sz val="8"/>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b/>
      <sz val="10"/>
      <color indexed="10"/>
      <name val="Times New Roman"/>
      <family val="1"/>
    </font>
    <font>
      <i/>
      <sz val="12"/>
      <color indexed="10"/>
      <name val="Times New Roman"/>
      <family val="1"/>
    </font>
    <font>
      <sz val="12"/>
      <color indexed="10"/>
      <name val="Times New Roman"/>
      <family val="1"/>
    </font>
    <font>
      <b/>
      <sz val="12"/>
      <color indexed="10"/>
      <name val="Times New Roman"/>
      <family val="1"/>
    </font>
    <font>
      <b/>
      <sz val="14"/>
      <color indexed="10"/>
      <name val="Times New Roman"/>
      <family val="1"/>
    </font>
    <font>
      <sz val="20"/>
      <color indexed="10"/>
      <name val="Times New Roman"/>
      <family val="1"/>
    </font>
    <font>
      <sz val="10"/>
      <color indexed="8"/>
      <name val="Times New Roman"/>
      <family val="1"/>
    </font>
    <font>
      <b/>
      <sz val="10"/>
      <color indexed="8"/>
      <name val="Times New Roman"/>
      <family val="1"/>
    </font>
    <font>
      <b/>
      <sz val="12"/>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10"/>
      <color rgb="FFFF0000"/>
      <name val="Times New Roman"/>
      <family val="1"/>
    </font>
    <font>
      <i/>
      <sz val="12"/>
      <color rgb="FFFF0000"/>
      <name val="Times New Roman"/>
      <family val="1"/>
    </font>
    <font>
      <sz val="12"/>
      <color rgb="FFFF0000"/>
      <name val="Times New Roman"/>
      <family val="1"/>
    </font>
    <font>
      <b/>
      <sz val="12"/>
      <color rgb="FFFF0000"/>
      <name val="Times New Roman"/>
      <family val="1"/>
    </font>
    <font>
      <b/>
      <sz val="14"/>
      <color rgb="FFFF0000"/>
      <name val="Times New Roman"/>
      <family val="1"/>
    </font>
    <font>
      <sz val="20"/>
      <color rgb="FFFF0000"/>
      <name val="Times New Roman"/>
      <family val="1"/>
    </font>
    <font>
      <sz val="12"/>
      <color theme="1"/>
      <name val="Times New Roman"/>
      <family val="1"/>
    </font>
    <font>
      <sz val="10"/>
      <color theme="1"/>
      <name val="Times New Roman"/>
      <family val="1"/>
    </font>
    <font>
      <b/>
      <sz val="10"/>
      <color theme="1"/>
      <name val="Times New Roman"/>
      <family val="1"/>
    </font>
    <font>
      <b/>
      <sz val="12"/>
      <color theme="1"/>
      <name val="Times New Roman"/>
      <family val="1"/>
    </font>
    <font>
      <sz val="11"/>
      <color rgb="FFFF0000"/>
      <name val="Times New Roman"/>
      <family val="1"/>
    </font>
    <font>
      <b/>
      <sz val="14"/>
      <color theme="1"/>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FFC0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indexed="47"/>
        <bgColor indexed="64"/>
      </patternFill>
    </fill>
    <fill>
      <patternFill patternType="solid">
        <fgColor rgb="FFFFFF00"/>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thin"/>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color indexed="63"/>
      </left>
      <right style="thin"/>
      <top style="medium"/>
      <bottom style="dotted"/>
    </border>
    <border>
      <left>
        <color indexed="63"/>
      </left>
      <right>
        <color indexed="63"/>
      </right>
      <top style="medium"/>
      <bottom style="dotted"/>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medium"/>
    </border>
    <border>
      <left style="thin"/>
      <right style="medium"/>
      <top style="thin"/>
      <bottom style="medium"/>
    </border>
    <border>
      <left>
        <color indexed="63"/>
      </left>
      <right style="thin"/>
      <top>
        <color indexed="63"/>
      </top>
      <bottom>
        <color indexed="63"/>
      </bottom>
    </border>
    <border>
      <left style="thin"/>
      <right>
        <color indexed="63"/>
      </right>
      <top style="medium"/>
      <bottom style="medium"/>
    </border>
    <border>
      <left style="thin"/>
      <right>
        <color indexed="63"/>
      </right>
      <top style="medium"/>
      <bottom style="dotted"/>
    </border>
    <border>
      <left style="thin"/>
      <right>
        <color indexed="63"/>
      </right>
      <top>
        <color indexed="63"/>
      </top>
      <bottom style="medium"/>
    </border>
    <border>
      <left style="thin"/>
      <right>
        <color indexed="63"/>
      </right>
      <top style="thin"/>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color indexed="63"/>
      </right>
      <top>
        <color indexed="63"/>
      </top>
      <bottom>
        <color indexed="63"/>
      </bottom>
    </border>
    <border>
      <left style="thin"/>
      <right style="thin"/>
      <top style="thin"/>
      <bottom style="thin"/>
    </border>
    <border>
      <left style="medium"/>
      <right style="medium"/>
      <top style="medium"/>
      <bottom style="medium"/>
    </border>
    <border>
      <left style="medium"/>
      <right style="medium"/>
      <top style="thin"/>
      <bottom style="thin"/>
    </border>
    <border>
      <left style="medium"/>
      <right/>
      <top style="thin"/>
      <bottom style="thin"/>
    </border>
    <border>
      <left style="medium"/>
      <right style="medium"/>
      <top style="thin"/>
      <bottom style="medium"/>
    </border>
    <border>
      <left style="medium"/>
      <right/>
      <top style="thin"/>
      <bottom style="medium"/>
    </border>
    <border>
      <left style="thin"/>
      <right style="medium"/>
      <top style="thin"/>
      <bottom style="thin"/>
    </border>
    <border>
      <left style="medium"/>
      <right style="thin"/>
      <top>
        <color indexed="63"/>
      </top>
      <bottom style="thin"/>
    </border>
    <border>
      <left style="thin"/>
      <right style="thin"/>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thin"/>
    </border>
    <border>
      <left style="thin"/>
      <right/>
      <top style="thin"/>
      <bottom style="thin"/>
    </border>
    <border>
      <left style="medium"/>
      <right style="thin"/>
      <top style="thin"/>
      <bottom style="medium"/>
    </border>
    <border>
      <left style="medium"/>
      <right>
        <color indexed="63"/>
      </right>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right/>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1" fillId="0" borderId="0">
      <alignment/>
      <protection/>
    </xf>
    <xf numFmtId="0" fontId="11" fillId="0" borderId="0">
      <alignment/>
      <protection/>
    </xf>
    <xf numFmtId="0" fontId="12"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75" fillId="27" borderId="8" applyNumberFormat="0" applyAlignment="0" applyProtection="0"/>
    <xf numFmtId="0" fontId="0" fillId="0" borderId="0">
      <alignment/>
      <protection/>
    </xf>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42">
    <xf numFmtId="0" fontId="0" fillId="0" borderId="0" xfId="0" applyAlignment="1">
      <alignment/>
    </xf>
    <xf numFmtId="4" fontId="3" fillId="33" borderId="10" xfId="0" applyNumberFormat="1" applyFont="1" applyFill="1" applyBorder="1" applyAlignment="1">
      <alignment/>
    </xf>
    <xf numFmtId="0" fontId="79" fillId="0" borderId="0" xfId="0" applyFont="1" applyAlignment="1">
      <alignment/>
    </xf>
    <xf numFmtId="0" fontId="0" fillId="0" borderId="0" xfId="0" applyFont="1" applyAlignment="1">
      <alignment/>
    </xf>
    <xf numFmtId="0" fontId="4" fillId="0" borderId="0" xfId="0" applyFont="1" applyAlignment="1">
      <alignment/>
    </xf>
    <xf numFmtId="0" fontId="80" fillId="0" borderId="0" xfId="0" applyFont="1" applyAlignment="1">
      <alignment/>
    </xf>
    <xf numFmtId="2" fontId="79" fillId="0" borderId="0" xfId="0" applyNumberFormat="1" applyFont="1" applyAlignment="1">
      <alignment/>
    </xf>
    <xf numFmtId="0" fontId="2" fillId="0" borderId="11" xfId="0" applyFont="1" applyFill="1" applyBorder="1" applyAlignment="1">
      <alignment horizontal="center" wrapText="1"/>
    </xf>
    <xf numFmtId="2" fontId="4" fillId="0" borderId="0" xfId="0" applyNumberFormat="1" applyFont="1" applyAlignment="1">
      <alignment/>
    </xf>
    <xf numFmtId="0" fontId="2" fillId="0" borderId="12" xfId="0" applyFont="1" applyFill="1" applyBorder="1" applyAlignment="1">
      <alignment vertical="center" wrapText="1"/>
    </xf>
    <xf numFmtId="0" fontId="2" fillId="0" borderId="13" xfId="0" applyFont="1" applyFill="1" applyBorder="1" applyAlignment="1">
      <alignment horizontal="left" vertical="center"/>
    </xf>
    <xf numFmtId="4" fontId="3" fillId="0" borderId="14" xfId="0" applyNumberFormat="1" applyFont="1" applyFill="1" applyBorder="1" applyAlignment="1">
      <alignment horizontal="right" vertical="center"/>
    </xf>
    <xf numFmtId="174" fontId="2" fillId="0" borderId="15" xfId="0" applyNumberFormat="1" applyFont="1" applyFill="1" applyBorder="1" applyAlignment="1">
      <alignment horizontal="center" vertical="center"/>
    </xf>
    <xf numFmtId="2" fontId="3" fillId="0" borderId="13"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17" xfId="0" applyFont="1" applyFill="1" applyBorder="1" applyAlignment="1">
      <alignment horizontal="left" vertical="center"/>
    </xf>
    <xf numFmtId="4" fontId="3" fillId="0" borderId="18" xfId="0" applyNumberFormat="1" applyFont="1" applyFill="1" applyBorder="1" applyAlignment="1">
      <alignment horizontal="right" vertical="center"/>
    </xf>
    <xf numFmtId="174" fontId="2" fillId="0" borderId="19" xfId="0" applyNumberFormat="1" applyFont="1" applyFill="1" applyBorder="1" applyAlignment="1">
      <alignment horizontal="center" vertical="center"/>
    </xf>
    <xf numFmtId="2" fontId="3" fillId="0" borderId="17" xfId="0" applyNumberFormat="1" applyFont="1" applyFill="1" applyBorder="1" applyAlignment="1">
      <alignment horizontal="right" vertical="center"/>
    </xf>
    <xf numFmtId="2" fontId="3" fillId="0" borderId="18" xfId="0" applyNumberFormat="1" applyFont="1" applyFill="1" applyBorder="1" applyAlignment="1">
      <alignment horizontal="right" vertical="center"/>
    </xf>
    <xf numFmtId="0" fontId="2" fillId="0" borderId="20" xfId="0" applyFont="1" applyBorder="1" applyAlignment="1">
      <alignment horizontal="left" vertical="center" wrapText="1"/>
    </xf>
    <xf numFmtId="0" fontId="2" fillId="0" borderId="18" xfId="0" applyFont="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0" xfId="0" applyFont="1" applyFill="1" applyBorder="1" applyAlignment="1">
      <alignment horizontal="left" vertical="center"/>
    </xf>
    <xf numFmtId="4" fontId="3" fillId="0" borderId="23" xfId="0" applyNumberFormat="1" applyFont="1" applyFill="1" applyBorder="1" applyAlignment="1">
      <alignment horizontal="right" vertical="center"/>
    </xf>
    <xf numFmtId="174" fontId="2" fillId="0" borderId="24" xfId="0" applyNumberFormat="1" applyFont="1" applyFill="1" applyBorder="1" applyAlignment="1">
      <alignment horizontal="center" vertical="center"/>
    </xf>
    <xf numFmtId="2" fontId="3" fillId="0" borderId="10" xfId="0" applyNumberFormat="1" applyFont="1" applyFill="1" applyBorder="1" applyAlignment="1">
      <alignment horizontal="right" vertical="center"/>
    </xf>
    <xf numFmtId="2" fontId="3" fillId="0" borderId="23" xfId="0" applyNumberFormat="1" applyFont="1" applyFill="1" applyBorder="1" applyAlignment="1">
      <alignment horizontal="right" vertical="center"/>
    </xf>
    <xf numFmtId="0" fontId="2" fillId="0" borderId="24"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Fill="1" applyBorder="1" applyAlignment="1">
      <alignment horizontal="center" wrapText="1"/>
    </xf>
    <xf numFmtId="0" fontId="3" fillId="0" borderId="11" xfId="0" applyFont="1" applyFill="1" applyBorder="1" applyAlignment="1">
      <alignment horizontal="center" wrapText="1"/>
    </xf>
    <xf numFmtId="0" fontId="2" fillId="0" borderId="26" xfId="0" applyFont="1" applyFill="1" applyBorder="1" applyAlignment="1">
      <alignment horizontal="center" wrapText="1"/>
    </xf>
    <xf numFmtId="0" fontId="2" fillId="0" borderId="15" xfId="0" applyFont="1" applyBorder="1" applyAlignment="1">
      <alignment horizontal="left" vertical="center" wrapText="1"/>
    </xf>
    <xf numFmtId="0" fontId="2" fillId="0" borderId="22" xfId="0" applyFont="1" applyFill="1" applyBorder="1" applyAlignment="1">
      <alignment vertical="center" wrapText="1"/>
    </xf>
    <xf numFmtId="4" fontId="3" fillId="33" borderId="27" xfId="0" applyNumberFormat="1" applyFont="1" applyFill="1" applyBorder="1" applyAlignment="1">
      <alignment horizontal="center"/>
    </xf>
    <xf numFmtId="0" fontId="2" fillId="0" borderId="10" xfId="0" applyFont="1" applyBorder="1" applyAlignment="1">
      <alignment horizontal="left" vertical="center" wrapText="1"/>
    </xf>
    <xf numFmtId="174" fontId="2" fillId="0" borderId="22" xfId="0" applyNumberFormat="1" applyFont="1" applyFill="1" applyBorder="1" applyAlignment="1">
      <alignment horizontal="center" vertical="center"/>
    </xf>
    <xf numFmtId="0" fontId="2" fillId="0" borderId="28" xfId="0" applyFont="1" applyBorder="1" applyAlignment="1">
      <alignment horizontal="left" vertical="center" wrapText="1"/>
    </xf>
    <xf numFmtId="0" fontId="2" fillId="34" borderId="22" xfId="0" applyFont="1" applyFill="1" applyBorder="1" applyAlignment="1">
      <alignment horizontal="left" vertical="center" wrapText="1"/>
    </xf>
    <xf numFmtId="4" fontId="3" fillId="0" borderId="28" xfId="0" applyNumberFormat="1" applyFont="1" applyBorder="1" applyAlignment="1">
      <alignment horizontal="right" vertical="center"/>
    </xf>
    <xf numFmtId="174" fontId="3" fillId="35" borderId="29" xfId="0" applyNumberFormat="1" applyFont="1" applyFill="1" applyBorder="1" applyAlignment="1">
      <alignment horizontal="center" vertical="center"/>
    </xf>
    <xf numFmtId="174" fontId="3" fillId="35" borderId="28" xfId="0" applyNumberFormat="1" applyFont="1" applyFill="1" applyBorder="1" applyAlignment="1">
      <alignment horizontal="center" vertical="center"/>
    </xf>
    <xf numFmtId="174" fontId="3" fillId="35" borderId="3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2" fillId="0" borderId="28" xfId="0" applyNumberFormat="1" applyFont="1" applyFill="1" applyBorder="1" applyAlignment="1">
      <alignment horizontal="center" vertical="center"/>
    </xf>
    <xf numFmtId="4" fontId="3" fillId="0" borderId="10" xfId="0" applyNumberFormat="1" applyFont="1" applyFill="1" applyBorder="1" applyAlignment="1">
      <alignment horizontal="right" vertical="center"/>
    </xf>
    <xf numFmtId="0" fontId="2" fillId="0" borderId="31" xfId="0" applyFont="1" applyFill="1" applyBorder="1" applyAlignment="1">
      <alignment horizontal="center" wrapText="1"/>
    </xf>
    <xf numFmtId="174" fontId="2" fillId="0" borderId="29" xfId="0" applyNumberFormat="1" applyFont="1" applyFill="1" applyBorder="1" applyAlignment="1">
      <alignment horizontal="center" vertical="center"/>
    </xf>
    <xf numFmtId="174" fontId="2" fillId="0" borderId="30" xfId="0" applyNumberFormat="1" applyFont="1" applyFill="1" applyBorder="1" applyAlignment="1">
      <alignment horizontal="center" vertical="center"/>
    </xf>
    <xf numFmtId="4" fontId="3" fillId="33" borderId="32" xfId="0" applyNumberFormat="1" applyFont="1" applyFill="1" applyBorder="1" applyAlignment="1">
      <alignment/>
    </xf>
    <xf numFmtId="4" fontId="3" fillId="33" borderId="33" xfId="0" applyNumberFormat="1" applyFont="1" applyFill="1" applyBorder="1" applyAlignment="1">
      <alignment/>
    </xf>
    <xf numFmtId="4" fontId="2" fillId="0" borderId="10" xfId="0" applyNumberFormat="1" applyFont="1" applyBorder="1" applyAlignment="1">
      <alignment horizontal="right" vertical="center"/>
    </xf>
    <xf numFmtId="0" fontId="0" fillId="0" borderId="0" xfId="0" applyAlignment="1">
      <alignment horizontal="center"/>
    </xf>
    <xf numFmtId="0" fontId="0" fillId="0" borderId="0" xfId="0" applyAlignment="1">
      <alignment vertical="center"/>
    </xf>
    <xf numFmtId="0" fontId="0" fillId="16" borderId="34" xfId="0" applyFont="1" applyFill="1" applyBorder="1" applyAlignment="1">
      <alignment horizontal="center" vertical="center"/>
    </xf>
    <xf numFmtId="0" fontId="0" fillId="16" borderId="35" xfId="0" applyFont="1" applyFill="1" applyBorder="1" applyAlignment="1">
      <alignment horizontal="center" vertical="center" wrapText="1"/>
    </xf>
    <xf numFmtId="0" fontId="0" fillId="16" borderId="36" xfId="0" applyFill="1" applyBorder="1" applyAlignment="1">
      <alignment horizontal="center" vertical="center"/>
    </xf>
    <xf numFmtId="0" fontId="0" fillId="16" borderId="37" xfId="0" applyFont="1" applyFill="1" applyBorder="1" applyAlignment="1">
      <alignment horizontal="center" vertical="center"/>
    </xf>
    <xf numFmtId="0" fontId="0" fillId="16" borderId="20" xfId="0" applyFont="1" applyFill="1" applyBorder="1" applyAlignment="1">
      <alignment horizontal="center" vertical="center" wrapText="1"/>
    </xf>
    <xf numFmtId="0" fontId="0" fillId="16" borderId="38" xfId="0" applyFill="1" applyBorder="1" applyAlignment="1">
      <alignment horizontal="center" vertical="center"/>
    </xf>
    <xf numFmtId="2" fontId="0" fillId="36" borderId="39" xfId="0" applyNumberFormat="1" applyFill="1" applyBorder="1" applyAlignment="1">
      <alignment horizontal="center"/>
    </xf>
    <xf numFmtId="0" fontId="0" fillId="36" borderId="35" xfId="0" applyFont="1" applyFill="1" applyBorder="1" applyAlignment="1">
      <alignment horizontal="center" vertical="center" wrapText="1" shrinkToFit="1"/>
    </xf>
    <xf numFmtId="0" fontId="0" fillId="36" borderId="40" xfId="0" applyFill="1" applyBorder="1" applyAlignment="1">
      <alignment horizontal="center"/>
    </xf>
    <xf numFmtId="0" fontId="0" fillId="36" borderId="36" xfId="0" applyFill="1" applyBorder="1" applyAlignment="1">
      <alignment horizontal="center" vertical="center"/>
    </xf>
    <xf numFmtId="0" fontId="0" fillId="36" borderId="20" xfId="0" applyFont="1" applyFill="1" applyBorder="1" applyAlignment="1">
      <alignment horizontal="center" vertical="center" wrapText="1" shrinkToFit="1"/>
    </xf>
    <xf numFmtId="0" fontId="0" fillId="36" borderId="38" xfId="0" applyFill="1" applyBorder="1" applyAlignment="1">
      <alignment horizontal="center" vertical="center"/>
    </xf>
    <xf numFmtId="0" fontId="7" fillId="36" borderId="41" xfId="0" applyFont="1" applyFill="1" applyBorder="1" applyAlignment="1">
      <alignment horizontal="center"/>
    </xf>
    <xf numFmtId="0" fontId="9" fillId="10" borderId="40" xfId="0" applyFont="1" applyFill="1" applyBorder="1" applyAlignment="1">
      <alignment horizontal="center"/>
    </xf>
    <xf numFmtId="2" fontId="9" fillId="10" borderId="39" xfId="0" applyNumberFormat="1" applyFont="1" applyFill="1" applyBorder="1" applyAlignment="1">
      <alignment horizontal="center"/>
    </xf>
    <xf numFmtId="0" fontId="9" fillId="37" borderId="40" xfId="0" applyFont="1" applyFill="1" applyBorder="1" applyAlignment="1">
      <alignment horizontal="center"/>
    </xf>
    <xf numFmtId="2" fontId="9" fillId="37" borderId="39" xfId="0" applyNumberFormat="1" applyFont="1" applyFill="1" applyBorder="1" applyAlignment="1">
      <alignment horizontal="center"/>
    </xf>
    <xf numFmtId="0" fontId="8" fillId="36" borderId="41" xfId="0" applyFont="1" applyFill="1" applyBorder="1" applyAlignment="1">
      <alignment horizontal="center"/>
    </xf>
    <xf numFmtId="0" fontId="9" fillId="36" borderId="40" xfId="0" applyFont="1" applyFill="1" applyBorder="1" applyAlignment="1">
      <alignment horizontal="center"/>
    </xf>
    <xf numFmtId="2" fontId="9" fillId="36" borderId="39" xfId="0" applyNumberFormat="1" applyFont="1" applyFill="1" applyBorder="1" applyAlignment="1">
      <alignment horizontal="center"/>
    </xf>
    <xf numFmtId="0" fontId="9" fillId="0" borderId="0" xfId="0" applyFont="1" applyAlignment="1">
      <alignment/>
    </xf>
    <xf numFmtId="0" fontId="9" fillId="0" borderId="0" xfId="0" applyFont="1" applyAlignment="1">
      <alignment horizontal="center"/>
    </xf>
    <xf numFmtId="174" fontId="9" fillId="10" borderId="39" xfId="0" applyNumberFormat="1" applyFont="1" applyFill="1" applyBorder="1" applyAlignment="1">
      <alignment horizontal="center"/>
    </xf>
    <xf numFmtId="0" fontId="8" fillId="34" borderId="40" xfId="0" applyFont="1" applyFill="1" applyBorder="1" applyAlignment="1">
      <alignment horizontal="right"/>
    </xf>
    <xf numFmtId="0" fontId="8" fillId="34" borderId="41" xfId="0" applyFont="1" applyFill="1" applyBorder="1" applyAlignment="1">
      <alignment horizontal="right"/>
    </xf>
    <xf numFmtId="0" fontId="0" fillId="0" borderId="0" xfId="0" applyAlignment="1">
      <alignment wrapText="1"/>
    </xf>
    <xf numFmtId="0" fontId="4" fillId="0" borderId="23" xfId="0" applyFont="1" applyBorder="1" applyAlignment="1">
      <alignment horizontal="left" vertical="center" wrapText="1"/>
    </xf>
    <xf numFmtId="4" fontId="3" fillId="33" borderId="23" xfId="0" applyNumberFormat="1" applyFont="1" applyFill="1" applyBorder="1" applyAlignment="1">
      <alignment/>
    </xf>
    <xf numFmtId="1" fontId="2" fillId="0" borderId="28" xfId="0" applyNumberFormat="1" applyFont="1" applyFill="1" applyBorder="1" applyAlignment="1">
      <alignment horizontal="center" vertical="center"/>
    </xf>
    <xf numFmtId="4" fontId="3" fillId="33" borderId="22" xfId="0" applyNumberFormat="1" applyFont="1" applyFill="1" applyBorder="1" applyAlignment="1">
      <alignment horizontal="right" vertical="center"/>
    </xf>
    <xf numFmtId="3" fontId="2" fillId="33" borderId="28" xfId="0" applyNumberFormat="1" applyFont="1" applyFill="1" applyBorder="1" applyAlignment="1">
      <alignment horizontal="center" vertical="center"/>
    </xf>
    <xf numFmtId="4" fontId="3" fillId="33" borderId="10" xfId="0" applyNumberFormat="1" applyFont="1" applyFill="1" applyBorder="1" applyAlignment="1">
      <alignment horizontal="right" vertical="center"/>
    </xf>
    <xf numFmtId="0" fontId="3" fillId="33" borderId="22" xfId="0" applyFont="1" applyFill="1" applyBorder="1" applyAlignment="1">
      <alignment horizontal="center" wrapText="1"/>
    </xf>
    <xf numFmtId="0" fontId="3" fillId="33" borderId="28" xfId="0" applyFont="1" applyFill="1" applyBorder="1" applyAlignment="1">
      <alignment horizontal="center" wrapText="1"/>
    </xf>
    <xf numFmtId="4" fontId="1" fillId="38" borderId="10" xfId="0" applyNumberFormat="1" applyFont="1" applyFill="1" applyBorder="1" applyAlignment="1">
      <alignment horizontal="right" vertical="center"/>
    </xf>
    <xf numFmtId="0" fontId="0" fillId="0" borderId="0" xfId="0" applyFill="1" applyBorder="1" applyAlignment="1">
      <alignment/>
    </xf>
    <xf numFmtId="0" fontId="7" fillId="0" borderId="0" xfId="0" applyFont="1" applyFill="1" applyBorder="1" applyAlignment="1">
      <alignment horizontal="center"/>
    </xf>
    <xf numFmtId="0" fontId="0" fillId="0" borderId="0" xfId="0" applyFill="1" applyBorder="1" applyAlignment="1">
      <alignment horizontal="center"/>
    </xf>
    <xf numFmtId="4" fontId="3" fillId="0" borderId="28" xfId="0" applyNumberFormat="1" applyFont="1" applyFill="1" applyBorder="1" applyAlignment="1">
      <alignment horizontal="right" vertical="center"/>
    </xf>
    <xf numFmtId="0" fontId="3" fillId="39" borderId="11" xfId="0" applyFont="1" applyFill="1" applyBorder="1" applyAlignment="1">
      <alignment horizontal="center" wrapText="1"/>
    </xf>
    <xf numFmtId="0" fontId="2" fillId="39" borderId="26" xfId="0" applyFont="1" applyFill="1" applyBorder="1" applyAlignment="1">
      <alignment horizontal="center" wrapText="1"/>
    </xf>
    <xf numFmtId="2" fontId="3" fillId="39" borderId="12" xfId="0" applyNumberFormat="1" applyFont="1" applyFill="1" applyBorder="1" applyAlignment="1">
      <alignment horizontal="right" vertical="center"/>
    </xf>
    <xf numFmtId="2" fontId="3" fillId="39" borderId="14"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2" fontId="3" fillId="39" borderId="21" xfId="0" applyNumberFormat="1" applyFont="1" applyFill="1" applyBorder="1" applyAlignment="1">
      <alignment horizontal="right" vertical="center"/>
    </xf>
    <xf numFmtId="2" fontId="3" fillId="39" borderId="18" xfId="0" applyNumberFormat="1" applyFont="1" applyFill="1" applyBorder="1" applyAlignment="1">
      <alignment horizontal="right" vertical="center"/>
    </xf>
    <xf numFmtId="4" fontId="3" fillId="39" borderId="18" xfId="0" applyNumberFormat="1" applyFont="1" applyFill="1" applyBorder="1" applyAlignment="1">
      <alignment horizontal="right" vertical="center"/>
    </xf>
    <xf numFmtId="2" fontId="3" fillId="39" borderId="22" xfId="0" applyNumberFormat="1" applyFont="1" applyFill="1" applyBorder="1" applyAlignment="1">
      <alignment horizontal="right" vertical="center"/>
    </xf>
    <xf numFmtId="2" fontId="3" fillId="39" borderId="23" xfId="0" applyNumberFormat="1" applyFont="1" applyFill="1" applyBorder="1" applyAlignment="1">
      <alignment horizontal="right" vertical="center"/>
    </xf>
    <xf numFmtId="4" fontId="3" fillId="39" borderId="23" xfId="0" applyNumberFormat="1" applyFont="1" applyFill="1" applyBorder="1" applyAlignment="1">
      <alignment horizontal="right" vertical="center"/>
    </xf>
    <xf numFmtId="4" fontId="3" fillId="33" borderId="28" xfId="0" applyNumberFormat="1" applyFont="1" applyFill="1" applyBorder="1" applyAlignment="1">
      <alignment horizontal="right" vertical="center"/>
    </xf>
    <xf numFmtId="4" fontId="1" fillId="38" borderId="28" xfId="0" applyNumberFormat="1" applyFont="1" applyFill="1" applyBorder="1" applyAlignment="1">
      <alignment horizontal="right" vertical="center"/>
    </xf>
    <xf numFmtId="0" fontId="13" fillId="0" borderId="20" xfId="0" applyFont="1" applyBorder="1" applyAlignment="1">
      <alignment horizontal="center"/>
    </xf>
    <xf numFmtId="2" fontId="1" fillId="0" borderId="0" xfId="0" applyNumberFormat="1" applyFont="1" applyAlignment="1">
      <alignment horizontal="right"/>
    </xf>
    <xf numFmtId="0" fontId="9" fillId="0" borderId="21" xfId="0" applyFont="1" applyBorder="1" applyAlignment="1">
      <alignment horizontal="center" wrapText="1"/>
    </xf>
    <xf numFmtId="0" fontId="7" fillId="0" borderId="17" xfId="0" applyFont="1" applyBorder="1" applyAlignment="1">
      <alignment horizontal="center" wrapText="1"/>
    </xf>
    <xf numFmtId="0" fontId="0" fillId="0" borderId="18" xfId="0" applyFont="1" applyBorder="1" applyAlignment="1">
      <alignment horizontal="center" wrapText="1"/>
    </xf>
    <xf numFmtId="0" fontId="7" fillId="0" borderId="0" xfId="0" applyFont="1" applyAlignment="1">
      <alignment horizontal="center"/>
    </xf>
    <xf numFmtId="174" fontId="9" fillId="37" borderId="39" xfId="0" applyNumberFormat="1" applyFont="1" applyFill="1" applyBorder="1" applyAlignment="1">
      <alignment horizontal="center"/>
    </xf>
    <xf numFmtId="174" fontId="9" fillId="34" borderId="39" xfId="0" applyNumberFormat="1" applyFont="1" applyFill="1" applyBorder="1" applyAlignment="1">
      <alignment horizontal="center"/>
    </xf>
    <xf numFmtId="174" fontId="10" fillId="0" borderId="39" xfId="0" applyNumberFormat="1" applyFont="1" applyBorder="1" applyAlignment="1">
      <alignment horizontal="center"/>
    </xf>
    <xf numFmtId="2" fontId="0" fillId="0" borderId="0" xfId="0" applyNumberFormat="1" applyAlignment="1">
      <alignment/>
    </xf>
    <xf numFmtId="0" fontId="13" fillId="0" borderId="0" xfId="0" applyFont="1" applyBorder="1" applyAlignment="1">
      <alignment horizontal="center"/>
    </xf>
    <xf numFmtId="0" fontId="15" fillId="0" borderId="0" xfId="0" applyFont="1" applyBorder="1" applyAlignment="1">
      <alignment vertical="center"/>
    </xf>
    <xf numFmtId="0" fontId="7" fillId="0" borderId="18" xfId="0" applyFont="1" applyBorder="1" applyAlignment="1">
      <alignment horizontal="center" wrapText="1"/>
    </xf>
    <xf numFmtId="174" fontId="0" fillId="0" borderId="0" xfId="0" applyNumberFormat="1" applyAlignment="1">
      <alignment/>
    </xf>
    <xf numFmtId="0" fontId="81" fillId="0" borderId="0" xfId="0" applyFont="1" applyAlignment="1">
      <alignment/>
    </xf>
    <xf numFmtId="4" fontId="3" fillId="33" borderId="42" xfId="0" applyNumberFormat="1" applyFont="1" applyFill="1" applyBorder="1" applyAlignment="1">
      <alignment horizontal="center"/>
    </xf>
    <xf numFmtId="1" fontId="3" fillId="35" borderId="30" xfId="0" applyNumberFormat="1" applyFont="1" applyFill="1" applyBorder="1" applyAlignment="1">
      <alignment horizontal="center" vertical="center"/>
    </xf>
    <xf numFmtId="2" fontId="3" fillId="35" borderId="28" xfId="0" applyNumberFormat="1" applyFont="1" applyFill="1" applyBorder="1" applyAlignment="1">
      <alignment horizontal="center" vertical="center"/>
    </xf>
    <xf numFmtId="2" fontId="82" fillId="0" borderId="0" xfId="0" applyNumberFormat="1" applyFont="1" applyAlignment="1">
      <alignment/>
    </xf>
    <xf numFmtId="0" fontId="2" fillId="0" borderId="24"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3" xfId="0" applyFont="1" applyFill="1" applyBorder="1" applyAlignment="1">
      <alignment horizontal="center"/>
    </xf>
    <xf numFmtId="0" fontId="2" fillId="0" borderId="43" xfId="0" applyFont="1" applyFill="1" applyBorder="1" applyAlignment="1">
      <alignment horizontal="center" wrapText="1"/>
    </xf>
    <xf numFmtId="0" fontId="3" fillId="0" borderId="43" xfId="0" applyFont="1" applyFill="1" applyBorder="1" applyAlignment="1">
      <alignment horizontal="center" wrapText="1"/>
    </xf>
    <xf numFmtId="49" fontId="4" fillId="0" borderId="43" xfId="0" applyNumberFormat="1" applyFont="1" applyFill="1" applyBorder="1" applyAlignment="1">
      <alignment horizontal="center"/>
    </xf>
    <xf numFmtId="49" fontId="4" fillId="0" borderId="43" xfId="0" applyNumberFormat="1" applyFont="1" applyFill="1" applyBorder="1" applyAlignment="1">
      <alignment horizontal="center" wrapText="1"/>
    </xf>
    <xf numFmtId="0" fontId="2" fillId="0" borderId="43" xfId="0" applyFont="1" applyFill="1" applyBorder="1" applyAlignment="1">
      <alignment horizontal="right" vertical="center" wrapText="1"/>
    </xf>
    <xf numFmtId="1" fontId="2" fillId="0" borderId="43" xfId="0" applyNumberFormat="1" applyFont="1" applyFill="1" applyBorder="1" applyAlignment="1">
      <alignment horizontal="right"/>
    </xf>
    <xf numFmtId="4" fontId="2" fillId="0" borderId="43" xfId="0" applyNumberFormat="1" applyFont="1" applyFill="1" applyBorder="1" applyAlignment="1">
      <alignment horizontal="right"/>
    </xf>
    <xf numFmtId="0" fontId="3" fillId="0" borderId="43" xfId="0" applyFont="1" applyFill="1" applyBorder="1" applyAlignment="1">
      <alignment horizontal="right" vertical="center" wrapText="1"/>
    </xf>
    <xf numFmtId="1" fontId="3" fillId="0" borderId="43" xfId="0" applyNumberFormat="1" applyFont="1" applyFill="1" applyBorder="1" applyAlignment="1">
      <alignment horizontal="center"/>
    </xf>
    <xf numFmtId="2" fontId="3" fillId="0" borderId="43" xfId="0" applyNumberFormat="1" applyFont="1" applyFill="1" applyBorder="1" applyAlignment="1">
      <alignment horizontal="center"/>
    </xf>
    <xf numFmtId="4" fontId="3" fillId="0" borderId="43" xfId="0" applyNumberFormat="1" applyFont="1" applyFill="1" applyBorder="1" applyAlignment="1">
      <alignment horizontal="center"/>
    </xf>
    <xf numFmtId="0" fontId="4" fillId="0" borderId="44" xfId="0" applyFont="1" applyBorder="1" applyAlignment="1">
      <alignment horizontal="center" vertical="top" wrapText="1"/>
    </xf>
    <xf numFmtId="0" fontId="4" fillId="0" borderId="41" xfId="0" applyFont="1" applyBorder="1" applyAlignment="1">
      <alignment horizontal="center" vertical="top" wrapText="1"/>
    </xf>
    <xf numFmtId="4" fontId="2" fillId="0" borderId="10" xfId="0" applyNumberFormat="1" applyFont="1" applyBorder="1" applyAlignment="1">
      <alignment horizontal="center"/>
    </xf>
    <xf numFmtId="4" fontId="2" fillId="0" borderId="23" xfId="0" applyNumberFormat="1" applyFont="1" applyBorder="1" applyAlignment="1">
      <alignment horizontal="center"/>
    </xf>
    <xf numFmtId="0" fontId="4" fillId="0" borderId="45" xfId="0" applyFont="1" applyBorder="1" applyAlignment="1">
      <alignment horizontal="center" vertical="top"/>
    </xf>
    <xf numFmtId="0" fontId="4" fillId="0" borderId="46" xfId="0" applyFont="1" applyBorder="1" applyAlignment="1">
      <alignment horizontal="center" vertical="top"/>
    </xf>
    <xf numFmtId="0" fontId="83" fillId="0" borderId="0" xfId="0" applyFont="1" applyAlignment="1">
      <alignment/>
    </xf>
    <xf numFmtId="0" fontId="4" fillId="0" borderId="47" xfId="0" applyFont="1" applyBorder="1" applyAlignment="1">
      <alignment horizontal="center" vertical="top"/>
    </xf>
    <xf numFmtId="0" fontId="4" fillId="0" borderId="48" xfId="0" applyFont="1" applyBorder="1" applyAlignment="1">
      <alignment horizontal="center" vertical="top"/>
    </xf>
    <xf numFmtId="4" fontId="2" fillId="0" borderId="11" xfId="0" applyNumberFormat="1" applyFont="1" applyBorder="1" applyAlignment="1">
      <alignment horizontal="right"/>
    </xf>
    <xf numFmtId="4" fontId="2" fillId="0" borderId="11" xfId="0" applyNumberFormat="1" applyFont="1" applyBorder="1" applyAlignment="1">
      <alignment/>
    </xf>
    <xf numFmtId="4" fontId="2" fillId="0" borderId="26" xfId="0" applyNumberFormat="1" applyFont="1" applyBorder="1" applyAlignment="1">
      <alignment/>
    </xf>
    <xf numFmtId="0" fontId="80" fillId="0" borderId="0" xfId="0" applyFont="1" applyAlignment="1">
      <alignment vertical="center" wrapText="1"/>
    </xf>
    <xf numFmtId="0" fontId="4" fillId="0" borderId="44" xfId="0" applyFont="1" applyBorder="1" applyAlignment="1">
      <alignment horizontal="center" vertical="top"/>
    </xf>
    <xf numFmtId="3" fontId="1" fillId="0" borderId="28" xfId="0" applyNumberFormat="1" applyFont="1" applyFill="1" applyBorder="1" applyAlignment="1">
      <alignment horizontal="right"/>
    </xf>
    <xf numFmtId="3" fontId="1" fillId="0" borderId="23" xfId="0" applyNumberFormat="1" applyFont="1" applyFill="1" applyBorder="1" applyAlignment="1">
      <alignment horizontal="right"/>
    </xf>
    <xf numFmtId="0" fontId="84" fillId="0" borderId="0" xfId="0" applyFont="1" applyAlignment="1">
      <alignment horizontal="right" vertical="top"/>
    </xf>
    <xf numFmtId="4" fontId="80" fillId="0" borderId="0" xfId="0" applyNumberFormat="1" applyFont="1" applyAlignment="1">
      <alignment/>
    </xf>
    <xf numFmtId="4" fontId="79" fillId="0" borderId="0" xfId="0" applyNumberFormat="1" applyFont="1" applyAlignment="1">
      <alignment/>
    </xf>
    <xf numFmtId="0" fontId="3" fillId="0" borderId="0" xfId="0" applyFont="1" applyAlignment="1">
      <alignment/>
    </xf>
    <xf numFmtId="0" fontId="17" fillId="0" borderId="0" xfId="0" applyFont="1" applyAlignment="1">
      <alignment/>
    </xf>
    <xf numFmtId="0" fontId="2" fillId="0" borderId="28" xfId="0" applyFont="1" applyFill="1" applyBorder="1" applyAlignment="1">
      <alignment horizontal="left" vertical="center" wrapText="1"/>
    </xf>
    <xf numFmtId="0" fontId="85" fillId="0" borderId="0" xfId="0" applyFont="1" applyAlignment="1">
      <alignment horizontal="left" vertical="center"/>
    </xf>
    <xf numFmtId="4" fontId="19" fillId="0" borderId="23" xfId="0" applyNumberFormat="1" applyFont="1" applyFill="1" applyBorder="1" applyAlignment="1">
      <alignment horizontal="right" vertical="center"/>
    </xf>
    <xf numFmtId="4" fontId="3" fillId="40" borderId="44" xfId="0" applyNumberFormat="1" applyFont="1" applyFill="1" applyBorder="1" applyAlignment="1">
      <alignment horizontal="right" vertical="center"/>
    </xf>
    <xf numFmtId="4" fontId="1" fillId="41" borderId="44" xfId="0" applyNumberFormat="1" applyFont="1" applyFill="1" applyBorder="1" applyAlignment="1">
      <alignment horizontal="right" vertical="center"/>
    </xf>
    <xf numFmtId="4" fontId="2" fillId="0" borderId="43" xfId="0" applyNumberFormat="1" applyFont="1" applyBorder="1" applyAlignment="1">
      <alignment horizontal="right"/>
    </xf>
    <xf numFmtId="4" fontId="2" fillId="0" borderId="43" xfId="0" applyNumberFormat="1" applyFont="1" applyBorder="1" applyAlignment="1">
      <alignment/>
    </xf>
    <xf numFmtId="4" fontId="2" fillId="0" borderId="49" xfId="0" applyNumberFormat="1" applyFont="1" applyBorder="1" applyAlignment="1">
      <alignment/>
    </xf>
    <xf numFmtId="0" fontId="86" fillId="0" borderId="0" xfId="0" applyFont="1" applyAlignment="1">
      <alignment/>
    </xf>
    <xf numFmtId="0" fontId="86" fillId="0" borderId="11" xfId="0" applyFont="1" applyBorder="1" applyAlignment="1">
      <alignment horizontal="center"/>
    </xf>
    <xf numFmtId="0" fontId="86" fillId="0" borderId="11" xfId="0" applyFont="1" applyBorder="1" applyAlignment="1">
      <alignment horizontal="center" wrapText="1"/>
    </xf>
    <xf numFmtId="0" fontId="86" fillId="0" borderId="31" xfId="0" applyFont="1" applyBorder="1" applyAlignment="1">
      <alignment horizontal="center" wrapText="1"/>
    </xf>
    <xf numFmtId="0" fontId="86" fillId="0" borderId="44" xfId="0" applyFont="1" applyFill="1" applyBorder="1" applyAlignment="1">
      <alignment horizontal="center" wrapText="1"/>
    </xf>
    <xf numFmtId="0" fontId="87" fillId="0" borderId="50" xfId="0" applyFont="1" applyBorder="1" applyAlignment="1">
      <alignment horizontal="center" wrapText="1"/>
    </xf>
    <xf numFmtId="0" fontId="87" fillId="0" borderId="51" xfId="0" applyFont="1" applyBorder="1" applyAlignment="1">
      <alignment horizontal="center" wrapText="1"/>
    </xf>
    <xf numFmtId="0" fontId="87" fillId="0" borderId="51" xfId="0" applyFont="1" applyBorder="1" applyAlignment="1">
      <alignment horizontal="center"/>
    </xf>
    <xf numFmtId="0" fontId="87" fillId="0" borderId="52" xfId="0" applyFont="1" applyBorder="1" applyAlignment="1">
      <alignment horizontal="center" wrapText="1"/>
    </xf>
    <xf numFmtId="0" fontId="87" fillId="0" borderId="53" xfId="0" applyFont="1" applyFill="1" applyBorder="1" applyAlignment="1">
      <alignment horizontal="center" wrapText="1"/>
    </xf>
    <xf numFmtId="0" fontId="88" fillId="0" borderId="53" xfId="0" applyFont="1" applyFill="1" applyBorder="1" applyAlignment="1">
      <alignment horizontal="center" wrapText="1"/>
    </xf>
    <xf numFmtId="0" fontId="86" fillId="0" borderId="54" xfId="0" applyFont="1" applyBorder="1" applyAlignment="1">
      <alignment wrapText="1"/>
    </xf>
    <xf numFmtId="0" fontId="86" fillId="0" borderId="43" xfId="0" applyFont="1" applyBorder="1" applyAlignment="1">
      <alignment horizontal="center" wrapText="1"/>
    </xf>
    <xf numFmtId="2" fontId="86" fillId="0" borderId="43" xfId="0" applyNumberFormat="1" applyFont="1" applyBorder="1" applyAlignment="1">
      <alignment horizontal="right" wrapText="1"/>
    </xf>
    <xf numFmtId="2" fontId="86" fillId="0" borderId="43" xfId="0" applyNumberFormat="1" applyFont="1" applyBorder="1" applyAlignment="1">
      <alignment horizontal="right"/>
    </xf>
    <xf numFmtId="2" fontId="86" fillId="0" borderId="55" xfId="0" applyNumberFormat="1" applyFont="1" applyBorder="1" applyAlignment="1">
      <alignment horizontal="right"/>
    </xf>
    <xf numFmtId="2" fontId="86" fillId="0" borderId="45" xfId="0" applyNumberFormat="1" applyFont="1" applyBorder="1" applyAlignment="1">
      <alignment horizontal="right"/>
    </xf>
    <xf numFmtId="2" fontId="89" fillId="0" borderId="45" xfId="0" applyNumberFormat="1" applyFont="1" applyBorder="1" applyAlignment="1">
      <alignment horizontal="right"/>
    </xf>
    <xf numFmtId="0" fontId="86" fillId="0" borderId="56" xfId="0" applyFont="1" applyBorder="1" applyAlignment="1">
      <alignment wrapText="1"/>
    </xf>
    <xf numFmtId="2" fontId="86" fillId="0" borderId="11" xfId="0" applyNumberFormat="1" applyFont="1" applyBorder="1" applyAlignment="1">
      <alignment horizontal="right" wrapText="1"/>
    </xf>
    <xf numFmtId="2" fontId="86" fillId="0" borderId="11" xfId="0" applyNumberFormat="1" applyFont="1" applyBorder="1" applyAlignment="1">
      <alignment horizontal="right"/>
    </xf>
    <xf numFmtId="2" fontId="86" fillId="0" borderId="31" xfId="0" applyNumberFormat="1" applyFont="1" applyBorder="1" applyAlignment="1">
      <alignment horizontal="right"/>
    </xf>
    <xf numFmtId="2" fontId="86" fillId="0" borderId="47" xfId="0" applyNumberFormat="1" applyFont="1" applyBorder="1" applyAlignment="1">
      <alignment horizontal="right"/>
    </xf>
    <xf numFmtId="2" fontId="89" fillId="0" borderId="47" xfId="0" applyNumberFormat="1" applyFont="1" applyBorder="1" applyAlignment="1">
      <alignment horizontal="right"/>
    </xf>
    <xf numFmtId="0" fontId="90" fillId="0" borderId="0" xfId="0" applyFont="1" applyAlignment="1">
      <alignment/>
    </xf>
    <xf numFmtId="0" fontId="18" fillId="0" borderId="0" xfId="0" applyFont="1" applyAlignment="1">
      <alignment/>
    </xf>
    <xf numFmtId="49" fontId="90" fillId="0" borderId="0" xfId="0" applyNumberFormat="1" applyFont="1" applyAlignment="1">
      <alignment/>
    </xf>
    <xf numFmtId="0" fontId="18" fillId="0" borderId="14" xfId="0" applyFont="1" applyBorder="1" applyAlignment="1">
      <alignment horizontal="left" vertical="center" wrapText="1"/>
    </xf>
    <xf numFmtId="0" fontId="18" fillId="0" borderId="18" xfId="0" applyFont="1" applyBorder="1" applyAlignment="1">
      <alignment horizontal="left" vertical="center" wrapText="1"/>
    </xf>
    <xf numFmtId="0" fontId="18" fillId="0" borderId="23" xfId="0" applyFont="1" applyFill="1" applyBorder="1" applyAlignment="1">
      <alignment horizontal="left" vertical="center" wrapText="1"/>
    </xf>
    <xf numFmtId="0" fontId="18" fillId="0" borderId="23" xfId="0" applyFont="1" applyBorder="1" applyAlignment="1">
      <alignment horizontal="left" vertical="center" wrapText="1"/>
    </xf>
    <xf numFmtId="0" fontId="18" fillId="0" borderId="28" xfId="0" applyFont="1" applyFill="1" applyBorder="1" applyAlignment="1">
      <alignment horizontal="left" vertical="center" wrapText="1"/>
    </xf>
    <xf numFmtId="0" fontId="18" fillId="0" borderId="28" xfId="0" applyFont="1" applyBorder="1" applyAlignment="1">
      <alignment horizontal="left" vertical="center" wrapText="1"/>
    </xf>
    <xf numFmtId="0" fontId="4" fillId="34" borderId="57" xfId="0" applyFont="1" applyFill="1" applyBorder="1" applyAlignment="1">
      <alignment horizontal="center" vertical="top"/>
    </xf>
    <xf numFmtId="4" fontId="26" fillId="34" borderId="51" xfId="0" applyNumberFormat="1" applyFont="1" applyFill="1" applyBorder="1" applyAlignment="1">
      <alignment horizontal="right" vertical="center"/>
    </xf>
    <xf numFmtId="4" fontId="26" fillId="34" borderId="58" xfId="0" applyNumberFormat="1" applyFont="1" applyFill="1" applyBorder="1" applyAlignment="1">
      <alignment horizontal="right" vertical="center"/>
    </xf>
    <xf numFmtId="0" fontId="26" fillId="0" borderId="0" xfId="0" applyFont="1" applyAlignment="1">
      <alignment horizontal="right"/>
    </xf>
    <xf numFmtId="2" fontId="26" fillId="0" borderId="0" xfId="0" applyNumberFormat="1" applyFont="1" applyAlignment="1">
      <alignment/>
    </xf>
    <xf numFmtId="0" fontId="16" fillId="0" borderId="0" xfId="0" applyFont="1" applyFill="1" applyAlignment="1" applyProtection="1">
      <alignment vertical="center"/>
      <protection/>
    </xf>
    <xf numFmtId="0" fontId="18"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4" fontId="18" fillId="0" borderId="0" xfId="0" applyNumberFormat="1" applyFont="1" applyFill="1" applyBorder="1" applyAlignment="1" applyProtection="1">
      <alignment vertical="center"/>
      <protection/>
    </xf>
    <xf numFmtId="0" fontId="28" fillId="42" borderId="11" xfId="0" applyFont="1" applyFill="1" applyBorder="1" applyAlignment="1" applyProtection="1">
      <alignment horizontal="center" vertical="center" wrapText="1"/>
      <protection/>
    </xf>
    <xf numFmtId="3" fontId="29" fillId="43" borderId="10" xfId="0" applyNumberFormat="1" applyFont="1" applyFill="1" applyBorder="1" applyAlignment="1" applyProtection="1">
      <alignment horizontal="right" vertical="center"/>
      <protection locked="0"/>
    </xf>
    <xf numFmtId="3" fontId="29" fillId="43" borderId="23" xfId="0" applyNumberFormat="1" applyFont="1" applyFill="1" applyBorder="1" applyAlignment="1" applyProtection="1">
      <alignment horizontal="right" vertical="center"/>
      <protection locked="0"/>
    </xf>
    <xf numFmtId="0" fontId="29" fillId="44" borderId="22" xfId="0" applyFont="1" applyFill="1" applyBorder="1" applyAlignment="1" applyProtection="1">
      <alignment vertical="center"/>
      <protection locked="0"/>
    </xf>
    <xf numFmtId="0" fontId="29" fillId="44" borderId="10" xfId="0" applyFont="1" applyFill="1" applyBorder="1" applyAlignment="1" applyProtection="1">
      <alignment vertical="center"/>
      <protection locked="0"/>
    </xf>
    <xf numFmtId="49" fontId="29" fillId="44" borderId="10" xfId="0" applyNumberFormat="1" applyFont="1" applyFill="1" applyBorder="1" applyAlignment="1" applyProtection="1">
      <alignment horizontal="center" vertical="center"/>
      <protection locked="0"/>
    </xf>
    <xf numFmtId="3" fontId="29" fillId="44" borderId="10" xfId="0" applyNumberFormat="1" applyFont="1" applyFill="1" applyBorder="1" applyAlignment="1" applyProtection="1">
      <alignment horizontal="center" vertical="center"/>
      <protection locked="0"/>
    </xf>
    <xf numFmtId="2" fontId="29" fillId="44" borderId="10" xfId="0" applyNumberFormat="1" applyFont="1" applyFill="1" applyBorder="1" applyAlignment="1" applyProtection="1">
      <alignment horizontal="center" vertical="center"/>
      <protection locked="0"/>
    </xf>
    <xf numFmtId="1" fontId="29" fillId="44" borderId="10" xfId="0" applyNumberFormat="1" applyFont="1" applyFill="1" applyBorder="1" applyAlignment="1" applyProtection="1">
      <alignment horizontal="center" vertical="center"/>
      <protection locked="0"/>
    </xf>
    <xf numFmtId="3" fontId="29" fillId="44" borderId="10" xfId="0" applyNumberFormat="1" applyFont="1" applyFill="1" applyBorder="1" applyAlignment="1" applyProtection="1">
      <alignment horizontal="right" vertical="center"/>
      <protection locked="0"/>
    </xf>
    <xf numFmtId="3" fontId="29" fillId="44" borderId="23" xfId="0" applyNumberFormat="1" applyFont="1" applyFill="1" applyBorder="1" applyAlignment="1" applyProtection="1">
      <alignment horizontal="right" vertical="center"/>
      <protection locked="0"/>
    </xf>
    <xf numFmtId="0" fontId="18" fillId="44" borderId="54" xfId="0" applyFont="1" applyFill="1" applyBorder="1" applyAlignment="1" applyProtection="1">
      <alignment horizontal="center" vertical="center" wrapText="1"/>
      <protection locked="0"/>
    </xf>
    <xf numFmtId="0" fontId="2" fillId="34" borderId="43" xfId="0" applyNumberFormat="1" applyFont="1" applyFill="1" applyBorder="1" applyAlignment="1">
      <alignment horizontal="left" vertical="center" wrapText="1"/>
    </xf>
    <xf numFmtId="0" fontId="2" fillId="34" borderId="43" xfId="0" applyFont="1" applyFill="1" applyBorder="1" applyAlignment="1">
      <alignment horizontal="center" vertical="center" wrapText="1"/>
    </xf>
    <xf numFmtId="0" fontId="2" fillId="34" borderId="43" xfId="0" applyNumberFormat="1" applyFont="1" applyFill="1" applyBorder="1" applyAlignment="1">
      <alignment horizontal="center" vertical="center" wrapText="1"/>
    </xf>
    <xf numFmtId="49" fontId="18" fillId="45" borderId="43" xfId="0" applyNumberFormat="1" applyFont="1" applyFill="1" applyBorder="1" applyAlignment="1" applyProtection="1">
      <alignment horizontal="center" vertical="center"/>
      <protection locked="0"/>
    </xf>
    <xf numFmtId="3" fontId="18" fillId="45" borderId="43" xfId="0" applyNumberFormat="1" applyFont="1" applyFill="1" applyBorder="1" applyAlignment="1" applyProtection="1">
      <alignment horizontal="right" vertical="center"/>
      <protection locked="0"/>
    </xf>
    <xf numFmtId="2" fontId="18" fillId="45" borderId="43" xfId="0" applyNumberFormat="1" applyFont="1" applyFill="1" applyBorder="1" applyAlignment="1" applyProtection="1">
      <alignment horizontal="center" vertical="center"/>
      <protection locked="0"/>
    </xf>
    <xf numFmtId="3" fontId="18" fillId="45" borderId="43" xfId="0" applyNumberFormat="1" applyFont="1" applyFill="1" applyBorder="1" applyAlignment="1" applyProtection="1">
      <alignment horizontal="center" vertical="center"/>
      <protection locked="0"/>
    </xf>
    <xf numFmtId="3" fontId="18" fillId="45" borderId="49" xfId="0" applyNumberFormat="1" applyFont="1" applyFill="1" applyBorder="1" applyAlignment="1" applyProtection="1">
      <alignment horizontal="right" vertical="center"/>
      <protection locked="0"/>
    </xf>
    <xf numFmtId="0" fontId="18" fillId="44" borderId="56" xfId="0" applyFont="1" applyFill="1" applyBorder="1" applyAlignment="1" applyProtection="1">
      <alignment horizontal="center" vertical="center" wrapText="1"/>
      <protection locked="0"/>
    </xf>
    <xf numFmtId="0" fontId="2" fillId="34" borderId="11" xfId="59" applyNumberFormat="1" applyFont="1" applyFill="1" applyBorder="1" applyAlignment="1">
      <alignment horizontal="left" vertical="center" wrapText="1"/>
      <protection/>
    </xf>
    <xf numFmtId="0" fontId="2" fillId="34" borderId="11" xfId="0" applyFont="1" applyFill="1" applyBorder="1" applyAlignment="1">
      <alignment horizontal="center" vertical="center" wrapText="1"/>
    </xf>
    <xf numFmtId="0" fontId="2" fillId="34" borderId="11" xfId="0" applyNumberFormat="1" applyFont="1" applyFill="1" applyBorder="1" applyAlignment="1">
      <alignment horizontal="center" vertical="center" wrapText="1"/>
    </xf>
    <xf numFmtId="49" fontId="18" fillId="45" borderId="11" xfId="0" applyNumberFormat="1" applyFont="1" applyFill="1" applyBorder="1" applyAlignment="1" applyProtection="1">
      <alignment horizontal="center" vertical="center"/>
      <protection locked="0"/>
    </xf>
    <xf numFmtId="3" fontId="18" fillId="45" borderId="11" xfId="0" applyNumberFormat="1" applyFont="1" applyFill="1" applyBorder="1" applyAlignment="1" applyProtection="1">
      <alignment horizontal="right" vertical="center"/>
      <protection locked="0"/>
    </xf>
    <xf numFmtId="2" fontId="18" fillId="45" borderId="11" xfId="0" applyNumberFormat="1" applyFont="1" applyFill="1" applyBorder="1" applyAlignment="1" applyProtection="1">
      <alignment horizontal="center" vertical="center"/>
      <protection locked="0"/>
    </xf>
    <xf numFmtId="3" fontId="18" fillId="45" borderId="11" xfId="0" applyNumberFormat="1" applyFont="1" applyFill="1" applyBorder="1" applyAlignment="1" applyProtection="1">
      <alignment horizontal="center" vertical="center"/>
      <protection locked="0"/>
    </xf>
    <xf numFmtId="3" fontId="18" fillId="45" borderId="26" xfId="0" applyNumberFormat="1" applyFont="1" applyFill="1" applyBorder="1" applyAlignment="1" applyProtection="1">
      <alignment horizontal="right" vertical="center"/>
      <protection locked="0"/>
    </xf>
    <xf numFmtId="0" fontId="16"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4" fontId="2" fillId="34" borderId="32" xfId="0" applyNumberFormat="1" applyFont="1" applyFill="1" applyBorder="1" applyAlignment="1">
      <alignment horizontal="center"/>
    </xf>
    <xf numFmtId="4" fontId="2" fillId="34" borderId="59" xfId="0" applyNumberFormat="1" applyFont="1" applyFill="1" applyBorder="1" applyAlignment="1">
      <alignment horizontal="center"/>
    </xf>
    <xf numFmtId="4" fontId="2" fillId="34" borderId="33" xfId="0" applyNumberFormat="1" applyFont="1" applyFill="1" applyBorder="1" applyAlignment="1">
      <alignment horizontal="center"/>
    </xf>
    <xf numFmtId="4" fontId="2" fillId="34" borderId="60" xfId="0" applyNumberFormat="1" applyFont="1" applyFill="1" applyBorder="1" applyAlignment="1">
      <alignment horizontal="center"/>
    </xf>
    <xf numFmtId="0" fontId="22" fillId="34" borderId="42" xfId="0" applyFont="1" applyFill="1" applyBorder="1" applyAlignment="1">
      <alignment horizontal="left" wrapText="1"/>
    </xf>
    <xf numFmtId="0" fontId="22" fillId="34" borderId="27" xfId="0" applyFont="1" applyFill="1" applyBorder="1" applyAlignment="1">
      <alignment horizontal="left" wrapText="1"/>
    </xf>
    <xf numFmtId="0" fontId="22" fillId="34" borderId="52" xfId="0" applyFont="1" applyFill="1" applyBorder="1" applyAlignment="1">
      <alignment horizontal="right" vertical="center" wrapText="1"/>
    </xf>
    <xf numFmtId="0" fontId="22" fillId="34" borderId="61" xfId="0" applyFont="1" applyFill="1" applyBorder="1" applyAlignment="1">
      <alignment horizontal="right" vertical="center" wrapText="1"/>
    </xf>
    <xf numFmtId="0" fontId="84" fillId="0" borderId="37" xfId="0" applyFont="1" applyBorder="1" applyAlignment="1">
      <alignment horizontal="center" vertical="top"/>
    </xf>
    <xf numFmtId="0" fontId="84" fillId="0" borderId="20" xfId="0" applyFont="1" applyBorder="1" applyAlignment="1">
      <alignment horizontal="center" vertical="top"/>
    </xf>
    <xf numFmtId="0" fontId="1" fillId="0" borderId="41" xfId="0" applyFont="1" applyFill="1" applyBorder="1" applyAlignment="1">
      <alignment horizontal="center"/>
    </xf>
    <xf numFmtId="0" fontId="1" fillId="0" borderId="40" xfId="0" applyFont="1" applyFill="1" applyBorder="1" applyAlignment="1">
      <alignment horizontal="center"/>
    </xf>
    <xf numFmtId="0" fontId="1" fillId="0" borderId="24" xfId="0" applyFont="1" applyFill="1" applyBorder="1" applyAlignment="1">
      <alignment horizontal="center"/>
    </xf>
    <xf numFmtId="0" fontId="17" fillId="0" borderId="0" xfId="0" applyFont="1" applyAlignment="1">
      <alignment horizontal="right" vertical="top" wrapText="1"/>
    </xf>
    <xf numFmtId="0" fontId="1" fillId="0" borderId="0" xfId="0" applyFont="1" applyAlignment="1">
      <alignment horizontal="center" vertical="center" wrapText="1"/>
    </xf>
    <xf numFmtId="0" fontId="2" fillId="0" borderId="10" xfId="0" applyFont="1" applyBorder="1" applyAlignment="1">
      <alignment horizontal="center" wrapText="1"/>
    </xf>
    <xf numFmtId="0" fontId="2" fillId="34" borderId="32" xfId="0" applyFont="1" applyFill="1" applyBorder="1" applyAlignment="1">
      <alignment horizontal="left" wrapText="1"/>
    </xf>
    <xf numFmtId="0" fontId="3" fillId="0" borderId="43" xfId="0" applyFont="1" applyFill="1" applyBorder="1" applyAlignment="1">
      <alignment horizontal="left" wrapText="1"/>
    </xf>
    <xf numFmtId="0" fontId="3" fillId="0" borderId="55" xfId="0" applyFont="1" applyFill="1" applyBorder="1" applyAlignment="1">
      <alignment horizontal="left" wrapText="1"/>
    </xf>
    <xf numFmtId="0" fontId="3" fillId="0" borderId="11" xfId="0" applyFont="1" applyBorder="1" applyAlignment="1">
      <alignment horizontal="left" wrapText="1"/>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0" borderId="64" xfId="0" applyFont="1" applyBorder="1" applyAlignment="1">
      <alignment horizontal="center" vertical="top"/>
    </xf>
    <xf numFmtId="0" fontId="4" fillId="0" borderId="65" xfId="0" applyFont="1" applyBorder="1" applyAlignment="1">
      <alignment horizontal="center" vertical="top"/>
    </xf>
    <xf numFmtId="0" fontId="4" fillId="0" borderId="53" xfId="0" applyFont="1" applyBorder="1" applyAlignment="1">
      <alignment horizontal="center" vertical="top"/>
    </xf>
    <xf numFmtId="0" fontId="1" fillId="38" borderId="41" xfId="0" applyFont="1" applyFill="1" applyBorder="1" applyAlignment="1">
      <alignment horizontal="right" vertical="center" wrapText="1"/>
    </xf>
    <xf numFmtId="0" fontId="1" fillId="38" borderId="40" xfId="0" applyFont="1" applyFill="1" applyBorder="1" applyAlignment="1">
      <alignment horizontal="right" vertical="center" wrapText="1"/>
    </xf>
    <xf numFmtId="0" fontId="18" fillId="38" borderId="40" xfId="0" applyFont="1" applyFill="1" applyBorder="1" applyAlignment="1">
      <alignment horizontal="center" vertical="center"/>
    </xf>
    <xf numFmtId="0" fontId="18" fillId="38" borderId="39" xfId="0" applyFont="1" applyFill="1" applyBorder="1" applyAlignment="1">
      <alignment horizontal="center" vertical="center"/>
    </xf>
    <xf numFmtId="0" fontId="1" fillId="0" borderId="0" xfId="0" applyFont="1" applyAlignment="1">
      <alignment horizontal="right"/>
    </xf>
    <xf numFmtId="0" fontId="1" fillId="33" borderId="41" xfId="0" applyFont="1" applyFill="1" applyBorder="1" applyAlignment="1">
      <alignment horizontal="left" wrapText="1"/>
    </xf>
    <xf numFmtId="0" fontId="1" fillId="33" borderId="40" xfId="0" applyFont="1" applyFill="1" applyBorder="1" applyAlignment="1">
      <alignment horizontal="left" wrapText="1"/>
    </xf>
    <xf numFmtId="0" fontId="1" fillId="33" borderId="39" xfId="0" applyFont="1" applyFill="1" applyBorder="1" applyAlignment="1">
      <alignment horizontal="left" wrapText="1"/>
    </xf>
    <xf numFmtId="0" fontId="18" fillId="33" borderId="10" xfId="0" applyFont="1" applyFill="1" applyBorder="1" applyAlignment="1">
      <alignment horizontal="center"/>
    </xf>
    <xf numFmtId="0" fontId="18" fillId="33" borderId="23" xfId="0" applyFont="1" applyFill="1" applyBorder="1" applyAlignment="1">
      <alignment horizontal="center"/>
    </xf>
    <xf numFmtId="0" fontId="1" fillId="33" borderId="41" xfId="0" applyFont="1" applyFill="1" applyBorder="1" applyAlignment="1">
      <alignment horizontal="left" vertical="center" wrapText="1"/>
    </xf>
    <xf numFmtId="0" fontId="1" fillId="33" borderId="40"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8" fillId="33" borderId="40" xfId="0" applyFont="1" applyFill="1" applyBorder="1" applyAlignment="1">
      <alignment horizontal="left" vertical="center" wrapText="1"/>
    </xf>
    <xf numFmtId="0" fontId="18" fillId="33" borderId="39"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0" borderId="66" xfId="0" applyFont="1" applyFill="1" applyBorder="1" applyAlignment="1">
      <alignment horizontal="center" wrapText="1"/>
    </xf>
    <xf numFmtId="0" fontId="2" fillId="0" borderId="67" xfId="0" applyFont="1" applyFill="1" applyBorder="1" applyAlignment="1">
      <alignment horizontal="center" wrapText="1"/>
    </xf>
    <xf numFmtId="0" fontId="2" fillId="0" borderId="68" xfId="0" applyFont="1" applyFill="1" applyBorder="1" applyAlignment="1">
      <alignment horizontal="center" wrapText="1"/>
    </xf>
    <xf numFmtId="0" fontId="2" fillId="39" borderId="67" xfId="0" applyFont="1" applyFill="1" applyBorder="1" applyAlignment="1">
      <alignment horizontal="center" wrapText="1"/>
    </xf>
    <xf numFmtId="0" fontId="2" fillId="39" borderId="68" xfId="0" applyFont="1" applyFill="1" applyBorder="1" applyAlignment="1">
      <alignment horizontal="center" wrapText="1"/>
    </xf>
    <xf numFmtId="0" fontId="3" fillId="39" borderId="64" xfId="0" applyFont="1" applyFill="1" applyBorder="1" applyAlignment="1">
      <alignment horizontal="center" wrapText="1"/>
    </xf>
    <xf numFmtId="0" fontId="2" fillId="39" borderId="69" xfId="0" applyFont="1" applyFill="1" applyBorder="1" applyAlignment="1">
      <alignment horizontal="center" wrapText="1"/>
    </xf>
    <xf numFmtId="0" fontId="2" fillId="0" borderId="34" xfId="0" applyFont="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2" fillId="33" borderId="27" xfId="0" applyFont="1" applyFill="1" applyBorder="1" applyAlignment="1">
      <alignment horizontal="left"/>
    </xf>
    <xf numFmtId="0" fontId="2" fillId="33" borderId="60" xfId="0" applyFont="1" applyFill="1" applyBorder="1" applyAlignment="1">
      <alignment horizontal="left"/>
    </xf>
    <xf numFmtId="0" fontId="18" fillId="0" borderId="41" xfId="0" applyFont="1" applyBorder="1" applyAlignment="1">
      <alignment horizontal="left" vertical="center" wrapText="1"/>
    </xf>
    <xf numFmtId="0" fontId="18" fillId="0" borderId="39" xfId="0" applyFont="1" applyBorder="1" applyAlignment="1">
      <alignment horizontal="left" vertical="center" wrapText="1"/>
    </xf>
    <xf numFmtId="0" fontId="20" fillId="0" borderId="0" xfId="0" applyFont="1" applyAlignment="1">
      <alignment horizontal="right" vertical="top"/>
    </xf>
    <xf numFmtId="0" fontId="6" fillId="0" borderId="0" xfId="0" applyFont="1" applyAlignment="1">
      <alignment horizontal="center" vertical="center" wrapText="1"/>
    </xf>
    <xf numFmtId="0" fontId="2" fillId="0" borderId="7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7" xfId="0" applyFont="1" applyBorder="1" applyAlignment="1">
      <alignment horizontal="center"/>
    </xf>
    <xf numFmtId="0" fontId="2" fillId="0" borderId="11" xfId="0" applyFont="1" applyBorder="1" applyAlignment="1">
      <alignment horizontal="center"/>
    </xf>
    <xf numFmtId="0" fontId="3" fillId="0" borderId="68" xfId="0" applyFont="1" applyFill="1" applyBorder="1" applyAlignment="1">
      <alignment horizontal="center" wrapText="1"/>
    </xf>
    <xf numFmtId="0" fontId="3" fillId="0" borderId="26" xfId="0" applyFont="1" applyFill="1" applyBorder="1" applyAlignment="1">
      <alignment horizontal="center" wrapText="1"/>
    </xf>
    <xf numFmtId="0" fontId="2" fillId="38" borderId="40" xfId="0" applyFont="1" applyFill="1" applyBorder="1" applyAlignment="1">
      <alignment horizontal="center" vertical="center"/>
    </xf>
    <xf numFmtId="0" fontId="2" fillId="38" borderId="39" xfId="0" applyFont="1" applyFill="1" applyBorder="1" applyAlignment="1">
      <alignment horizontal="center" vertical="center"/>
    </xf>
    <xf numFmtId="0" fontId="2" fillId="33" borderId="10" xfId="0" applyFont="1" applyFill="1" applyBorder="1" applyAlignment="1">
      <alignment horizontal="center"/>
    </xf>
    <xf numFmtId="0" fontId="2" fillId="33" borderId="23" xfId="0" applyFont="1" applyFill="1" applyBorder="1" applyAlignment="1">
      <alignment horizontal="center"/>
    </xf>
    <xf numFmtId="0" fontId="2" fillId="0" borderId="41" xfId="0" applyFont="1" applyBorder="1" applyAlignment="1">
      <alignment horizontal="left" vertical="center" wrapText="1"/>
    </xf>
    <xf numFmtId="0" fontId="2" fillId="0" borderId="39" xfId="0" applyFont="1" applyBorder="1" applyAlignment="1">
      <alignment horizontal="left" vertical="center" wrapText="1"/>
    </xf>
    <xf numFmtId="0" fontId="9" fillId="0" borderId="0" xfId="0" applyFont="1" applyBorder="1" applyAlignment="1">
      <alignment horizontal="right"/>
    </xf>
    <xf numFmtId="0" fontId="0" fillId="37" borderId="36" xfId="0" applyFont="1" applyFill="1" applyBorder="1" applyAlignment="1">
      <alignment horizontal="center" vertical="center"/>
    </xf>
    <xf numFmtId="0" fontId="0" fillId="37" borderId="38" xfId="0" applyFont="1" applyFill="1" applyBorder="1" applyAlignment="1">
      <alignment horizontal="center" vertical="center"/>
    </xf>
    <xf numFmtId="0" fontId="9" fillId="0" borderId="0" xfId="0" applyFont="1" applyAlignment="1">
      <alignment horizontal="right"/>
    </xf>
    <xf numFmtId="0" fontId="0" fillId="37" borderId="3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34" xfId="0" applyFont="1" applyFill="1" applyBorder="1" applyAlignment="1">
      <alignment horizontal="center" vertical="center" wrapText="1"/>
    </xf>
    <xf numFmtId="0" fontId="0" fillId="37" borderId="35" xfId="0" applyFont="1" applyFill="1" applyBorder="1" applyAlignment="1">
      <alignment horizontal="center" vertical="center" wrapText="1"/>
    </xf>
    <xf numFmtId="0" fontId="0" fillId="37" borderId="37" xfId="0" applyFont="1" applyFill="1" applyBorder="1" applyAlignment="1">
      <alignment horizontal="center" vertical="center" wrapText="1"/>
    </xf>
    <xf numFmtId="0" fontId="0" fillId="37" borderId="20"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9" xfId="0" applyFont="1" applyBorder="1" applyAlignment="1">
      <alignment horizontal="center" vertical="center" wrapText="1"/>
    </xf>
    <xf numFmtId="0" fontId="7" fillId="36" borderId="34" xfId="0" applyFont="1" applyFill="1" applyBorder="1" applyAlignment="1">
      <alignment horizontal="center" vertical="center" wrapText="1" shrinkToFit="1"/>
    </xf>
    <xf numFmtId="0" fontId="7" fillId="36" borderId="37" xfId="0" applyFont="1" applyFill="1" applyBorder="1" applyAlignment="1">
      <alignment horizontal="center" vertical="center" wrapText="1" shrinkToFit="1"/>
    </xf>
    <xf numFmtId="0" fontId="0" fillId="0" borderId="64" xfId="0" applyFont="1" applyBorder="1" applyAlignment="1">
      <alignment horizontal="center" vertical="center" textRotation="90" wrapText="1"/>
    </xf>
    <xf numFmtId="0" fontId="0" fillId="0" borderId="65" xfId="0" applyFont="1" applyBorder="1" applyAlignment="1">
      <alignment horizontal="center" vertical="center" textRotation="90" wrapText="1"/>
    </xf>
    <xf numFmtId="0" fontId="0" fillId="0" borderId="69" xfId="0" applyFont="1" applyBorder="1" applyAlignment="1">
      <alignment horizontal="center" vertical="center" textRotation="90" wrapText="1"/>
    </xf>
    <xf numFmtId="0" fontId="8" fillId="37" borderId="41" xfId="0" applyFont="1" applyFill="1" applyBorder="1" applyAlignment="1">
      <alignment horizontal="center"/>
    </xf>
    <xf numFmtId="0" fontId="8" fillId="37" borderId="40" xfId="0" applyFont="1" applyFill="1" applyBorder="1" applyAlignment="1">
      <alignment horizontal="center"/>
    </xf>
    <xf numFmtId="0" fontId="8" fillId="10" borderId="41" xfId="0" applyFont="1" applyFill="1" applyBorder="1" applyAlignment="1">
      <alignment horizontal="center"/>
    </xf>
    <xf numFmtId="0" fontId="8" fillId="10" borderId="40" xfId="0" applyFont="1" applyFill="1" applyBorder="1" applyAlignment="1">
      <alignment horizontal="center"/>
    </xf>
    <xf numFmtId="0" fontId="0" fillId="37" borderId="36" xfId="0" applyFill="1" applyBorder="1" applyAlignment="1">
      <alignment horizontal="center" vertical="center"/>
    </xf>
    <xf numFmtId="0" fontId="0" fillId="37" borderId="38" xfId="0" applyFill="1" applyBorder="1" applyAlignment="1">
      <alignment horizontal="center" vertical="center"/>
    </xf>
    <xf numFmtId="0" fontId="0" fillId="12" borderId="64" xfId="0" applyFont="1" applyFill="1" applyBorder="1" applyAlignment="1">
      <alignment horizontal="center" vertical="center" textRotation="90" wrapText="1"/>
    </xf>
    <xf numFmtId="0" fontId="0" fillId="12" borderId="65" xfId="0" applyFont="1" applyFill="1" applyBorder="1" applyAlignment="1">
      <alignment horizontal="center" vertical="center" textRotation="90" wrapText="1"/>
    </xf>
    <xf numFmtId="0" fontId="0" fillId="12" borderId="69" xfId="0" applyFont="1" applyFill="1" applyBorder="1" applyAlignment="1">
      <alignment horizontal="center" vertical="center" textRotation="90" wrapText="1"/>
    </xf>
    <xf numFmtId="0" fontId="9" fillId="0" borderId="41" xfId="0" applyFont="1" applyBorder="1" applyAlignment="1">
      <alignment horizontal="center" wrapText="1"/>
    </xf>
    <xf numFmtId="0" fontId="9" fillId="0" borderId="24" xfId="0" applyFont="1" applyBorder="1" applyAlignment="1">
      <alignment horizont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38" xfId="0" applyFont="1" applyFill="1" applyBorder="1" applyAlignment="1">
      <alignment horizontal="center" vertical="center"/>
    </xf>
    <xf numFmtId="0" fontId="10" fillId="0" borderId="41" xfId="0" applyFont="1" applyBorder="1" applyAlignment="1">
      <alignment horizontal="center"/>
    </xf>
    <xf numFmtId="0" fontId="10" fillId="0" borderId="40" xfId="0" applyFont="1" applyBorder="1" applyAlignment="1">
      <alignment horizontal="center"/>
    </xf>
    <xf numFmtId="0" fontId="0" fillId="34" borderId="34" xfId="0" applyFont="1" applyFill="1" applyBorder="1" applyAlignment="1">
      <alignment horizontal="center" vertical="center" wrapText="1" shrinkToFit="1"/>
    </xf>
    <xf numFmtId="0" fontId="0" fillId="34" borderId="35" xfId="0" applyFont="1" applyFill="1" applyBorder="1" applyAlignment="1">
      <alignment horizontal="center" vertical="center" wrapText="1" shrinkToFit="1"/>
    </xf>
    <xf numFmtId="0" fontId="0" fillId="34" borderId="36" xfId="0" applyFont="1" applyFill="1" applyBorder="1" applyAlignment="1">
      <alignment horizontal="center" vertical="center" wrapText="1" shrinkToFit="1"/>
    </xf>
    <xf numFmtId="0" fontId="0" fillId="34" borderId="71" xfId="0" applyFont="1" applyFill="1" applyBorder="1" applyAlignment="1">
      <alignment horizontal="center" vertical="center" wrapText="1" shrinkToFit="1"/>
    </xf>
    <xf numFmtId="0" fontId="0" fillId="34" borderId="0" xfId="0" applyFont="1" applyFill="1" applyBorder="1" applyAlignment="1">
      <alignment horizontal="center" vertical="center" wrapText="1" shrinkToFit="1"/>
    </xf>
    <xf numFmtId="0" fontId="0" fillId="34" borderId="72" xfId="0" applyFont="1" applyFill="1" applyBorder="1" applyAlignment="1">
      <alignment horizontal="center" vertical="center" wrapText="1" shrinkToFit="1"/>
    </xf>
    <xf numFmtId="0" fontId="0" fillId="34" borderId="37" xfId="0" applyFont="1" applyFill="1" applyBorder="1" applyAlignment="1">
      <alignment horizontal="center" vertical="center" wrapText="1" shrinkToFit="1"/>
    </xf>
    <xf numFmtId="0" fontId="0" fillId="34" borderId="20" xfId="0" applyFont="1" applyFill="1" applyBorder="1" applyAlignment="1">
      <alignment horizontal="center" vertical="center" wrapText="1" shrinkToFit="1"/>
    </xf>
    <xf numFmtId="0" fontId="0" fillId="34" borderId="38" xfId="0" applyFont="1" applyFill="1" applyBorder="1" applyAlignment="1">
      <alignment horizontal="center" vertical="center" wrapText="1" shrinkToFit="1"/>
    </xf>
    <xf numFmtId="0" fontId="8" fillId="37" borderId="0" xfId="0" applyFont="1" applyFill="1" applyBorder="1" applyAlignment="1">
      <alignment horizontal="center"/>
    </xf>
    <xf numFmtId="0" fontId="9" fillId="0" borderId="62" xfId="0" applyFont="1" applyBorder="1" applyAlignment="1">
      <alignment horizontal="center" wrapText="1"/>
    </xf>
    <xf numFmtId="0" fontId="9" fillId="0" borderId="21" xfId="0" applyFont="1" applyBorder="1" applyAlignment="1">
      <alignment horizontal="center" wrapText="1"/>
    </xf>
    <xf numFmtId="0" fontId="9" fillId="0" borderId="22" xfId="0" applyFont="1" applyBorder="1" applyAlignment="1">
      <alignment horizontal="center" wrapText="1"/>
    </xf>
    <xf numFmtId="0" fontId="9" fillId="0" borderId="10" xfId="0" applyFont="1" applyBorder="1" applyAlignment="1">
      <alignment horizontal="center" wrapText="1"/>
    </xf>
    <xf numFmtId="0" fontId="9" fillId="0" borderId="23" xfId="0" applyFont="1" applyBorder="1" applyAlignment="1">
      <alignment horizontal="center" wrapText="1"/>
    </xf>
    <xf numFmtId="0" fontId="13" fillId="0" borderId="0" xfId="0" applyFont="1" applyBorder="1" applyAlignment="1">
      <alignment horizontal="center"/>
    </xf>
    <xf numFmtId="0" fontId="0" fillId="16" borderId="0" xfId="0" applyFont="1" applyFill="1" applyBorder="1" applyAlignment="1">
      <alignment horizontal="center" vertical="center" wrapText="1"/>
    </xf>
    <xf numFmtId="20" fontId="9" fillId="0" borderId="32" xfId="0" applyNumberFormat="1" applyFont="1" applyBorder="1" applyAlignment="1">
      <alignment horizontal="center" wrapText="1"/>
    </xf>
    <xf numFmtId="20" fontId="9" fillId="0" borderId="17" xfId="0" applyNumberFormat="1" applyFont="1" applyBorder="1" applyAlignment="1">
      <alignment horizontal="center" wrapText="1"/>
    </xf>
    <xf numFmtId="0" fontId="9" fillId="0" borderId="35" xfId="0" applyFont="1" applyBorder="1" applyAlignment="1">
      <alignment horizontal="center" wrapText="1"/>
    </xf>
    <xf numFmtId="0" fontId="9" fillId="0" borderId="20" xfId="0" applyFont="1" applyBorder="1" applyAlignment="1">
      <alignment horizontal="center" wrapText="1"/>
    </xf>
    <xf numFmtId="0" fontId="9" fillId="0" borderId="36" xfId="0" applyFont="1" applyBorder="1" applyAlignment="1">
      <alignment horizontal="center" wrapText="1"/>
    </xf>
    <xf numFmtId="0" fontId="9" fillId="0" borderId="38" xfId="0" applyFont="1" applyBorder="1" applyAlignment="1">
      <alignment horizontal="center" wrapText="1"/>
    </xf>
    <xf numFmtId="0" fontId="9" fillId="0" borderId="34" xfId="0" applyFont="1" applyBorder="1" applyAlignment="1">
      <alignment horizontal="center" wrapText="1"/>
    </xf>
    <xf numFmtId="0" fontId="9" fillId="0" borderId="37" xfId="0" applyFont="1" applyBorder="1" applyAlignment="1">
      <alignment horizontal="center" wrapText="1"/>
    </xf>
    <xf numFmtId="2" fontId="0" fillId="0" borderId="0" xfId="0" applyNumberFormat="1" applyAlignment="1">
      <alignment horizontal="center"/>
    </xf>
    <xf numFmtId="0" fontId="8" fillId="10" borderId="41" xfId="0" applyFont="1" applyFill="1" applyBorder="1" applyAlignment="1">
      <alignment horizontal="right"/>
    </xf>
    <xf numFmtId="0" fontId="8" fillId="10" borderId="40" xfId="0" applyFont="1" applyFill="1" applyBorder="1" applyAlignment="1">
      <alignment horizontal="right"/>
    </xf>
    <xf numFmtId="0" fontId="8" fillId="37" borderId="41" xfId="0" applyFont="1" applyFill="1" applyBorder="1" applyAlignment="1">
      <alignment horizontal="right"/>
    </xf>
    <xf numFmtId="0" fontId="8" fillId="37" borderId="40" xfId="0" applyFont="1" applyFill="1" applyBorder="1" applyAlignment="1">
      <alignment horizontal="right"/>
    </xf>
    <xf numFmtId="0" fontId="9" fillId="0" borderId="73" xfId="0" applyFont="1" applyBorder="1" applyAlignment="1">
      <alignment horizontal="center" wrapText="1"/>
    </xf>
    <xf numFmtId="0" fontId="9" fillId="0" borderId="30" xfId="0" applyFont="1" applyBorder="1" applyAlignment="1">
      <alignment horizontal="center" wrapText="1"/>
    </xf>
    <xf numFmtId="0" fontId="7" fillId="36" borderId="41" xfId="0" applyFont="1" applyFill="1" applyBorder="1" applyAlignment="1">
      <alignment horizontal="center"/>
    </xf>
    <xf numFmtId="0" fontId="7" fillId="36" borderId="40" xfId="0" applyFont="1" applyFill="1" applyBorder="1" applyAlignment="1">
      <alignment horizontal="center"/>
    </xf>
    <xf numFmtId="0" fontId="7" fillId="36" borderId="39" xfId="0" applyFont="1" applyFill="1" applyBorder="1" applyAlignment="1">
      <alignment horizontal="center"/>
    </xf>
    <xf numFmtId="0" fontId="9" fillId="10" borderId="40" xfId="0" applyFont="1" applyFill="1" applyBorder="1" applyAlignment="1">
      <alignment horizontal="center"/>
    </xf>
    <xf numFmtId="0" fontId="9" fillId="37" borderId="40" xfId="0" applyFont="1" applyFill="1" applyBorder="1" applyAlignment="1">
      <alignment horizontal="center"/>
    </xf>
    <xf numFmtId="0" fontId="9" fillId="34" borderId="40" xfId="0" applyFont="1" applyFill="1" applyBorder="1" applyAlignment="1">
      <alignment horizontal="center"/>
    </xf>
    <xf numFmtId="0" fontId="7" fillId="0" borderId="20" xfId="0" applyFont="1" applyBorder="1" applyAlignment="1">
      <alignment horizontal="center" wrapText="1"/>
    </xf>
    <xf numFmtId="0" fontId="86" fillId="0" borderId="0" xfId="0" applyFont="1" applyFill="1" applyBorder="1" applyAlignment="1">
      <alignment horizontal="left" wrapText="1"/>
    </xf>
    <xf numFmtId="0" fontId="18" fillId="0" borderId="0" xfId="0" applyFont="1" applyAlignment="1">
      <alignment horizontal="right"/>
    </xf>
    <xf numFmtId="0" fontId="91" fillId="0" borderId="0" xfId="0" applyFont="1" applyAlignment="1">
      <alignment horizontal="center"/>
    </xf>
    <xf numFmtId="0" fontId="86" fillId="0" borderId="62" xfId="0" applyFont="1" applyBorder="1" applyAlignment="1">
      <alignment horizontal="center" wrapText="1"/>
    </xf>
    <xf numFmtId="0" fontId="86" fillId="0" borderId="21" xfId="0" applyFont="1" applyBorder="1" applyAlignment="1">
      <alignment horizontal="center" wrapText="1"/>
    </xf>
    <xf numFmtId="0" fontId="86" fillId="0" borderId="67" xfId="0" applyFont="1" applyBorder="1" applyAlignment="1">
      <alignment horizontal="center" wrapText="1"/>
    </xf>
    <xf numFmtId="0" fontId="86" fillId="0" borderId="11" xfId="0" applyFont="1" applyBorder="1" applyAlignment="1">
      <alignment horizontal="center" wrapText="1"/>
    </xf>
    <xf numFmtId="0" fontId="86" fillId="0" borderId="32" xfId="0" applyFont="1" applyBorder="1" applyAlignment="1">
      <alignment horizontal="center" wrapText="1"/>
    </xf>
    <xf numFmtId="0" fontId="86" fillId="0" borderId="17" xfId="0" applyFont="1" applyBorder="1" applyAlignment="1">
      <alignment horizontal="center" wrapText="1"/>
    </xf>
    <xf numFmtId="0" fontId="86" fillId="0" borderId="73" xfId="0" applyFont="1" applyBorder="1" applyAlignment="1">
      <alignment horizontal="center" wrapText="1"/>
    </xf>
    <xf numFmtId="0" fontId="86" fillId="0" borderId="35" xfId="0" applyFont="1" applyBorder="1" applyAlignment="1">
      <alignment horizontal="center" wrapText="1"/>
    </xf>
    <xf numFmtId="0" fontId="86" fillId="0" borderId="36" xfId="0" applyFont="1" applyBorder="1" applyAlignment="1">
      <alignment horizontal="center" wrapText="1"/>
    </xf>
    <xf numFmtId="0" fontId="2" fillId="0" borderId="42" xfId="0" applyFont="1" applyBorder="1" applyAlignment="1">
      <alignment horizontal="left" vertical="top" wrapText="1"/>
    </xf>
    <xf numFmtId="0" fontId="2" fillId="0" borderId="0" xfId="0" applyFont="1" applyBorder="1" applyAlignment="1">
      <alignment horizontal="left" vertical="top" wrapText="1"/>
    </xf>
    <xf numFmtId="0" fontId="1" fillId="34" borderId="74" xfId="0" applyFont="1" applyFill="1" applyBorder="1" applyAlignment="1">
      <alignment horizontal="center" wrapText="1"/>
    </xf>
    <xf numFmtId="0" fontId="86" fillId="0" borderId="0" xfId="0" applyFont="1" applyAlignment="1">
      <alignment horizontal="left"/>
    </xf>
    <xf numFmtId="0" fontId="86" fillId="0" borderId="0" xfId="0" applyFont="1" applyAlignment="1">
      <alignment horizontal="left" wrapText="1"/>
    </xf>
    <xf numFmtId="3" fontId="28" fillId="46" borderId="32" xfId="0" applyNumberFormat="1" applyFont="1" applyFill="1" applyBorder="1" applyAlignment="1" applyProtection="1">
      <alignment horizontal="center" vertical="center" wrapText="1"/>
      <protection/>
    </xf>
    <xf numFmtId="3" fontId="28" fillId="46" borderId="17" xfId="0" applyNumberFormat="1" applyFont="1" applyFill="1" applyBorder="1" applyAlignment="1" applyProtection="1">
      <alignment horizontal="center" vertical="center" wrapText="1"/>
      <protection/>
    </xf>
    <xf numFmtId="0" fontId="2" fillId="0" borderId="0" xfId="0" applyFont="1" applyAlignment="1">
      <alignment horizontal="right" vertical="top" wrapText="1"/>
    </xf>
    <xf numFmtId="0" fontId="1" fillId="0" borderId="0" xfId="0" applyFont="1" applyBorder="1" applyAlignment="1">
      <alignment horizontal="center" wrapText="1"/>
    </xf>
    <xf numFmtId="3" fontId="28" fillId="46" borderId="33" xfId="0" applyNumberFormat="1" applyFont="1" applyFill="1" applyBorder="1" applyAlignment="1" applyProtection="1">
      <alignment horizontal="center" vertical="center" wrapText="1"/>
      <protection/>
    </xf>
    <xf numFmtId="3" fontId="28" fillId="46" borderId="18" xfId="0" applyNumberFormat="1" applyFont="1" applyFill="1" applyBorder="1" applyAlignment="1" applyProtection="1">
      <alignment horizontal="center" vertical="center" wrapText="1"/>
      <protection/>
    </xf>
    <xf numFmtId="0" fontId="3" fillId="43" borderId="22" xfId="0" applyFont="1" applyFill="1" applyBorder="1" applyAlignment="1" applyProtection="1">
      <alignment horizontal="left" vertical="center" wrapText="1"/>
      <protection/>
    </xf>
    <xf numFmtId="0" fontId="3" fillId="43" borderId="10" xfId="0" applyFont="1" applyFill="1" applyBorder="1" applyAlignment="1" applyProtection="1">
      <alignment horizontal="left" vertical="center" wrapText="1"/>
      <protection/>
    </xf>
    <xf numFmtId="0" fontId="26" fillId="0" borderId="0" xfId="0" applyFont="1" applyBorder="1" applyAlignment="1">
      <alignment horizontal="justify" wrapText="1"/>
    </xf>
    <xf numFmtId="3" fontId="28" fillId="46" borderId="67" xfId="0" applyNumberFormat="1" applyFont="1" applyFill="1" applyBorder="1" applyAlignment="1" applyProtection="1">
      <alignment horizontal="center" vertical="center" wrapText="1"/>
      <protection/>
    </xf>
    <xf numFmtId="3" fontId="28" fillId="46" borderId="11" xfId="0" applyNumberFormat="1" applyFont="1" applyFill="1" applyBorder="1" applyAlignment="1" applyProtection="1">
      <alignment horizontal="center" vertical="center" wrapText="1"/>
      <protection/>
    </xf>
    <xf numFmtId="0" fontId="16" fillId="34" borderId="0" xfId="0" applyFont="1" applyFill="1" applyBorder="1" applyAlignment="1">
      <alignment horizontal="left" vertical="center" wrapText="1"/>
    </xf>
    <xf numFmtId="0" fontId="28" fillId="46" borderId="70" xfId="0" applyFont="1" applyFill="1" applyBorder="1" applyAlignment="1" applyProtection="1">
      <alignment horizontal="center" vertical="center" wrapText="1"/>
      <protection/>
    </xf>
    <xf numFmtId="0" fontId="28" fillId="46" borderId="56" xfId="0" applyFont="1" applyFill="1" applyBorder="1" applyAlignment="1" applyProtection="1">
      <alignment horizontal="center" vertical="center" wrapText="1"/>
      <protection/>
    </xf>
    <xf numFmtId="0" fontId="28" fillId="46" borderId="67" xfId="0" applyFont="1" applyFill="1" applyBorder="1" applyAlignment="1" applyProtection="1">
      <alignment horizontal="center" vertical="center" wrapText="1"/>
      <protection/>
    </xf>
    <xf numFmtId="0" fontId="28" fillId="46" borderId="11" xfId="0" applyFont="1" applyFill="1" applyBorder="1" applyAlignment="1" applyProtection="1">
      <alignment horizontal="center" vertical="center" wrapText="1"/>
      <protection/>
    </xf>
    <xf numFmtId="0" fontId="28" fillId="46" borderId="67" xfId="0" applyFont="1" applyFill="1" applyBorder="1" applyAlignment="1" applyProtection="1">
      <alignment horizontal="center" vertical="center"/>
      <protection/>
    </xf>
    <xf numFmtId="4" fontId="28" fillId="46" borderId="67" xfId="0" applyNumberFormat="1" applyFont="1" applyFill="1" applyBorder="1" applyAlignment="1" applyProtection="1">
      <alignment horizontal="center" vertical="center" wrapText="1"/>
      <protection/>
    </xf>
    <xf numFmtId="4" fontId="28" fillId="46" borderId="11" xfId="0" applyNumberFormat="1" applyFont="1" applyFill="1" applyBorder="1" applyAlignment="1" applyProtection="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3" xfId="58"/>
    <cellStyle name="Normal 3" xfId="59"/>
    <cellStyle name="Normal 34" xfId="60"/>
    <cellStyle name="Normal 9" xfId="61"/>
    <cellStyle name="Note" xfId="62"/>
    <cellStyle name="Output" xfId="63"/>
    <cellStyle name="Parasts 2"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IV16"/>
  <sheetViews>
    <sheetView zoomScale="80" zoomScaleNormal="80" zoomScalePageLayoutView="0" workbookViewId="0" topLeftCell="A10">
      <selection activeCell="L7" sqref="L7"/>
    </sheetView>
  </sheetViews>
  <sheetFormatPr defaultColWidth="8.28125" defaultRowHeight="12.75"/>
  <cols>
    <col min="1" max="1" width="6.28125" style="160" customWidth="1"/>
    <col min="2" max="2" width="14.28125" style="160" customWidth="1"/>
    <col min="3" max="3" width="14.140625" style="2" customWidth="1"/>
    <col min="4" max="4" width="54.8515625" style="2" customWidth="1"/>
    <col min="5" max="7" width="11.7109375" style="2" customWidth="1"/>
    <col min="8" max="248" width="9.140625" style="2" customWidth="1"/>
    <col min="249" max="249" width="14.140625" style="2" customWidth="1"/>
    <col min="250" max="250" width="26.8515625" style="2" customWidth="1"/>
    <col min="251" max="251" width="12.00390625" style="2" customWidth="1"/>
    <col min="252" max="252" width="10.00390625" style="2" customWidth="1"/>
    <col min="253" max="253" width="8.421875" style="2" customWidth="1"/>
    <col min="254" max="254" width="10.8515625" style="2" customWidth="1"/>
    <col min="255" max="255" width="15.140625" style="2" customWidth="1"/>
    <col min="256" max="16384" width="8.28125" style="2" customWidth="1"/>
  </cols>
  <sheetData>
    <row r="1" spans="1:7" ht="69" customHeight="1">
      <c r="A1" s="260" t="s">
        <v>129</v>
      </c>
      <c r="B1" s="260"/>
      <c r="C1" s="260"/>
      <c r="D1" s="260"/>
      <c r="E1" s="260"/>
      <c r="F1" s="260"/>
      <c r="G1" s="260"/>
    </row>
    <row r="2" spans="1:7" ht="78.75" customHeight="1" thickBot="1">
      <c r="A2" s="261" t="s">
        <v>126</v>
      </c>
      <c r="B2" s="261"/>
      <c r="C2" s="261"/>
      <c r="D2" s="261"/>
      <c r="E2" s="261"/>
      <c r="F2" s="261"/>
      <c r="G2" s="261"/>
    </row>
    <row r="3" spans="1:256" ht="59.25" customHeight="1" thickBot="1">
      <c r="A3" s="144" t="s">
        <v>119</v>
      </c>
      <c r="B3" s="145" t="s">
        <v>120</v>
      </c>
      <c r="C3" s="262"/>
      <c r="D3" s="262"/>
      <c r="E3" s="146" t="s">
        <v>121</v>
      </c>
      <c r="F3" s="146" t="s">
        <v>122</v>
      </c>
      <c r="G3" s="147" t="s">
        <v>123</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7" ht="44.25" customHeight="1">
      <c r="A4" s="269">
        <v>1</v>
      </c>
      <c r="B4" s="267" t="s">
        <v>124</v>
      </c>
      <c r="C4" s="263" t="s">
        <v>127</v>
      </c>
      <c r="D4" s="263"/>
      <c r="E4" s="247">
        <f>ROUND('Pielik_ Nr_2_Onko_grozs_2018'!R28,0)</f>
        <v>240620</v>
      </c>
      <c r="F4" s="247">
        <f>ROUND('Pielik_ Nr_3_Onko_grozs_2019'!R28,0)</f>
        <v>275584</v>
      </c>
      <c r="G4" s="249">
        <f>ROUND('Pielik_ Nr_4_Onko_grozs_2020'!R28,0)</f>
        <v>310549</v>
      </c>
    </row>
    <row r="5" spans="1:7" ht="66" customHeight="1">
      <c r="A5" s="270"/>
      <c r="B5" s="268"/>
      <c r="C5" s="251" t="s">
        <v>147</v>
      </c>
      <c r="D5" s="252"/>
      <c r="E5" s="248"/>
      <c r="F5" s="248"/>
      <c r="G5" s="250"/>
    </row>
    <row r="6" spans="1:7" ht="24" customHeight="1">
      <c r="A6" s="271"/>
      <c r="B6" s="206"/>
      <c r="C6" s="253" t="s">
        <v>71</v>
      </c>
      <c r="D6" s="254"/>
      <c r="E6" s="207">
        <f>'Pielik_ Nr_2_Onko_grozs_2018'!R31</f>
        <v>55.699031851851856</v>
      </c>
      <c r="F6" s="207">
        <f>'Pielik_ Nr_3_Onko_grozs_2019'!R31</f>
        <v>54.67940428571429</v>
      </c>
      <c r="G6" s="208">
        <f>'Pielik_ Nr_4_Onko_grozs_2020'!R31</f>
        <v>53.914683611111116</v>
      </c>
    </row>
    <row r="7" spans="1:7" s="4" customFormat="1" ht="95.25" customHeight="1">
      <c r="A7" s="148">
        <v>2</v>
      </c>
      <c r="B7" s="149" t="s">
        <v>217</v>
      </c>
      <c r="C7" s="264" t="s">
        <v>189</v>
      </c>
      <c r="D7" s="265"/>
      <c r="E7" s="170">
        <v>52250</v>
      </c>
      <c r="F7" s="171">
        <v>0</v>
      </c>
      <c r="G7" s="172">
        <v>0</v>
      </c>
    </row>
    <row r="8" spans="1:256" ht="38.25" customHeight="1" thickBot="1">
      <c r="A8" s="151">
        <v>3</v>
      </c>
      <c r="B8" s="152" t="s">
        <v>125</v>
      </c>
      <c r="C8" s="266" t="s">
        <v>190</v>
      </c>
      <c r="D8" s="266"/>
      <c r="E8" s="153">
        <f>'Pielikums Nr_7_pārraudziba'!L7+2620</f>
        <v>24520</v>
      </c>
      <c r="F8" s="154">
        <f>E8</f>
        <v>24520</v>
      </c>
      <c r="G8" s="155">
        <f>F8</f>
        <v>24520</v>
      </c>
      <c r="H8" s="163"/>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c r="IJ8" s="150"/>
      <c r="IK8" s="150"/>
      <c r="IL8" s="150"/>
      <c r="IM8" s="150"/>
      <c r="IN8" s="150"/>
      <c r="IO8" s="150"/>
      <c r="IP8" s="150"/>
      <c r="IQ8" s="150"/>
      <c r="IR8" s="150"/>
      <c r="IS8" s="150"/>
      <c r="IT8" s="150"/>
      <c r="IU8" s="150"/>
      <c r="IV8" s="150"/>
    </row>
    <row r="9" spans="1:17" ht="18" thickBot="1">
      <c r="A9" s="255"/>
      <c r="B9" s="256"/>
      <c r="C9" s="256"/>
      <c r="D9" s="256"/>
      <c r="E9" s="256"/>
      <c r="F9" s="256"/>
      <c r="G9" s="256"/>
      <c r="K9" s="156"/>
      <c r="L9" s="156"/>
      <c r="M9" s="156"/>
      <c r="N9" s="156"/>
      <c r="O9" s="156"/>
      <c r="P9" s="156"/>
      <c r="Q9" s="156"/>
    </row>
    <row r="10" spans="1:256" ht="18" thickBot="1">
      <c r="A10" s="157">
        <v>4</v>
      </c>
      <c r="B10" s="257" t="s">
        <v>84</v>
      </c>
      <c r="C10" s="258"/>
      <c r="D10" s="259"/>
      <c r="E10" s="158">
        <f>E4+E7+E8</f>
        <v>317390</v>
      </c>
      <c r="F10" s="158">
        <f>F4+F7+F8</f>
        <v>300104</v>
      </c>
      <c r="G10" s="159">
        <f>G4+G7+G8</f>
        <v>335069</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c r="IL10" s="150"/>
      <c r="IM10" s="150"/>
      <c r="IN10" s="150"/>
      <c r="IO10" s="150"/>
      <c r="IP10" s="150"/>
      <c r="IQ10" s="150"/>
      <c r="IR10" s="150"/>
      <c r="IS10" s="150"/>
      <c r="IT10" s="150"/>
      <c r="IU10" s="150"/>
      <c r="IV10" s="150"/>
    </row>
    <row r="11" spans="4:7" ht="17.25">
      <c r="D11" s="209" t="s">
        <v>71</v>
      </c>
      <c r="E11" s="210">
        <f>E10/720/6</f>
        <v>73.4699074074074</v>
      </c>
      <c r="F11" s="210">
        <f>F10/840/6</f>
        <v>59.544444444444444</v>
      </c>
      <c r="G11" s="210">
        <f>G10/960/6</f>
        <v>58.17170138888889</v>
      </c>
    </row>
    <row r="13" spans="5:7" ht="17.25">
      <c r="E13" s="161"/>
      <c r="F13" s="161"/>
      <c r="G13" s="161"/>
    </row>
    <row r="14" spans="2:7" ht="17.25">
      <c r="B14" s="245" t="s">
        <v>179</v>
      </c>
      <c r="C14" s="246"/>
      <c r="D14" s="246"/>
      <c r="E14" s="161"/>
      <c r="F14" s="161"/>
      <c r="G14" s="161"/>
    </row>
    <row r="15" spans="2:7" ht="17.25">
      <c r="B15" s="246"/>
      <c r="C15" s="246"/>
      <c r="D15" s="246"/>
      <c r="E15" s="162"/>
      <c r="F15" s="162"/>
      <c r="G15" s="162"/>
    </row>
    <row r="16" spans="2:7" ht="43.5" customHeight="1">
      <c r="B16" s="246"/>
      <c r="C16" s="246"/>
      <c r="D16" s="246"/>
      <c r="E16" s="162"/>
      <c r="F16" s="162"/>
      <c r="G16" s="162"/>
    </row>
  </sheetData>
  <sheetProtection/>
  <mergeCells count="16">
    <mergeCell ref="A1:G1"/>
    <mergeCell ref="A2:G2"/>
    <mergeCell ref="C3:D3"/>
    <mergeCell ref="C4:D4"/>
    <mergeCell ref="C7:D7"/>
    <mergeCell ref="C8:D8"/>
    <mergeCell ref="B4:B5"/>
    <mergeCell ref="A4:A6"/>
    <mergeCell ref="B14:D16"/>
    <mergeCell ref="E4:E5"/>
    <mergeCell ref="F4:F5"/>
    <mergeCell ref="G4:G5"/>
    <mergeCell ref="C5:D5"/>
    <mergeCell ref="C6:D6"/>
    <mergeCell ref="A9:G9"/>
    <mergeCell ref="B10:D10"/>
  </mergeCells>
  <printOptions/>
  <pageMargins left="1.1023622047244095" right="0.5118110236220472" top="0.7480314960629921" bottom="0.7480314960629921"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theme="0" tint="-0.4999699890613556"/>
  </sheetPr>
  <dimension ref="A1:W36"/>
  <sheetViews>
    <sheetView zoomScale="70" zoomScaleNormal="70" zoomScalePageLayoutView="0" workbookViewId="0" topLeftCell="A1">
      <pane xSplit="3" ySplit="4" topLeftCell="G8" activePane="bottomRight" state="frozen"/>
      <selection pane="topLeft" activeCell="A1" sqref="A1"/>
      <selection pane="topRight" activeCell="D1" sqref="D1"/>
      <selection pane="bottomLeft" activeCell="A7" sqref="A7"/>
      <selection pane="bottomRight" activeCell="A10" sqref="A10"/>
    </sheetView>
  </sheetViews>
  <sheetFormatPr defaultColWidth="9.140625" defaultRowHeight="12.75"/>
  <cols>
    <col min="1" max="1" width="26.00390625" style="2" customWidth="1"/>
    <col min="2" max="2" width="9.57421875" style="2" customWidth="1"/>
    <col min="3" max="3" width="10.140625" style="5" customWidth="1"/>
    <col min="4" max="4" width="8.7109375" style="5" customWidth="1"/>
    <col min="5" max="5" width="8.7109375" style="2" customWidth="1"/>
    <col min="6" max="6" width="8.57421875" style="2" customWidth="1"/>
    <col min="7" max="7" width="11.57421875" style="2" customWidth="1"/>
    <col min="8" max="8" width="8.7109375" style="5" customWidth="1"/>
    <col min="9" max="9" width="8.7109375" style="2" customWidth="1"/>
    <col min="10" max="10" width="8.57421875" style="2" customWidth="1"/>
    <col min="11" max="11" width="11.57421875" style="2" customWidth="1"/>
    <col min="12" max="12" width="8.7109375" style="5" customWidth="1"/>
    <col min="13" max="13" width="8.7109375" style="2" customWidth="1"/>
    <col min="14" max="14" width="8.57421875" style="2" customWidth="1"/>
    <col min="15" max="15" width="11.57421875" style="2" customWidth="1"/>
    <col min="16" max="17" width="11.28125" style="2" customWidth="1"/>
    <col min="18" max="18" width="14.8515625" style="2" customWidth="1"/>
    <col min="19" max="20" width="40.421875" style="2" customWidth="1"/>
    <col min="21" max="21" width="9.140625" style="166" customWidth="1"/>
    <col min="22" max="22" width="11.421875" style="2" customWidth="1"/>
    <col min="23" max="16384" width="9.140625" style="2" customWidth="1"/>
  </cols>
  <sheetData>
    <row r="1" spans="1:20" ht="26.25" customHeight="1">
      <c r="A1" s="304" t="s">
        <v>128</v>
      </c>
      <c r="B1" s="304"/>
      <c r="C1" s="304"/>
      <c r="D1" s="304"/>
      <c r="E1" s="304"/>
      <c r="F1" s="304"/>
      <c r="G1" s="304"/>
      <c r="H1" s="304"/>
      <c r="I1" s="304"/>
      <c r="J1" s="304"/>
      <c r="K1" s="304"/>
      <c r="L1" s="304"/>
      <c r="M1" s="304"/>
      <c r="N1" s="304"/>
      <c r="O1" s="304"/>
      <c r="P1" s="304"/>
      <c r="Q1" s="304"/>
      <c r="R1" s="304"/>
      <c r="S1" s="304"/>
      <c r="T1" s="304"/>
    </row>
    <row r="2" spans="1:21" s="4" customFormat="1" ht="46.5" customHeight="1" thickBot="1">
      <c r="A2" s="305" t="s">
        <v>181</v>
      </c>
      <c r="B2" s="305"/>
      <c r="C2" s="305"/>
      <c r="D2" s="305"/>
      <c r="E2" s="305"/>
      <c r="F2" s="305"/>
      <c r="G2" s="305"/>
      <c r="H2" s="305"/>
      <c r="I2" s="305"/>
      <c r="J2" s="305"/>
      <c r="K2" s="305"/>
      <c r="L2" s="305"/>
      <c r="M2" s="305"/>
      <c r="N2" s="305"/>
      <c r="O2" s="305"/>
      <c r="P2" s="305"/>
      <c r="Q2" s="305"/>
      <c r="R2" s="305"/>
      <c r="S2" s="305"/>
      <c r="T2" s="305"/>
      <c r="U2" s="166"/>
    </row>
    <row r="3" spans="1:21" s="4" customFormat="1" ht="71.25" customHeight="1">
      <c r="A3" s="306" t="s">
        <v>1</v>
      </c>
      <c r="B3" s="308" t="s">
        <v>2</v>
      </c>
      <c r="C3" s="310" t="s">
        <v>6</v>
      </c>
      <c r="D3" s="289" t="s">
        <v>24</v>
      </c>
      <c r="E3" s="290"/>
      <c r="F3" s="290" t="s">
        <v>23</v>
      </c>
      <c r="G3" s="291"/>
      <c r="H3" s="289" t="s">
        <v>25</v>
      </c>
      <c r="I3" s="290"/>
      <c r="J3" s="290" t="s">
        <v>26</v>
      </c>
      <c r="K3" s="291"/>
      <c r="L3" s="289" t="s">
        <v>16</v>
      </c>
      <c r="M3" s="290"/>
      <c r="N3" s="290" t="s">
        <v>17</v>
      </c>
      <c r="O3" s="291"/>
      <c r="P3" s="292" t="s">
        <v>70</v>
      </c>
      <c r="Q3" s="293"/>
      <c r="R3" s="294" t="s">
        <v>146</v>
      </c>
      <c r="S3" s="296" t="s">
        <v>141</v>
      </c>
      <c r="T3" s="297"/>
      <c r="U3" s="166"/>
    </row>
    <row r="4" spans="1:21" s="4" customFormat="1" ht="72" customHeight="1" thickBot="1">
      <c r="A4" s="307"/>
      <c r="B4" s="309"/>
      <c r="C4" s="311"/>
      <c r="D4" s="33" t="s">
        <v>7</v>
      </c>
      <c r="E4" s="7" t="s">
        <v>11</v>
      </c>
      <c r="F4" s="34" t="s">
        <v>8</v>
      </c>
      <c r="G4" s="35" t="s">
        <v>12</v>
      </c>
      <c r="H4" s="33" t="s">
        <v>7</v>
      </c>
      <c r="I4" s="51" t="s">
        <v>11</v>
      </c>
      <c r="J4" s="34" t="s">
        <v>8</v>
      </c>
      <c r="K4" s="35" t="s">
        <v>12</v>
      </c>
      <c r="L4" s="33" t="s">
        <v>7</v>
      </c>
      <c r="M4" s="7" t="s">
        <v>11</v>
      </c>
      <c r="N4" s="34" t="s">
        <v>8</v>
      </c>
      <c r="O4" s="35" t="s">
        <v>12</v>
      </c>
      <c r="P4" s="98" t="s">
        <v>8</v>
      </c>
      <c r="Q4" s="99" t="s">
        <v>12</v>
      </c>
      <c r="R4" s="295"/>
      <c r="S4" s="298"/>
      <c r="T4" s="299"/>
      <c r="U4" s="166"/>
    </row>
    <row r="5" spans="1:21" s="4" customFormat="1" ht="24.75" customHeight="1" thickBot="1">
      <c r="A5" s="277" t="s">
        <v>57</v>
      </c>
      <c r="B5" s="278"/>
      <c r="C5" s="278"/>
      <c r="D5" s="278"/>
      <c r="E5" s="278"/>
      <c r="F5" s="278"/>
      <c r="G5" s="278"/>
      <c r="H5" s="278"/>
      <c r="I5" s="278"/>
      <c r="J5" s="278"/>
      <c r="K5" s="279"/>
      <c r="L5" s="38">
        <f>L6+L8+L16+L10+L12+L14+L19</f>
        <v>5.125</v>
      </c>
      <c r="M5" s="126">
        <f>M6+M8+M16+M10+M12+M14+M19+M18</f>
        <v>32.25</v>
      </c>
      <c r="N5" s="54">
        <f>ROUND(SUM(N6:N19),2)</f>
        <v>19.35</v>
      </c>
      <c r="O5" s="55">
        <f>SUM(O6:O19)</f>
        <v>116.11909125</v>
      </c>
      <c r="P5" s="54">
        <f>ROUND(SUM(P6:P19),2)</f>
        <v>464.48</v>
      </c>
      <c r="Q5" s="55">
        <f>SUM(Q6:Q19)</f>
        <v>2786.85819</v>
      </c>
      <c r="R5" s="55">
        <f>SUM(R6:R19)</f>
        <v>89712.3276</v>
      </c>
      <c r="S5" s="300" t="s">
        <v>143</v>
      </c>
      <c r="T5" s="301"/>
      <c r="U5" s="166"/>
    </row>
    <row r="6" spans="1:23" ht="96.75" customHeight="1">
      <c r="A6" s="9" t="s">
        <v>218</v>
      </c>
      <c r="B6" s="10" t="s">
        <v>0</v>
      </c>
      <c r="C6" s="11">
        <v>23.4</v>
      </c>
      <c r="D6" s="12">
        <f aca="true" t="shared" si="0" ref="D6:D11">E6/6</f>
        <v>0.5</v>
      </c>
      <c r="E6" s="44">
        <f>1.5*2</f>
        <v>3</v>
      </c>
      <c r="F6" s="13">
        <f aca="true" t="shared" si="1" ref="F6:F11">C6*D6</f>
        <v>11.7</v>
      </c>
      <c r="G6" s="14">
        <f aca="true" t="shared" si="2" ref="G6:G11">C6*E6</f>
        <v>70.19999999999999</v>
      </c>
      <c r="H6" s="12" t="s">
        <v>10</v>
      </c>
      <c r="I6" s="52" t="s">
        <v>10</v>
      </c>
      <c r="J6" s="13" t="s">
        <v>10</v>
      </c>
      <c r="K6" s="14" t="s">
        <v>10</v>
      </c>
      <c r="L6" s="12">
        <f>M6/6</f>
        <v>0.5</v>
      </c>
      <c r="M6" s="44">
        <f>E6</f>
        <v>3</v>
      </c>
      <c r="N6" s="13">
        <f aca="true" t="shared" si="3" ref="N6:O11">F6/24</f>
        <v>0.4875</v>
      </c>
      <c r="O6" s="14">
        <f t="shared" si="3"/>
        <v>2.9249999999999994</v>
      </c>
      <c r="P6" s="100">
        <f>N6*24</f>
        <v>11.7</v>
      </c>
      <c r="Q6" s="101">
        <f>P6*6</f>
        <v>70.19999999999999</v>
      </c>
      <c r="R6" s="102">
        <f aca="true" t="shared" si="4" ref="R6:R17">Q6*30</f>
        <v>2105.9999999999995</v>
      </c>
      <c r="S6" s="15" t="s">
        <v>182</v>
      </c>
      <c r="T6" s="200" t="s">
        <v>220</v>
      </c>
      <c r="V6" s="6"/>
      <c r="W6" s="6"/>
    </row>
    <row r="7" spans="1:23" ht="69.75" customHeight="1" thickBot="1">
      <c r="A7" s="24" t="s">
        <v>97</v>
      </c>
      <c r="B7" s="17" t="s">
        <v>0</v>
      </c>
      <c r="C7" s="18">
        <v>23.4</v>
      </c>
      <c r="D7" s="19">
        <f t="shared" si="0"/>
        <v>0.3333333333333333</v>
      </c>
      <c r="E7" s="127">
        <v>2</v>
      </c>
      <c r="F7" s="20">
        <f t="shared" si="1"/>
        <v>7.799999999999999</v>
      </c>
      <c r="G7" s="21">
        <f t="shared" si="2"/>
        <v>46.8</v>
      </c>
      <c r="H7" s="19" t="s">
        <v>10</v>
      </c>
      <c r="I7" s="53" t="s">
        <v>10</v>
      </c>
      <c r="J7" s="20" t="s">
        <v>10</v>
      </c>
      <c r="K7" s="21" t="s">
        <v>10</v>
      </c>
      <c r="L7" s="19" t="s">
        <v>10</v>
      </c>
      <c r="M7" s="53" t="s">
        <v>10</v>
      </c>
      <c r="N7" s="20">
        <f t="shared" si="3"/>
        <v>0.32499999999999996</v>
      </c>
      <c r="O7" s="21">
        <f t="shared" si="3"/>
        <v>1.95</v>
      </c>
      <c r="P7" s="103">
        <f aca="true" t="shared" si="5" ref="P7:P19">N7*24</f>
        <v>7.799999999999999</v>
      </c>
      <c r="Q7" s="104">
        <f aca="true" t="shared" si="6" ref="Q7:Q24">P7*6</f>
        <v>46.8</v>
      </c>
      <c r="R7" s="105">
        <f t="shared" si="4"/>
        <v>1404</v>
      </c>
      <c r="S7" s="22" t="s">
        <v>18</v>
      </c>
      <c r="T7" s="201" t="s">
        <v>21</v>
      </c>
      <c r="V7" s="6"/>
      <c r="W7" s="6"/>
    </row>
    <row r="8" spans="1:23" ht="115.5" customHeight="1">
      <c r="A8" s="9" t="s">
        <v>222</v>
      </c>
      <c r="B8" s="10" t="s">
        <v>0</v>
      </c>
      <c r="C8" s="11">
        <v>23.4</v>
      </c>
      <c r="D8" s="12">
        <f t="shared" si="0"/>
        <v>1.75</v>
      </c>
      <c r="E8" s="44">
        <f>7*1.5</f>
        <v>10.5</v>
      </c>
      <c r="F8" s="13">
        <f t="shared" si="1"/>
        <v>40.949999999999996</v>
      </c>
      <c r="G8" s="14">
        <f t="shared" si="2"/>
        <v>245.7</v>
      </c>
      <c r="H8" s="12" t="s">
        <v>10</v>
      </c>
      <c r="I8" s="52" t="s">
        <v>10</v>
      </c>
      <c r="J8" s="13" t="s">
        <v>10</v>
      </c>
      <c r="K8" s="14" t="s">
        <v>10</v>
      </c>
      <c r="L8" s="12">
        <f>M8/6</f>
        <v>1.75</v>
      </c>
      <c r="M8" s="44">
        <f>E8</f>
        <v>10.5</v>
      </c>
      <c r="N8" s="13">
        <f t="shared" si="3"/>
        <v>1.7062499999999998</v>
      </c>
      <c r="O8" s="14">
        <f t="shared" si="3"/>
        <v>10.237499999999999</v>
      </c>
      <c r="P8" s="100">
        <f t="shared" si="5"/>
        <v>40.949999999999996</v>
      </c>
      <c r="Q8" s="101">
        <f t="shared" si="6"/>
        <v>245.7</v>
      </c>
      <c r="R8" s="102">
        <f t="shared" si="4"/>
        <v>7371</v>
      </c>
      <c r="S8" s="15" t="s">
        <v>183</v>
      </c>
      <c r="T8" s="200" t="s">
        <v>223</v>
      </c>
      <c r="V8" s="6"/>
      <c r="W8" s="6"/>
    </row>
    <row r="9" spans="1:23" ht="74.25" customHeight="1" thickBot="1">
      <c r="A9" s="24" t="s">
        <v>97</v>
      </c>
      <c r="B9" s="17" t="s">
        <v>0</v>
      </c>
      <c r="C9" s="18">
        <v>23.4</v>
      </c>
      <c r="D9" s="19">
        <f t="shared" si="0"/>
        <v>1.1666666666666667</v>
      </c>
      <c r="E9" s="127">
        <v>7</v>
      </c>
      <c r="F9" s="20">
        <f t="shared" si="1"/>
        <v>27.3</v>
      </c>
      <c r="G9" s="21">
        <f t="shared" si="2"/>
        <v>163.79999999999998</v>
      </c>
      <c r="H9" s="19" t="s">
        <v>10</v>
      </c>
      <c r="I9" s="53" t="s">
        <v>10</v>
      </c>
      <c r="J9" s="20" t="s">
        <v>10</v>
      </c>
      <c r="K9" s="21" t="s">
        <v>10</v>
      </c>
      <c r="L9" s="19" t="s">
        <v>10</v>
      </c>
      <c r="M9" s="53" t="s">
        <v>10</v>
      </c>
      <c r="N9" s="20">
        <f t="shared" si="3"/>
        <v>1.1375</v>
      </c>
      <c r="O9" s="21">
        <f t="shared" si="3"/>
        <v>6.824999999999999</v>
      </c>
      <c r="P9" s="103">
        <f t="shared" si="5"/>
        <v>27.299999999999997</v>
      </c>
      <c r="Q9" s="104">
        <f t="shared" si="6"/>
        <v>163.79999999999998</v>
      </c>
      <c r="R9" s="105">
        <f t="shared" si="4"/>
        <v>4913.999999999999</v>
      </c>
      <c r="S9" s="22" t="s">
        <v>19</v>
      </c>
      <c r="T9" s="201" t="s">
        <v>22</v>
      </c>
      <c r="V9" s="6"/>
      <c r="W9" s="6"/>
    </row>
    <row r="10" spans="1:23" ht="88.5" customHeight="1">
      <c r="A10" s="9" t="s">
        <v>221</v>
      </c>
      <c r="B10" s="10" t="s">
        <v>0</v>
      </c>
      <c r="C10" s="11">
        <v>23.4</v>
      </c>
      <c r="D10" s="12">
        <f t="shared" si="0"/>
        <v>0.25</v>
      </c>
      <c r="E10" s="44">
        <v>1.5</v>
      </c>
      <c r="F10" s="13">
        <f t="shared" si="1"/>
        <v>5.85</v>
      </c>
      <c r="G10" s="14">
        <f t="shared" si="2"/>
        <v>35.099999999999994</v>
      </c>
      <c r="H10" s="12" t="s">
        <v>10</v>
      </c>
      <c r="I10" s="52" t="s">
        <v>10</v>
      </c>
      <c r="J10" s="13" t="s">
        <v>10</v>
      </c>
      <c r="K10" s="14" t="s">
        <v>10</v>
      </c>
      <c r="L10" s="12">
        <f>M10/6</f>
        <v>0.25</v>
      </c>
      <c r="M10" s="44">
        <f>E10</f>
        <v>1.5</v>
      </c>
      <c r="N10" s="13">
        <f t="shared" si="3"/>
        <v>0.24375</v>
      </c>
      <c r="O10" s="14">
        <f t="shared" si="3"/>
        <v>1.4624999999999997</v>
      </c>
      <c r="P10" s="100">
        <f>N10*24</f>
        <v>5.85</v>
      </c>
      <c r="Q10" s="101">
        <f>P10*6</f>
        <v>35.099999999999994</v>
      </c>
      <c r="R10" s="102">
        <f t="shared" si="4"/>
        <v>1052.9999999999998</v>
      </c>
      <c r="S10" s="15" t="s">
        <v>184</v>
      </c>
      <c r="T10" s="200" t="s">
        <v>20</v>
      </c>
      <c r="V10" s="6"/>
      <c r="W10" s="6"/>
    </row>
    <row r="11" spans="1:23" ht="71.25" customHeight="1" thickBot="1">
      <c r="A11" s="24" t="s">
        <v>97</v>
      </c>
      <c r="B11" s="17" t="s">
        <v>0</v>
      </c>
      <c r="C11" s="18">
        <v>23.4</v>
      </c>
      <c r="D11" s="19">
        <f t="shared" si="0"/>
        <v>0.16666666666666666</v>
      </c>
      <c r="E11" s="127">
        <v>1</v>
      </c>
      <c r="F11" s="20">
        <f t="shared" si="1"/>
        <v>3.8999999999999995</v>
      </c>
      <c r="G11" s="21">
        <f t="shared" si="2"/>
        <v>23.4</v>
      </c>
      <c r="H11" s="19" t="s">
        <v>10</v>
      </c>
      <c r="I11" s="53" t="s">
        <v>10</v>
      </c>
      <c r="J11" s="20" t="s">
        <v>10</v>
      </c>
      <c r="K11" s="21" t="s">
        <v>10</v>
      </c>
      <c r="L11" s="19" t="s">
        <v>10</v>
      </c>
      <c r="M11" s="53" t="s">
        <v>10</v>
      </c>
      <c r="N11" s="20">
        <f t="shared" si="3"/>
        <v>0.16249999999999998</v>
      </c>
      <c r="O11" s="21">
        <f t="shared" si="3"/>
        <v>0.975</v>
      </c>
      <c r="P11" s="103">
        <f>N11*24</f>
        <v>3.8999999999999995</v>
      </c>
      <c r="Q11" s="104">
        <f>P11*6</f>
        <v>23.4</v>
      </c>
      <c r="R11" s="105">
        <f t="shared" si="4"/>
        <v>702</v>
      </c>
      <c r="S11" s="22" t="s">
        <v>98</v>
      </c>
      <c r="T11" s="201" t="s">
        <v>99</v>
      </c>
      <c r="V11" s="6"/>
      <c r="W11" s="6"/>
    </row>
    <row r="12" spans="1:23" ht="182.25" customHeight="1">
      <c r="A12" s="9" t="s">
        <v>100</v>
      </c>
      <c r="B12" s="10" t="s">
        <v>0</v>
      </c>
      <c r="C12" s="11">
        <v>23.4</v>
      </c>
      <c r="D12" s="12" t="s">
        <v>10</v>
      </c>
      <c r="E12" s="47" t="s">
        <v>10</v>
      </c>
      <c r="F12" s="13" t="s">
        <v>10</v>
      </c>
      <c r="G12" s="14" t="s">
        <v>10</v>
      </c>
      <c r="H12" s="12">
        <f aca="true" t="shared" si="7" ref="H12:H17">I12/6</f>
        <v>2</v>
      </c>
      <c r="I12" s="44">
        <f>8*1.5</f>
        <v>12</v>
      </c>
      <c r="J12" s="13">
        <f aca="true" t="shared" si="8" ref="J12:J17">C12*H12</f>
        <v>46.8</v>
      </c>
      <c r="K12" s="14">
        <f aca="true" t="shared" si="9" ref="K12:K17">C12*I12</f>
        <v>280.79999999999995</v>
      </c>
      <c r="L12" s="12">
        <f>M12/6</f>
        <v>2</v>
      </c>
      <c r="M12" s="44">
        <f>I12</f>
        <v>12</v>
      </c>
      <c r="N12" s="13">
        <f aca="true" t="shared" si="10" ref="N12:O15">J12/12</f>
        <v>3.9</v>
      </c>
      <c r="O12" s="14">
        <f>K12/12</f>
        <v>23.399999999999995</v>
      </c>
      <c r="P12" s="100">
        <f>N12*24</f>
        <v>93.6</v>
      </c>
      <c r="Q12" s="101">
        <f t="shared" si="6"/>
        <v>561.5999999999999</v>
      </c>
      <c r="R12" s="102">
        <f t="shared" si="4"/>
        <v>16847.999999999996</v>
      </c>
      <c r="S12" s="36" t="s">
        <v>185</v>
      </c>
      <c r="T12" s="200" t="s">
        <v>130</v>
      </c>
      <c r="V12" s="6"/>
      <c r="W12" s="6"/>
    </row>
    <row r="13" spans="1:23" ht="72" customHeight="1" thickBot="1">
      <c r="A13" s="24" t="s">
        <v>97</v>
      </c>
      <c r="B13" s="17" t="s">
        <v>0</v>
      </c>
      <c r="C13" s="18">
        <v>23.4</v>
      </c>
      <c r="D13" s="19" t="s">
        <v>10</v>
      </c>
      <c r="E13" s="48" t="s">
        <v>10</v>
      </c>
      <c r="F13" s="20" t="s">
        <v>10</v>
      </c>
      <c r="G13" s="21" t="s">
        <v>10</v>
      </c>
      <c r="H13" s="19">
        <f t="shared" si="7"/>
        <v>1.3333333333333333</v>
      </c>
      <c r="I13" s="127">
        <v>8</v>
      </c>
      <c r="J13" s="20">
        <f t="shared" si="8"/>
        <v>31.199999999999996</v>
      </c>
      <c r="K13" s="21">
        <f t="shared" si="9"/>
        <v>187.2</v>
      </c>
      <c r="L13" s="19" t="s">
        <v>10</v>
      </c>
      <c r="M13" s="53" t="s">
        <v>10</v>
      </c>
      <c r="N13" s="20">
        <f t="shared" si="10"/>
        <v>2.5999999999999996</v>
      </c>
      <c r="O13" s="21">
        <f t="shared" si="10"/>
        <v>15.6</v>
      </c>
      <c r="P13" s="103">
        <f t="shared" si="5"/>
        <v>62.39999999999999</v>
      </c>
      <c r="Q13" s="104">
        <f t="shared" si="6"/>
        <v>374.4</v>
      </c>
      <c r="R13" s="105">
        <f t="shared" si="4"/>
        <v>11232</v>
      </c>
      <c r="S13" s="22" t="s">
        <v>105</v>
      </c>
      <c r="T13" s="201" t="s">
        <v>106</v>
      </c>
      <c r="V13" s="6"/>
      <c r="W13" s="6"/>
    </row>
    <row r="14" spans="1:23" ht="97.5" customHeight="1">
      <c r="A14" s="9" t="s">
        <v>101</v>
      </c>
      <c r="B14" s="10" t="s">
        <v>0</v>
      </c>
      <c r="C14" s="11">
        <v>23.4</v>
      </c>
      <c r="D14" s="12" t="s">
        <v>10</v>
      </c>
      <c r="E14" s="47" t="s">
        <v>10</v>
      </c>
      <c r="F14" s="13" t="s">
        <v>10</v>
      </c>
      <c r="G14" s="14" t="s">
        <v>10</v>
      </c>
      <c r="H14" s="12">
        <f t="shared" si="7"/>
        <v>0.25</v>
      </c>
      <c r="I14" s="44">
        <f>1*1.5</f>
        <v>1.5</v>
      </c>
      <c r="J14" s="13">
        <f t="shared" si="8"/>
        <v>5.85</v>
      </c>
      <c r="K14" s="14">
        <f t="shared" si="9"/>
        <v>35.099999999999994</v>
      </c>
      <c r="L14" s="12">
        <f>M14/6</f>
        <v>0.25</v>
      </c>
      <c r="M14" s="44">
        <f>I14</f>
        <v>1.5</v>
      </c>
      <c r="N14" s="13">
        <f t="shared" si="10"/>
        <v>0.4875</v>
      </c>
      <c r="O14" s="14">
        <f t="shared" si="10"/>
        <v>2.9249999999999994</v>
      </c>
      <c r="P14" s="100">
        <f t="shared" si="5"/>
        <v>11.7</v>
      </c>
      <c r="Q14" s="101">
        <f t="shared" si="6"/>
        <v>70.19999999999999</v>
      </c>
      <c r="R14" s="102">
        <f t="shared" si="4"/>
        <v>2105.9999999999995</v>
      </c>
      <c r="S14" s="36" t="s">
        <v>186</v>
      </c>
      <c r="T14" s="200" t="s">
        <v>102</v>
      </c>
      <c r="V14" s="6"/>
      <c r="W14" s="6"/>
    </row>
    <row r="15" spans="1:23" ht="73.5" customHeight="1" thickBot="1">
      <c r="A15" s="24" t="s">
        <v>97</v>
      </c>
      <c r="B15" s="17" t="s">
        <v>0</v>
      </c>
      <c r="C15" s="18">
        <v>23.4</v>
      </c>
      <c r="D15" s="19" t="s">
        <v>10</v>
      </c>
      <c r="E15" s="48" t="s">
        <v>10</v>
      </c>
      <c r="F15" s="20" t="s">
        <v>10</v>
      </c>
      <c r="G15" s="21" t="s">
        <v>10</v>
      </c>
      <c r="H15" s="19">
        <f t="shared" si="7"/>
        <v>0.16666666666666666</v>
      </c>
      <c r="I15" s="127">
        <v>1</v>
      </c>
      <c r="J15" s="20">
        <f t="shared" si="8"/>
        <v>3.8999999999999995</v>
      </c>
      <c r="K15" s="21">
        <f t="shared" si="9"/>
        <v>23.4</v>
      </c>
      <c r="L15" s="19" t="s">
        <v>10</v>
      </c>
      <c r="M15" s="53" t="s">
        <v>10</v>
      </c>
      <c r="N15" s="20">
        <f t="shared" si="10"/>
        <v>0.32499999999999996</v>
      </c>
      <c r="O15" s="21">
        <f t="shared" si="10"/>
        <v>1.95</v>
      </c>
      <c r="P15" s="103">
        <f t="shared" si="5"/>
        <v>7.799999999999999</v>
      </c>
      <c r="Q15" s="104">
        <f t="shared" si="6"/>
        <v>46.8</v>
      </c>
      <c r="R15" s="105">
        <f t="shared" si="4"/>
        <v>1404</v>
      </c>
      <c r="S15" s="22" t="s">
        <v>98</v>
      </c>
      <c r="T15" s="201" t="s">
        <v>99</v>
      </c>
      <c r="V15" s="6"/>
      <c r="W15" s="6"/>
    </row>
    <row r="16" spans="1:23" ht="103.5" customHeight="1">
      <c r="A16" s="9" t="s">
        <v>13</v>
      </c>
      <c r="B16" s="10" t="s">
        <v>0</v>
      </c>
      <c r="C16" s="11">
        <v>23.4</v>
      </c>
      <c r="D16" s="12" t="s">
        <v>10</v>
      </c>
      <c r="E16" s="47" t="s">
        <v>10</v>
      </c>
      <c r="F16" s="13" t="s">
        <v>10</v>
      </c>
      <c r="G16" s="14" t="s">
        <v>10</v>
      </c>
      <c r="H16" s="12">
        <f t="shared" si="7"/>
        <v>0.25</v>
      </c>
      <c r="I16" s="44">
        <f>1*1.5</f>
        <v>1.5</v>
      </c>
      <c r="J16" s="13">
        <f t="shared" si="8"/>
        <v>5.85</v>
      </c>
      <c r="K16" s="14">
        <f t="shared" si="9"/>
        <v>35.099999999999994</v>
      </c>
      <c r="L16" s="12">
        <f>M16/6</f>
        <v>0.25</v>
      </c>
      <c r="M16" s="44">
        <f>I16</f>
        <v>1.5</v>
      </c>
      <c r="N16" s="13">
        <f>J16/12</f>
        <v>0.4875</v>
      </c>
      <c r="O16" s="14">
        <f>K16/12</f>
        <v>2.9249999999999994</v>
      </c>
      <c r="P16" s="100">
        <f>N16*24</f>
        <v>11.7</v>
      </c>
      <c r="Q16" s="101">
        <f>P16*6</f>
        <v>70.19999999999999</v>
      </c>
      <c r="R16" s="102">
        <f t="shared" si="4"/>
        <v>2105.9999999999995</v>
      </c>
      <c r="S16" s="36" t="s">
        <v>186</v>
      </c>
      <c r="T16" s="200" t="s">
        <v>103</v>
      </c>
      <c r="V16" s="6"/>
      <c r="W16" s="129"/>
    </row>
    <row r="17" spans="1:23" ht="74.25" customHeight="1" thickBot="1">
      <c r="A17" s="24" t="s">
        <v>97</v>
      </c>
      <c r="B17" s="17" t="s">
        <v>0</v>
      </c>
      <c r="C17" s="18">
        <v>23.4</v>
      </c>
      <c r="D17" s="19" t="s">
        <v>10</v>
      </c>
      <c r="E17" s="48" t="s">
        <v>10</v>
      </c>
      <c r="F17" s="20" t="s">
        <v>10</v>
      </c>
      <c r="G17" s="21" t="s">
        <v>10</v>
      </c>
      <c r="H17" s="19">
        <f t="shared" si="7"/>
        <v>0.16666666666666666</v>
      </c>
      <c r="I17" s="127">
        <v>1</v>
      </c>
      <c r="J17" s="20">
        <f t="shared" si="8"/>
        <v>3.8999999999999995</v>
      </c>
      <c r="K17" s="21">
        <f t="shared" si="9"/>
        <v>23.4</v>
      </c>
      <c r="L17" s="19" t="s">
        <v>10</v>
      </c>
      <c r="M17" s="53" t="s">
        <v>10</v>
      </c>
      <c r="N17" s="20">
        <f>J17/12</f>
        <v>0.32499999999999996</v>
      </c>
      <c r="O17" s="21">
        <f>K17/12</f>
        <v>1.95</v>
      </c>
      <c r="P17" s="103">
        <f>N17*24</f>
        <v>7.799999999999999</v>
      </c>
      <c r="Q17" s="104">
        <f>P17*6</f>
        <v>46.8</v>
      </c>
      <c r="R17" s="105">
        <f t="shared" si="4"/>
        <v>1404</v>
      </c>
      <c r="S17" s="22" t="s">
        <v>98</v>
      </c>
      <c r="T17" s="201" t="s">
        <v>99</v>
      </c>
      <c r="V17" s="6"/>
      <c r="W17" s="129"/>
    </row>
    <row r="18" spans="1:23" ht="120.75" customHeight="1" thickBot="1">
      <c r="A18" s="37" t="s">
        <v>135</v>
      </c>
      <c r="B18" s="26" t="s">
        <v>133</v>
      </c>
      <c r="C18" s="167">
        <f>1647*1.2359</f>
        <v>2035.5273</v>
      </c>
      <c r="D18" s="19" t="s">
        <v>10</v>
      </c>
      <c r="E18" s="48" t="s">
        <v>10</v>
      </c>
      <c r="F18" s="20" t="s">
        <v>10</v>
      </c>
      <c r="G18" s="21" t="s">
        <v>10</v>
      </c>
      <c r="H18" s="28" t="s">
        <v>10</v>
      </c>
      <c r="I18" s="46">
        <v>1.5</v>
      </c>
      <c r="J18" s="29" t="s">
        <v>10</v>
      </c>
      <c r="K18" s="30" t="s">
        <v>10</v>
      </c>
      <c r="L18" s="28" t="s">
        <v>10</v>
      </c>
      <c r="M18" s="44">
        <v>1.5</v>
      </c>
      <c r="N18" s="29">
        <f>O18/6</f>
        <v>4.240681875</v>
      </c>
      <c r="O18" s="30">
        <f>Q18/24</f>
        <v>25.44409125</v>
      </c>
      <c r="P18" s="106">
        <f>Q18/6</f>
        <v>101.776365</v>
      </c>
      <c r="Q18" s="107">
        <f>R18/40</f>
        <v>610.65819</v>
      </c>
      <c r="R18" s="108">
        <f>C18*12</f>
        <v>24426.3276</v>
      </c>
      <c r="S18" s="130" t="s">
        <v>187</v>
      </c>
      <c r="T18" s="202" t="s">
        <v>136</v>
      </c>
      <c r="V18" s="6"/>
      <c r="W18" s="129"/>
    </row>
    <row r="19" spans="1:23" ht="165.75" customHeight="1" thickBot="1">
      <c r="A19" s="37" t="s">
        <v>15</v>
      </c>
      <c r="B19" s="26" t="s">
        <v>0</v>
      </c>
      <c r="C19" s="27">
        <v>23.4</v>
      </c>
      <c r="D19" s="28">
        <f>L19*24</f>
        <v>3</v>
      </c>
      <c r="E19" s="45">
        <f>M19*24</f>
        <v>18</v>
      </c>
      <c r="F19" s="29">
        <f>C19*D19</f>
        <v>70.19999999999999</v>
      </c>
      <c r="G19" s="30">
        <f>C19*E19</f>
        <v>421.2</v>
      </c>
      <c r="H19" s="28" t="s">
        <v>10</v>
      </c>
      <c r="I19" s="49" t="s">
        <v>10</v>
      </c>
      <c r="J19" s="29" t="s">
        <v>10</v>
      </c>
      <c r="K19" s="30" t="s">
        <v>10</v>
      </c>
      <c r="L19" s="28">
        <f>M19/6</f>
        <v>0.125</v>
      </c>
      <c r="M19" s="128">
        <f>'Pielikums Nr_5_Darba kārtība'!AG31/24</f>
        <v>0.75</v>
      </c>
      <c r="N19" s="29">
        <f>C19*L19</f>
        <v>2.925</v>
      </c>
      <c r="O19" s="30">
        <f>C19*M19</f>
        <v>17.549999999999997</v>
      </c>
      <c r="P19" s="106">
        <f t="shared" si="5"/>
        <v>70.19999999999999</v>
      </c>
      <c r="Q19" s="107">
        <f t="shared" si="6"/>
        <v>421.19999999999993</v>
      </c>
      <c r="R19" s="108">
        <f>Q19*30</f>
        <v>12635.999999999998</v>
      </c>
      <c r="S19" s="31" t="s">
        <v>188</v>
      </c>
      <c r="T19" s="203" t="s">
        <v>104</v>
      </c>
      <c r="V19" s="6"/>
      <c r="W19" s="6"/>
    </row>
    <row r="20" spans="1:23" s="4" customFormat="1" ht="45" customHeight="1" thickBot="1">
      <c r="A20" s="277" t="s">
        <v>56</v>
      </c>
      <c r="B20" s="278"/>
      <c r="C20" s="278"/>
      <c r="D20" s="278"/>
      <c r="E20" s="278"/>
      <c r="F20" s="278"/>
      <c r="G20" s="278"/>
      <c r="H20" s="278"/>
      <c r="I20" s="278"/>
      <c r="J20" s="278"/>
      <c r="K20" s="279"/>
      <c r="L20" s="91" t="s">
        <v>10</v>
      </c>
      <c r="M20" s="92" t="s">
        <v>10</v>
      </c>
      <c r="N20" s="1">
        <f>SUM(N21:N25)</f>
        <v>26.81238271604938</v>
      </c>
      <c r="O20" s="86">
        <f>SUM(O21:O25)</f>
        <v>180.87429629629628</v>
      </c>
      <c r="P20" s="1">
        <f>SUM(P21:P25)</f>
        <v>660.1831111111111</v>
      </c>
      <c r="Q20" s="86">
        <f>SUM(Q21:Q25)</f>
        <v>4301.098666666667</v>
      </c>
      <c r="R20" s="86">
        <f>SUM(R21:R25)</f>
        <v>129032.96</v>
      </c>
      <c r="S20" s="280"/>
      <c r="T20" s="281"/>
      <c r="U20" s="166"/>
      <c r="V20" s="8"/>
      <c r="W20" s="8"/>
    </row>
    <row r="21" spans="1:23" ht="101.25" customHeight="1" thickBot="1">
      <c r="A21" s="25" t="s">
        <v>5</v>
      </c>
      <c r="B21" s="39" t="s">
        <v>9</v>
      </c>
      <c r="C21" s="27">
        <f>15.34+5</f>
        <v>20.34</v>
      </c>
      <c r="D21" s="40" t="s">
        <v>10</v>
      </c>
      <c r="E21" s="49" t="s">
        <v>10</v>
      </c>
      <c r="F21" s="50" t="s">
        <v>10</v>
      </c>
      <c r="G21" s="30" t="s">
        <v>10</v>
      </c>
      <c r="H21" s="40" t="s">
        <v>10</v>
      </c>
      <c r="I21" s="49" t="s">
        <v>10</v>
      </c>
      <c r="J21" s="50" t="s">
        <v>10</v>
      </c>
      <c r="K21" s="30" t="s">
        <v>10</v>
      </c>
      <c r="L21" s="40" t="s">
        <v>10</v>
      </c>
      <c r="M21" s="49" t="s">
        <v>10</v>
      </c>
      <c r="N21" s="50">
        <f>C21</f>
        <v>20.34</v>
      </c>
      <c r="O21" s="30">
        <f>N21*6</f>
        <v>122.03999999999999</v>
      </c>
      <c r="P21" s="106">
        <f>N21*24</f>
        <v>488.15999999999997</v>
      </c>
      <c r="Q21" s="108">
        <f t="shared" si="6"/>
        <v>2928.96</v>
      </c>
      <c r="R21" s="108">
        <f>Q21*30</f>
        <v>87868.8</v>
      </c>
      <c r="S21" s="204" t="s">
        <v>132</v>
      </c>
      <c r="T21" s="203" t="s">
        <v>177</v>
      </c>
      <c r="V21" s="6"/>
      <c r="W21" s="6"/>
    </row>
    <row r="22" spans="1:23" ht="207.75" customHeight="1" thickBot="1">
      <c r="A22" s="25" t="s">
        <v>137</v>
      </c>
      <c r="B22" s="39" t="s">
        <v>9</v>
      </c>
      <c r="C22" s="97">
        <v>10</v>
      </c>
      <c r="D22" s="40" t="s">
        <v>10</v>
      </c>
      <c r="E22" s="49" t="s">
        <v>10</v>
      </c>
      <c r="F22" s="50" t="s">
        <v>10</v>
      </c>
      <c r="G22" s="30" t="s">
        <v>10</v>
      </c>
      <c r="H22" s="40" t="s">
        <v>10</v>
      </c>
      <c r="I22" s="49" t="s">
        <v>10</v>
      </c>
      <c r="J22" s="50" t="s">
        <v>10</v>
      </c>
      <c r="K22" s="30" t="s">
        <v>10</v>
      </c>
      <c r="L22" s="40" t="s">
        <v>10</v>
      </c>
      <c r="M22" s="49" t="s">
        <v>10</v>
      </c>
      <c r="N22" s="50" t="s">
        <v>10</v>
      </c>
      <c r="O22" s="30">
        <f>C22</f>
        <v>10</v>
      </c>
      <c r="P22" s="106" t="s">
        <v>10</v>
      </c>
      <c r="Q22" s="108">
        <f>C22*24</f>
        <v>240</v>
      </c>
      <c r="R22" s="108">
        <f>Q22*30</f>
        <v>7200</v>
      </c>
      <c r="S22" s="205" t="s">
        <v>117</v>
      </c>
      <c r="T22" s="203" t="s">
        <v>173</v>
      </c>
      <c r="V22" s="6"/>
      <c r="W22" s="6"/>
    </row>
    <row r="23" spans="1:23" ht="201.75" customHeight="1" thickBot="1">
      <c r="A23" s="25" t="s">
        <v>138</v>
      </c>
      <c r="B23" s="39" t="s">
        <v>9</v>
      </c>
      <c r="C23" s="97">
        <v>10</v>
      </c>
      <c r="D23" s="40" t="s">
        <v>10</v>
      </c>
      <c r="E23" s="49" t="s">
        <v>10</v>
      </c>
      <c r="F23" s="50" t="s">
        <v>10</v>
      </c>
      <c r="G23" s="30" t="s">
        <v>10</v>
      </c>
      <c r="H23" s="40" t="s">
        <v>10</v>
      </c>
      <c r="I23" s="49" t="s">
        <v>10</v>
      </c>
      <c r="J23" s="50" t="s">
        <v>10</v>
      </c>
      <c r="K23" s="30" t="s">
        <v>10</v>
      </c>
      <c r="L23" s="40" t="s">
        <v>10</v>
      </c>
      <c r="M23" s="49" t="s">
        <v>10</v>
      </c>
      <c r="N23" s="50" t="s">
        <v>10</v>
      </c>
      <c r="O23" s="30">
        <f>C23</f>
        <v>10</v>
      </c>
      <c r="P23" s="106" t="s">
        <v>10</v>
      </c>
      <c r="Q23" s="108">
        <f>C23*10</f>
        <v>100</v>
      </c>
      <c r="R23" s="108">
        <f>Q23*30</f>
        <v>3000</v>
      </c>
      <c r="S23" s="205" t="s">
        <v>139</v>
      </c>
      <c r="T23" s="203" t="s">
        <v>175</v>
      </c>
      <c r="V23" s="6"/>
      <c r="W23" s="6"/>
    </row>
    <row r="24" spans="1:23" ht="171" customHeight="1" thickBot="1">
      <c r="A24" s="42" t="s">
        <v>110</v>
      </c>
      <c r="B24" s="39" t="s">
        <v>3</v>
      </c>
      <c r="C24" s="43">
        <v>2</v>
      </c>
      <c r="D24" s="40" t="s">
        <v>10</v>
      </c>
      <c r="E24" s="49" t="s">
        <v>10</v>
      </c>
      <c r="F24" s="50" t="s">
        <v>10</v>
      </c>
      <c r="G24" s="30" t="s">
        <v>10</v>
      </c>
      <c r="H24" s="40" t="s">
        <v>10</v>
      </c>
      <c r="I24" s="49" t="s">
        <v>10</v>
      </c>
      <c r="J24" s="50" t="s">
        <v>10</v>
      </c>
      <c r="K24" s="30" t="s">
        <v>10</v>
      </c>
      <c r="L24" s="40">
        <f>M24/6</f>
        <v>3.1666666666666665</v>
      </c>
      <c r="M24" s="87">
        <f>((M6+M8+M10+M12+M14+M16+M18)/1.5)-2</f>
        <v>19</v>
      </c>
      <c r="N24" s="56">
        <f>L24*C24</f>
        <v>6.333333333333333</v>
      </c>
      <c r="O24" s="30">
        <f>M24*C24</f>
        <v>38</v>
      </c>
      <c r="P24" s="106">
        <f>N24*24</f>
        <v>152</v>
      </c>
      <c r="Q24" s="107">
        <f t="shared" si="6"/>
        <v>912</v>
      </c>
      <c r="R24" s="108">
        <f>Q24*30</f>
        <v>27360</v>
      </c>
      <c r="S24" s="205" t="s">
        <v>108</v>
      </c>
      <c r="T24" s="203" t="s">
        <v>109</v>
      </c>
      <c r="V24" s="6"/>
      <c r="W24" s="6"/>
    </row>
    <row r="25" spans="1:23" s="4" customFormat="1" ht="95.25" customHeight="1" thickBot="1">
      <c r="A25" s="42" t="s">
        <v>4</v>
      </c>
      <c r="B25" s="39" t="s">
        <v>9</v>
      </c>
      <c r="C25" s="43">
        <f>P25/24</f>
        <v>0.8342962962962962</v>
      </c>
      <c r="D25" s="40" t="s">
        <v>10</v>
      </c>
      <c r="E25" s="49" t="s">
        <v>10</v>
      </c>
      <c r="F25" s="50" t="s">
        <v>10</v>
      </c>
      <c r="G25" s="30" t="s">
        <v>10</v>
      </c>
      <c r="H25" s="40" t="s">
        <v>10</v>
      </c>
      <c r="I25" s="49" t="s">
        <v>10</v>
      </c>
      <c r="J25" s="50" t="s">
        <v>10</v>
      </c>
      <c r="K25" s="30" t="s">
        <v>10</v>
      </c>
      <c r="L25" s="40" t="s">
        <v>10</v>
      </c>
      <c r="M25" s="49" t="s">
        <v>10</v>
      </c>
      <c r="N25" s="56">
        <f>O25/6</f>
        <v>0.13904938271604936</v>
      </c>
      <c r="O25" s="30">
        <f>C25</f>
        <v>0.8342962962962962</v>
      </c>
      <c r="P25" s="106">
        <f>Q25/6</f>
        <v>20.02311111111111</v>
      </c>
      <c r="Q25" s="107">
        <f>R25/30</f>
        <v>120.13866666666667</v>
      </c>
      <c r="R25" s="108">
        <f>'Pielikums Nr_6_Supervīzijas'!I8</f>
        <v>3604.16</v>
      </c>
      <c r="S25" s="302" t="s">
        <v>144</v>
      </c>
      <c r="T25" s="303"/>
      <c r="U25" s="166"/>
      <c r="V25" s="8"/>
      <c r="W25" s="8"/>
    </row>
    <row r="26" spans="1:23" ht="33" customHeight="1" thickBot="1">
      <c r="A26" s="282" t="s">
        <v>58</v>
      </c>
      <c r="B26" s="283"/>
      <c r="C26" s="283"/>
      <c r="D26" s="283"/>
      <c r="E26" s="283"/>
      <c r="F26" s="283"/>
      <c r="G26" s="283"/>
      <c r="H26" s="283"/>
      <c r="I26" s="283"/>
      <c r="J26" s="283"/>
      <c r="K26" s="284"/>
      <c r="L26" s="88"/>
      <c r="M26" s="89"/>
      <c r="N26" s="90">
        <f>N5+N20</f>
        <v>46.16238271604938</v>
      </c>
      <c r="O26" s="109">
        <f>O5+O20</f>
        <v>296.9933875462963</v>
      </c>
      <c r="P26" s="109">
        <f>P5+P20</f>
        <v>1124.663111111111</v>
      </c>
      <c r="Q26" s="109">
        <f>Q5+Q20</f>
        <v>7087.956856666667</v>
      </c>
      <c r="R26" s="168">
        <f>R5+R20</f>
        <v>218745.2876</v>
      </c>
      <c r="S26" s="285"/>
      <c r="T26" s="286"/>
      <c r="V26" s="6"/>
      <c r="W26" s="6"/>
    </row>
    <row r="27" spans="1:23" ht="33" customHeight="1" thickBot="1">
      <c r="A27" s="282" t="s">
        <v>59</v>
      </c>
      <c r="B27" s="283"/>
      <c r="C27" s="283"/>
      <c r="D27" s="283"/>
      <c r="E27" s="283"/>
      <c r="F27" s="283"/>
      <c r="G27" s="283"/>
      <c r="H27" s="283"/>
      <c r="I27" s="283"/>
      <c r="J27" s="283"/>
      <c r="K27" s="284"/>
      <c r="L27" s="88"/>
      <c r="M27" s="89"/>
      <c r="N27" s="90">
        <f>ROUND(N26*10%,2)</f>
        <v>4.62</v>
      </c>
      <c r="O27" s="109">
        <f>ROUND(O26*10%,2)</f>
        <v>29.7</v>
      </c>
      <c r="P27" s="109">
        <f>ROUND(P26*10%,2)</f>
        <v>112.47</v>
      </c>
      <c r="Q27" s="109">
        <f>ROUND(Q26*10%,2)</f>
        <v>708.8</v>
      </c>
      <c r="R27" s="168">
        <f>ROUND(R26*10%,2)</f>
        <v>21874.53</v>
      </c>
      <c r="S27" s="287" t="s">
        <v>134</v>
      </c>
      <c r="T27" s="288"/>
      <c r="V27" s="6"/>
      <c r="W27" s="6"/>
    </row>
    <row r="28" spans="1:23" ht="48" customHeight="1" thickBot="1">
      <c r="A28" s="272" t="s">
        <v>61</v>
      </c>
      <c r="B28" s="273"/>
      <c r="C28" s="273"/>
      <c r="D28" s="273"/>
      <c r="E28" s="273"/>
      <c r="F28" s="273"/>
      <c r="G28" s="273"/>
      <c r="H28" s="273"/>
      <c r="I28" s="273"/>
      <c r="J28" s="273"/>
      <c r="K28" s="273"/>
      <c r="L28" s="273"/>
      <c r="M28" s="273"/>
      <c r="N28" s="93">
        <f>N26+N27</f>
        <v>50.782382716049376</v>
      </c>
      <c r="O28" s="110">
        <f>O26+O27</f>
        <v>326.69338754629626</v>
      </c>
      <c r="P28" s="110">
        <f>P26+P27</f>
        <v>1237.133111111111</v>
      </c>
      <c r="Q28" s="110">
        <f>Q26+Q27</f>
        <v>7796.756856666667</v>
      </c>
      <c r="R28" s="169">
        <f>R26+R27</f>
        <v>240619.8176</v>
      </c>
      <c r="S28" s="274"/>
      <c r="T28" s="275"/>
      <c r="V28" s="6"/>
      <c r="W28" s="6"/>
    </row>
    <row r="29" ht="24.75">
      <c r="A29" s="125"/>
    </row>
    <row r="30" spans="4:19" ht="24.75">
      <c r="D30" s="276" t="s">
        <v>72</v>
      </c>
      <c r="E30" s="276"/>
      <c r="F30" s="276"/>
      <c r="G30" s="276"/>
      <c r="H30" s="276"/>
      <c r="I30" s="276"/>
      <c r="J30" s="276"/>
      <c r="K30" s="276"/>
      <c r="L30" s="276"/>
      <c r="M30" s="276"/>
      <c r="N30" s="276"/>
      <c r="O30" s="276"/>
      <c r="P30" s="276"/>
      <c r="Q30" s="276"/>
      <c r="R30" s="112">
        <f>R28/720</f>
        <v>334.19419111111114</v>
      </c>
      <c r="S30" s="4"/>
    </row>
    <row r="31" spans="4:19" ht="24.75">
      <c r="D31" s="276" t="s">
        <v>71</v>
      </c>
      <c r="E31" s="276"/>
      <c r="F31" s="276"/>
      <c r="G31" s="276"/>
      <c r="H31" s="276"/>
      <c r="I31" s="276"/>
      <c r="J31" s="276"/>
      <c r="K31" s="276"/>
      <c r="L31" s="276"/>
      <c r="M31" s="276"/>
      <c r="N31" s="276"/>
      <c r="O31" s="276"/>
      <c r="P31" s="276"/>
      <c r="Q31" s="276"/>
      <c r="R31" s="112">
        <f>R30/6</f>
        <v>55.699031851851856</v>
      </c>
      <c r="S31" s="4"/>
    </row>
    <row r="34" ht="24.75">
      <c r="A34" s="4"/>
    </row>
    <row r="36" ht="24.75">
      <c r="R36" s="6"/>
    </row>
  </sheetData>
  <sheetProtection/>
  <mergeCells count="27">
    <mergeCell ref="S25:T25"/>
    <mergeCell ref="A1:T1"/>
    <mergeCell ref="A2:T2"/>
    <mergeCell ref="A3:A4"/>
    <mergeCell ref="B3:B4"/>
    <mergeCell ref="C3:C4"/>
    <mergeCell ref="D3:E3"/>
    <mergeCell ref="F3:G3"/>
    <mergeCell ref="H3:I3"/>
    <mergeCell ref="J3:K3"/>
    <mergeCell ref="L3:M3"/>
    <mergeCell ref="N3:O3"/>
    <mergeCell ref="P3:Q3"/>
    <mergeCell ref="R3:R4"/>
    <mergeCell ref="S3:T4"/>
    <mergeCell ref="A5:K5"/>
    <mergeCell ref="S5:T5"/>
    <mergeCell ref="A28:M28"/>
    <mergeCell ref="S28:T28"/>
    <mergeCell ref="D30:Q30"/>
    <mergeCell ref="D31:Q31"/>
    <mergeCell ref="A20:K20"/>
    <mergeCell ref="S20:T20"/>
    <mergeCell ref="A26:K26"/>
    <mergeCell ref="S26:T26"/>
    <mergeCell ref="A27:K27"/>
    <mergeCell ref="S27:T27"/>
  </mergeCells>
  <printOptions/>
  <pageMargins left="0.5118110236220472" right="0.5118110236220472" top="0.9448818897637796" bottom="0.15748031496062992" header="0.31496062992125984" footer="0.31496062992125984"/>
  <pageSetup cellComments="asDisplayed" horizontalDpi="600" verticalDpi="600" orientation="landscape" paperSize="9" scale="50" r:id="rId1"/>
  <headerFooter>
    <oddFooter>&amp;C&amp;A&amp;RPage &amp;P</oddFooter>
  </headerFooter>
</worksheet>
</file>

<file path=xl/worksheets/sheet3.xml><?xml version="1.0" encoding="utf-8"?>
<worksheet xmlns="http://schemas.openxmlformats.org/spreadsheetml/2006/main" xmlns:r="http://schemas.openxmlformats.org/officeDocument/2006/relationships">
  <sheetPr>
    <tabColor theme="0" tint="-0.4999699890613556"/>
  </sheetPr>
  <dimension ref="A1:W36"/>
  <sheetViews>
    <sheetView zoomScale="70" zoomScaleNormal="70" zoomScalePageLayoutView="0" workbookViewId="0" topLeftCell="A1">
      <pane xSplit="3" ySplit="4" topLeftCell="G8" activePane="bottomRight" state="frozen"/>
      <selection pane="topLeft" activeCell="A1" sqref="A1"/>
      <selection pane="topRight" activeCell="D1" sqref="D1"/>
      <selection pane="bottomLeft" activeCell="A7" sqref="A7"/>
      <selection pane="bottomRight" activeCell="A10" sqref="A10"/>
    </sheetView>
  </sheetViews>
  <sheetFormatPr defaultColWidth="9.140625" defaultRowHeight="12.75"/>
  <cols>
    <col min="1" max="1" width="26.00390625" style="2" customWidth="1"/>
    <col min="2" max="2" width="9.57421875" style="2" customWidth="1"/>
    <col min="3" max="3" width="9.140625" style="5" customWidth="1"/>
    <col min="4" max="4" width="8.7109375" style="5" customWidth="1"/>
    <col min="5" max="5" width="8.7109375" style="2" customWidth="1"/>
    <col min="6" max="6" width="8.57421875" style="2" customWidth="1"/>
    <col min="7" max="7" width="11.57421875" style="2" customWidth="1"/>
    <col min="8" max="8" width="8.7109375" style="5" customWidth="1"/>
    <col min="9" max="9" width="8.7109375" style="2" customWidth="1"/>
    <col min="10" max="10" width="8.57421875" style="2" customWidth="1"/>
    <col min="11" max="11" width="11.57421875" style="2" customWidth="1"/>
    <col min="12" max="12" width="8.7109375" style="5" customWidth="1"/>
    <col min="13" max="13" width="8.7109375" style="2" customWidth="1"/>
    <col min="14" max="14" width="8.57421875" style="2" customWidth="1"/>
    <col min="15" max="15" width="11.57421875" style="2" customWidth="1"/>
    <col min="16" max="17" width="11.28125" style="2" customWidth="1"/>
    <col min="18" max="18" width="14.8515625" style="2" customWidth="1"/>
    <col min="19" max="20" width="40.421875" style="2" customWidth="1"/>
    <col min="21" max="21" width="9.140625" style="166" customWidth="1"/>
    <col min="22" max="22" width="11.421875" style="2" customWidth="1"/>
    <col min="23" max="16384" width="9.140625" style="2" customWidth="1"/>
  </cols>
  <sheetData>
    <row r="1" spans="1:20" ht="26.25" customHeight="1">
      <c r="A1" s="304" t="s">
        <v>128</v>
      </c>
      <c r="B1" s="304"/>
      <c r="C1" s="304"/>
      <c r="D1" s="304"/>
      <c r="E1" s="304"/>
      <c r="F1" s="304"/>
      <c r="G1" s="304"/>
      <c r="H1" s="304"/>
      <c r="I1" s="304"/>
      <c r="J1" s="304"/>
      <c r="K1" s="304"/>
      <c r="L1" s="304"/>
      <c r="M1" s="304"/>
      <c r="N1" s="304"/>
      <c r="O1" s="304"/>
      <c r="P1" s="304"/>
      <c r="Q1" s="304"/>
      <c r="R1" s="304"/>
      <c r="S1" s="304"/>
      <c r="T1" s="304"/>
    </row>
    <row r="2" spans="1:21" s="4" customFormat="1" ht="46.5" customHeight="1" thickBot="1">
      <c r="A2" s="305" t="s">
        <v>224</v>
      </c>
      <c r="B2" s="305"/>
      <c r="C2" s="305"/>
      <c r="D2" s="305"/>
      <c r="E2" s="305"/>
      <c r="F2" s="305"/>
      <c r="G2" s="305"/>
      <c r="H2" s="305"/>
      <c r="I2" s="305"/>
      <c r="J2" s="305"/>
      <c r="K2" s="305"/>
      <c r="L2" s="305"/>
      <c r="M2" s="305"/>
      <c r="N2" s="305"/>
      <c r="O2" s="305"/>
      <c r="P2" s="305"/>
      <c r="Q2" s="305"/>
      <c r="R2" s="305"/>
      <c r="S2" s="305"/>
      <c r="T2" s="305"/>
      <c r="U2" s="166"/>
    </row>
    <row r="3" spans="1:21" s="4" customFormat="1" ht="71.25" customHeight="1">
      <c r="A3" s="306" t="s">
        <v>1</v>
      </c>
      <c r="B3" s="308" t="s">
        <v>2</v>
      </c>
      <c r="C3" s="310" t="s">
        <v>6</v>
      </c>
      <c r="D3" s="289" t="s">
        <v>24</v>
      </c>
      <c r="E3" s="290"/>
      <c r="F3" s="290" t="s">
        <v>23</v>
      </c>
      <c r="G3" s="291"/>
      <c r="H3" s="289" t="s">
        <v>25</v>
      </c>
      <c r="I3" s="290"/>
      <c r="J3" s="290" t="s">
        <v>26</v>
      </c>
      <c r="K3" s="291"/>
      <c r="L3" s="289" t="s">
        <v>16</v>
      </c>
      <c r="M3" s="290"/>
      <c r="N3" s="290" t="s">
        <v>17</v>
      </c>
      <c r="O3" s="291"/>
      <c r="P3" s="292" t="s">
        <v>70</v>
      </c>
      <c r="Q3" s="293"/>
      <c r="R3" s="294" t="s">
        <v>145</v>
      </c>
      <c r="S3" s="296" t="s">
        <v>141</v>
      </c>
      <c r="T3" s="297"/>
      <c r="U3" s="166"/>
    </row>
    <row r="4" spans="1:21" s="4" customFormat="1" ht="72" customHeight="1" thickBot="1">
      <c r="A4" s="307"/>
      <c r="B4" s="309"/>
      <c r="C4" s="311"/>
      <c r="D4" s="33" t="s">
        <v>7</v>
      </c>
      <c r="E4" s="7" t="s">
        <v>11</v>
      </c>
      <c r="F4" s="34" t="s">
        <v>8</v>
      </c>
      <c r="G4" s="35" t="s">
        <v>12</v>
      </c>
      <c r="H4" s="33" t="s">
        <v>7</v>
      </c>
      <c r="I4" s="51" t="s">
        <v>11</v>
      </c>
      <c r="J4" s="34" t="s">
        <v>8</v>
      </c>
      <c r="K4" s="35" t="s">
        <v>12</v>
      </c>
      <c r="L4" s="33" t="s">
        <v>7</v>
      </c>
      <c r="M4" s="7" t="s">
        <v>11</v>
      </c>
      <c r="N4" s="34" t="s">
        <v>8</v>
      </c>
      <c r="O4" s="35" t="s">
        <v>12</v>
      </c>
      <c r="P4" s="98" t="s">
        <v>8</v>
      </c>
      <c r="Q4" s="99" t="s">
        <v>12</v>
      </c>
      <c r="R4" s="295"/>
      <c r="S4" s="298"/>
      <c r="T4" s="299"/>
      <c r="U4" s="166"/>
    </row>
    <row r="5" spans="1:21" s="4" customFormat="1" ht="24.75" customHeight="1" thickBot="1">
      <c r="A5" s="277" t="s">
        <v>57</v>
      </c>
      <c r="B5" s="278"/>
      <c r="C5" s="278"/>
      <c r="D5" s="278"/>
      <c r="E5" s="278"/>
      <c r="F5" s="278"/>
      <c r="G5" s="278"/>
      <c r="H5" s="278"/>
      <c r="I5" s="278"/>
      <c r="J5" s="278"/>
      <c r="K5" s="279"/>
      <c r="L5" s="38">
        <f>L6+L8+L16+L10+L12+L14+L19</f>
        <v>5.125</v>
      </c>
      <c r="M5" s="126">
        <f>M6+M8+M16+M10+M12+M14+M19+M18</f>
        <v>32.25</v>
      </c>
      <c r="N5" s="54">
        <f>ROUND(SUM(N6:N19),2)</f>
        <v>19.35</v>
      </c>
      <c r="O5" s="55">
        <f>SUM(O6:O19)</f>
        <v>116.11909125</v>
      </c>
      <c r="P5" s="54">
        <f>ROUND(SUM(P6:P19),2)</f>
        <v>464.48</v>
      </c>
      <c r="Q5" s="55">
        <f>SUM(Q6:Q19)</f>
        <v>2786.85819</v>
      </c>
      <c r="R5" s="55">
        <f>SUM(R6:R19)</f>
        <v>100593.3276</v>
      </c>
      <c r="S5" s="300" t="s">
        <v>143</v>
      </c>
      <c r="T5" s="301"/>
      <c r="U5" s="166"/>
    </row>
    <row r="6" spans="1:23" ht="89.25" customHeight="1">
      <c r="A6" s="9" t="s">
        <v>218</v>
      </c>
      <c r="B6" s="10" t="s">
        <v>0</v>
      </c>
      <c r="C6" s="11">
        <v>23.4</v>
      </c>
      <c r="D6" s="12">
        <f aca="true" t="shared" si="0" ref="D6:D11">E6/6</f>
        <v>0.5</v>
      </c>
      <c r="E6" s="44">
        <f>1.5*2</f>
        <v>3</v>
      </c>
      <c r="F6" s="13">
        <f aca="true" t="shared" si="1" ref="F6:F11">C6*D6</f>
        <v>11.7</v>
      </c>
      <c r="G6" s="14">
        <f aca="true" t="shared" si="2" ref="G6:G11">C6*E6</f>
        <v>70.19999999999999</v>
      </c>
      <c r="H6" s="12" t="s">
        <v>10</v>
      </c>
      <c r="I6" s="52" t="s">
        <v>10</v>
      </c>
      <c r="J6" s="13" t="s">
        <v>10</v>
      </c>
      <c r="K6" s="14" t="s">
        <v>10</v>
      </c>
      <c r="L6" s="12">
        <f>M6/6</f>
        <v>0.5</v>
      </c>
      <c r="M6" s="44">
        <f>E6</f>
        <v>3</v>
      </c>
      <c r="N6" s="13">
        <f aca="true" t="shared" si="3" ref="N6:O11">F6/24</f>
        <v>0.4875</v>
      </c>
      <c r="O6" s="14">
        <f t="shared" si="3"/>
        <v>2.9249999999999994</v>
      </c>
      <c r="P6" s="100">
        <f>N6*24</f>
        <v>11.7</v>
      </c>
      <c r="Q6" s="101">
        <f>P6*6</f>
        <v>70.19999999999999</v>
      </c>
      <c r="R6" s="102">
        <f aca="true" t="shared" si="4" ref="R6:R17">Q6*35</f>
        <v>2456.9999999999995</v>
      </c>
      <c r="S6" s="15" t="s">
        <v>182</v>
      </c>
      <c r="T6" s="16" t="s">
        <v>220</v>
      </c>
      <c r="V6" s="6"/>
      <c r="W6" s="6"/>
    </row>
    <row r="7" spans="1:23" ht="69.75" customHeight="1" thickBot="1">
      <c r="A7" s="24" t="s">
        <v>97</v>
      </c>
      <c r="B7" s="17" t="s">
        <v>0</v>
      </c>
      <c r="C7" s="18">
        <v>23.4</v>
      </c>
      <c r="D7" s="19">
        <f t="shared" si="0"/>
        <v>0.3333333333333333</v>
      </c>
      <c r="E7" s="127">
        <v>2</v>
      </c>
      <c r="F7" s="20">
        <f t="shared" si="1"/>
        <v>7.799999999999999</v>
      </c>
      <c r="G7" s="21">
        <f t="shared" si="2"/>
        <v>46.8</v>
      </c>
      <c r="H7" s="19" t="s">
        <v>10</v>
      </c>
      <c r="I7" s="53" t="s">
        <v>10</v>
      </c>
      <c r="J7" s="20" t="s">
        <v>10</v>
      </c>
      <c r="K7" s="21" t="s">
        <v>10</v>
      </c>
      <c r="L7" s="19" t="s">
        <v>10</v>
      </c>
      <c r="M7" s="53" t="s">
        <v>10</v>
      </c>
      <c r="N7" s="20">
        <f t="shared" si="3"/>
        <v>0.32499999999999996</v>
      </c>
      <c r="O7" s="21">
        <f t="shared" si="3"/>
        <v>1.95</v>
      </c>
      <c r="P7" s="103">
        <f aca="true" t="shared" si="5" ref="P7:P19">N7*24</f>
        <v>7.799999999999999</v>
      </c>
      <c r="Q7" s="104">
        <f aca="true" t="shared" si="6" ref="Q7:Q24">P7*6</f>
        <v>46.8</v>
      </c>
      <c r="R7" s="105">
        <f t="shared" si="4"/>
        <v>1638</v>
      </c>
      <c r="S7" s="22" t="s">
        <v>18</v>
      </c>
      <c r="T7" s="23" t="s">
        <v>21</v>
      </c>
      <c r="V7" s="6"/>
      <c r="W7" s="6"/>
    </row>
    <row r="8" spans="1:23" ht="121.5" customHeight="1">
      <c r="A8" s="9" t="s">
        <v>222</v>
      </c>
      <c r="B8" s="10" t="s">
        <v>0</v>
      </c>
      <c r="C8" s="11">
        <v>23.4</v>
      </c>
      <c r="D8" s="12">
        <f t="shared" si="0"/>
        <v>1.75</v>
      </c>
      <c r="E8" s="44">
        <f>7*1.5</f>
        <v>10.5</v>
      </c>
      <c r="F8" s="13">
        <f t="shared" si="1"/>
        <v>40.949999999999996</v>
      </c>
      <c r="G8" s="14">
        <f t="shared" si="2"/>
        <v>245.7</v>
      </c>
      <c r="H8" s="12" t="s">
        <v>10</v>
      </c>
      <c r="I8" s="52" t="s">
        <v>10</v>
      </c>
      <c r="J8" s="13" t="s">
        <v>10</v>
      </c>
      <c r="K8" s="14" t="s">
        <v>10</v>
      </c>
      <c r="L8" s="12">
        <f>M8/6</f>
        <v>1.75</v>
      </c>
      <c r="M8" s="44">
        <f>E8</f>
        <v>10.5</v>
      </c>
      <c r="N8" s="13">
        <f t="shared" si="3"/>
        <v>1.7062499999999998</v>
      </c>
      <c r="O8" s="14">
        <f t="shared" si="3"/>
        <v>10.237499999999999</v>
      </c>
      <c r="P8" s="100">
        <f t="shared" si="5"/>
        <v>40.949999999999996</v>
      </c>
      <c r="Q8" s="101">
        <f t="shared" si="6"/>
        <v>245.7</v>
      </c>
      <c r="R8" s="102">
        <f t="shared" si="4"/>
        <v>8599.5</v>
      </c>
      <c r="S8" s="15" t="s">
        <v>183</v>
      </c>
      <c r="T8" s="16" t="s">
        <v>225</v>
      </c>
      <c r="V8" s="6"/>
      <c r="W8" s="6"/>
    </row>
    <row r="9" spans="1:23" ht="74.25" customHeight="1" thickBot="1">
      <c r="A9" s="24" t="s">
        <v>97</v>
      </c>
      <c r="B9" s="17" t="s">
        <v>0</v>
      </c>
      <c r="C9" s="18">
        <v>23.4</v>
      </c>
      <c r="D9" s="19">
        <f t="shared" si="0"/>
        <v>1.1666666666666667</v>
      </c>
      <c r="E9" s="127">
        <v>7</v>
      </c>
      <c r="F9" s="20">
        <f t="shared" si="1"/>
        <v>27.3</v>
      </c>
      <c r="G9" s="21">
        <f t="shared" si="2"/>
        <v>163.79999999999998</v>
      </c>
      <c r="H9" s="19" t="s">
        <v>10</v>
      </c>
      <c r="I9" s="53" t="s">
        <v>10</v>
      </c>
      <c r="J9" s="20" t="s">
        <v>10</v>
      </c>
      <c r="K9" s="21" t="s">
        <v>10</v>
      </c>
      <c r="L9" s="19" t="s">
        <v>10</v>
      </c>
      <c r="M9" s="53" t="s">
        <v>10</v>
      </c>
      <c r="N9" s="20">
        <f t="shared" si="3"/>
        <v>1.1375</v>
      </c>
      <c r="O9" s="21">
        <f t="shared" si="3"/>
        <v>6.824999999999999</v>
      </c>
      <c r="P9" s="103">
        <f t="shared" si="5"/>
        <v>27.299999999999997</v>
      </c>
      <c r="Q9" s="104">
        <f t="shared" si="6"/>
        <v>163.79999999999998</v>
      </c>
      <c r="R9" s="105">
        <f t="shared" si="4"/>
        <v>5732.999999999999</v>
      </c>
      <c r="S9" s="22" t="s">
        <v>19</v>
      </c>
      <c r="T9" s="23" t="s">
        <v>22</v>
      </c>
      <c r="V9" s="6"/>
      <c r="W9" s="6"/>
    </row>
    <row r="10" spans="1:23" ht="88.5" customHeight="1">
      <c r="A10" s="9" t="s">
        <v>221</v>
      </c>
      <c r="B10" s="10" t="s">
        <v>0</v>
      </c>
      <c r="C10" s="11">
        <v>23.4</v>
      </c>
      <c r="D10" s="12">
        <f t="shared" si="0"/>
        <v>0.25</v>
      </c>
      <c r="E10" s="44">
        <v>1.5</v>
      </c>
      <c r="F10" s="13">
        <f t="shared" si="1"/>
        <v>5.85</v>
      </c>
      <c r="G10" s="14">
        <f t="shared" si="2"/>
        <v>35.099999999999994</v>
      </c>
      <c r="H10" s="12" t="s">
        <v>10</v>
      </c>
      <c r="I10" s="52" t="s">
        <v>10</v>
      </c>
      <c r="J10" s="13" t="s">
        <v>10</v>
      </c>
      <c r="K10" s="14" t="s">
        <v>10</v>
      </c>
      <c r="L10" s="12">
        <f>M10/6</f>
        <v>0.25</v>
      </c>
      <c r="M10" s="44">
        <f>E10</f>
        <v>1.5</v>
      </c>
      <c r="N10" s="13">
        <f t="shared" si="3"/>
        <v>0.24375</v>
      </c>
      <c r="O10" s="14">
        <f t="shared" si="3"/>
        <v>1.4624999999999997</v>
      </c>
      <c r="P10" s="100">
        <f>N10*24</f>
        <v>5.85</v>
      </c>
      <c r="Q10" s="101">
        <f>P10*6</f>
        <v>35.099999999999994</v>
      </c>
      <c r="R10" s="102">
        <f t="shared" si="4"/>
        <v>1228.4999999999998</v>
      </c>
      <c r="S10" s="15" t="s">
        <v>184</v>
      </c>
      <c r="T10" s="16" t="s">
        <v>20</v>
      </c>
      <c r="V10" s="6"/>
      <c r="W10" s="6"/>
    </row>
    <row r="11" spans="1:23" ht="71.25" customHeight="1" thickBot="1">
      <c r="A11" s="24" t="s">
        <v>97</v>
      </c>
      <c r="B11" s="17" t="s">
        <v>0</v>
      </c>
      <c r="C11" s="18">
        <v>23.4</v>
      </c>
      <c r="D11" s="19">
        <f t="shared" si="0"/>
        <v>0.16666666666666666</v>
      </c>
      <c r="E11" s="127">
        <v>1</v>
      </c>
      <c r="F11" s="20">
        <f t="shared" si="1"/>
        <v>3.8999999999999995</v>
      </c>
      <c r="G11" s="21">
        <f t="shared" si="2"/>
        <v>23.4</v>
      </c>
      <c r="H11" s="19" t="s">
        <v>10</v>
      </c>
      <c r="I11" s="53" t="s">
        <v>10</v>
      </c>
      <c r="J11" s="20" t="s">
        <v>10</v>
      </c>
      <c r="K11" s="21" t="s">
        <v>10</v>
      </c>
      <c r="L11" s="19" t="s">
        <v>10</v>
      </c>
      <c r="M11" s="53" t="s">
        <v>10</v>
      </c>
      <c r="N11" s="20">
        <f t="shared" si="3"/>
        <v>0.16249999999999998</v>
      </c>
      <c r="O11" s="21">
        <f t="shared" si="3"/>
        <v>0.975</v>
      </c>
      <c r="P11" s="103">
        <f>N11*24</f>
        <v>3.8999999999999995</v>
      </c>
      <c r="Q11" s="104">
        <f>P11*6</f>
        <v>23.4</v>
      </c>
      <c r="R11" s="105">
        <f t="shared" si="4"/>
        <v>819</v>
      </c>
      <c r="S11" s="22" t="s">
        <v>98</v>
      </c>
      <c r="T11" s="23" t="s">
        <v>99</v>
      </c>
      <c r="V11" s="6"/>
      <c r="W11" s="6"/>
    </row>
    <row r="12" spans="1:23" ht="182.25" customHeight="1">
      <c r="A12" s="9" t="s">
        <v>100</v>
      </c>
      <c r="B12" s="10" t="s">
        <v>0</v>
      </c>
      <c r="C12" s="11">
        <v>23.4</v>
      </c>
      <c r="D12" s="12" t="s">
        <v>10</v>
      </c>
      <c r="E12" s="47" t="s">
        <v>10</v>
      </c>
      <c r="F12" s="13" t="s">
        <v>10</v>
      </c>
      <c r="G12" s="14" t="s">
        <v>10</v>
      </c>
      <c r="H12" s="12">
        <f aca="true" t="shared" si="7" ref="H12:H17">I12/6</f>
        <v>2</v>
      </c>
      <c r="I12" s="44">
        <f>8*1.5</f>
        <v>12</v>
      </c>
      <c r="J12" s="13">
        <f aca="true" t="shared" si="8" ref="J12:J17">C12*H12</f>
        <v>46.8</v>
      </c>
      <c r="K12" s="14">
        <f aca="true" t="shared" si="9" ref="K12:K17">C12*I12</f>
        <v>280.79999999999995</v>
      </c>
      <c r="L12" s="12">
        <f>M12/6</f>
        <v>2</v>
      </c>
      <c r="M12" s="44">
        <f>I12</f>
        <v>12</v>
      </c>
      <c r="N12" s="13">
        <f aca="true" t="shared" si="10" ref="N12:O15">J12/12</f>
        <v>3.9</v>
      </c>
      <c r="O12" s="14">
        <f>K12/12</f>
        <v>23.399999999999995</v>
      </c>
      <c r="P12" s="100">
        <f>N12*24</f>
        <v>93.6</v>
      </c>
      <c r="Q12" s="101">
        <f t="shared" si="6"/>
        <v>561.5999999999999</v>
      </c>
      <c r="R12" s="102">
        <f t="shared" si="4"/>
        <v>19655.999999999996</v>
      </c>
      <c r="S12" s="36" t="s">
        <v>185</v>
      </c>
      <c r="T12" s="16" t="s">
        <v>130</v>
      </c>
      <c r="V12" s="6"/>
      <c r="W12" s="6"/>
    </row>
    <row r="13" spans="1:23" ht="72" customHeight="1" thickBot="1">
      <c r="A13" s="24" t="s">
        <v>97</v>
      </c>
      <c r="B13" s="17" t="s">
        <v>0</v>
      </c>
      <c r="C13" s="18">
        <v>23.4</v>
      </c>
      <c r="D13" s="19" t="s">
        <v>10</v>
      </c>
      <c r="E13" s="48" t="s">
        <v>10</v>
      </c>
      <c r="F13" s="20" t="s">
        <v>10</v>
      </c>
      <c r="G13" s="21" t="s">
        <v>10</v>
      </c>
      <c r="H13" s="19">
        <f t="shared" si="7"/>
        <v>1.3333333333333333</v>
      </c>
      <c r="I13" s="127">
        <v>8</v>
      </c>
      <c r="J13" s="20">
        <f t="shared" si="8"/>
        <v>31.199999999999996</v>
      </c>
      <c r="K13" s="21">
        <f t="shared" si="9"/>
        <v>187.2</v>
      </c>
      <c r="L13" s="19" t="s">
        <v>10</v>
      </c>
      <c r="M13" s="53" t="s">
        <v>10</v>
      </c>
      <c r="N13" s="20">
        <f t="shared" si="10"/>
        <v>2.5999999999999996</v>
      </c>
      <c r="O13" s="21">
        <f t="shared" si="10"/>
        <v>15.6</v>
      </c>
      <c r="P13" s="103">
        <f t="shared" si="5"/>
        <v>62.39999999999999</v>
      </c>
      <c r="Q13" s="104">
        <f t="shared" si="6"/>
        <v>374.4</v>
      </c>
      <c r="R13" s="105">
        <f t="shared" si="4"/>
        <v>13104</v>
      </c>
      <c r="S13" s="22" t="s">
        <v>105</v>
      </c>
      <c r="T13" s="23" t="s">
        <v>106</v>
      </c>
      <c r="V13" s="6"/>
      <c r="W13" s="6"/>
    </row>
    <row r="14" spans="1:23" ht="87.75" customHeight="1">
      <c r="A14" s="9" t="s">
        <v>101</v>
      </c>
      <c r="B14" s="10" t="s">
        <v>0</v>
      </c>
      <c r="C14" s="11">
        <v>23.4</v>
      </c>
      <c r="D14" s="12" t="s">
        <v>10</v>
      </c>
      <c r="E14" s="47" t="s">
        <v>10</v>
      </c>
      <c r="F14" s="13" t="s">
        <v>10</v>
      </c>
      <c r="G14" s="14" t="s">
        <v>10</v>
      </c>
      <c r="H14" s="12">
        <f t="shared" si="7"/>
        <v>0.25</v>
      </c>
      <c r="I14" s="44">
        <f>1*1.5</f>
        <v>1.5</v>
      </c>
      <c r="J14" s="13">
        <f t="shared" si="8"/>
        <v>5.85</v>
      </c>
      <c r="K14" s="14">
        <f t="shared" si="9"/>
        <v>35.099999999999994</v>
      </c>
      <c r="L14" s="12">
        <f>M14/6</f>
        <v>0.25</v>
      </c>
      <c r="M14" s="44">
        <f>I14</f>
        <v>1.5</v>
      </c>
      <c r="N14" s="13">
        <f t="shared" si="10"/>
        <v>0.4875</v>
      </c>
      <c r="O14" s="14">
        <f t="shared" si="10"/>
        <v>2.9249999999999994</v>
      </c>
      <c r="P14" s="100">
        <f t="shared" si="5"/>
        <v>11.7</v>
      </c>
      <c r="Q14" s="101">
        <f t="shared" si="6"/>
        <v>70.19999999999999</v>
      </c>
      <c r="R14" s="102">
        <f t="shared" si="4"/>
        <v>2456.9999999999995</v>
      </c>
      <c r="S14" s="36" t="s">
        <v>186</v>
      </c>
      <c r="T14" s="16" t="s">
        <v>102</v>
      </c>
      <c r="V14" s="6"/>
      <c r="W14" s="6"/>
    </row>
    <row r="15" spans="1:23" ht="73.5" customHeight="1" thickBot="1">
      <c r="A15" s="24" t="s">
        <v>97</v>
      </c>
      <c r="B15" s="17" t="s">
        <v>0</v>
      </c>
      <c r="C15" s="18">
        <v>23.4</v>
      </c>
      <c r="D15" s="19" t="s">
        <v>10</v>
      </c>
      <c r="E15" s="48" t="s">
        <v>10</v>
      </c>
      <c r="F15" s="20" t="s">
        <v>10</v>
      </c>
      <c r="G15" s="21" t="s">
        <v>10</v>
      </c>
      <c r="H15" s="19">
        <f t="shared" si="7"/>
        <v>0.16666666666666666</v>
      </c>
      <c r="I15" s="127">
        <v>1</v>
      </c>
      <c r="J15" s="20">
        <f t="shared" si="8"/>
        <v>3.8999999999999995</v>
      </c>
      <c r="K15" s="21">
        <f t="shared" si="9"/>
        <v>23.4</v>
      </c>
      <c r="L15" s="19" t="s">
        <v>10</v>
      </c>
      <c r="M15" s="53" t="s">
        <v>10</v>
      </c>
      <c r="N15" s="20">
        <f t="shared" si="10"/>
        <v>0.32499999999999996</v>
      </c>
      <c r="O15" s="21">
        <f t="shared" si="10"/>
        <v>1.95</v>
      </c>
      <c r="P15" s="103">
        <f t="shared" si="5"/>
        <v>7.799999999999999</v>
      </c>
      <c r="Q15" s="104">
        <f t="shared" si="6"/>
        <v>46.8</v>
      </c>
      <c r="R15" s="105">
        <f t="shared" si="4"/>
        <v>1638</v>
      </c>
      <c r="S15" s="22" t="s">
        <v>98</v>
      </c>
      <c r="T15" s="23" t="s">
        <v>99</v>
      </c>
      <c r="V15" s="6"/>
      <c r="W15" s="6"/>
    </row>
    <row r="16" spans="1:23" ht="84.75" customHeight="1">
      <c r="A16" s="9" t="s">
        <v>13</v>
      </c>
      <c r="B16" s="10" t="s">
        <v>0</v>
      </c>
      <c r="C16" s="11">
        <v>23.4</v>
      </c>
      <c r="D16" s="12" t="s">
        <v>10</v>
      </c>
      <c r="E16" s="47" t="s">
        <v>10</v>
      </c>
      <c r="F16" s="13" t="s">
        <v>10</v>
      </c>
      <c r="G16" s="14" t="s">
        <v>10</v>
      </c>
      <c r="H16" s="12">
        <f t="shared" si="7"/>
        <v>0.25</v>
      </c>
      <c r="I16" s="44">
        <f>1*1.5</f>
        <v>1.5</v>
      </c>
      <c r="J16" s="13">
        <f t="shared" si="8"/>
        <v>5.85</v>
      </c>
      <c r="K16" s="14">
        <f t="shared" si="9"/>
        <v>35.099999999999994</v>
      </c>
      <c r="L16" s="12">
        <f>M16/6</f>
        <v>0.25</v>
      </c>
      <c r="M16" s="44">
        <f>I16</f>
        <v>1.5</v>
      </c>
      <c r="N16" s="13">
        <f>J16/12</f>
        <v>0.4875</v>
      </c>
      <c r="O16" s="14">
        <f>K16/12</f>
        <v>2.9249999999999994</v>
      </c>
      <c r="P16" s="100">
        <f>N16*24</f>
        <v>11.7</v>
      </c>
      <c r="Q16" s="101">
        <f>P16*6</f>
        <v>70.19999999999999</v>
      </c>
      <c r="R16" s="102">
        <f t="shared" si="4"/>
        <v>2456.9999999999995</v>
      </c>
      <c r="S16" s="36" t="s">
        <v>186</v>
      </c>
      <c r="T16" s="16" t="s">
        <v>103</v>
      </c>
      <c r="V16" s="6"/>
      <c r="W16" s="129"/>
    </row>
    <row r="17" spans="1:23" ht="74.25" customHeight="1" thickBot="1">
      <c r="A17" s="24" t="s">
        <v>97</v>
      </c>
      <c r="B17" s="17" t="s">
        <v>0</v>
      </c>
      <c r="C17" s="18">
        <v>23.4</v>
      </c>
      <c r="D17" s="19" t="s">
        <v>10</v>
      </c>
      <c r="E17" s="48" t="s">
        <v>10</v>
      </c>
      <c r="F17" s="20" t="s">
        <v>10</v>
      </c>
      <c r="G17" s="21" t="s">
        <v>10</v>
      </c>
      <c r="H17" s="19">
        <f t="shared" si="7"/>
        <v>0.16666666666666666</v>
      </c>
      <c r="I17" s="127">
        <v>1</v>
      </c>
      <c r="J17" s="20">
        <f t="shared" si="8"/>
        <v>3.8999999999999995</v>
      </c>
      <c r="K17" s="21">
        <f t="shared" si="9"/>
        <v>23.4</v>
      </c>
      <c r="L17" s="19" t="s">
        <v>10</v>
      </c>
      <c r="M17" s="53" t="s">
        <v>10</v>
      </c>
      <c r="N17" s="20">
        <f>J17/12</f>
        <v>0.32499999999999996</v>
      </c>
      <c r="O17" s="21">
        <f>K17/12</f>
        <v>1.95</v>
      </c>
      <c r="P17" s="103">
        <f>N17*24</f>
        <v>7.799999999999999</v>
      </c>
      <c r="Q17" s="104">
        <f>P17*6</f>
        <v>46.8</v>
      </c>
      <c r="R17" s="105">
        <f t="shared" si="4"/>
        <v>1638</v>
      </c>
      <c r="S17" s="22" t="s">
        <v>98</v>
      </c>
      <c r="T17" s="23" t="s">
        <v>99</v>
      </c>
      <c r="V17" s="6"/>
      <c r="W17" s="129"/>
    </row>
    <row r="18" spans="1:23" ht="120.75" customHeight="1" thickBot="1">
      <c r="A18" s="37" t="s">
        <v>135</v>
      </c>
      <c r="B18" s="26" t="s">
        <v>133</v>
      </c>
      <c r="C18" s="167">
        <f>1647*1.2359</f>
        <v>2035.5273</v>
      </c>
      <c r="D18" s="19" t="s">
        <v>10</v>
      </c>
      <c r="E18" s="48" t="s">
        <v>10</v>
      </c>
      <c r="F18" s="20" t="s">
        <v>10</v>
      </c>
      <c r="G18" s="21" t="s">
        <v>10</v>
      </c>
      <c r="H18" s="28" t="s">
        <v>10</v>
      </c>
      <c r="I18" s="46">
        <v>1.5</v>
      </c>
      <c r="J18" s="29" t="s">
        <v>10</v>
      </c>
      <c r="K18" s="30" t="s">
        <v>10</v>
      </c>
      <c r="L18" s="28" t="s">
        <v>10</v>
      </c>
      <c r="M18" s="44">
        <v>1.5</v>
      </c>
      <c r="N18" s="29">
        <f>O18/6</f>
        <v>4.240681875</v>
      </c>
      <c r="O18" s="30">
        <f>Q18/24</f>
        <v>25.44409125</v>
      </c>
      <c r="P18" s="106">
        <f>Q18/6</f>
        <v>101.776365</v>
      </c>
      <c r="Q18" s="107">
        <f>R18/40</f>
        <v>610.65819</v>
      </c>
      <c r="R18" s="108">
        <f>C18*12</f>
        <v>24426.3276</v>
      </c>
      <c r="S18" s="130" t="s">
        <v>187</v>
      </c>
      <c r="T18" s="131" t="s">
        <v>136</v>
      </c>
      <c r="V18" s="6"/>
      <c r="W18" s="129"/>
    </row>
    <row r="19" spans="1:23" ht="165.75" customHeight="1" thickBot="1">
      <c r="A19" s="37" t="s">
        <v>15</v>
      </c>
      <c r="B19" s="26" t="s">
        <v>0</v>
      </c>
      <c r="C19" s="27">
        <v>23.4</v>
      </c>
      <c r="D19" s="28">
        <f>L19*24</f>
        <v>3</v>
      </c>
      <c r="E19" s="45">
        <f>M19*24</f>
        <v>18</v>
      </c>
      <c r="F19" s="29">
        <f>C19*D19</f>
        <v>70.19999999999999</v>
      </c>
      <c r="G19" s="30">
        <f>C19*E19</f>
        <v>421.2</v>
      </c>
      <c r="H19" s="28" t="s">
        <v>10</v>
      </c>
      <c r="I19" s="49" t="s">
        <v>10</v>
      </c>
      <c r="J19" s="29" t="s">
        <v>10</v>
      </c>
      <c r="K19" s="30" t="s">
        <v>10</v>
      </c>
      <c r="L19" s="28">
        <f>M19/6</f>
        <v>0.125</v>
      </c>
      <c r="M19" s="128">
        <f>'Pielikums Nr_5_Darba kārtība'!AG31/24</f>
        <v>0.75</v>
      </c>
      <c r="N19" s="29">
        <f>C19*L19</f>
        <v>2.925</v>
      </c>
      <c r="O19" s="30">
        <f>C19*M19</f>
        <v>17.549999999999997</v>
      </c>
      <c r="P19" s="106">
        <f t="shared" si="5"/>
        <v>70.19999999999999</v>
      </c>
      <c r="Q19" s="107">
        <f t="shared" si="6"/>
        <v>421.19999999999993</v>
      </c>
      <c r="R19" s="108">
        <f>Q19*35</f>
        <v>14741.999999999998</v>
      </c>
      <c r="S19" s="31" t="s">
        <v>188</v>
      </c>
      <c r="T19" s="32" t="s">
        <v>104</v>
      </c>
      <c r="V19" s="6"/>
      <c r="W19" s="6"/>
    </row>
    <row r="20" spans="1:23" s="4" customFormat="1" ht="45" customHeight="1" thickBot="1">
      <c r="A20" s="277" t="s">
        <v>56</v>
      </c>
      <c r="B20" s="278"/>
      <c r="C20" s="278"/>
      <c r="D20" s="278"/>
      <c r="E20" s="278"/>
      <c r="F20" s="278"/>
      <c r="G20" s="278"/>
      <c r="H20" s="278"/>
      <c r="I20" s="278"/>
      <c r="J20" s="278"/>
      <c r="K20" s="279"/>
      <c r="L20" s="91" t="s">
        <v>10</v>
      </c>
      <c r="M20" s="92" t="s">
        <v>10</v>
      </c>
      <c r="N20" s="1">
        <f>SUM(N21:N25)</f>
        <v>26.792518518518516</v>
      </c>
      <c r="O20" s="86">
        <f>SUM(O21:O25)</f>
        <v>180.7551111111111</v>
      </c>
      <c r="P20" s="1">
        <f>SUM(P21:P25)</f>
        <v>657.3226666666667</v>
      </c>
      <c r="Q20" s="86">
        <f>SUM(Q21:Q25)</f>
        <v>4283.936</v>
      </c>
      <c r="R20" s="86">
        <f>SUM(R21:R25)</f>
        <v>149937.76</v>
      </c>
      <c r="S20" s="314"/>
      <c r="T20" s="315"/>
      <c r="U20" s="166"/>
      <c r="V20" s="8"/>
      <c r="W20" s="8"/>
    </row>
    <row r="21" spans="1:23" ht="101.25" customHeight="1" thickBot="1">
      <c r="A21" s="25" t="s">
        <v>5</v>
      </c>
      <c r="B21" s="39" t="s">
        <v>9</v>
      </c>
      <c r="C21" s="27">
        <f>15.34+5</f>
        <v>20.34</v>
      </c>
      <c r="D21" s="40" t="s">
        <v>10</v>
      </c>
      <c r="E21" s="49" t="s">
        <v>10</v>
      </c>
      <c r="F21" s="50" t="s">
        <v>10</v>
      </c>
      <c r="G21" s="30" t="s">
        <v>10</v>
      </c>
      <c r="H21" s="40" t="s">
        <v>10</v>
      </c>
      <c r="I21" s="49" t="s">
        <v>10</v>
      </c>
      <c r="J21" s="50" t="s">
        <v>10</v>
      </c>
      <c r="K21" s="30" t="s">
        <v>10</v>
      </c>
      <c r="L21" s="40" t="s">
        <v>10</v>
      </c>
      <c r="M21" s="49" t="s">
        <v>10</v>
      </c>
      <c r="N21" s="50">
        <f>C21</f>
        <v>20.34</v>
      </c>
      <c r="O21" s="30">
        <f>N21*6</f>
        <v>122.03999999999999</v>
      </c>
      <c r="P21" s="106">
        <f>N21*24</f>
        <v>488.15999999999997</v>
      </c>
      <c r="Q21" s="108">
        <f t="shared" si="6"/>
        <v>2928.96</v>
      </c>
      <c r="R21" s="108">
        <f>Q21*35</f>
        <v>102513.6</v>
      </c>
      <c r="S21" s="165" t="s">
        <v>132</v>
      </c>
      <c r="T21" s="32" t="s">
        <v>131</v>
      </c>
      <c r="V21" s="6"/>
      <c r="W21" s="6"/>
    </row>
    <row r="22" spans="1:23" ht="195" customHeight="1" thickBot="1">
      <c r="A22" s="25" t="s">
        <v>137</v>
      </c>
      <c r="B22" s="39" t="s">
        <v>9</v>
      </c>
      <c r="C22" s="97">
        <v>10</v>
      </c>
      <c r="D22" s="40" t="s">
        <v>10</v>
      </c>
      <c r="E22" s="49" t="s">
        <v>10</v>
      </c>
      <c r="F22" s="50" t="s">
        <v>10</v>
      </c>
      <c r="G22" s="30" t="s">
        <v>10</v>
      </c>
      <c r="H22" s="40" t="s">
        <v>10</v>
      </c>
      <c r="I22" s="49" t="s">
        <v>10</v>
      </c>
      <c r="J22" s="50" t="s">
        <v>10</v>
      </c>
      <c r="K22" s="30" t="s">
        <v>10</v>
      </c>
      <c r="L22" s="40" t="s">
        <v>10</v>
      </c>
      <c r="M22" s="49" t="s">
        <v>10</v>
      </c>
      <c r="N22" s="50" t="s">
        <v>10</v>
      </c>
      <c r="O22" s="30">
        <f>C22</f>
        <v>10</v>
      </c>
      <c r="P22" s="106" t="s">
        <v>10</v>
      </c>
      <c r="Q22" s="108">
        <f>C22*24</f>
        <v>240</v>
      </c>
      <c r="R22" s="108">
        <f>Q22*35</f>
        <v>8400</v>
      </c>
      <c r="S22" s="41" t="s">
        <v>117</v>
      </c>
      <c r="T22" s="32" t="s">
        <v>174</v>
      </c>
      <c r="V22" s="6"/>
      <c r="W22" s="6"/>
    </row>
    <row r="23" spans="1:23" ht="201.75" customHeight="1" thickBot="1">
      <c r="A23" s="25" t="s">
        <v>138</v>
      </c>
      <c r="B23" s="39" t="s">
        <v>9</v>
      </c>
      <c r="C23" s="97">
        <v>10</v>
      </c>
      <c r="D23" s="40" t="s">
        <v>10</v>
      </c>
      <c r="E23" s="49" t="s">
        <v>10</v>
      </c>
      <c r="F23" s="50" t="s">
        <v>10</v>
      </c>
      <c r="G23" s="30" t="s">
        <v>10</v>
      </c>
      <c r="H23" s="40" t="s">
        <v>10</v>
      </c>
      <c r="I23" s="49" t="s">
        <v>10</v>
      </c>
      <c r="J23" s="50" t="s">
        <v>10</v>
      </c>
      <c r="K23" s="30" t="s">
        <v>10</v>
      </c>
      <c r="L23" s="40" t="s">
        <v>10</v>
      </c>
      <c r="M23" s="49" t="s">
        <v>10</v>
      </c>
      <c r="N23" s="50" t="s">
        <v>10</v>
      </c>
      <c r="O23" s="30">
        <f>C23</f>
        <v>10</v>
      </c>
      <c r="P23" s="106" t="s">
        <v>10</v>
      </c>
      <c r="Q23" s="108">
        <f>C23*10</f>
        <v>100</v>
      </c>
      <c r="R23" s="108">
        <f>Q23*35</f>
        <v>3500</v>
      </c>
      <c r="S23" s="41" t="s">
        <v>139</v>
      </c>
      <c r="T23" s="32" t="s">
        <v>176</v>
      </c>
      <c r="V23" s="6"/>
      <c r="W23" s="6"/>
    </row>
    <row r="24" spans="1:23" ht="171" customHeight="1" thickBot="1">
      <c r="A24" s="42" t="s">
        <v>110</v>
      </c>
      <c r="B24" s="39" t="s">
        <v>3</v>
      </c>
      <c r="C24" s="43">
        <v>2</v>
      </c>
      <c r="D24" s="40" t="s">
        <v>10</v>
      </c>
      <c r="E24" s="49" t="s">
        <v>10</v>
      </c>
      <c r="F24" s="50" t="s">
        <v>10</v>
      </c>
      <c r="G24" s="30" t="s">
        <v>10</v>
      </c>
      <c r="H24" s="40" t="s">
        <v>10</v>
      </c>
      <c r="I24" s="49" t="s">
        <v>10</v>
      </c>
      <c r="J24" s="50" t="s">
        <v>10</v>
      </c>
      <c r="K24" s="30" t="s">
        <v>10</v>
      </c>
      <c r="L24" s="40">
        <f>M24/6</f>
        <v>3.1666666666666665</v>
      </c>
      <c r="M24" s="87">
        <f>((M6+M8+M10+M12+M14+M16+M18)/1.5)-2</f>
        <v>19</v>
      </c>
      <c r="N24" s="56">
        <f>L24*C24</f>
        <v>6.333333333333333</v>
      </c>
      <c r="O24" s="30">
        <f>M24*C24</f>
        <v>38</v>
      </c>
      <c r="P24" s="106">
        <f>N24*24</f>
        <v>152</v>
      </c>
      <c r="Q24" s="107">
        <f t="shared" si="6"/>
        <v>912</v>
      </c>
      <c r="R24" s="108">
        <f>Q24*35</f>
        <v>31920</v>
      </c>
      <c r="S24" s="41" t="s">
        <v>108</v>
      </c>
      <c r="T24" s="85" t="s">
        <v>109</v>
      </c>
      <c r="V24" s="6"/>
      <c r="W24" s="6"/>
    </row>
    <row r="25" spans="1:23" s="4" customFormat="1" ht="95.25" customHeight="1" thickBot="1">
      <c r="A25" s="42" t="s">
        <v>4</v>
      </c>
      <c r="B25" s="39" t="s">
        <v>9</v>
      </c>
      <c r="C25" s="43">
        <f>P25/24</f>
        <v>0.7151111111111111</v>
      </c>
      <c r="D25" s="40" t="s">
        <v>10</v>
      </c>
      <c r="E25" s="49" t="s">
        <v>10</v>
      </c>
      <c r="F25" s="50" t="s">
        <v>10</v>
      </c>
      <c r="G25" s="30" t="s">
        <v>10</v>
      </c>
      <c r="H25" s="40" t="s">
        <v>10</v>
      </c>
      <c r="I25" s="49" t="s">
        <v>10</v>
      </c>
      <c r="J25" s="50" t="s">
        <v>10</v>
      </c>
      <c r="K25" s="30" t="s">
        <v>10</v>
      </c>
      <c r="L25" s="40" t="s">
        <v>10</v>
      </c>
      <c r="M25" s="49" t="s">
        <v>10</v>
      </c>
      <c r="N25" s="56">
        <f>O25/6</f>
        <v>0.11918518518518519</v>
      </c>
      <c r="O25" s="30">
        <f>C25</f>
        <v>0.7151111111111111</v>
      </c>
      <c r="P25" s="106">
        <f>Q25/6</f>
        <v>17.162666666666667</v>
      </c>
      <c r="Q25" s="107">
        <f>R25/35</f>
        <v>102.976</v>
      </c>
      <c r="R25" s="108">
        <f>'Pielikums Nr_6_Supervīzijas'!I8</f>
        <v>3604.16</v>
      </c>
      <c r="S25" s="316" t="s">
        <v>144</v>
      </c>
      <c r="T25" s="317"/>
      <c r="U25" s="166"/>
      <c r="V25" s="8"/>
      <c r="W25" s="8"/>
    </row>
    <row r="26" spans="1:23" ht="33" customHeight="1" thickBot="1">
      <c r="A26" s="282" t="s">
        <v>58</v>
      </c>
      <c r="B26" s="283"/>
      <c r="C26" s="283"/>
      <c r="D26" s="283"/>
      <c r="E26" s="283"/>
      <c r="F26" s="283"/>
      <c r="G26" s="283"/>
      <c r="H26" s="283"/>
      <c r="I26" s="283"/>
      <c r="J26" s="283"/>
      <c r="K26" s="284"/>
      <c r="L26" s="88"/>
      <c r="M26" s="89"/>
      <c r="N26" s="90">
        <f>N5+N20</f>
        <v>46.142518518518514</v>
      </c>
      <c r="O26" s="109">
        <f>O5+O20</f>
        <v>296.8742023611111</v>
      </c>
      <c r="P26" s="109">
        <f>P5+P20</f>
        <v>1121.8026666666667</v>
      </c>
      <c r="Q26" s="109">
        <f>Q5+Q20</f>
        <v>7070.79419</v>
      </c>
      <c r="R26" s="168">
        <f>R5+R20</f>
        <v>250531.08760000003</v>
      </c>
      <c r="S26" s="287"/>
      <c r="T26" s="288"/>
      <c r="V26" s="6"/>
      <c r="W26" s="6"/>
    </row>
    <row r="27" spans="1:23" ht="33" customHeight="1" thickBot="1">
      <c r="A27" s="282" t="s">
        <v>59</v>
      </c>
      <c r="B27" s="283"/>
      <c r="C27" s="283"/>
      <c r="D27" s="283"/>
      <c r="E27" s="283"/>
      <c r="F27" s="283"/>
      <c r="G27" s="283"/>
      <c r="H27" s="283"/>
      <c r="I27" s="283"/>
      <c r="J27" s="283"/>
      <c r="K27" s="284"/>
      <c r="L27" s="88"/>
      <c r="M27" s="89"/>
      <c r="N27" s="90">
        <f>ROUND(N26*10%,2)</f>
        <v>4.61</v>
      </c>
      <c r="O27" s="109">
        <f>ROUND(O26*10%,2)</f>
        <v>29.69</v>
      </c>
      <c r="P27" s="109">
        <f>ROUND(P26*10%,2)</f>
        <v>112.18</v>
      </c>
      <c r="Q27" s="109">
        <f>ROUND(Q26*10%,2)</f>
        <v>707.08</v>
      </c>
      <c r="R27" s="168">
        <f>ROUND(R26*10%,2)</f>
        <v>25053.11</v>
      </c>
      <c r="S27" s="287" t="s">
        <v>134</v>
      </c>
      <c r="T27" s="288"/>
      <c r="V27" s="6"/>
      <c r="W27" s="6"/>
    </row>
    <row r="28" spans="1:23" ht="48" customHeight="1" thickBot="1">
      <c r="A28" s="272" t="s">
        <v>61</v>
      </c>
      <c r="B28" s="273"/>
      <c r="C28" s="273"/>
      <c r="D28" s="273"/>
      <c r="E28" s="273"/>
      <c r="F28" s="273"/>
      <c r="G28" s="273"/>
      <c r="H28" s="273"/>
      <c r="I28" s="273"/>
      <c r="J28" s="273"/>
      <c r="K28" s="273"/>
      <c r="L28" s="273"/>
      <c r="M28" s="273"/>
      <c r="N28" s="93">
        <f>N26+N27</f>
        <v>50.752518518518514</v>
      </c>
      <c r="O28" s="110">
        <f>O26+O27</f>
        <v>326.5642023611111</v>
      </c>
      <c r="P28" s="110">
        <f>P26+P27</f>
        <v>1233.9826666666668</v>
      </c>
      <c r="Q28" s="110">
        <f>Q26+Q27</f>
        <v>7777.8741899999995</v>
      </c>
      <c r="R28" s="169">
        <f>R26+R27</f>
        <v>275584.1976</v>
      </c>
      <c r="S28" s="312"/>
      <c r="T28" s="313"/>
      <c r="V28" s="6"/>
      <c r="W28" s="6"/>
    </row>
    <row r="29" ht="24.75">
      <c r="A29" s="125"/>
    </row>
    <row r="30" spans="4:19" ht="24.75">
      <c r="D30" s="276" t="s">
        <v>72</v>
      </c>
      <c r="E30" s="276"/>
      <c r="F30" s="276"/>
      <c r="G30" s="276"/>
      <c r="H30" s="276"/>
      <c r="I30" s="276"/>
      <c r="J30" s="276"/>
      <c r="K30" s="276"/>
      <c r="L30" s="276"/>
      <c r="M30" s="276"/>
      <c r="N30" s="276"/>
      <c r="O30" s="276"/>
      <c r="P30" s="276"/>
      <c r="Q30" s="276"/>
      <c r="R30" s="112">
        <f>R28/840</f>
        <v>328.07642571428573</v>
      </c>
      <c r="S30" s="4"/>
    </row>
    <row r="31" spans="4:19" ht="24.75">
      <c r="D31" s="276" t="s">
        <v>71</v>
      </c>
      <c r="E31" s="276"/>
      <c r="F31" s="276"/>
      <c r="G31" s="276"/>
      <c r="H31" s="276"/>
      <c r="I31" s="276"/>
      <c r="J31" s="276"/>
      <c r="K31" s="276"/>
      <c r="L31" s="276"/>
      <c r="M31" s="276"/>
      <c r="N31" s="276"/>
      <c r="O31" s="276"/>
      <c r="P31" s="276"/>
      <c r="Q31" s="276"/>
      <c r="R31" s="112">
        <f>R30/6</f>
        <v>54.67940428571429</v>
      </c>
      <c r="S31" s="4"/>
    </row>
    <row r="33" ht="24.75">
      <c r="A33" s="4"/>
    </row>
    <row r="36" ht="24.75">
      <c r="R36" s="6"/>
    </row>
  </sheetData>
  <sheetProtection/>
  <mergeCells count="27">
    <mergeCell ref="S25:T25"/>
    <mergeCell ref="A1:T1"/>
    <mergeCell ref="A2:T2"/>
    <mergeCell ref="A3:A4"/>
    <mergeCell ref="B3:B4"/>
    <mergeCell ref="C3:C4"/>
    <mergeCell ref="D3:E3"/>
    <mergeCell ref="F3:G3"/>
    <mergeCell ref="H3:I3"/>
    <mergeCell ref="J3:K3"/>
    <mergeCell ref="L3:M3"/>
    <mergeCell ref="N3:O3"/>
    <mergeCell ref="P3:Q3"/>
    <mergeCell ref="R3:R4"/>
    <mergeCell ref="S3:T4"/>
    <mergeCell ref="A5:K5"/>
    <mergeCell ref="S5:T5"/>
    <mergeCell ref="A28:M28"/>
    <mergeCell ref="S28:T28"/>
    <mergeCell ref="D30:Q30"/>
    <mergeCell ref="D31:Q31"/>
    <mergeCell ref="A20:K20"/>
    <mergeCell ref="S20:T20"/>
    <mergeCell ref="A26:K26"/>
    <mergeCell ref="S26:T26"/>
    <mergeCell ref="A27:K27"/>
    <mergeCell ref="S27:T27"/>
  </mergeCells>
  <printOptions/>
  <pageMargins left="0.5118110236220472" right="0.5118110236220472" top="0.9448818897637796" bottom="0.15748031496062992" header="0.31496062992125984" footer="0.31496062992125984"/>
  <pageSetup cellComments="asDisplayed" horizontalDpi="600" verticalDpi="600" orientation="landscape" paperSize="9" scale="50" r:id="rId1"/>
  <headerFooter>
    <oddFooter>&amp;C&amp;A&amp;RPage &amp;P</oddFooter>
  </headerFooter>
</worksheet>
</file>

<file path=xl/worksheets/sheet4.xml><?xml version="1.0" encoding="utf-8"?>
<worksheet xmlns="http://schemas.openxmlformats.org/spreadsheetml/2006/main" xmlns:r="http://schemas.openxmlformats.org/officeDocument/2006/relationships">
  <sheetPr>
    <tabColor theme="0" tint="-0.4999699890613556"/>
  </sheetPr>
  <dimension ref="A1:X36"/>
  <sheetViews>
    <sheetView tabSelected="1" zoomScale="75" zoomScaleNormal="75" zoomScalePageLayoutView="0" workbookViewId="0" topLeftCell="A1">
      <pane xSplit="3" ySplit="4" topLeftCell="D12" activePane="bottomRight" state="frozen"/>
      <selection pane="topLeft" activeCell="A1" sqref="A1"/>
      <selection pane="topRight" activeCell="D1" sqref="D1"/>
      <selection pane="bottomLeft" activeCell="A7" sqref="A7"/>
      <selection pane="bottomRight" activeCell="C13" sqref="C13"/>
    </sheetView>
  </sheetViews>
  <sheetFormatPr defaultColWidth="9.140625" defaultRowHeight="12.75"/>
  <cols>
    <col min="1" max="1" width="26.00390625" style="2" customWidth="1"/>
    <col min="2" max="2" width="9.57421875" style="2" customWidth="1"/>
    <col min="3" max="3" width="9.140625" style="5" customWidth="1"/>
    <col min="4" max="4" width="8.7109375" style="5" customWidth="1"/>
    <col min="5" max="5" width="8.7109375" style="2" customWidth="1"/>
    <col min="6" max="6" width="8.57421875" style="2" customWidth="1"/>
    <col min="7" max="7" width="11.57421875" style="2" customWidth="1"/>
    <col min="8" max="8" width="8.7109375" style="5" customWidth="1"/>
    <col min="9" max="9" width="8.7109375" style="2" customWidth="1"/>
    <col min="10" max="10" width="8.57421875" style="2" customWidth="1"/>
    <col min="11" max="11" width="11.57421875" style="2" customWidth="1"/>
    <col min="12" max="12" width="8.7109375" style="5" customWidth="1"/>
    <col min="13" max="13" width="8.7109375" style="2" customWidth="1"/>
    <col min="14" max="14" width="8.57421875" style="2" customWidth="1"/>
    <col min="15" max="15" width="11.57421875" style="2" customWidth="1"/>
    <col min="16" max="17" width="11.28125" style="2" customWidth="1"/>
    <col min="18" max="18" width="14.8515625" style="2" customWidth="1"/>
    <col min="19" max="20" width="40.421875" style="2" customWidth="1"/>
    <col min="21" max="21" width="9.140625" style="166" customWidth="1"/>
    <col min="22" max="22" width="11.421875" style="2" customWidth="1"/>
    <col min="23" max="16384" width="9.140625" style="2" customWidth="1"/>
  </cols>
  <sheetData>
    <row r="1" spans="1:20" ht="26.25" customHeight="1">
      <c r="A1" s="304" t="s">
        <v>128</v>
      </c>
      <c r="B1" s="304"/>
      <c r="C1" s="304"/>
      <c r="D1" s="304"/>
      <c r="E1" s="304"/>
      <c r="F1" s="304"/>
      <c r="G1" s="304"/>
      <c r="H1" s="304"/>
      <c r="I1" s="304"/>
      <c r="J1" s="304"/>
      <c r="K1" s="304"/>
      <c r="L1" s="304"/>
      <c r="M1" s="304"/>
      <c r="N1" s="304"/>
      <c r="O1" s="304"/>
      <c r="P1" s="304"/>
      <c r="Q1" s="304"/>
      <c r="R1" s="304"/>
      <c r="S1" s="304"/>
      <c r="T1" s="304"/>
    </row>
    <row r="2" spans="1:21" s="4" customFormat="1" ht="46.5" customHeight="1" thickBot="1">
      <c r="A2" s="305" t="s">
        <v>219</v>
      </c>
      <c r="B2" s="305"/>
      <c r="C2" s="305"/>
      <c r="D2" s="305"/>
      <c r="E2" s="305"/>
      <c r="F2" s="305"/>
      <c r="G2" s="305"/>
      <c r="H2" s="305"/>
      <c r="I2" s="305"/>
      <c r="J2" s="305"/>
      <c r="K2" s="305"/>
      <c r="L2" s="305"/>
      <c r="M2" s="305"/>
      <c r="N2" s="305"/>
      <c r="O2" s="305"/>
      <c r="P2" s="305"/>
      <c r="Q2" s="305"/>
      <c r="R2" s="305"/>
      <c r="S2" s="305"/>
      <c r="T2" s="305"/>
      <c r="U2" s="166"/>
    </row>
    <row r="3" spans="1:21" s="4" customFormat="1" ht="71.25" customHeight="1">
      <c r="A3" s="306" t="s">
        <v>1</v>
      </c>
      <c r="B3" s="308" t="s">
        <v>2</v>
      </c>
      <c r="C3" s="310" t="s">
        <v>6</v>
      </c>
      <c r="D3" s="289" t="s">
        <v>24</v>
      </c>
      <c r="E3" s="290"/>
      <c r="F3" s="290" t="s">
        <v>23</v>
      </c>
      <c r="G3" s="291"/>
      <c r="H3" s="289" t="s">
        <v>25</v>
      </c>
      <c r="I3" s="290"/>
      <c r="J3" s="290" t="s">
        <v>26</v>
      </c>
      <c r="K3" s="291"/>
      <c r="L3" s="289" t="s">
        <v>16</v>
      </c>
      <c r="M3" s="290"/>
      <c r="N3" s="290" t="s">
        <v>17</v>
      </c>
      <c r="O3" s="291"/>
      <c r="P3" s="292" t="s">
        <v>70</v>
      </c>
      <c r="Q3" s="293"/>
      <c r="R3" s="294" t="s">
        <v>107</v>
      </c>
      <c r="S3" s="296" t="s">
        <v>141</v>
      </c>
      <c r="T3" s="297"/>
      <c r="U3" s="166"/>
    </row>
    <row r="4" spans="1:21" s="4" customFormat="1" ht="72" customHeight="1" thickBot="1">
      <c r="A4" s="307"/>
      <c r="B4" s="309"/>
      <c r="C4" s="311"/>
      <c r="D4" s="33" t="s">
        <v>7</v>
      </c>
      <c r="E4" s="7" t="s">
        <v>11</v>
      </c>
      <c r="F4" s="34" t="s">
        <v>8</v>
      </c>
      <c r="G4" s="35" t="s">
        <v>12</v>
      </c>
      <c r="H4" s="33" t="s">
        <v>7</v>
      </c>
      <c r="I4" s="51" t="s">
        <v>11</v>
      </c>
      <c r="J4" s="34" t="s">
        <v>8</v>
      </c>
      <c r="K4" s="35" t="s">
        <v>12</v>
      </c>
      <c r="L4" s="33" t="s">
        <v>7</v>
      </c>
      <c r="M4" s="7" t="s">
        <v>11</v>
      </c>
      <c r="N4" s="34" t="s">
        <v>8</v>
      </c>
      <c r="O4" s="35" t="s">
        <v>12</v>
      </c>
      <c r="P4" s="98" t="s">
        <v>8</v>
      </c>
      <c r="Q4" s="99" t="s">
        <v>12</v>
      </c>
      <c r="R4" s="295"/>
      <c r="S4" s="298"/>
      <c r="T4" s="299"/>
      <c r="U4" s="166"/>
    </row>
    <row r="5" spans="1:21" s="4" customFormat="1" ht="24.75" customHeight="1" thickBot="1">
      <c r="A5" s="277" t="s">
        <v>57</v>
      </c>
      <c r="B5" s="278"/>
      <c r="C5" s="278"/>
      <c r="D5" s="278"/>
      <c r="E5" s="278"/>
      <c r="F5" s="278"/>
      <c r="G5" s="278"/>
      <c r="H5" s="278"/>
      <c r="I5" s="278"/>
      <c r="J5" s="278"/>
      <c r="K5" s="279"/>
      <c r="L5" s="38">
        <f>L6+L8+L16+L10+L12+L14+L19</f>
        <v>5.125</v>
      </c>
      <c r="M5" s="126">
        <f>M6+M8+M16+M10+M12+M14+M19+M18</f>
        <v>32.25</v>
      </c>
      <c r="N5" s="54">
        <f>ROUND(SUM(N6:N19),2)</f>
        <v>19.35</v>
      </c>
      <c r="O5" s="55">
        <f>SUM(O6:O19)</f>
        <v>116.11909125</v>
      </c>
      <c r="P5" s="54">
        <f>ROUND(SUM(P6:P19),2)</f>
        <v>464.48</v>
      </c>
      <c r="Q5" s="55">
        <f>SUM(Q6:Q19)</f>
        <v>2786.85819</v>
      </c>
      <c r="R5" s="55">
        <f>SUM(R6:R19)</f>
        <v>111474.3276</v>
      </c>
      <c r="S5" s="300" t="s">
        <v>143</v>
      </c>
      <c r="T5" s="301"/>
      <c r="U5" s="166"/>
    </row>
    <row r="6" spans="1:23" ht="89.25" customHeight="1">
      <c r="A6" s="9" t="s">
        <v>218</v>
      </c>
      <c r="B6" s="10" t="s">
        <v>0</v>
      </c>
      <c r="C6" s="11">
        <v>23.4</v>
      </c>
      <c r="D6" s="12">
        <f aca="true" t="shared" si="0" ref="D6:D11">E6/6</f>
        <v>0.5</v>
      </c>
      <c r="E6" s="44">
        <f>1.5*2</f>
        <v>3</v>
      </c>
      <c r="F6" s="13">
        <f aca="true" t="shared" si="1" ref="F6:F11">C6*D6</f>
        <v>11.7</v>
      </c>
      <c r="G6" s="14">
        <f aca="true" t="shared" si="2" ref="G6:G11">C6*E6</f>
        <v>70.19999999999999</v>
      </c>
      <c r="H6" s="12" t="s">
        <v>10</v>
      </c>
      <c r="I6" s="52" t="s">
        <v>10</v>
      </c>
      <c r="J6" s="13" t="s">
        <v>10</v>
      </c>
      <c r="K6" s="14" t="s">
        <v>10</v>
      </c>
      <c r="L6" s="12">
        <f>M6/6</f>
        <v>0.5</v>
      </c>
      <c r="M6" s="44">
        <f>E6</f>
        <v>3</v>
      </c>
      <c r="N6" s="13">
        <f aca="true" t="shared" si="3" ref="N6:O11">F6/24</f>
        <v>0.4875</v>
      </c>
      <c r="O6" s="14">
        <f t="shared" si="3"/>
        <v>2.9249999999999994</v>
      </c>
      <c r="P6" s="100">
        <f>N6*24</f>
        <v>11.7</v>
      </c>
      <c r="Q6" s="101">
        <f>P6*6</f>
        <v>70.19999999999999</v>
      </c>
      <c r="R6" s="102">
        <f aca="true" t="shared" si="4" ref="R6:R17">Q6*40</f>
        <v>2807.9999999999995</v>
      </c>
      <c r="S6" s="15" t="s">
        <v>182</v>
      </c>
      <c r="T6" s="16" t="s">
        <v>220</v>
      </c>
      <c r="V6" s="6"/>
      <c r="W6" s="6"/>
    </row>
    <row r="7" spans="1:23" ht="69.75" customHeight="1" thickBot="1">
      <c r="A7" s="24" t="s">
        <v>97</v>
      </c>
      <c r="B7" s="17" t="s">
        <v>0</v>
      </c>
      <c r="C7" s="18">
        <v>23.4</v>
      </c>
      <c r="D7" s="19">
        <f t="shared" si="0"/>
        <v>0.3333333333333333</v>
      </c>
      <c r="E7" s="127">
        <v>2</v>
      </c>
      <c r="F7" s="20">
        <f t="shared" si="1"/>
        <v>7.799999999999999</v>
      </c>
      <c r="G7" s="21">
        <f t="shared" si="2"/>
        <v>46.8</v>
      </c>
      <c r="H7" s="19" t="s">
        <v>10</v>
      </c>
      <c r="I7" s="53" t="s">
        <v>10</v>
      </c>
      <c r="J7" s="20" t="s">
        <v>10</v>
      </c>
      <c r="K7" s="21" t="s">
        <v>10</v>
      </c>
      <c r="L7" s="19" t="s">
        <v>10</v>
      </c>
      <c r="M7" s="53" t="s">
        <v>10</v>
      </c>
      <c r="N7" s="20">
        <f t="shared" si="3"/>
        <v>0.32499999999999996</v>
      </c>
      <c r="O7" s="21">
        <f t="shared" si="3"/>
        <v>1.95</v>
      </c>
      <c r="P7" s="103">
        <f aca="true" t="shared" si="5" ref="P7:P19">N7*24</f>
        <v>7.799999999999999</v>
      </c>
      <c r="Q7" s="104">
        <f aca="true" t="shared" si="6" ref="Q7:Q24">P7*6</f>
        <v>46.8</v>
      </c>
      <c r="R7" s="105">
        <f t="shared" si="4"/>
        <v>1872</v>
      </c>
      <c r="S7" s="22" t="s">
        <v>18</v>
      </c>
      <c r="T7" s="23" t="s">
        <v>21</v>
      </c>
      <c r="V7" s="6"/>
      <c r="W7" s="6"/>
    </row>
    <row r="8" spans="1:23" ht="121.5" customHeight="1">
      <c r="A8" s="9" t="s">
        <v>222</v>
      </c>
      <c r="B8" s="10" t="s">
        <v>0</v>
      </c>
      <c r="C8" s="11">
        <v>23.4</v>
      </c>
      <c r="D8" s="12">
        <f t="shared" si="0"/>
        <v>1.75</v>
      </c>
      <c r="E8" s="44">
        <f>7*1.5</f>
        <v>10.5</v>
      </c>
      <c r="F8" s="13">
        <f t="shared" si="1"/>
        <v>40.949999999999996</v>
      </c>
      <c r="G8" s="14">
        <f t="shared" si="2"/>
        <v>245.7</v>
      </c>
      <c r="H8" s="12" t="s">
        <v>10</v>
      </c>
      <c r="I8" s="52" t="s">
        <v>10</v>
      </c>
      <c r="J8" s="13" t="s">
        <v>10</v>
      </c>
      <c r="K8" s="14" t="s">
        <v>10</v>
      </c>
      <c r="L8" s="12">
        <f>M8/6</f>
        <v>1.75</v>
      </c>
      <c r="M8" s="44">
        <f>E8</f>
        <v>10.5</v>
      </c>
      <c r="N8" s="13">
        <f t="shared" si="3"/>
        <v>1.7062499999999998</v>
      </c>
      <c r="O8" s="14">
        <f t="shared" si="3"/>
        <v>10.237499999999999</v>
      </c>
      <c r="P8" s="100">
        <f t="shared" si="5"/>
        <v>40.949999999999996</v>
      </c>
      <c r="Q8" s="101">
        <f t="shared" si="6"/>
        <v>245.7</v>
      </c>
      <c r="R8" s="102">
        <f t="shared" si="4"/>
        <v>9828</v>
      </c>
      <c r="S8" s="15" t="s">
        <v>183</v>
      </c>
      <c r="T8" s="16" t="s">
        <v>96</v>
      </c>
      <c r="V8" s="6"/>
      <c r="W8" s="6"/>
    </row>
    <row r="9" spans="1:23" ht="74.25" customHeight="1" thickBot="1">
      <c r="A9" s="24" t="s">
        <v>97</v>
      </c>
      <c r="B9" s="17" t="s">
        <v>0</v>
      </c>
      <c r="C9" s="18">
        <v>23.4</v>
      </c>
      <c r="D9" s="19">
        <f t="shared" si="0"/>
        <v>1.1666666666666667</v>
      </c>
      <c r="E9" s="127">
        <v>7</v>
      </c>
      <c r="F9" s="20">
        <f t="shared" si="1"/>
        <v>27.3</v>
      </c>
      <c r="G9" s="21">
        <f t="shared" si="2"/>
        <v>163.79999999999998</v>
      </c>
      <c r="H9" s="19" t="s">
        <v>10</v>
      </c>
      <c r="I9" s="53" t="s">
        <v>10</v>
      </c>
      <c r="J9" s="20" t="s">
        <v>10</v>
      </c>
      <c r="K9" s="21" t="s">
        <v>10</v>
      </c>
      <c r="L9" s="19" t="s">
        <v>10</v>
      </c>
      <c r="M9" s="53" t="s">
        <v>10</v>
      </c>
      <c r="N9" s="20">
        <f t="shared" si="3"/>
        <v>1.1375</v>
      </c>
      <c r="O9" s="21">
        <f t="shared" si="3"/>
        <v>6.824999999999999</v>
      </c>
      <c r="P9" s="103">
        <f t="shared" si="5"/>
        <v>27.299999999999997</v>
      </c>
      <c r="Q9" s="104">
        <f t="shared" si="6"/>
        <v>163.79999999999998</v>
      </c>
      <c r="R9" s="105">
        <f t="shared" si="4"/>
        <v>6551.999999999999</v>
      </c>
      <c r="S9" s="22" t="s">
        <v>19</v>
      </c>
      <c r="T9" s="23" t="s">
        <v>22</v>
      </c>
      <c r="V9" s="6"/>
      <c r="W9" s="6"/>
    </row>
    <row r="10" spans="1:23" ht="88.5" customHeight="1">
      <c r="A10" s="9" t="s">
        <v>221</v>
      </c>
      <c r="B10" s="10" t="s">
        <v>0</v>
      </c>
      <c r="C10" s="11">
        <v>23.4</v>
      </c>
      <c r="D10" s="12">
        <f t="shared" si="0"/>
        <v>0.25</v>
      </c>
      <c r="E10" s="44">
        <v>1.5</v>
      </c>
      <c r="F10" s="13">
        <f t="shared" si="1"/>
        <v>5.85</v>
      </c>
      <c r="G10" s="14">
        <f t="shared" si="2"/>
        <v>35.099999999999994</v>
      </c>
      <c r="H10" s="12" t="s">
        <v>10</v>
      </c>
      <c r="I10" s="52" t="s">
        <v>10</v>
      </c>
      <c r="J10" s="13" t="s">
        <v>10</v>
      </c>
      <c r="K10" s="14" t="s">
        <v>10</v>
      </c>
      <c r="L10" s="12">
        <f>M10/6</f>
        <v>0.25</v>
      </c>
      <c r="M10" s="44">
        <f>E10</f>
        <v>1.5</v>
      </c>
      <c r="N10" s="13">
        <f t="shared" si="3"/>
        <v>0.24375</v>
      </c>
      <c r="O10" s="14">
        <f t="shared" si="3"/>
        <v>1.4624999999999997</v>
      </c>
      <c r="P10" s="100">
        <f>N10*24</f>
        <v>5.85</v>
      </c>
      <c r="Q10" s="101">
        <f>P10*6</f>
        <v>35.099999999999994</v>
      </c>
      <c r="R10" s="102">
        <f t="shared" si="4"/>
        <v>1403.9999999999998</v>
      </c>
      <c r="S10" s="15" t="s">
        <v>184</v>
      </c>
      <c r="T10" s="16" t="s">
        <v>20</v>
      </c>
      <c r="V10" s="6"/>
      <c r="W10" s="6"/>
    </row>
    <row r="11" spans="1:23" ht="71.25" customHeight="1" thickBot="1">
      <c r="A11" s="24" t="s">
        <v>97</v>
      </c>
      <c r="B11" s="17" t="s">
        <v>0</v>
      </c>
      <c r="C11" s="18">
        <v>23.4</v>
      </c>
      <c r="D11" s="19">
        <f t="shared" si="0"/>
        <v>0.16666666666666666</v>
      </c>
      <c r="E11" s="127">
        <v>1</v>
      </c>
      <c r="F11" s="20">
        <f t="shared" si="1"/>
        <v>3.8999999999999995</v>
      </c>
      <c r="G11" s="21">
        <f t="shared" si="2"/>
        <v>23.4</v>
      </c>
      <c r="H11" s="19" t="s">
        <v>10</v>
      </c>
      <c r="I11" s="53" t="s">
        <v>10</v>
      </c>
      <c r="J11" s="20" t="s">
        <v>10</v>
      </c>
      <c r="K11" s="21" t="s">
        <v>10</v>
      </c>
      <c r="L11" s="19" t="s">
        <v>10</v>
      </c>
      <c r="M11" s="53" t="s">
        <v>10</v>
      </c>
      <c r="N11" s="20">
        <f t="shared" si="3"/>
        <v>0.16249999999999998</v>
      </c>
      <c r="O11" s="21">
        <f t="shared" si="3"/>
        <v>0.975</v>
      </c>
      <c r="P11" s="103">
        <f>N11*24</f>
        <v>3.8999999999999995</v>
      </c>
      <c r="Q11" s="104">
        <f>P11*6</f>
        <v>23.4</v>
      </c>
      <c r="R11" s="105">
        <f t="shared" si="4"/>
        <v>936</v>
      </c>
      <c r="S11" s="22" t="s">
        <v>98</v>
      </c>
      <c r="T11" s="23" t="s">
        <v>99</v>
      </c>
      <c r="V11" s="6"/>
      <c r="W11" s="6"/>
    </row>
    <row r="12" spans="1:23" ht="182.25" customHeight="1">
      <c r="A12" s="9" t="s">
        <v>100</v>
      </c>
      <c r="B12" s="10" t="s">
        <v>0</v>
      </c>
      <c r="C12" s="11">
        <v>23.4</v>
      </c>
      <c r="D12" s="12" t="s">
        <v>10</v>
      </c>
      <c r="E12" s="47" t="s">
        <v>10</v>
      </c>
      <c r="F12" s="13" t="s">
        <v>10</v>
      </c>
      <c r="G12" s="14" t="s">
        <v>10</v>
      </c>
      <c r="H12" s="12">
        <f aca="true" t="shared" si="7" ref="H12:H17">I12/6</f>
        <v>2</v>
      </c>
      <c r="I12" s="44">
        <f>8*1.5</f>
        <v>12</v>
      </c>
      <c r="J12" s="13">
        <f aca="true" t="shared" si="8" ref="J12:J17">C12*H12</f>
        <v>46.8</v>
      </c>
      <c r="K12" s="14">
        <f aca="true" t="shared" si="9" ref="K12:K17">C12*I12</f>
        <v>280.79999999999995</v>
      </c>
      <c r="L12" s="12">
        <f>M12/6</f>
        <v>2</v>
      </c>
      <c r="M12" s="44">
        <f>I12</f>
        <v>12</v>
      </c>
      <c r="N12" s="13">
        <f aca="true" t="shared" si="10" ref="N12:O15">J12/12</f>
        <v>3.9</v>
      </c>
      <c r="O12" s="14">
        <f>K12/12</f>
        <v>23.399999999999995</v>
      </c>
      <c r="P12" s="100">
        <f>N12*24</f>
        <v>93.6</v>
      </c>
      <c r="Q12" s="101">
        <f t="shared" si="6"/>
        <v>561.5999999999999</v>
      </c>
      <c r="R12" s="102">
        <f t="shared" si="4"/>
        <v>22463.999999999996</v>
      </c>
      <c r="S12" s="36" t="s">
        <v>185</v>
      </c>
      <c r="T12" s="16" t="s">
        <v>130</v>
      </c>
      <c r="V12" s="6"/>
      <c r="W12" s="6"/>
    </row>
    <row r="13" spans="1:23" ht="72" customHeight="1" thickBot="1">
      <c r="A13" s="24" t="s">
        <v>97</v>
      </c>
      <c r="B13" s="17" t="s">
        <v>0</v>
      </c>
      <c r="C13" s="18">
        <v>23.4</v>
      </c>
      <c r="D13" s="19" t="s">
        <v>10</v>
      </c>
      <c r="E13" s="48" t="s">
        <v>10</v>
      </c>
      <c r="F13" s="20" t="s">
        <v>10</v>
      </c>
      <c r="G13" s="21" t="s">
        <v>10</v>
      </c>
      <c r="H13" s="19">
        <f t="shared" si="7"/>
        <v>1.3333333333333333</v>
      </c>
      <c r="I13" s="127">
        <v>8</v>
      </c>
      <c r="J13" s="20">
        <f t="shared" si="8"/>
        <v>31.199999999999996</v>
      </c>
      <c r="K13" s="21">
        <f t="shared" si="9"/>
        <v>187.2</v>
      </c>
      <c r="L13" s="19" t="s">
        <v>10</v>
      </c>
      <c r="M13" s="53" t="s">
        <v>10</v>
      </c>
      <c r="N13" s="20">
        <f t="shared" si="10"/>
        <v>2.5999999999999996</v>
      </c>
      <c r="O13" s="21">
        <f t="shared" si="10"/>
        <v>15.6</v>
      </c>
      <c r="P13" s="103">
        <f t="shared" si="5"/>
        <v>62.39999999999999</v>
      </c>
      <c r="Q13" s="104">
        <f t="shared" si="6"/>
        <v>374.4</v>
      </c>
      <c r="R13" s="105">
        <f t="shared" si="4"/>
        <v>14976</v>
      </c>
      <c r="S13" s="22" t="s">
        <v>105</v>
      </c>
      <c r="T13" s="23" t="s">
        <v>106</v>
      </c>
      <c r="V13" s="6"/>
      <c r="W13" s="6"/>
    </row>
    <row r="14" spans="1:23" ht="87.75" customHeight="1">
      <c r="A14" s="9" t="s">
        <v>101</v>
      </c>
      <c r="B14" s="10" t="s">
        <v>0</v>
      </c>
      <c r="C14" s="11">
        <v>23.4</v>
      </c>
      <c r="D14" s="12" t="s">
        <v>10</v>
      </c>
      <c r="E14" s="47" t="s">
        <v>10</v>
      </c>
      <c r="F14" s="13" t="s">
        <v>10</v>
      </c>
      <c r="G14" s="14" t="s">
        <v>10</v>
      </c>
      <c r="H14" s="12">
        <f t="shared" si="7"/>
        <v>0.25</v>
      </c>
      <c r="I14" s="44">
        <f>1*1.5</f>
        <v>1.5</v>
      </c>
      <c r="J14" s="13">
        <f t="shared" si="8"/>
        <v>5.85</v>
      </c>
      <c r="K14" s="14">
        <f t="shared" si="9"/>
        <v>35.099999999999994</v>
      </c>
      <c r="L14" s="12">
        <f>M14/6</f>
        <v>0.25</v>
      </c>
      <c r="M14" s="44">
        <f>I14</f>
        <v>1.5</v>
      </c>
      <c r="N14" s="13">
        <f t="shared" si="10"/>
        <v>0.4875</v>
      </c>
      <c r="O14" s="14">
        <f t="shared" si="10"/>
        <v>2.9249999999999994</v>
      </c>
      <c r="P14" s="100">
        <f t="shared" si="5"/>
        <v>11.7</v>
      </c>
      <c r="Q14" s="101">
        <f t="shared" si="6"/>
        <v>70.19999999999999</v>
      </c>
      <c r="R14" s="102">
        <f t="shared" si="4"/>
        <v>2807.9999999999995</v>
      </c>
      <c r="S14" s="36" t="s">
        <v>186</v>
      </c>
      <c r="T14" s="16" t="s">
        <v>102</v>
      </c>
      <c r="V14" s="6"/>
      <c r="W14" s="6"/>
    </row>
    <row r="15" spans="1:23" ht="73.5" customHeight="1" thickBot="1">
      <c r="A15" s="24" t="s">
        <v>97</v>
      </c>
      <c r="B15" s="17" t="s">
        <v>0</v>
      </c>
      <c r="C15" s="18">
        <v>23.4</v>
      </c>
      <c r="D15" s="19" t="s">
        <v>10</v>
      </c>
      <c r="E15" s="48" t="s">
        <v>10</v>
      </c>
      <c r="F15" s="20" t="s">
        <v>10</v>
      </c>
      <c r="G15" s="21" t="s">
        <v>10</v>
      </c>
      <c r="H15" s="19">
        <f t="shared" si="7"/>
        <v>0.16666666666666666</v>
      </c>
      <c r="I15" s="127">
        <v>1</v>
      </c>
      <c r="J15" s="20">
        <f t="shared" si="8"/>
        <v>3.8999999999999995</v>
      </c>
      <c r="K15" s="21">
        <f t="shared" si="9"/>
        <v>23.4</v>
      </c>
      <c r="L15" s="19" t="s">
        <v>10</v>
      </c>
      <c r="M15" s="53" t="s">
        <v>10</v>
      </c>
      <c r="N15" s="20">
        <f t="shared" si="10"/>
        <v>0.32499999999999996</v>
      </c>
      <c r="O15" s="21">
        <f t="shared" si="10"/>
        <v>1.95</v>
      </c>
      <c r="P15" s="103">
        <f t="shared" si="5"/>
        <v>7.799999999999999</v>
      </c>
      <c r="Q15" s="104">
        <f t="shared" si="6"/>
        <v>46.8</v>
      </c>
      <c r="R15" s="105">
        <f t="shared" si="4"/>
        <v>1872</v>
      </c>
      <c r="S15" s="22" t="s">
        <v>98</v>
      </c>
      <c r="T15" s="23" t="s">
        <v>99</v>
      </c>
      <c r="V15" s="6"/>
      <c r="W15" s="6"/>
    </row>
    <row r="16" spans="1:23" ht="84.75" customHeight="1">
      <c r="A16" s="9" t="s">
        <v>13</v>
      </c>
      <c r="B16" s="10" t="s">
        <v>0</v>
      </c>
      <c r="C16" s="11">
        <v>23.4</v>
      </c>
      <c r="D16" s="12" t="s">
        <v>10</v>
      </c>
      <c r="E16" s="47" t="s">
        <v>10</v>
      </c>
      <c r="F16" s="13" t="s">
        <v>10</v>
      </c>
      <c r="G16" s="14" t="s">
        <v>10</v>
      </c>
      <c r="H16" s="12">
        <f t="shared" si="7"/>
        <v>0.25</v>
      </c>
      <c r="I16" s="44">
        <f>1*1.5</f>
        <v>1.5</v>
      </c>
      <c r="J16" s="13">
        <f t="shared" si="8"/>
        <v>5.85</v>
      </c>
      <c r="K16" s="14">
        <f t="shared" si="9"/>
        <v>35.099999999999994</v>
      </c>
      <c r="L16" s="12">
        <f>M16/6</f>
        <v>0.25</v>
      </c>
      <c r="M16" s="44">
        <f>I16</f>
        <v>1.5</v>
      </c>
      <c r="N16" s="13">
        <f>J16/12</f>
        <v>0.4875</v>
      </c>
      <c r="O16" s="14">
        <f>K16/12</f>
        <v>2.9249999999999994</v>
      </c>
      <c r="P16" s="100">
        <f>N16*24</f>
        <v>11.7</v>
      </c>
      <c r="Q16" s="101">
        <f>P16*6</f>
        <v>70.19999999999999</v>
      </c>
      <c r="R16" s="102">
        <f t="shared" si="4"/>
        <v>2807.9999999999995</v>
      </c>
      <c r="S16" s="36" t="s">
        <v>186</v>
      </c>
      <c r="T16" s="16" t="s">
        <v>103</v>
      </c>
      <c r="V16" s="6"/>
      <c r="W16" s="129"/>
    </row>
    <row r="17" spans="1:23" ht="74.25" customHeight="1" thickBot="1">
      <c r="A17" s="24" t="s">
        <v>97</v>
      </c>
      <c r="B17" s="17" t="s">
        <v>0</v>
      </c>
      <c r="C17" s="18">
        <v>23.4</v>
      </c>
      <c r="D17" s="19" t="s">
        <v>10</v>
      </c>
      <c r="E17" s="48" t="s">
        <v>10</v>
      </c>
      <c r="F17" s="20" t="s">
        <v>10</v>
      </c>
      <c r="G17" s="21" t="s">
        <v>10</v>
      </c>
      <c r="H17" s="19">
        <f t="shared" si="7"/>
        <v>0.16666666666666666</v>
      </c>
      <c r="I17" s="127">
        <v>1</v>
      </c>
      <c r="J17" s="20">
        <f t="shared" si="8"/>
        <v>3.8999999999999995</v>
      </c>
      <c r="K17" s="21">
        <f t="shared" si="9"/>
        <v>23.4</v>
      </c>
      <c r="L17" s="19" t="s">
        <v>10</v>
      </c>
      <c r="M17" s="53" t="s">
        <v>10</v>
      </c>
      <c r="N17" s="20">
        <f>J17/12</f>
        <v>0.32499999999999996</v>
      </c>
      <c r="O17" s="21">
        <f>K17/12</f>
        <v>1.95</v>
      </c>
      <c r="P17" s="103">
        <f>N17*24</f>
        <v>7.799999999999999</v>
      </c>
      <c r="Q17" s="104">
        <f>P17*6</f>
        <v>46.8</v>
      </c>
      <c r="R17" s="105">
        <f t="shared" si="4"/>
        <v>1872</v>
      </c>
      <c r="S17" s="22" t="s">
        <v>98</v>
      </c>
      <c r="T17" s="23" t="s">
        <v>99</v>
      </c>
      <c r="V17" s="6"/>
      <c r="W17" s="129"/>
    </row>
    <row r="18" spans="1:24" ht="120.75" customHeight="1" thickBot="1">
      <c r="A18" s="37" t="s">
        <v>135</v>
      </c>
      <c r="B18" s="26" t="s">
        <v>133</v>
      </c>
      <c r="C18" s="167">
        <f>1647*1.2359</f>
        <v>2035.5273</v>
      </c>
      <c r="D18" s="19" t="s">
        <v>10</v>
      </c>
      <c r="E18" s="48" t="s">
        <v>10</v>
      </c>
      <c r="F18" s="20" t="s">
        <v>10</v>
      </c>
      <c r="G18" s="21" t="s">
        <v>10</v>
      </c>
      <c r="H18" s="28" t="s">
        <v>10</v>
      </c>
      <c r="I18" s="46">
        <v>1.5</v>
      </c>
      <c r="J18" s="29" t="s">
        <v>10</v>
      </c>
      <c r="K18" s="30" t="s">
        <v>10</v>
      </c>
      <c r="L18" s="28" t="s">
        <v>10</v>
      </c>
      <c r="M18" s="44">
        <v>1.5</v>
      </c>
      <c r="N18" s="29">
        <f>O18/6</f>
        <v>4.240681875</v>
      </c>
      <c r="O18" s="30">
        <f>Q18/24</f>
        <v>25.44409125</v>
      </c>
      <c r="P18" s="106">
        <f>Q18/6</f>
        <v>101.776365</v>
      </c>
      <c r="Q18" s="107">
        <f>R18/40</f>
        <v>610.65819</v>
      </c>
      <c r="R18" s="108">
        <f>C18*12</f>
        <v>24426.3276</v>
      </c>
      <c r="S18" s="130" t="s">
        <v>187</v>
      </c>
      <c r="T18" s="131" t="s">
        <v>136</v>
      </c>
      <c r="V18" s="6"/>
      <c r="W18" s="129"/>
      <c r="X18" s="6"/>
    </row>
    <row r="19" spans="1:23" ht="165.75" customHeight="1" thickBot="1">
      <c r="A19" s="37" t="s">
        <v>15</v>
      </c>
      <c r="B19" s="26" t="s">
        <v>0</v>
      </c>
      <c r="C19" s="27">
        <v>23.4</v>
      </c>
      <c r="D19" s="28">
        <f>L19*24</f>
        <v>3</v>
      </c>
      <c r="E19" s="45">
        <f>M19*24</f>
        <v>18</v>
      </c>
      <c r="F19" s="29">
        <f>C19*D19</f>
        <v>70.19999999999999</v>
      </c>
      <c r="G19" s="30">
        <f>C19*E19</f>
        <v>421.2</v>
      </c>
      <c r="H19" s="28" t="s">
        <v>10</v>
      </c>
      <c r="I19" s="49" t="s">
        <v>10</v>
      </c>
      <c r="J19" s="29" t="s">
        <v>10</v>
      </c>
      <c r="K19" s="30" t="s">
        <v>10</v>
      </c>
      <c r="L19" s="28">
        <f>M19/6</f>
        <v>0.125</v>
      </c>
      <c r="M19" s="128">
        <f>'Pielikums Nr_5_Darba kārtība'!AG31/24</f>
        <v>0.75</v>
      </c>
      <c r="N19" s="29">
        <f>C19*L19</f>
        <v>2.925</v>
      </c>
      <c r="O19" s="30">
        <f>C19*M19</f>
        <v>17.549999999999997</v>
      </c>
      <c r="P19" s="106">
        <f t="shared" si="5"/>
        <v>70.19999999999999</v>
      </c>
      <c r="Q19" s="107">
        <f t="shared" si="6"/>
        <v>421.19999999999993</v>
      </c>
      <c r="R19" s="108">
        <f>Q19*40</f>
        <v>16847.999999999996</v>
      </c>
      <c r="S19" s="31" t="s">
        <v>188</v>
      </c>
      <c r="T19" s="32" t="s">
        <v>104</v>
      </c>
      <c r="V19" s="6"/>
      <c r="W19" s="6"/>
    </row>
    <row r="20" spans="1:23" s="4" customFormat="1" ht="45" customHeight="1" thickBot="1">
      <c r="A20" s="277" t="s">
        <v>56</v>
      </c>
      <c r="B20" s="278"/>
      <c r="C20" s="278"/>
      <c r="D20" s="278"/>
      <c r="E20" s="278"/>
      <c r="F20" s="278"/>
      <c r="G20" s="278"/>
      <c r="H20" s="278"/>
      <c r="I20" s="278"/>
      <c r="J20" s="278"/>
      <c r="K20" s="279"/>
      <c r="L20" s="91" t="s">
        <v>10</v>
      </c>
      <c r="M20" s="92" t="s">
        <v>10</v>
      </c>
      <c r="N20" s="1">
        <f>SUM(N21:N25)</f>
        <v>26.777620370370368</v>
      </c>
      <c r="O20" s="86">
        <f>SUM(O21:O25)</f>
        <v>180.6657222222222</v>
      </c>
      <c r="P20" s="1">
        <f>SUM(P21:P25)</f>
        <v>655.1773333333333</v>
      </c>
      <c r="Q20" s="86">
        <f>SUM(Q21:Q25)</f>
        <v>4271.064</v>
      </c>
      <c r="R20" s="86">
        <f>SUM(R21:R25)</f>
        <v>170842.56</v>
      </c>
      <c r="S20" s="314"/>
      <c r="T20" s="315"/>
      <c r="U20" s="166"/>
      <c r="V20" s="8"/>
      <c r="W20" s="8"/>
    </row>
    <row r="21" spans="1:23" ht="101.25" customHeight="1" thickBot="1">
      <c r="A21" s="25" t="s">
        <v>5</v>
      </c>
      <c r="B21" s="39" t="s">
        <v>9</v>
      </c>
      <c r="C21" s="27">
        <f>15.34+5</f>
        <v>20.34</v>
      </c>
      <c r="D21" s="40" t="s">
        <v>10</v>
      </c>
      <c r="E21" s="49" t="s">
        <v>10</v>
      </c>
      <c r="F21" s="50" t="s">
        <v>10</v>
      </c>
      <c r="G21" s="30" t="s">
        <v>10</v>
      </c>
      <c r="H21" s="40" t="s">
        <v>10</v>
      </c>
      <c r="I21" s="49" t="s">
        <v>10</v>
      </c>
      <c r="J21" s="50" t="s">
        <v>10</v>
      </c>
      <c r="K21" s="30" t="s">
        <v>10</v>
      </c>
      <c r="L21" s="40" t="s">
        <v>10</v>
      </c>
      <c r="M21" s="49" t="s">
        <v>10</v>
      </c>
      <c r="N21" s="50">
        <f>C21</f>
        <v>20.34</v>
      </c>
      <c r="O21" s="30">
        <f>N21*6</f>
        <v>122.03999999999999</v>
      </c>
      <c r="P21" s="106">
        <f>N21*24</f>
        <v>488.15999999999997</v>
      </c>
      <c r="Q21" s="108">
        <f t="shared" si="6"/>
        <v>2928.96</v>
      </c>
      <c r="R21" s="108">
        <f>Q21*40</f>
        <v>117158.4</v>
      </c>
      <c r="S21" s="165" t="s">
        <v>132</v>
      </c>
      <c r="T21" s="32" t="s">
        <v>131</v>
      </c>
      <c r="V21" s="6"/>
      <c r="W21" s="6"/>
    </row>
    <row r="22" spans="1:23" ht="195" customHeight="1" thickBot="1">
      <c r="A22" s="25" t="s">
        <v>137</v>
      </c>
      <c r="B22" s="39" t="s">
        <v>9</v>
      </c>
      <c r="C22" s="97">
        <v>10</v>
      </c>
      <c r="D22" s="40" t="s">
        <v>10</v>
      </c>
      <c r="E22" s="49" t="s">
        <v>10</v>
      </c>
      <c r="F22" s="50" t="s">
        <v>10</v>
      </c>
      <c r="G22" s="30" t="s">
        <v>10</v>
      </c>
      <c r="H22" s="40" t="s">
        <v>10</v>
      </c>
      <c r="I22" s="49" t="s">
        <v>10</v>
      </c>
      <c r="J22" s="50" t="s">
        <v>10</v>
      </c>
      <c r="K22" s="30" t="s">
        <v>10</v>
      </c>
      <c r="L22" s="40" t="s">
        <v>10</v>
      </c>
      <c r="M22" s="49" t="s">
        <v>10</v>
      </c>
      <c r="N22" s="50" t="s">
        <v>10</v>
      </c>
      <c r="O22" s="30">
        <f>C22</f>
        <v>10</v>
      </c>
      <c r="P22" s="106" t="s">
        <v>10</v>
      </c>
      <c r="Q22" s="108">
        <f>C22*24</f>
        <v>240</v>
      </c>
      <c r="R22" s="108">
        <f>Q22*40</f>
        <v>9600</v>
      </c>
      <c r="S22" s="41" t="s">
        <v>117</v>
      </c>
      <c r="T22" s="32" t="s">
        <v>118</v>
      </c>
      <c r="V22" s="6"/>
      <c r="W22" s="6"/>
    </row>
    <row r="23" spans="1:23" ht="201.75" customHeight="1" thickBot="1">
      <c r="A23" s="25" t="s">
        <v>138</v>
      </c>
      <c r="B23" s="39" t="s">
        <v>9</v>
      </c>
      <c r="C23" s="97">
        <v>10</v>
      </c>
      <c r="D23" s="40" t="s">
        <v>10</v>
      </c>
      <c r="E23" s="49" t="s">
        <v>10</v>
      </c>
      <c r="F23" s="50" t="s">
        <v>10</v>
      </c>
      <c r="G23" s="30" t="s">
        <v>10</v>
      </c>
      <c r="H23" s="40" t="s">
        <v>10</v>
      </c>
      <c r="I23" s="49" t="s">
        <v>10</v>
      </c>
      <c r="J23" s="50" t="s">
        <v>10</v>
      </c>
      <c r="K23" s="30" t="s">
        <v>10</v>
      </c>
      <c r="L23" s="40" t="s">
        <v>10</v>
      </c>
      <c r="M23" s="49" t="s">
        <v>10</v>
      </c>
      <c r="N23" s="50" t="s">
        <v>10</v>
      </c>
      <c r="O23" s="30">
        <f>C23</f>
        <v>10</v>
      </c>
      <c r="P23" s="106" t="s">
        <v>10</v>
      </c>
      <c r="Q23" s="108">
        <f>C23*10</f>
        <v>100</v>
      </c>
      <c r="R23" s="108">
        <f>Q23*40</f>
        <v>4000</v>
      </c>
      <c r="S23" s="41" t="s">
        <v>139</v>
      </c>
      <c r="T23" s="32" t="s">
        <v>140</v>
      </c>
      <c r="V23" s="6"/>
      <c r="W23" s="6"/>
    </row>
    <row r="24" spans="1:23" ht="171" customHeight="1" thickBot="1">
      <c r="A24" s="42" t="s">
        <v>110</v>
      </c>
      <c r="B24" s="39" t="s">
        <v>3</v>
      </c>
      <c r="C24" s="43">
        <v>2</v>
      </c>
      <c r="D24" s="40" t="s">
        <v>10</v>
      </c>
      <c r="E24" s="49" t="s">
        <v>10</v>
      </c>
      <c r="F24" s="50" t="s">
        <v>10</v>
      </c>
      <c r="G24" s="30" t="s">
        <v>10</v>
      </c>
      <c r="H24" s="40" t="s">
        <v>10</v>
      </c>
      <c r="I24" s="49" t="s">
        <v>10</v>
      </c>
      <c r="J24" s="50" t="s">
        <v>10</v>
      </c>
      <c r="K24" s="30" t="s">
        <v>10</v>
      </c>
      <c r="L24" s="40">
        <f>M24/6</f>
        <v>3.1666666666666665</v>
      </c>
      <c r="M24" s="87">
        <f>((M6+M8+M10+M12+M14+M16+M18)/1.5)-2</f>
        <v>19</v>
      </c>
      <c r="N24" s="56">
        <f>L24*C24</f>
        <v>6.333333333333333</v>
      </c>
      <c r="O24" s="30">
        <f>M24*C24</f>
        <v>38</v>
      </c>
      <c r="P24" s="106">
        <f>N24*24</f>
        <v>152</v>
      </c>
      <c r="Q24" s="107">
        <f t="shared" si="6"/>
        <v>912</v>
      </c>
      <c r="R24" s="108">
        <f>Q24*40</f>
        <v>36480</v>
      </c>
      <c r="S24" s="41" t="s">
        <v>108</v>
      </c>
      <c r="T24" s="85" t="s">
        <v>109</v>
      </c>
      <c r="V24" s="6"/>
      <c r="W24" s="6"/>
    </row>
    <row r="25" spans="1:23" s="4" customFormat="1" ht="95.25" customHeight="1" thickBot="1">
      <c r="A25" s="42" t="s">
        <v>4</v>
      </c>
      <c r="B25" s="39" t="s">
        <v>9</v>
      </c>
      <c r="C25" s="43">
        <f>P25/24</f>
        <v>0.6257222222222222</v>
      </c>
      <c r="D25" s="40" t="s">
        <v>10</v>
      </c>
      <c r="E25" s="49" t="s">
        <v>10</v>
      </c>
      <c r="F25" s="50" t="s">
        <v>10</v>
      </c>
      <c r="G25" s="30" t="s">
        <v>10</v>
      </c>
      <c r="H25" s="40" t="s">
        <v>10</v>
      </c>
      <c r="I25" s="49" t="s">
        <v>10</v>
      </c>
      <c r="J25" s="50" t="s">
        <v>10</v>
      </c>
      <c r="K25" s="30" t="s">
        <v>10</v>
      </c>
      <c r="L25" s="40" t="s">
        <v>10</v>
      </c>
      <c r="M25" s="49" t="s">
        <v>10</v>
      </c>
      <c r="N25" s="56">
        <f>O25/6</f>
        <v>0.10428703703703703</v>
      </c>
      <c r="O25" s="30">
        <f>C25</f>
        <v>0.6257222222222222</v>
      </c>
      <c r="P25" s="106">
        <f>Q25/6</f>
        <v>15.017333333333333</v>
      </c>
      <c r="Q25" s="107">
        <f>R25/40</f>
        <v>90.104</v>
      </c>
      <c r="R25" s="108">
        <f>'Pielikums Nr_6_Supervīzijas'!I8</f>
        <v>3604.16</v>
      </c>
      <c r="S25" s="316" t="s">
        <v>144</v>
      </c>
      <c r="T25" s="317"/>
      <c r="U25" s="166"/>
      <c r="V25" s="8"/>
      <c r="W25" s="8"/>
    </row>
    <row r="26" spans="1:23" ht="33" customHeight="1" thickBot="1">
      <c r="A26" s="282" t="s">
        <v>58</v>
      </c>
      <c r="B26" s="283"/>
      <c r="C26" s="283"/>
      <c r="D26" s="283"/>
      <c r="E26" s="283"/>
      <c r="F26" s="283"/>
      <c r="G26" s="283"/>
      <c r="H26" s="283"/>
      <c r="I26" s="283"/>
      <c r="J26" s="283"/>
      <c r="K26" s="284"/>
      <c r="L26" s="88"/>
      <c r="M26" s="89"/>
      <c r="N26" s="90">
        <f>N5+N20</f>
        <v>46.127620370370366</v>
      </c>
      <c r="O26" s="109">
        <f>O5+O20</f>
        <v>296.7848134722222</v>
      </c>
      <c r="P26" s="109">
        <f>P5+P20</f>
        <v>1119.6573333333333</v>
      </c>
      <c r="Q26" s="109">
        <f>Q5+Q20</f>
        <v>7057.92219</v>
      </c>
      <c r="R26" s="168">
        <f>R5+R20</f>
        <v>282316.8876</v>
      </c>
      <c r="S26" s="287"/>
      <c r="T26" s="288"/>
      <c r="V26" s="6"/>
      <c r="W26" s="6"/>
    </row>
    <row r="27" spans="1:23" ht="33" customHeight="1" thickBot="1">
      <c r="A27" s="282" t="s">
        <v>59</v>
      </c>
      <c r="B27" s="283"/>
      <c r="C27" s="283"/>
      <c r="D27" s="283"/>
      <c r="E27" s="283"/>
      <c r="F27" s="283"/>
      <c r="G27" s="283"/>
      <c r="H27" s="283"/>
      <c r="I27" s="283"/>
      <c r="J27" s="283"/>
      <c r="K27" s="284"/>
      <c r="L27" s="88"/>
      <c r="M27" s="89"/>
      <c r="N27" s="90">
        <f>ROUND(N26*10%,2)</f>
        <v>4.61</v>
      </c>
      <c r="O27" s="109">
        <f>ROUND(O26*10%,2)</f>
        <v>29.68</v>
      </c>
      <c r="P27" s="109">
        <f>ROUND(P26*10%,2)</f>
        <v>111.97</v>
      </c>
      <c r="Q27" s="109">
        <f>ROUND(Q26*10%,2)</f>
        <v>705.79</v>
      </c>
      <c r="R27" s="168">
        <f>ROUND(R26*10%,2)</f>
        <v>28231.69</v>
      </c>
      <c r="S27" s="287" t="s">
        <v>134</v>
      </c>
      <c r="T27" s="288"/>
      <c r="V27" s="6"/>
      <c r="W27" s="6"/>
    </row>
    <row r="28" spans="1:23" ht="48" customHeight="1" thickBot="1">
      <c r="A28" s="272" t="s">
        <v>61</v>
      </c>
      <c r="B28" s="273"/>
      <c r="C28" s="273"/>
      <c r="D28" s="273"/>
      <c r="E28" s="273"/>
      <c r="F28" s="273"/>
      <c r="G28" s="273"/>
      <c r="H28" s="273"/>
      <c r="I28" s="273"/>
      <c r="J28" s="273"/>
      <c r="K28" s="273"/>
      <c r="L28" s="273"/>
      <c r="M28" s="273"/>
      <c r="N28" s="93">
        <f>N26+N27</f>
        <v>50.737620370370365</v>
      </c>
      <c r="O28" s="110">
        <f>O26+O27</f>
        <v>326.4648134722222</v>
      </c>
      <c r="P28" s="110">
        <f>P26+P27</f>
        <v>1231.6273333333334</v>
      </c>
      <c r="Q28" s="110">
        <f>Q26+Q27</f>
        <v>7763.71219</v>
      </c>
      <c r="R28" s="169">
        <f>R26+R27</f>
        <v>310548.5776</v>
      </c>
      <c r="S28" s="312"/>
      <c r="T28" s="313"/>
      <c r="V28" s="6"/>
      <c r="W28" s="6"/>
    </row>
    <row r="29" ht="24.75">
      <c r="A29" s="125"/>
    </row>
    <row r="30" spans="4:19" ht="24.75">
      <c r="D30" s="276" t="s">
        <v>72</v>
      </c>
      <c r="E30" s="276"/>
      <c r="F30" s="276"/>
      <c r="G30" s="276"/>
      <c r="H30" s="276"/>
      <c r="I30" s="276"/>
      <c r="J30" s="276"/>
      <c r="K30" s="276"/>
      <c r="L30" s="276"/>
      <c r="M30" s="276"/>
      <c r="N30" s="276"/>
      <c r="O30" s="276"/>
      <c r="P30" s="276"/>
      <c r="Q30" s="276"/>
      <c r="R30" s="112">
        <f>R28/960</f>
        <v>323.4881016666667</v>
      </c>
      <c r="S30" s="4"/>
    </row>
    <row r="31" spans="4:19" ht="24.75">
      <c r="D31" s="276" t="s">
        <v>71</v>
      </c>
      <c r="E31" s="276"/>
      <c r="F31" s="276"/>
      <c r="G31" s="276"/>
      <c r="H31" s="276"/>
      <c r="I31" s="276"/>
      <c r="J31" s="276"/>
      <c r="K31" s="276"/>
      <c r="L31" s="276"/>
      <c r="M31" s="276"/>
      <c r="N31" s="276"/>
      <c r="O31" s="276"/>
      <c r="P31" s="276"/>
      <c r="Q31" s="276"/>
      <c r="R31" s="112">
        <f>R30/6</f>
        <v>53.914683611111116</v>
      </c>
      <c r="S31" s="4"/>
    </row>
    <row r="33" ht="24.75">
      <c r="A33" s="4"/>
    </row>
    <row r="36" ht="24.75">
      <c r="R36" s="6"/>
    </row>
  </sheetData>
  <sheetProtection/>
  <mergeCells count="27">
    <mergeCell ref="A1:T1"/>
    <mergeCell ref="R3:R4"/>
    <mergeCell ref="B3:B4"/>
    <mergeCell ref="D3:E3"/>
    <mergeCell ref="A28:M28"/>
    <mergeCell ref="F3:G3"/>
    <mergeCell ref="H3:I3"/>
    <mergeCell ref="A5:K5"/>
    <mergeCell ref="A20:K20"/>
    <mergeCell ref="A26:K26"/>
    <mergeCell ref="S5:T5"/>
    <mergeCell ref="S26:T26"/>
    <mergeCell ref="A2:T2"/>
    <mergeCell ref="L3:M3"/>
    <mergeCell ref="S3:T4"/>
    <mergeCell ref="N3:O3"/>
    <mergeCell ref="C3:C4"/>
    <mergeCell ref="A3:A4"/>
    <mergeCell ref="J3:K3"/>
    <mergeCell ref="P3:Q3"/>
    <mergeCell ref="D30:Q30"/>
    <mergeCell ref="D31:Q31"/>
    <mergeCell ref="A27:K27"/>
    <mergeCell ref="S28:T28"/>
    <mergeCell ref="S20:T20"/>
    <mergeCell ref="S27:T27"/>
    <mergeCell ref="S25:T25"/>
  </mergeCells>
  <printOptions/>
  <pageMargins left="0.5118110236220472" right="0.5118110236220472" top="0.9448818897637796" bottom="0.15748031496062992" header="0.31496062992125984" footer="0.31496062992125984"/>
  <pageSetup cellComments="asDisplayed" horizontalDpi="600" verticalDpi="600" orientation="landscape" paperSize="9" scale="50" r:id="rId1"/>
  <headerFooter>
    <oddFooter>&amp;C&amp;A&amp;RPage &amp;P</oddFooter>
  </headerFooter>
</worksheet>
</file>

<file path=xl/worksheets/sheet5.xml><?xml version="1.0" encoding="utf-8"?>
<worksheet xmlns="http://schemas.openxmlformats.org/spreadsheetml/2006/main" xmlns:r="http://schemas.openxmlformats.org/officeDocument/2006/relationships">
  <dimension ref="A1:AI34"/>
  <sheetViews>
    <sheetView zoomScale="80" zoomScaleNormal="80" zoomScalePageLayoutView="0" workbookViewId="0" topLeftCell="A7">
      <selection activeCell="L34" sqref="L34"/>
    </sheetView>
  </sheetViews>
  <sheetFormatPr defaultColWidth="9.140625" defaultRowHeight="12.75"/>
  <cols>
    <col min="1" max="1" width="6.00390625" style="0" customWidth="1"/>
    <col min="2" max="2" width="5.7109375" style="0" customWidth="1"/>
    <col min="3" max="3" width="4.57421875" style="0" customWidth="1"/>
    <col min="4" max="4" width="4.8515625" style="57" customWidth="1"/>
    <col min="5" max="5" width="10.421875" style="0" customWidth="1"/>
    <col min="6" max="6" width="2.8515625" style="0" customWidth="1"/>
    <col min="7" max="7" width="4.57421875" style="0" customWidth="1"/>
    <col min="8" max="8" width="5.28125" style="57" customWidth="1"/>
    <col min="9" max="9" width="5.28125" style="0" customWidth="1"/>
    <col min="10" max="10" width="4.8515625" style="57" customWidth="1"/>
    <col min="11" max="11" width="10.421875" style="0" customWidth="1"/>
    <col min="12" max="12" width="2.8515625" style="0" customWidth="1"/>
    <col min="13" max="13" width="3.7109375" style="0" customWidth="1"/>
    <col min="14" max="14" width="4.8515625" style="57" customWidth="1"/>
    <col min="15" max="15" width="5.28125" style="0" customWidth="1"/>
    <col min="16" max="16" width="9.7109375" style="0" customWidth="1"/>
    <col min="17" max="17" width="10.421875" style="0" customWidth="1"/>
    <col min="18" max="18" width="2.8515625" style="0" customWidth="1"/>
    <col min="19" max="19" width="3.7109375" style="0" customWidth="1"/>
    <col min="20" max="20" width="4.8515625" style="0" customWidth="1"/>
    <col min="21" max="21" width="5.8515625" style="0" customWidth="1"/>
    <col min="22" max="22" width="9.7109375" style="0" customWidth="1"/>
    <col min="23" max="23" width="10.421875" style="0" customWidth="1"/>
    <col min="24" max="24" width="2.7109375" style="0" customWidth="1"/>
    <col min="25" max="25" width="3.7109375" style="0" customWidth="1"/>
    <col min="26" max="26" width="4.8515625" style="0" customWidth="1"/>
    <col min="27" max="27" width="10.421875" style="0" customWidth="1"/>
    <col min="28" max="28" width="2.8515625" style="0" customWidth="1"/>
    <col min="29" max="29" width="4.7109375" style="0" customWidth="1"/>
    <col min="30" max="30" width="5.28125" style="0" customWidth="1"/>
    <col min="31" max="31" width="10.421875" style="0" customWidth="1"/>
    <col min="32" max="32" width="4.28125" style="0" customWidth="1"/>
    <col min="33" max="33" width="6.00390625" style="0" customWidth="1"/>
  </cols>
  <sheetData>
    <row r="1" spans="1:33" ht="12.75">
      <c r="A1" s="321" t="s">
        <v>111</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row>
    <row r="2" spans="1:33" ht="22.5" customHeight="1">
      <c r="A2" s="382" t="s">
        <v>60</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row>
    <row r="3" spans="1:33" ht="21" customHeight="1">
      <c r="A3" s="121"/>
      <c r="B3" s="121"/>
      <c r="C3" s="383"/>
      <c r="D3" s="383"/>
      <c r="E3" s="122" t="s">
        <v>94</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1:33" ht="21" customHeight="1">
      <c r="A4" s="121"/>
      <c r="B4" s="121"/>
      <c r="C4" s="376"/>
      <c r="D4" s="376"/>
      <c r="E4" s="122" t="s">
        <v>93</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row>
    <row r="5" spans="1:33" ht="7.5" customHeight="1" thickBo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row>
    <row r="6" spans="1:33" s="84" customFormat="1" ht="17.25" customHeight="1" thickBot="1">
      <c r="A6" s="377"/>
      <c r="B6" s="384">
        <v>0.3125</v>
      </c>
      <c r="C6" s="397" t="s">
        <v>54</v>
      </c>
      <c r="D6" s="379" t="s">
        <v>62</v>
      </c>
      <c r="E6" s="380"/>
      <c r="F6" s="380"/>
      <c r="G6" s="380"/>
      <c r="H6" s="381"/>
      <c r="I6" s="390" t="s">
        <v>63</v>
      </c>
      <c r="J6" s="379" t="s">
        <v>64</v>
      </c>
      <c r="K6" s="380"/>
      <c r="L6" s="380"/>
      <c r="M6" s="380"/>
      <c r="N6" s="381"/>
      <c r="O6" s="388" t="s">
        <v>65</v>
      </c>
      <c r="P6" s="379" t="s">
        <v>66</v>
      </c>
      <c r="Q6" s="380"/>
      <c r="R6" s="380"/>
      <c r="S6" s="380"/>
      <c r="T6" s="381"/>
      <c r="U6" s="386" t="s">
        <v>67</v>
      </c>
      <c r="V6" s="379" t="s">
        <v>68</v>
      </c>
      <c r="W6" s="380"/>
      <c r="X6" s="380"/>
      <c r="Y6" s="380"/>
      <c r="Z6" s="381"/>
      <c r="AA6" s="379" t="s">
        <v>69</v>
      </c>
      <c r="AB6" s="380"/>
      <c r="AC6" s="381"/>
      <c r="AD6" s="386" t="s">
        <v>55</v>
      </c>
      <c r="AE6" s="379" t="s">
        <v>89</v>
      </c>
      <c r="AF6" s="380"/>
      <c r="AG6" s="381"/>
    </row>
    <row r="7" spans="1:33" s="84" customFormat="1" ht="97.5" customHeight="1" thickBot="1">
      <c r="A7" s="378"/>
      <c r="B7" s="385"/>
      <c r="C7" s="398"/>
      <c r="D7" s="345"/>
      <c r="E7" s="346"/>
      <c r="F7" s="114" t="s">
        <v>95</v>
      </c>
      <c r="G7" s="114" t="s">
        <v>90</v>
      </c>
      <c r="H7" s="123" t="s">
        <v>53</v>
      </c>
      <c r="I7" s="391"/>
      <c r="J7" s="345"/>
      <c r="K7" s="346"/>
      <c r="L7" s="114" t="s">
        <v>95</v>
      </c>
      <c r="M7" s="114" t="s">
        <v>90</v>
      </c>
      <c r="N7" s="123" t="s">
        <v>53</v>
      </c>
      <c r="O7" s="389"/>
      <c r="P7" s="345"/>
      <c r="Q7" s="346"/>
      <c r="R7" s="114" t="s">
        <v>95</v>
      </c>
      <c r="S7" s="114" t="s">
        <v>90</v>
      </c>
      <c r="T7" s="123" t="s">
        <v>53</v>
      </c>
      <c r="U7" s="387"/>
      <c r="V7" s="345"/>
      <c r="W7" s="346"/>
      <c r="X7" s="114" t="s">
        <v>95</v>
      </c>
      <c r="Y7" s="114" t="s">
        <v>90</v>
      </c>
      <c r="Z7" s="123" t="s">
        <v>53</v>
      </c>
      <c r="AA7" s="113"/>
      <c r="AB7" s="114" t="s">
        <v>95</v>
      </c>
      <c r="AC7" s="115" t="s">
        <v>53</v>
      </c>
      <c r="AD7" s="387"/>
      <c r="AE7" s="113"/>
      <c r="AF7" s="114" t="s">
        <v>95</v>
      </c>
      <c r="AG7" s="115" t="s">
        <v>53</v>
      </c>
    </row>
    <row r="8" spans="1:33" s="58" customFormat="1" ht="20.25" customHeight="1">
      <c r="A8" s="328" t="s">
        <v>45</v>
      </c>
      <c r="B8" s="347" t="s">
        <v>10</v>
      </c>
      <c r="C8" s="348"/>
      <c r="D8" s="348"/>
      <c r="E8" s="348"/>
      <c r="F8" s="348"/>
      <c r="G8" s="348"/>
      <c r="H8" s="348"/>
      <c r="I8" s="348"/>
      <c r="J8" s="348"/>
      <c r="K8" s="348"/>
      <c r="L8" s="348"/>
      <c r="M8" s="348"/>
      <c r="N8" s="348"/>
      <c r="O8" s="349"/>
      <c r="P8" s="356" t="s">
        <v>46</v>
      </c>
      <c r="Q8" s="357"/>
      <c r="R8" s="357"/>
      <c r="S8" s="357"/>
      <c r="T8" s="358"/>
      <c r="U8" s="333" t="s">
        <v>47</v>
      </c>
      <c r="V8" s="356" t="s">
        <v>46</v>
      </c>
      <c r="W8" s="357"/>
      <c r="X8" s="357"/>
      <c r="Y8" s="357"/>
      <c r="Z8" s="358"/>
      <c r="AA8" s="367" t="s">
        <v>10</v>
      </c>
      <c r="AB8" s="368"/>
      <c r="AC8" s="369"/>
      <c r="AD8" s="333" t="s">
        <v>32</v>
      </c>
      <c r="AE8" s="367" t="s">
        <v>10</v>
      </c>
      <c r="AF8" s="368"/>
      <c r="AG8" s="369"/>
    </row>
    <row r="9" spans="1:33" s="58" customFormat="1" ht="7.5" customHeight="1" hidden="1">
      <c r="A9" s="329"/>
      <c r="B9" s="350"/>
      <c r="C9" s="351"/>
      <c r="D9" s="351"/>
      <c r="E9" s="351"/>
      <c r="F9" s="351"/>
      <c r="G9" s="351"/>
      <c r="H9" s="351"/>
      <c r="I9" s="351"/>
      <c r="J9" s="351"/>
      <c r="K9" s="351"/>
      <c r="L9" s="351"/>
      <c r="M9" s="351"/>
      <c r="N9" s="351"/>
      <c r="O9" s="352"/>
      <c r="P9" s="359"/>
      <c r="Q9" s="360"/>
      <c r="R9" s="360"/>
      <c r="S9" s="360"/>
      <c r="T9" s="361"/>
      <c r="U9" s="334"/>
      <c r="V9" s="359"/>
      <c r="W9" s="360"/>
      <c r="X9" s="360"/>
      <c r="Y9" s="360"/>
      <c r="Z9" s="361"/>
      <c r="AA9" s="370"/>
      <c r="AB9" s="371"/>
      <c r="AC9" s="372"/>
      <c r="AD9" s="334"/>
      <c r="AE9" s="370"/>
      <c r="AF9" s="371"/>
      <c r="AG9" s="372"/>
    </row>
    <row r="10" spans="1:33" s="79" customFormat="1" ht="13.5" thickBot="1">
      <c r="A10" s="330"/>
      <c r="B10" s="353"/>
      <c r="C10" s="354"/>
      <c r="D10" s="354"/>
      <c r="E10" s="354"/>
      <c r="F10" s="354"/>
      <c r="G10" s="354"/>
      <c r="H10" s="354"/>
      <c r="I10" s="354"/>
      <c r="J10" s="354"/>
      <c r="K10" s="354"/>
      <c r="L10" s="354"/>
      <c r="M10" s="354"/>
      <c r="N10" s="354"/>
      <c r="O10" s="355"/>
      <c r="P10" s="362"/>
      <c r="Q10" s="363"/>
      <c r="R10" s="363"/>
      <c r="S10" s="363"/>
      <c r="T10" s="364"/>
      <c r="U10" s="335"/>
      <c r="V10" s="362"/>
      <c r="W10" s="363"/>
      <c r="X10" s="363"/>
      <c r="Y10" s="363"/>
      <c r="Z10" s="364"/>
      <c r="AA10" s="373"/>
      <c r="AB10" s="374"/>
      <c r="AC10" s="375"/>
      <c r="AD10" s="335"/>
      <c r="AE10" s="373"/>
      <c r="AF10" s="374"/>
      <c r="AG10" s="375"/>
    </row>
    <row r="11" spans="1:33" s="58" customFormat="1" ht="22.5" customHeight="1">
      <c r="A11" s="328" t="s">
        <v>35</v>
      </c>
      <c r="B11" s="342" t="s">
        <v>34</v>
      </c>
      <c r="C11" s="333" t="s">
        <v>29</v>
      </c>
      <c r="D11" s="59" t="s">
        <v>27</v>
      </c>
      <c r="E11" s="60" t="s">
        <v>91</v>
      </c>
      <c r="F11" s="60">
        <v>1</v>
      </c>
      <c r="G11" s="60">
        <v>12</v>
      </c>
      <c r="H11" s="61">
        <v>1.5</v>
      </c>
      <c r="I11" s="333" t="s">
        <v>30</v>
      </c>
      <c r="J11" s="59" t="s">
        <v>28</v>
      </c>
      <c r="K11" s="60" t="s">
        <v>91</v>
      </c>
      <c r="L11" s="60">
        <v>1</v>
      </c>
      <c r="M11" s="60">
        <v>12</v>
      </c>
      <c r="N11" s="61">
        <v>1.5</v>
      </c>
      <c r="O11" s="333" t="s">
        <v>31</v>
      </c>
      <c r="P11" s="324" t="s">
        <v>91</v>
      </c>
      <c r="Q11" s="325"/>
      <c r="R11" s="322">
        <v>1</v>
      </c>
      <c r="S11" s="322">
        <v>24</v>
      </c>
      <c r="T11" s="340">
        <v>1.5</v>
      </c>
      <c r="U11" s="333" t="s">
        <v>30</v>
      </c>
      <c r="V11" s="324" t="s">
        <v>91</v>
      </c>
      <c r="W11" s="325"/>
      <c r="X11" s="322">
        <v>1</v>
      </c>
      <c r="Y11" s="322">
        <v>24</v>
      </c>
      <c r="Z11" s="319">
        <v>1.5</v>
      </c>
      <c r="AA11" s="331" t="s">
        <v>33</v>
      </c>
      <c r="AB11" s="66">
        <v>1</v>
      </c>
      <c r="AC11" s="68">
        <v>1</v>
      </c>
      <c r="AD11" s="333" t="s">
        <v>32</v>
      </c>
      <c r="AE11" s="331" t="s">
        <v>33</v>
      </c>
      <c r="AF11" s="66">
        <v>1</v>
      </c>
      <c r="AG11" s="68">
        <v>1</v>
      </c>
    </row>
    <row r="12" spans="1:33" s="58" customFormat="1" ht="22.5" customHeight="1" thickBot="1">
      <c r="A12" s="329"/>
      <c r="B12" s="343"/>
      <c r="C12" s="334"/>
      <c r="D12" s="62" t="s">
        <v>28</v>
      </c>
      <c r="E12" s="63" t="s">
        <v>92</v>
      </c>
      <c r="F12" s="63">
        <v>1</v>
      </c>
      <c r="G12" s="63">
        <v>12</v>
      </c>
      <c r="H12" s="64">
        <v>1.5</v>
      </c>
      <c r="I12" s="334"/>
      <c r="J12" s="62" t="s">
        <v>27</v>
      </c>
      <c r="K12" s="63" t="s">
        <v>92</v>
      </c>
      <c r="L12" s="63">
        <v>1</v>
      </c>
      <c r="M12" s="63">
        <v>12</v>
      </c>
      <c r="N12" s="64">
        <v>1.5</v>
      </c>
      <c r="O12" s="334"/>
      <c r="P12" s="326"/>
      <c r="Q12" s="327"/>
      <c r="R12" s="323"/>
      <c r="S12" s="323"/>
      <c r="T12" s="341"/>
      <c r="U12" s="334"/>
      <c r="V12" s="326"/>
      <c r="W12" s="327"/>
      <c r="X12" s="323"/>
      <c r="Y12" s="323"/>
      <c r="Z12" s="320"/>
      <c r="AA12" s="332"/>
      <c r="AB12" s="69">
        <v>1</v>
      </c>
      <c r="AC12" s="70">
        <v>1</v>
      </c>
      <c r="AD12" s="334"/>
      <c r="AE12" s="332"/>
      <c r="AF12" s="69">
        <v>1</v>
      </c>
      <c r="AG12" s="70">
        <v>1</v>
      </c>
    </row>
    <row r="13" spans="1:33" s="79" customFormat="1" ht="13.5" thickBot="1">
      <c r="A13" s="330"/>
      <c r="B13" s="344"/>
      <c r="C13" s="335"/>
      <c r="D13" s="338" t="s">
        <v>36</v>
      </c>
      <c r="E13" s="339"/>
      <c r="F13" s="72">
        <f>F11+F12</f>
        <v>2</v>
      </c>
      <c r="G13" s="72">
        <f>G11+G12</f>
        <v>24</v>
      </c>
      <c r="H13" s="73">
        <f>H11+H12</f>
        <v>3</v>
      </c>
      <c r="I13" s="335"/>
      <c r="J13" s="338" t="s">
        <v>36</v>
      </c>
      <c r="K13" s="339"/>
      <c r="L13" s="72">
        <f>L11+L12</f>
        <v>2</v>
      </c>
      <c r="M13" s="72">
        <f>M11+M12</f>
        <v>24</v>
      </c>
      <c r="N13" s="73">
        <f>N11+N12</f>
        <v>3</v>
      </c>
      <c r="O13" s="335"/>
      <c r="P13" s="336" t="s">
        <v>36</v>
      </c>
      <c r="Q13" s="337"/>
      <c r="R13" s="74">
        <f>R11+R12</f>
        <v>1</v>
      </c>
      <c r="S13" s="74">
        <f>S11+S12</f>
        <v>24</v>
      </c>
      <c r="T13" s="75">
        <f>T11+T12</f>
        <v>1.5</v>
      </c>
      <c r="U13" s="335"/>
      <c r="V13" s="336" t="s">
        <v>36</v>
      </c>
      <c r="W13" s="337"/>
      <c r="X13" s="74">
        <f>X11+X12</f>
        <v>1</v>
      </c>
      <c r="Y13" s="74">
        <f>Y11+Y12</f>
        <v>24</v>
      </c>
      <c r="Z13" s="75">
        <f>Z11+Z12</f>
        <v>1.5</v>
      </c>
      <c r="AA13" s="76" t="s">
        <v>36</v>
      </c>
      <c r="AB13" s="77">
        <f>AB11+AB12</f>
        <v>2</v>
      </c>
      <c r="AC13" s="78">
        <f>AC11+AC12</f>
        <v>2</v>
      </c>
      <c r="AD13" s="335"/>
      <c r="AE13" s="76" t="s">
        <v>36</v>
      </c>
      <c r="AF13" s="77">
        <f>AF11+AF12</f>
        <v>2</v>
      </c>
      <c r="AG13" s="78">
        <f>AG11+AG12</f>
        <v>2</v>
      </c>
    </row>
    <row r="14" spans="1:33" s="58" customFormat="1" ht="22.5" customHeight="1">
      <c r="A14" s="328" t="s">
        <v>37</v>
      </c>
      <c r="B14" s="342" t="s">
        <v>34</v>
      </c>
      <c r="C14" s="333" t="s">
        <v>29</v>
      </c>
      <c r="D14" s="324" t="s">
        <v>91</v>
      </c>
      <c r="E14" s="325"/>
      <c r="F14" s="322">
        <v>1</v>
      </c>
      <c r="G14" s="322">
        <v>24</v>
      </c>
      <c r="H14" s="340">
        <v>1.5</v>
      </c>
      <c r="I14" s="333" t="s">
        <v>30</v>
      </c>
      <c r="J14" s="59" t="s">
        <v>27</v>
      </c>
      <c r="K14" s="60" t="s">
        <v>91</v>
      </c>
      <c r="L14" s="60">
        <v>1</v>
      </c>
      <c r="M14" s="60">
        <v>12</v>
      </c>
      <c r="N14" s="61">
        <v>1.5</v>
      </c>
      <c r="O14" s="333" t="s">
        <v>31</v>
      </c>
      <c r="P14" s="324" t="s">
        <v>91</v>
      </c>
      <c r="Q14" s="325"/>
      <c r="R14" s="322">
        <v>1</v>
      </c>
      <c r="S14" s="322">
        <v>24</v>
      </c>
      <c r="T14" s="340">
        <v>1.5</v>
      </c>
      <c r="U14" s="333" t="s">
        <v>30</v>
      </c>
      <c r="V14" s="59" t="s">
        <v>28</v>
      </c>
      <c r="W14" s="60" t="s">
        <v>91</v>
      </c>
      <c r="X14" s="60">
        <v>1</v>
      </c>
      <c r="Y14" s="60">
        <v>12</v>
      </c>
      <c r="Z14" s="61">
        <v>1.5</v>
      </c>
      <c r="AA14" s="331" t="s">
        <v>33</v>
      </c>
      <c r="AB14" s="66">
        <v>1</v>
      </c>
      <c r="AC14" s="68">
        <v>1</v>
      </c>
      <c r="AD14" s="333" t="s">
        <v>32</v>
      </c>
      <c r="AE14" s="331" t="s">
        <v>33</v>
      </c>
      <c r="AF14" s="66">
        <v>1</v>
      </c>
      <c r="AG14" s="68">
        <v>1</v>
      </c>
    </row>
    <row r="15" spans="1:33" s="58" customFormat="1" ht="22.5" customHeight="1" thickBot="1">
      <c r="A15" s="329"/>
      <c r="B15" s="343"/>
      <c r="C15" s="334"/>
      <c r="D15" s="326"/>
      <c r="E15" s="327"/>
      <c r="F15" s="323"/>
      <c r="G15" s="323"/>
      <c r="H15" s="341"/>
      <c r="I15" s="334"/>
      <c r="J15" s="62" t="s">
        <v>28</v>
      </c>
      <c r="K15" s="63" t="s">
        <v>92</v>
      </c>
      <c r="L15" s="63">
        <v>1</v>
      </c>
      <c r="M15" s="63">
        <v>12</v>
      </c>
      <c r="N15" s="64">
        <v>1.5</v>
      </c>
      <c r="O15" s="334"/>
      <c r="P15" s="326"/>
      <c r="Q15" s="327"/>
      <c r="R15" s="323"/>
      <c r="S15" s="323"/>
      <c r="T15" s="341"/>
      <c r="U15" s="334"/>
      <c r="V15" s="62" t="s">
        <v>27</v>
      </c>
      <c r="W15" s="63" t="s">
        <v>92</v>
      </c>
      <c r="X15" s="63">
        <v>1</v>
      </c>
      <c r="Y15" s="63">
        <v>12</v>
      </c>
      <c r="Z15" s="64">
        <v>1.5</v>
      </c>
      <c r="AA15" s="332"/>
      <c r="AB15" s="69">
        <v>1</v>
      </c>
      <c r="AC15" s="70">
        <v>1</v>
      </c>
      <c r="AD15" s="334"/>
      <c r="AE15" s="332"/>
      <c r="AF15" s="69">
        <v>1</v>
      </c>
      <c r="AG15" s="70">
        <v>1</v>
      </c>
    </row>
    <row r="16" spans="1:33" ht="13.5" thickBot="1">
      <c r="A16" s="330"/>
      <c r="B16" s="344"/>
      <c r="C16" s="335"/>
      <c r="D16" s="336" t="s">
        <v>36</v>
      </c>
      <c r="E16" s="337"/>
      <c r="F16" s="74">
        <f>F14+F15</f>
        <v>1</v>
      </c>
      <c r="G16" s="74">
        <f>G14+G15</f>
        <v>24</v>
      </c>
      <c r="H16" s="75">
        <f>H14+H15</f>
        <v>1.5</v>
      </c>
      <c r="I16" s="335"/>
      <c r="J16" s="338" t="s">
        <v>36</v>
      </c>
      <c r="K16" s="339"/>
      <c r="L16" s="72">
        <f>L14+L15</f>
        <v>2</v>
      </c>
      <c r="M16" s="72">
        <f>M14+M15</f>
        <v>24</v>
      </c>
      <c r="N16" s="73">
        <f>N14+N15</f>
        <v>3</v>
      </c>
      <c r="O16" s="335"/>
      <c r="P16" s="336" t="s">
        <v>36</v>
      </c>
      <c r="Q16" s="337"/>
      <c r="R16" s="74">
        <f>R14+R15</f>
        <v>1</v>
      </c>
      <c r="S16" s="74">
        <f>S14+S15</f>
        <v>24</v>
      </c>
      <c r="T16" s="75">
        <f>T14+T15</f>
        <v>1.5</v>
      </c>
      <c r="U16" s="335"/>
      <c r="V16" s="338" t="s">
        <v>36</v>
      </c>
      <c r="W16" s="339"/>
      <c r="X16" s="72">
        <f>X14+X15</f>
        <v>2</v>
      </c>
      <c r="Y16" s="72">
        <f>Y14+Y15</f>
        <v>24</v>
      </c>
      <c r="Z16" s="73">
        <f>Z14+Z15</f>
        <v>3</v>
      </c>
      <c r="AA16" s="71" t="s">
        <v>36</v>
      </c>
      <c r="AB16" s="67">
        <f>AB14+AB15</f>
        <v>2</v>
      </c>
      <c r="AC16" s="65">
        <f>AC14+AC15</f>
        <v>2</v>
      </c>
      <c r="AD16" s="335"/>
      <c r="AE16" s="71" t="s">
        <v>36</v>
      </c>
      <c r="AF16" s="67">
        <f>AF14+AF15</f>
        <v>2</v>
      </c>
      <c r="AG16" s="65">
        <f>AG14+AG15</f>
        <v>2</v>
      </c>
    </row>
    <row r="17" spans="1:33" s="58" customFormat="1" ht="22.5" customHeight="1">
      <c r="A17" s="328" t="s">
        <v>38</v>
      </c>
      <c r="B17" s="342" t="s">
        <v>34</v>
      </c>
      <c r="C17" s="333" t="s">
        <v>29</v>
      </c>
      <c r="D17" s="59" t="s">
        <v>27</v>
      </c>
      <c r="E17" s="60" t="s">
        <v>91</v>
      </c>
      <c r="F17" s="60">
        <v>1</v>
      </c>
      <c r="G17" s="60">
        <v>12</v>
      </c>
      <c r="H17" s="61">
        <v>1.5</v>
      </c>
      <c r="I17" s="333" t="s">
        <v>30</v>
      </c>
      <c r="J17" s="59" t="s">
        <v>28</v>
      </c>
      <c r="K17" s="60" t="s">
        <v>91</v>
      </c>
      <c r="L17" s="60">
        <v>1</v>
      </c>
      <c r="M17" s="60">
        <v>12</v>
      </c>
      <c r="N17" s="61">
        <v>1.5</v>
      </c>
      <c r="O17" s="333" t="s">
        <v>31</v>
      </c>
      <c r="P17" s="59" t="s">
        <v>27</v>
      </c>
      <c r="Q17" s="60" t="s">
        <v>91</v>
      </c>
      <c r="R17" s="60">
        <v>1</v>
      </c>
      <c r="S17" s="60">
        <v>12</v>
      </c>
      <c r="T17" s="61">
        <v>1.5</v>
      </c>
      <c r="U17" s="333" t="s">
        <v>30</v>
      </c>
      <c r="V17" s="324" t="s">
        <v>91</v>
      </c>
      <c r="W17" s="325"/>
      <c r="X17" s="322">
        <v>1</v>
      </c>
      <c r="Y17" s="322">
        <v>24</v>
      </c>
      <c r="Z17" s="340">
        <v>1.5</v>
      </c>
      <c r="AA17" s="331" t="s">
        <v>33</v>
      </c>
      <c r="AB17" s="66">
        <v>1</v>
      </c>
      <c r="AC17" s="68">
        <v>1</v>
      </c>
      <c r="AD17" s="333" t="s">
        <v>32</v>
      </c>
      <c r="AE17" s="331" t="s">
        <v>33</v>
      </c>
      <c r="AF17" s="66">
        <v>1</v>
      </c>
      <c r="AG17" s="68">
        <v>1</v>
      </c>
    </row>
    <row r="18" spans="1:33" s="58" customFormat="1" ht="22.5" customHeight="1" thickBot="1">
      <c r="A18" s="329"/>
      <c r="B18" s="343"/>
      <c r="C18" s="334"/>
      <c r="D18" s="62" t="s">
        <v>28</v>
      </c>
      <c r="E18" s="63" t="s">
        <v>92</v>
      </c>
      <c r="F18" s="63">
        <v>1</v>
      </c>
      <c r="G18" s="63">
        <v>12</v>
      </c>
      <c r="H18" s="64">
        <v>1.5</v>
      </c>
      <c r="I18" s="334"/>
      <c r="J18" s="62" t="s">
        <v>27</v>
      </c>
      <c r="K18" s="63" t="s">
        <v>92</v>
      </c>
      <c r="L18" s="63">
        <v>1</v>
      </c>
      <c r="M18" s="63">
        <v>12</v>
      </c>
      <c r="N18" s="64">
        <v>1.5</v>
      </c>
      <c r="O18" s="334"/>
      <c r="P18" s="62" t="s">
        <v>28</v>
      </c>
      <c r="Q18" s="63" t="s">
        <v>92</v>
      </c>
      <c r="R18" s="63">
        <v>1</v>
      </c>
      <c r="S18" s="63">
        <v>12</v>
      </c>
      <c r="T18" s="64">
        <v>1.5</v>
      </c>
      <c r="U18" s="334"/>
      <c r="V18" s="326"/>
      <c r="W18" s="327"/>
      <c r="X18" s="323"/>
      <c r="Y18" s="323"/>
      <c r="Z18" s="341"/>
      <c r="AA18" s="332"/>
      <c r="AB18" s="69">
        <v>1</v>
      </c>
      <c r="AC18" s="70">
        <v>1</v>
      </c>
      <c r="AD18" s="334"/>
      <c r="AE18" s="332"/>
      <c r="AF18" s="69">
        <v>1</v>
      </c>
      <c r="AG18" s="70">
        <v>1</v>
      </c>
    </row>
    <row r="19" spans="1:33" ht="13.5" thickBot="1">
      <c r="A19" s="330"/>
      <c r="B19" s="344"/>
      <c r="C19" s="335"/>
      <c r="D19" s="338" t="s">
        <v>36</v>
      </c>
      <c r="E19" s="339"/>
      <c r="F19" s="72">
        <f>F17+F18</f>
        <v>2</v>
      </c>
      <c r="G19" s="72">
        <f>G17+G18</f>
        <v>24</v>
      </c>
      <c r="H19" s="73">
        <f>H17+H18</f>
        <v>3</v>
      </c>
      <c r="I19" s="335"/>
      <c r="J19" s="338" t="s">
        <v>36</v>
      </c>
      <c r="K19" s="339"/>
      <c r="L19" s="72">
        <f>L17+L18</f>
        <v>2</v>
      </c>
      <c r="M19" s="72">
        <f>M17+M18</f>
        <v>24</v>
      </c>
      <c r="N19" s="73">
        <f>N17+N18</f>
        <v>3</v>
      </c>
      <c r="O19" s="335"/>
      <c r="P19" s="338" t="s">
        <v>36</v>
      </c>
      <c r="Q19" s="339"/>
      <c r="R19" s="72">
        <f>R17+R18</f>
        <v>2</v>
      </c>
      <c r="S19" s="72">
        <f>S17+S18</f>
        <v>24</v>
      </c>
      <c r="T19" s="73">
        <f>T17+T18</f>
        <v>3</v>
      </c>
      <c r="U19" s="335"/>
      <c r="V19" s="336" t="s">
        <v>36</v>
      </c>
      <c r="W19" s="337"/>
      <c r="X19" s="74">
        <f>X17+X18</f>
        <v>1</v>
      </c>
      <c r="Y19" s="74">
        <f>Y17+Y18</f>
        <v>24</v>
      </c>
      <c r="Z19" s="75">
        <f>Z17+Z18</f>
        <v>1.5</v>
      </c>
      <c r="AA19" s="71" t="s">
        <v>36</v>
      </c>
      <c r="AB19" s="67">
        <f>AB17+AB18</f>
        <v>2</v>
      </c>
      <c r="AC19" s="65">
        <f>AC17+AC18</f>
        <v>2</v>
      </c>
      <c r="AD19" s="335"/>
      <c r="AE19" s="71" t="s">
        <v>36</v>
      </c>
      <c r="AF19" s="67">
        <f>AF17+AF18</f>
        <v>2</v>
      </c>
      <c r="AG19" s="65">
        <f>AG17+AG18</f>
        <v>2</v>
      </c>
    </row>
    <row r="20" spans="1:33" s="58" customFormat="1" ht="22.5" customHeight="1">
      <c r="A20" s="328" t="s">
        <v>39</v>
      </c>
      <c r="B20" s="342" t="s">
        <v>34</v>
      </c>
      <c r="C20" s="333" t="s">
        <v>29</v>
      </c>
      <c r="D20" s="324" t="s">
        <v>91</v>
      </c>
      <c r="E20" s="325"/>
      <c r="F20" s="322">
        <v>1</v>
      </c>
      <c r="G20" s="322">
        <v>24</v>
      </c>
      <c r="H20" s="340">
        <v>1.5</v>
      </c>
      <c r="I20" s="333" t="s">
        <v>30</v>
      </c>
      <c r="J20" s="324" t="s">
        <v>91</v>
      </c>
      <c r="K20" s="325"/>
      <c r="L20" s="322">
        <v>1</v>
      </c>
      <c r="M20" s="322">
        <v>24</v>
      </c>
      <c r="N20" s="340">
        <v>1.5</v>
      </c>
      <c r="O20" s="333" t="s">
        <v>31</v>
      </c>
      <c r="P20" s="59" t="s">
        <v>27</v>
      </c>
      <c r="Q20" s="60" t="s">
        <v>91</v>
      </c>
      <c r="R20" s="60">
        <v>1</v>
      </c>
      <c r="S20" s="60">
        <v>12</v>
      </c>
      <c r="T20" s="61">
        <v>1.5</v>
      </c>
      <c r="U20" s="333" t="s">
        <v>30</v>
      </c>
      <c r="V20" s="59" t="s">
        <v>28</v>
      </c>
      <c r="W20" s="60" t="s">
        <v>91</v>
      </c>
      <c r="X20" s="60">
        <v>1</v>
      </c>
      <c r="Y20" s="60">
        <v>12</v>
      </c>
      <c r="Z20" s="61">
        <v>1.5</v>
      </c>
      <c r="AA20" s="331" t="s">
        <v>33</v>
      </c>
      <c r="AB20" s="66">
        <v>1</v>
      </c>
      <c r="AC20" s="68">
        <v>1</v>
      </c>
      <c r="AD20" s="333" t="s">
        <v>32</v>
      </c>
      <c r="AE20" s="331" t="s">
        <v>33</v>
      </c>
      <c r="AF20" s="66">
        <v>1</v>
      </c>
      <c r="AG20" s="68">
        <v>1</v>
      </c>
    </row>
    <row r="21" spans="1:33" s="58" customFormat="1" ht="22.5" customHeight="1" thickBot="1">
      <c r="A21" s="329"/>
      <c r="B21" s="343"/>
      <c r="C21" s="334"/>
      <c r="D21" s="326"/>
      <c r="E21" s="327"/>
      <c r="F21" s="323"/>
      <c r="G21" s="323"/>
      <c r="H21" s="341"/>
      <c r="I21" s="334"/>
      <c r="J21" s="326"/>
      <c r="K21" s="327"/>
      <c r="L21" s="323"/>
      <c r="M21" s="323"/>
      <c r="N21" s="341"/>
      <c r="O21" s="334"/>
      <c r="P21" s="62" t="s">
        <v>28</v>
      </c>
      <c r="Q21" s="63" t="s">
        <v>92</v>
      </c>
      <c r="R21" s="63">
        <v>1</v>
      </c>
      <c r="S21" s="63">
        <v>12</v>
      </c>
      <c r="T21" s="64">
        <v>1.5</v>
      </c>
      <c r="U21" s="334"/>
      <c r="V21" s="62" t="s">
        <v>27</v>
      </c>
      <c r="W21" s="63" t="s">
        <v>92</v>
      </c>
      <c r="X21" s="63">
        <v>1</v>
      </c>
      <c r="Y21" s="63">
        <v>12</v>
      </c>
      <c r="Z21" s="64">
        <v>1.5</v>
      </c>
      <c r="AA21" s="332"/>
      <c r="AB21" s="69">
        <v>1</v>
      </c>
      <c r="AC21" s="70">
        <v>1</v>
      </c>
      <c r="AD21" s="334"/>
      <c r="AE21" s="332"/>
      <c r="AF21" s="69">
        <v>1</v>
      </c>
      <c r="AG21" s="70">
        <v>1</v>
      </c>
    </row>
    <row r="22" spans="1:33" ht="13.5" thickBot="1">
      <c r="A22" s="330"/>
      <c r="B22" s="344"/>
      <c r="C22" s="335"/>
      <c r="D22" s="336" t="s">
        <v>36</v>
      </c>
      <c r="E22" s="337"/>
      <c r="F22" s="74">
        <f>F20+F21</f>
        <v>1</v>
      </c>
      <c r="G22" s="74">
        <f>G20+G21</f>
        <v>24</v>
      </c>
      <c r="H22" s="75">
        <f>H20+H21</f>
        <v>1.5</v>
      </c>
      <c r="I22" s="335"/>
      <c r="J22" s="336" t="s">
        <v>36</v>
      </c>
      <c r="K22" s="337"/>
      <c r="L22" s="74">
        <f>L20+L21</f>
        <v>1</v>
      </c>
      <c r="M22" s="74">
        <f>M20+M21</f>
        <v>24</v>
      </c>
      <c r="N22" s="75">
        <f>N20+N21</f>
        <v>1.5</v>
      </c>
      <c r="O22" s="335"/>
      <c r="P22" s="338" t="s">
        <v>36</v>
      </c>
      <c r="Q22" s="339"/>
      <c r="R22" s="72">
        <f>R20+R21</f>
        <v>2</v>
      </c>
      <c r="S22" s="72">
        <f>S20+S21</f>
        <v>24</v>
      </c>
      <c r="T22" s="73">
        <f>T20+T21</f>
        <v>3</v>
      </c>
      <c r="U22" s="335"/>
      <c r="V22" s="338" t="s">
        <v>36</v>
      </c>
      <c r="W22" s="339"/>
      <c r="X22" s="72">
        <f>X20+X21</f>
        <v>2</v>
      </c>
      <c r="Y22" s="72">
        <f>Y20+Y21</f>
        <v>24</v>
      </c>
      <c r="Z22" s="73">
        <f>Z20+Z21</f>
        <v>3</v>
      </c>
      <c r="AA22" s="71" t="s">
        <v>36</v>
      </c>
      <c r="AB22" s="67">
        <f>AB20+AB21</f>
        <v>2</v>
      </c>
      <c r="AC22" s="65">
        <f>AC20+AC21</f>
        <v>2</v>
      </c>
      <c r="AD22" s="335"/>
      <c r="AE22" s="71" t="s">
        <v>36</v>
      </c>
      <c r="AF22" s="67">
        <f>AF20+AF21</f>
        <v>2</v>
      </c>
      <c r="AG22" s="65">
        <f>AG20+AG21</f>
        <v>2</v>
      </c>
    </row>
    <row r="23" spans="1:33" s="58" customFormat="1" ht="22.5" customHeight="1">
      <c r="A23" s="328" t="s">
        <v>40</v>
      </c>
      <c r="B23" s="342" t="s">
        <v>34</v>
      </c>
      <c r="C23" s="333" t="s">
        <v>29</v>
      </c>
      <c r="D23" s="324" t="s">
        <v>91</v>
      </c>
      <c r="E23" s="325"/>
      <c r="F23" s="322">
        <v>1</v>
      </c>
      <c r="G23" s="322">
        <v>24</v>
      </c>
      <c r="H23" s="340">
        <v>1.5</v>
      </c>
      <c r="I23" s="333" t="s">
        <v>30</v>
      </c>
      <c r="J23" s="59" t="s">
        <v>28</v>
      </c>
      <c r="K23" s="60" t="s">
        <v>91</v>
      </c>
      <c r="L23" s="60">
        <v>1</v>
      </c>
      <c r="M23" s="60">
        <v>12</v>
      </c>
      <c r="N23" s="61">
        <v>1.5</v>
      </c>
      <c r="O23" s="333" t="s">
        <v>31</v>
      </c>
      <c r="P23" s="324" t="s">
        <v>91</v>
      </c>
      <c r="Q23" s="325"/>
      <c r="R23" s="322">
        <v>1</v>
      </c>
      <c r="S23" s="322">
        <v>24</v>
      </c>
      <c r="T23" s="340">
        <v>1.5</v>
      </c>
      <c r="U23" s="333" t="s">
        <v>30</v>
      </c>
      <c r="V23" s="59" t="s">
        <v>27</v>
      </c>
      <c r="W23" s="60" t="s">
        <v>91</v>
      </c>
      <c r="X23" s="60">
        <v>1</v>
      </c>
      <c r="Y23" s="60">
        <v>12</v>
      </c>
      <c r="Z23" s="61">
        <v>1.5</v>
      </c>
      <c r="AA23" s="331" t="s">
        <v>33</v>
      </c>
      <c r="AB23" s="66">
        <v>1</v>
      </c>
      <c r="AC23" s="68">
        <v>1</v>
      </c>
      <c r="AD23" s="333" t="s">
        <v>32</v>
      </c>
      <c r="AE23" s="367" t="s">
        <v>41</v>
      </c>
      <c r="AF23" s="368"/>
      <c r="AG23" s="369"/>
    </row>
    <row r="24" spans="1:33" s="58" customFormat="1" ht="22.5" customHeight="1" thickBot="1">
      <c r="A24" s="329"/>
      <c r="B24" s="343"/>
      <c r="C24" s="334"/>
      <c r="D24" s="326"/>
      <c r="E24" s="327"/>
      <c r="F24" s="323"/>
      <c r="G24" s="323"/>
      <c r="H24" s="341"/>
      <c r="I24" s="334"/>
      <c r="J24" s="62" t="s">
        <v>27</v>
      </c>
      <c r="K24" s="63" t="s">
        <v>92</v>
      </c>
      <c r="L24" s="63">
        <v>1</v>
      </c>
      <c r="M24" s="63">
        <v>12</v>
      </c>
      <c r="N24" s="64">
        <v>1.5</v>
      </c>
      <c r="O24" s="334"/>
      <c r="P24" s="326"/>
      <c r="Q24" s="327"/>
      <c r="R24" s="323"/>
      <c r="S24" s="323"/>
      <c r="T24" s="341"/>
      <c r="U24" s="334"/>
      <c r="V24" s="62" t="s">
        <v>28</v>
      </c>
      <c r="W24" s="63" t="s">
        <v>92</v>
      </c>
      <c r="X24" s="63">
        <v>1</v>
      </c>
      <c r="Y24" s="63">
        <v>12</v>
      </c>
      <c r="Z24" s="64">
        <v>1.5</v>
      </c>
      <c r="AA24" s="332"/>
      <c r="AB24" s="69">
        <v>1</v>
      </c>
      <c r="AC24" s="70">
        <v>1</v>
      </c>
      <c r="AD24" s="334"/>
      <c r="AE24" s="370"/>
      <c r="AF24" s="371"/>
      <c r="AG24" s="372"/>
    </row>
    <row r="25" spans="1:33" ht="13.5" thickBot="1">
      <c r="A25" s="330"/>
      <c r="B25" s="344"/>
      <c r="C25" s="335"/>
      <c r="D25" s="336" t="s">
        <v>36</v>
      </c>
      <c r="E25" s="337"/>
      <c r="F25" s="74">
        <f>F23+F24</f>
        <v>1</v>
      </c>
      <c r="G25" s="74">
        <f>G23+G24</f>
        <v>24</v>
      </c>
      <c r="H25" s="75">
        <f>H23+H24</f>
        <v>1.5</v>
      </c>
      <c r="I25" s="335"/>
      <c r="J25" s="338" t="s">
        <v>36</v>
      </c>
      <c r="K25" s="339"/>
      <c r="L25" s="72">
        <f>L23+L24</f>
        <v>2</v>
      </c>
      <c r="M25" s="72">
        <f>M23+M24</f>
        <v>24</v>
      </c>
      <c r="N25" s="73">
        <f>N23+N24</f>
        <v>3</v>
      </c>
      <c r="O25" s="335"/>
      <c r="P25" s="336" t="s">
        <v>36</v>
      </c>
      <c r="Q25" s="337"/>
      <c r="R25" s="74">
        <f>R23+R24</f>
        <v>1</v>
      </c>
      <c r="S25" s="74">
        <f>S23+S24</f>
        <v>24</v>
      </c>
      <c r="T25" s="75">
        <f>T23+T24</f>
        <v>1.5</v>
      </c>
      <c r="U25" s="335"/>
      <c r="V25" s="338" t="s">
        <v>36</v>
      </c>
      <c r="W25" s="339"/>
      <c r="X25" s="72">
        <f>X23+X24</f>
        <v>2</v>
      </c>
      <c r="Y25" s="72">
        <f>Y23+Y24</f>
        <v>24</v>
      </c>
      <c r="Z25" s="73">
        <f>Z23+Z24</f>
        <v>3</v>
      </c>
      <c r="AA25" s="71" t="s">
        <v>36</v>
      </c>
      <c r="AB25" s="67">
        <f>AB23+AB24</f>
        <v>2</v>
      </c>
      <c r="AC25" s="65">
        <f>AC23+AC24</f>
        <v>2</v>
      </c>
      <c r="AD25" s="335"/>
      <c r="AE25" s="373"/>
      <c r="AF25" s="374"/>
      <c r="AG25" s="375"/>
    </row>
    <row r="26" spans="1:33" s="58" customFormat="1" ht="22.5" customHeight="1">
      <c r="A26" s="328" t="s">
        <v>42</v>
      </c>
      <c r="B26" s="342" t="s">
        <v>34</v>
      </c>
      <c r="C26" s="333" t="s">
        <v>29</v>
      </c>
      <c r="D26" s="324" t="s">
        <v>91</v>
      </c>
      <c r="E26" s="325"/>
      <c r="F26" s="322">
        <v>1</v>
      </c>
      <c r="G26" s="322">
        <v>24</v>
      </c>
      <c r="H26" s="340">
        <v>1.5</v>
      </c>
      <c r="I26" s="333"/>
      <c r="J26" s="356" t="s">
        <v>43</v>
      </c>
      <c r="K26" s="357"/>
      <c r="L26" s="357"/>
      <c r="M26" s="357"/>
      <c r="N26" s="358"/>
      <c r="O26" s="333"/>
      <c r="P26" s="347" t="s">
        <v>44</v>
      </c>
      <c r="Q26" s="348"/>
      <c r="R26" s="348"/>
      <c r="S26" s="348"/>
      <c r="T26" s="349"/>
      <c r="U26" s="356" t="s">
        <v>10</v>
      </c>
      <c r="V26" s="357"/>
      <c r="W26" s="357"/>
      <c r="X26" s="357"/>
      <c r="Y26" s="357"/>
      <c r="Z26" s="357"/>
      <c r="AA26" s="357"/>
      <c r="AB26" s="357"/>
      <c r="AC26" s="357"/>
      <c r="AD26" s="357"/>
      <c r="AE26" s="357"/>
      <c r="AF26" s="357"/>
      <c r="AG26" s="358"/>
    </row>
    <row r="27" spans="1:33" s="58" customFormat="1" ht="22.5" customHeight="1" thickBot="1">
      <c r="A27" s="329"/>
      <c r="B27" s="343"/>
      <c r="C27" s="334"/>
      <c r="D27" s="326"/>
      <c r="E27" s="327"/>
      <c r="F27" s="323"/>
      <c r="G27" s="323"/>
      <c r="H27" s="341"/>
      <c r="I27" s="334"/>
      <c r="J27" s="359"/>
      <c r="K27" s="360"/>
      <c r="L27" s="360"/>
      <c r="M27" s="360"/>
      <c r="N27" s="361"/>
      <c r="O27" s="334"/>
      <c r="P27" s="350"/>
      <c r="Q27" s="351"/>
      <c r="R27" s="351"/>
      <c r="S27" s="351"/>
      <c r="T27" s="352"/>
      <c r="U27" s="359"/>
      <c r="V27" s="360"/>
      <c r="W27" s="360"/>
      <c r="X27" s="360"/>
      <c r="Y27" s="360"/>
      <c r="Z27" s="360"/>
      <c r="AA27" s="360"/>
      <c r="AB27" s="360"/>
      <c r="AC27" s="360"/>
      <c r="AD27" s="360"/>
      <c r="AE27" s="360"/>
      <c r="AF27" s="360"/>
      <c r="AG27" s="361"/>
    </row>
    <row r="28" spans="1:33" ht="13.5" thickBot="1">
      <c r="A28" s="330"/>
      <c r="B28" s="344"/>
      <c r="C28" s="335"/>
      <c r="D28" s="336" t="s">
        <v>36</v>
      </c>
      <c r="E28" s="337"/>
      <c r="F28" s="74">
        <f>F26+F27</f>
        <v>1</v>
      </c>
      <c r="G28" s="74">
        <f>G26+G27</f>
        <v>24</v>
      </c>
      <c r="H28" s="75">
        <f>H26+H27</f>
        <v>1.5</v>
      </c>
      <c r="I28" s="335"/>
      <c r="J28" s="362"/>
      <c r="K28" s="363"/>
      <c r="L28" s="363"/>
      <c r="M28" s="363"/>
      <c r="N28" s="364"/>
      <c r="O28" s="335"/>
      <c r="P28" s="353"/>
      <c r="Q28" s="354"/>
      <c r="R28" s="354"/>
      <c r="S28" s="354"/>
      <c r="T28" s="355"/>
      <c r="U28" s="362"/>
      <c r="V28" s="363"/>
      <c r="W28" s="363"/>
      <c r="X28" s="363"/>
      <c r="Y28" s="363"/>
      <c r="Z28" s="363"/>
      <c r="AA28" s="363"/>
      <c r="AB28" s="363"/>
      <c r="AC28" s="363"/>
      <c r="AD28" s="363"/>
      <c r="AE28" s="363"/>
      <c r="AF28" s="363"/>
      <c r="AG28" s="364"/>
    </row>
    <row r="30" spans="4:35" ht="35.25" customHeight="1" thickBot="1">
      <c r="D30" s="80" t="s">
        <v>49</v>
      </c>
      <c r="F30" s="405" t="s">
        <v>52</v>
      </c>
      <c r="G30" s="405"/>
      <c r="H30" s="116" t="s">
        <v>53</v>
      </c>
      <c r="AA30" s="94"/>
      <c r="AB30" s="94"/>
      <c r="AC30" s="94"/>
      <c r="AD30" s="94"/>
      <c r="AI30" s="3"/>
    </row>
    <row r="31" spans="3:33" ht="13.5" thickBot="1">
      <c r="C31" s="393" t="s">
        <v>36</v>
      </c>
      <c r="D31" s="394"/>
      <c r="E31" s="394"/>
      <c r="F31" s="402">
        <f>F13+F19+L13+L16+L19+L25+R22+X16+X22+X25+R19</f>
        <v>22</v>
      </c>
      <c r="G31" s="402"/>
      <c r="H31" s="81">
        <f>H13+H19+N13+N16+N19+N25+T22+Z16+Z22+Z25+T19</f>
        <v>33</v>
      </c>
      <c r="K31" s="120"/>
      <c r="AA31" s="95"/>
      <c r="AB31" s="96"/>
      <c r="AC31" s="399" t="s">
        <v>36</v>
      </c>
      <c r="AD31" s="400"/>
      <c r="AE31" s="401"/>
      <c r="AF31" s="67">
        <f>AF13+AF16+AF19+AF22+AB13+AB16+AB19+AB22+AB25</f>
        <v>18</v>
      </c>
      <c r="AG31" s="65">
        <f>AG13+AG16+AG19+AG22+AC13+AC16+AC19+AC22+AC25</f>
        <v>18</v>
      </c>
    </row>
    <row r="32" spans="3:34" ht="13.5" thickBot="1">
      <c r="C32" s="395" t="s">
        <v>36</v>
      </c>
      <c r="D32" s="396"/>
      <c r="E32" s="396"/>
      <c r="F32" s="403">
        <f>F16+F22+F25+F28+L22+R13+R16+R25+X13+X19</f>
        <v>10</v>
      </c>
      <c r="G32" s="403"/>
      <c r="H32" s="117">
        <f>H16+H22+H25+H28+N22+T13+T16+T25+Z13+Z19</f>
        <v>15</v>
      </c>
      <c r="K32" s="124"/>
      <c r="X32" s="318" t="s">
        <v>51</v>
      </c>
      <c r="Y32" s="318"/>
      <c r="Z32" s="318"/>
      <c r="AA32" s="318"/>
      <c r="AB32" s="318"/>
      <c r="AC32" s="318"/>
      <c r="AD32" s="318"/>
      <c r="AE32" s="318"/>
      <c r="AF32" s="318"/>
      <c r="AG32" s="79">
        <f>AG31/24</f>
        <v>0.75</v>
      </c>
      <c r="AH32" s="3"/>
    </row>
    <row r="33" spans="3:33" ht="13.5" thickBot="1">
      <c r="C33" s="83"/>
      <c r="D33" s="82"/>
      <c r="E33" s="82" t="s">
        <v>50</v>
      </c>
      <c r="F33" s="404">
        <f>F31+F32</f>
        <v>32</v>
      </c>
      <c r="G33" s="404"/>
      <c r="H33" s="118">
        <f>H31+H32</f>
        <v>48</v>
      </c>
      <c r="X33" s="318" t="s">
        <v>216</v>
      </c>
      <c r="Y33" s="318"/>
      <c r="Z33" s="318"/>
      <c r="AA33" s="318"/>
      <c r="AB33" s="318"/>
      <c r="AC33" s="318"/>
      <c r="AD33" s="318"/>
      <c r="AE33" s="318"/>
      <c r="AF33" s="318"/>
      <c r="AG33">
        <v>45</v>
      </c>
    </row>
    <row r="34" spans="3:11" ht="13.5" thickBot="1">
      <c r="C34" s="365" t="s">
        <v>48</v>
      </c>
      <c r="D34" s="366"/>
      <c r="E34" s="366"/>
      <c r="F34" s="366">
        <f>F31/2+F32</f>
        <v>21</v>
      </c>
      <c r="G34" s="366"/>
      <c r="H34" s="119">
        <f>H31/2+H32</f>
        <v>31.5</v>
      </c>
      <c r="J34" s="392"/>
      <c r="K34" s="392"/>
    </row>
  </sheetData>
  <sheetProtection/>
  <mergeCells count="155">
    <mergeCell ref="J34:K34"/>
    <mergeCell ref="AD6:AD7"/>
    <mergeCell ref="C31:E31"/>
    <mergeCell ref="C32:E32"/>
    <mergeCell ref="C6:C7"/>
    <mergeCell ref="AC31:AE31"/>
    <mergeCell ref="F31:G31"/>
    <mergeCell ref="F32:G32"/>
    <mergeCell ref="F33:G33"/>
    <mergeCell ref="F30:G30"/>
    <mergeCell ref="I6:I7"/>
    <mergeCell ref="U26:AG28"/>
    <mergeCell ref="B8:O10"/>
    <mergeCell ref="P8:T10"/>
    <mergeCell ref="J25:K25"/>
    <mergeCell ref="V25:W25"/>
    <mergeCell ref="I23:I25"/>
    <mergeCell ref="T23:T24"/>
    <mergeCell ref="AD8:AD10"/>
    <mergeCell ref="I26:I28"/>
    <mergeCell ref="A2:AG2"/>
    <mergeCell ref="D6:H6"/>
    <mergeCell ref="J6:N6"/>
    <mergeCell ref="P6:T6"/>
    <mergeCell ref="V6:Z6"/>
    <mergeCell ref="J7:K7"/>
    <mergeCell ref="C3:D3"/>
    <mergeCell ref="B6:B7"/>
    <mergeCell ref="U6:U7"/>
    <mergeCell ref="O6:O7"/>
    <mergeCell ref="A8:A10"/>
    <mergeCell ref="C4:D4"/>
    <mergeCell ref="A6:A7"/>
    <mergeCell ref="V7:W7"/>
    <mergeCell ref="AE6:AG6"/>
    <mergeCell ref="U8:U10"/>
    <mergeCell ref="AE8:AG10"/>
    <mergeCell ref="AA6:AC6"/>
    <mergeCell ref="AA8:AC10"/>
    <mergeCell ref="V8:Z10"/>
    <mergeCell ref="C34:E34"/>
    <mergeCell ref="D25:E25"/>
    <mergeCell ref="F34:G34"/>
    <mergeCell ref="AE23:AG25"/>
    <mergeCell ref="P23:Q24"/>
    <mergeCell ref="R23:R24"/>
    <mergeCell ref="S23:S24"/>
    <mergeCell ref="U23:U25"/>
    <mergeCell ref="AD23:AD25"/>
    <mergeCell ref="P25:Q25"/>
    <mergeCell ref="P26:T28"/>
    <mergeCell ref="B23:B25"/>
    <mergeCell ref="C23:C25"/>
    <mergeCell ref="D23:E24"/>
    <mergeCell ref="F23:F24"/>
    <mergeCell ref="G23:G24"/>
    <mergeCell ref="D28:E28"/>
    <mergeCell ref="J26:N28"/>
    <mergeCell ref="H23:H24"/>
    <mergeCell ref="O23:O25"/>
    <mergeCell ref="AA20:AA21"/>
    <mergeCell ref="H20:H21"/>
    <mergeCell ref="L20:L21"/>
    <mergeCell ref="G20:G21"/>
    <mergeCell ref="U20:U22"/>
    <mergeCell ref="AD20:AD22"/>
    <mergeCell ref="M20:M21"/>
    <mergeCell ref="N20:N21"/>
    <mergeCell ref="J20:K21"/>
    <mergeCell ref="J22:K22"/>
    <mergeCell ref="A26:A28"/>
    <mergeCell ref="B26:B28"/>
    <mergeCell ref="C26:C28"/>
    <mergeCell ref="D22:E22"/>
    <mergeCell ref="A23:A25"/>
    <mergeCell ref="O20:O22"/>
    <mergeCell ref="D26:E27"/>
    <mergeCell ref="F26:F27"/>
    <mergeCell ref="G26:G27"/>
    <mergeCell ref="H26:H27"/>
    <mergeCell ref="A20:A22"/>
    <mergeCell ref="B20:B22"/>
    <mergeCell ref="C20:C22"/>
    <mergeCell ref="I20:I22"/>
    <mergeCell ref="V22:W22"/>
    <mergeCell ref="D20:E21"/>
    <mergeCell ref="F20:F21"/>
    <mergeCell ref="P22:Q22"/>
    <mergeCell ref="Y17:Y18"/>
    <mergeCell ref="I17:I19"/>
    <mergeCell ref="Z17:Z18"/>
    <mergeCell ref="AD17:AD19"/>
    <mergeCell ref="AE17:AE18"/>
    <mergeCell ref="J19:K19"/>
    <mergeCell ref="P19:Q19"/>
    <mergeCell ref="V19:W19"/>
    <mergeCell ref="X17:X18"/>
    <mergeCell ref="O17:O19"/>
    <mergeCell ref="V13:W13"/>
    <mergeCell ref="D13:E13"/>
    <mergeCell ref="J13:K13"/>
    <mergeCell ref="I14:I16"/>
    <mergeCell ref="T11:T12"/>
    <mergeCell ref="P11:Q12"/>
    <mergeCell ref="J16:K16"/>
    <mergeCell ref="S11:S12"/>
    <mergeCell ref="D16:E16"/>
    <mergeCell ref="O11:O13"/>
    <mergeCell ref="D7:E7"/>
    <mergeCell ref="B14:B16"/>
    <mergeCell ref="C14:C16"/>
    <mergeCell ref="X11:X12"/>
    <mergeCell ref="T14:T15"/>
    <mergeCell ref="P7:Q7"/>
    <mergeCell ref="U14:U16"/>
    <mergeCell ref="B11:B13"/>
    <mergeCell ref="C11:C13"/>
    <mergeCell ref="I11:I13"/>
    <mergeCell ref="H14:H15"/>
    <mergeCell ref="U11:U13"/>
    <mergeCell ref="A17:A19"/>
    <mergeCell ref="B17:B19"/>
    <mergeCell ref="C17:C19"/>
    <mergeCell ref="G14:G15"/>
    <mergeCell ref="A14:A16"/>
    <mergeCell ref="AE20:AE21"/>
    <mergeCell ref="X32:AF32"/>
    <mergeCell ref="AA23:AA24"/>
    <mergeCell ref="O14:O16"/>
    <mergeCell ref="D14:E15"/>
    <mergeCell ref="F14:F15"/>
    <mergeCell ref="P16:Q16"/>
    <mergeCell ref="AA17:AA18"/>
    <mergeCell ref="D19:E19"/>
    <mergeCell ref="V17:W18"/>
    <mergeCell ref="AD11:AD13"/>
    <mergeCell ref="AE11:AE12"/>
    <mergeCell ref="AD14:AD16"/>
    <mergeCell ref="AE14:AE15"/>
    <mergeCell ref="O26:O28"/>
    <mergeCell ref="P13:Q13"/>
    <mergeCell ref="V11:W12"/>
    <mergeCell ref="V16:W16"/>
    <mergeCell ref="U17:U19"/>
    <mergeCell ref="Y11:Y12"/>
    <mergeCell ref="X33:AF33"/>
    <mergeCell ref="Z11:Z12"/>
    <mergeCell ref="A1:AG1"/>
    <mergeCell ref="R11:R12"/>
    <mergeCell ref="P14:Q15"/>
    <mergeCell ref="R14:R15"/>
    <mergeCell ref="S14:S15"/>
    <mergeCell ref="A11:A13"/>
    <mergeCell ref="AA11:AA12"/>
    <mergeCell ref="AA14:AA15"/>
  </mergeCells>
  <printOptions/>
  <pageMargins left="0.5118110236220472" right="0.5118110236220472" top="0.9448818897637796" bottom="0.5511811023622047" header="0.31496062992125984" footer="0.31496062992125984"/>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IV22"/>
  <sheetViews>
    <sheetView zoomScale="90" zoomScaleNormal="90" zoomScalePageLayoutView="0" workbookViewId="0" topLeftCell="A1">
      <selection activeCell="M7" sqref="M7"/>
    </sheetView>
  </sheetViews>
  <sheetFormatPr defaultColWidth="13.57421875" defaultRowHeight="12.75"/>
  <cols>
    <col min="1" max="1" width="39.28125" style="197" customWidth="1"/>
    <col min="2" max="2" width="14.421875" style="197" customWidth="1"/>
    <col min="3" max="3" width="12.7109375" style="197" customWidth="1"/>
    <col min="4" max="4" width="13.57421875" style="197" customWidth="1"/>
    <col min="5" max="5" width="11.28125" style="197" customWidth="1"/>
    <col min="6" max="6" width="12.28125" style="197" customWidth="1"/>
    <col min="7" max="7" width="12.421875" style="197" customWidth="1"/>
    <col min="8" max="10" width="12.140625" style="197" customWidth="1"/>
    <col min="11" max="248" width="9.140625" style="197" customWidth="1"/>
    <col min="249" max="249" width="24.8515625" style="197" customWidth="1"/>
    <col min="250" max="254" width="14.421875" style="197" customWidth="1"/>
    <col min="255" max="255" width="12.7109375" style="197" customWidth="1"/>
    <col min="256" max="16384" width="13.57421875" style="197" customWidth="1"/>
  </cols>
  <sheetData>
    <row r="1" spans="1:11" ht="16.5" customHeight="1">
      <c r="A1" s="407" t="s">
        <v>142</v>
      </c>
      <c r="B1" s="407"/>
      <c r="C1" s="407"/>
      <c r="D1" s="407"/>
      <c r="E1" s="407"/>
      <c r="F1" s="407"/>
      <c r="G1" s="407"/>
      <c r="H1" s="407"/>
      <c r="I1" s="407"/>
      <c r="J1" s="407"/>
      <c r="K1" s="407"/>
    </row>
    <row r="2" spans="1:10" ht="17.25">
      <c r="A2" s="420" t="s">
        <v>73</v>
      </c>
      <c r="B2" s="420"/>
      <c r="C2" s="420"/>
      <c r="D2" s="420"/>
      <c r="E2" s="420"/>
      <c r="F2" s="420"/>
      <c r="G2" s="420"/>
      <c r="H2" s="420"/>
      <c r="I2" s="420"/>
      <c r="J2" s="198"/>
    </row>
    <row r="3" spans="1:9" ht="117" customHeight="1">
      <c r="A3" s="132" t="s">
        <v>74</v>
      </c>
      <c r="B3" s="133" t="s">
        <v>75</v>
      </c>
      <c r="C3" s="133" t="s">
        <v>76</v>
      </c>
      <c r="D3" s="133" t="s">
        <v>112</v>
      </c>
      <c r="E3" s="133" t="s">
        <v>113</v>
      </c>
      <c r="F3" s="133" t="s">
        <v>77</v>
      </c>
      <c r="G3" s="133" t="s">
        <v>114</v>
      </c>
      <c r="H3" s="134" t="s">
        <v>115</v>
      </c>
      <c r="I3" s="134" t="s">
        <v>116</v>
      </c>
    </row>
    <row r="4" spans="1:256" ht="13.5">
      <c r="A4" s="135">
        <v>1</v>
      </c>
      <c r="B4" s="135">
        <v>2</v>
      </c>
      <c r="C4" s="135">
        <v>3</v>
      </c>
      <c r="D4" s="135" t="s">
        <v>78</v>
      </c>
      <c r="E4" s="136" t="s">
        <v>79</v>
      </c>
      <c r="F4" s="135" t="s">
        <v>80</v>
      </c>
      <c r="G4" s="135" t="s">
        <v>81</v>
      </c>
      <c r="H4" s="136" t="s">
        <v>82</v>
      </c>
      <c r="I4" s="136" t="s">
        <v>83</v>
      </c>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row>
    <row r="5" spans="1:9" ht="37.5" customHeight="1">
      <c r="A5" s="137" t="str">
        <f>'Pielik_ Nr_4_Onko_grozs_2020'!A18</f>
        <v>Programmas/kursa vadītājs - ārstniecības persona vai sociālais darbinieks</v>
      </c>
      <c r="B5" s="132">
        <v>1</v>
      </c>
      <c r="C5" s="138">
        <f>3*39</f>
        <v>117</v>
      </c>
      <c r="D5" s="139">
        <f>C5*B5</f>
        <v>117</v>
      </c>
      <c r="E5" s="139">
        <f>B5*213.43</f>
        <v>213.43</v>
      </c>
      <c r="F5" s="139">
        <f>K18</f>
        <v>184.45</v>
      </c>
      <c r="G5" s="139">
        <f>F5*B5</f>
        <v>184.45</v>
      </c>
      <c r="H5" s="139">
        <f>I5/12</f>
        <v>42.906666666666666</v>
      </c>
      <c r="I5" s="139">
        <f>D5+E5+G5</f>
        <v>514.88</v>
      </c>
    </row>
    <row r="6" spans="1:9" ht="15">
      <c r="A6" s="137" t="s">
        <v>14</v>
      </c>
      <c r="B6" s="132">
        <v>1</v>
      </c>
      <c r="C6" s="138">
        <v>117</v>
      </c>
      <c r="D6" s="139">
        <f>C6*B6</f>
        <v>117</v>
      </c>
      <c r="E6" s="139">
        <f>B6*213.43</f>
        <v>213.43</v>
      </c>
      <c r="F6" s="139">
        <f>K17</f>
        <v>184.45</v>
      </c>
      <c r="G6" s="139">
        <f>F6*B6</f>
        <v>184.45</v>
      </c>
      <c r="H6" s="139">
        <f>I6/12</f>
        <v>42.906666666666666</v>
      </c>
      <c r="I6" s="139">
        <f>D6+E6+G6</f>
        <v>514.88</v>
      </c>
    </row>
    <row r="7" spans="1:9" ht="15">
      <c r="A7" s="137" t="s">
        <v>178</v>
      </c>
      <c r="B7" s="132">
        <v>5</v>
      </c>
      <c r="C7" s="138">
        <v>117</v>
      </c>
      <c r="D7" s="139">
        <f>C7*B7</f>
        <v>585</v>
      </c>
      <c r="E7" s="139">
        <f>B7*213.43</f>
        <v>1067.15</v>
      </c>
      <c r="F7" s="139">
        <f>F6</f>
        <v>184.45</v>
      </c>
      <c r="G7" s="139">
        <f>F7*B7</f>
        <v>922.25</v>
      </c>
      <c r="H7" s="139">
        <f>I7/12</f>
        <v>214.53333333333333</v>
      </c>
      <c r="I7" s="139">
        <f>D7+E7+G7</f>
        <v>2574.4</v>
      </c>
    </row>
    <row r="8" spans="1:9" ht="15">
      <c r="A8" s="140" t="s">
        <v>84</v>
      </c>
      <c r="B8" s="141" t="s">
        <v>85</v>
      </c>
      <c r="C8" s="142" t="s">
        <v>85</v>
      </c>
      <c r="D8" s="143">
        <f aca="true" t="shared" si="0" ref="D8:I8">SUM(D5:D7)</f>
        <v>819</v>
      </c>
      <c r="E8" s="143">
        <f t="shared" si="0"/>
        <v>1494.0100000000002</v>
      </c>
      <c r="F8" s="143">
        <f t="shared" si="0"/>
        <v>553.3499999999999</v>
      </c>
      <c r="G8" s="143">
        <f t="shared" si="0"/>
        <v>1291.15</v>
      </c>
      <c r="H8" s="143">
        <f t="shared" si="0"/>
        <v>300.3466666666667</v>
      </c>
      <c r="I8" s="143">
        <f t="shared" si="0"/>
        <v>3604.16</v>
      </c>
    </row>
    <row r="9" spans="1:10" ht="33.75" customHeight="1">
      <c r="A9" s="418" t="s">
        <v>86</v>
      </c>
      <c r="B9" s="419"/>
      <c r="C9" s="419"/>
      <c r="D9" s="419"/>
      <c r="E9" s="419"/>
      <c r="F9" s="419"/>
      <c r="G9" s="419"/>
      <c r="H9" s="419"/>
      <c r="I9" s="419"/>
      <c r="J9" s="419"/>
    </row>
    <row r="10" spans="1:10" ht="48.75" customHeight="1">
      <c r="A10" s="418" t="s">
        <v>87</v>
      </c>
      <c r="B10" s="419"/>
      <c r="C10" s="419"/>
      <c r="D10" s="419"/>
      <c r="E10" s="419"/>
      <c r="F10" s="419"/>
      <c r="G10" s="419"/>
      <c r="H10" s="419"/>
      <c r="I10" s="419"/>
      <c r="J10" s="419"/>
    </row>
    <row r="11" spans="1:10" ht="97.5" customHeight="1">
      <c r="A11" s="418" t="s">
        <v>88</v>
      </c>
      <c r="B11" s="419"/>
      <c r="C11" s="419"/>
      <c r="D11" s="419"/>
      <c r="E11" s="419"/>
      <c r="F11" s="419"/>
      <c r="G11" s="419"/>
      <c r="H11" s="419"/>
      <c r="I11" s="419"/>
      <c r="J11" s="419"/>
    </row>
    <row r="12" ht="6.75" customHeight="1"/>
    <row r="13" spans="1:256" ht="18" thickBot="1">
      <c r="A13" s="173"/>
      <c r="B13" s="408" t="s">
        <v>172</v>
      </c>
      <c r="C13" s="408"/>
      <c r="D13" s="408"/>
      <c r="E13" s="408"/>
      <c r="F13" s="408"/>
      <c r="G13" s="408"/>
      <c r="H13" s="408"/>
      <c r="I13" s="173"/>
      <c r="J13" s="173"/>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15.75" thickBot="1">
      <c r="A14" s="409" t="s">
        <v>148</v>
      </c>
      <c r="B14" s="411" t="s">
        <v>149</v>
      </c>
      <c r="C14" s="413" t="s">
        <v>150</v>
      </c>
      <c r="D14" s="411" t="s">
        <v>151</v>
      </c>
      <c r="E14" s="411"/>
      <c r="F14" s="411" t="s">
        <v>152</v>
      </c>
      <c r="G14" s="411"/>
      <c r="H14" s="415" t="s">
        <v>153</v>
      </c>
      <c r="I14" s="416"/>
      <c r="J14" s="416"/>
      <c r="K14" s="417"/>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47.25" thickBot="1">
      <c r="A15" s="410"/>
      <c r="B15" s="412"/>
      <c r="C15" s="414"/>
      <c r="D15" s="174" t="s">
        <v>154</v>
      </c>
      <c r="E15" s="174" t="s">
        <v>155</v>
      </c>
      <c r="F15" s="175" t="s">
        <v>156</v>
      </c>
      <c r="G15" s="175" t="s">
        <v>157</v>
      </c>
      <c r="H15" s="175" t="s">
        <v>156</v>
      </c>
      <c r="I15" s="176" t="s">
        <v>157</v>
      </c>
      <c r="J15" s="177" t="s">
        <v>158</v>
      </c>
      <c r="K15" s="177" t="s">
        <v>159</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13.5">
      <c r="A16" s="178">
        <v>1</v>
      </c>
      <c r="B16" s="179">
        <v>2</v>
      </c>
      <c r="C16" s="179" t="s">
        <v>160</v>
      </c>
      <c r="D16" s="180">
        <v>4</v>
      </c>
      <c r="E16" s="180">
        <v>5</v>
      </c>
      <c r="F16" s="179" t="s">
        <v>161</v>
      </c>
      <c r="G16" s="179" t="s">
        <v>162</v>
      </c>
      <c r="H16" s="179" t="s">
        <v>163</v>
      </c>
      <c r="I16" s="181" t="s">
        <v>164</v>
      </c>
      <c r="J16" s="182" t="s">
        <v>165</v>
      </c>
      <c r="K16" s="183">
        <v>11</v>
      </c>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15">
      <c r="A17" s="184" t="s">
        <v>166</v>
      </c>
      <c r="B17" s="185">
        <v>18</v>
      </c>
      <c r="C17" s="185">
        <f>B17/3</f>
        <v>6</v>
      </c>
      <c r="D17" s="186">
        <v>30</v>
      </c>
      <c r="E17" s="187">
        <v>23</v>
      </c>
      <c r="F17" s="187">
        <f aca="true" t="shared" si="1" ref="F17:G19">B17*D17</f>
        <v>540</v>
      </c>
      <c r="G17" s="187">
        <f t="shared" si="1"/>
        <v>138</v>
      </c>
      <c r="H17" s="187">
        <f>ROUND(F17*5%,2)</f>
        <v>27</v>
      </c>
      <c r="I17" s="188">
        <f>ROUND(G17*95%,2)</f>
        <v>131.1</v>
      </c>
      <c r="J17" s="189">
        <f>ROUND(H17+I17,2)</f>
        <v>158.1</v>
      </c>
      <c r="K17" s="190">
        <f>J17/B17*21</f>
        <v>184.45</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30.75">
      <c r="A18" s="184" t="s">
        <v>167</v>
      </c>
      <c r="B18" s="185">
        <v>18</v>
      </c>
      <c r="C18" s="185">
        <f>B18/3</f>
        <v>6</v>
      </c>
      <c r="D18" s="186">
        <v>30</v>
      </c>
      <c r="E18" s="187">
        <v>23</v>
      </c>
      <c r="F18" s="187">
        <f t="shared" si="1"/>
        <v>540</v>
      </c>
      <c r="G18" s="187">
        <f t="shared" si="1"/>
        <v>138</v>
      </c>
      <c r="H18" s="187">
        <f>ROUND(F18*5%,2)</f>
        <v>27</v>
      </c>
      <c r="I18" s="188">
        <f>ROUND(G18*95%,2)</f>
        <v>131.1</v>
      </c>
      <c r="J18" s="189">
        <f>ROUND(H18+I18,2)</f>
        <v>158.1</v>
      </c>
      <c r="K18" s="190">
        <f>J18/B18*21</f>
        <v>184.45</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31.5" thickBot="1">
      <c r="A19" s="191" t="s">
        <v>168</v>
      </c>
      <c r="B19" s="175">
        <v>9</v>
      </c>
      <c r="C19" s="175">
        <f>B19/3</f>
        <v>3</v>
      </c>
      <c r="D19" s="192">
        <v>30</v>
      </c>
      <c r="E19" s="193">
        <v>23</v>
      </c>
      <c r="F19" s="193">
        <f t="shared" si="1"/>
        <v>270</v>
      </c>
      <c r="G19" s="193">
        <f t="shared" si="1"/>
        <v>69</v>
      </c>
      <c r="H19" s="193">
        <f>ROUND(F19*5%,2)</f>
        <v>13.5</v>
      </c>
      <c r="I19" s="194">
        <f>ROUND(G19*95%,2)</f>
        <v>65.55</v>
      </c>
      <c r="J19" s="195">
        <f>ROUND(H19+I19,2)</f>
        <v>79.05</v>
      </c>
      <c r="K19" s="196">
        <f>J19/B19*21</f>
        <v>184.45</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15">
      <c r="A20" s="421" t="s">
        <v>169</v>
      </c>
      <c r="B20" s="421"/>
      <c r="C20" s="421"/>
      <c r="D20" s="421"/>
      <c r="E20" s="421"/>
      <c r="F20" s="421"/>
      <c r="G20" s="421"/>
      <c r="H20" s="421"/>
      <c r="I20" s="421"/>
      <c r="J20" s="421"/>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15">
      <c r="A21" s="422" t="s">
        <v>170</v>
      </c>
      <c r="B21" s="421"/>
      <c r="C21" s="421"/>
      <c r="D21" s="421"/>
      <c r="E21" s="421"/>
      <c r="F21" s="421"/>
      <c r="G21" s="421"/>
      <c r="H21" s="421"/>
      <c r="I21" s="421"/>
      <c r="J21" s="421"/>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15">
      <c r="A22" s="406" t="s">
        <v>171</v>
      </c>
      <c r="B22" s="406"/>
      <c r="C22" s="406"/>
      <c r="D22" s="406"/>
      <c r="E22" s="406"/>
      <c r="F22" s="406"/>
      <c r="G22" s="406"/>
      <c r="H22" s="406"/>
      <c r="I22" s="406"/>
      <c r="J22" s="406"/>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sheetData>
  <sheetProtection/>
  <mergeCells count="15">
    <mergeCell ref="A10:J10"/>
    <mergeCell ref="A11:J11"/>
    <mergeCell ref="A2:I2"/>
    <mergeCell ref="A20:J20"/>
    <mergeCell ref="A21:J21"/>
    <mergeCell ref="A22:J22"/>
    <mergeCell ref="A1:K1"/>
    <mergeCell ref="B13:H13"/>
    <mergeCell ref="A14:A15"/>
    <mergeCell ref="B14:B15"/>
    <mergeCell ref="C14:C15"/>
    <mergeCell ref="D14:E14"/>
    <mergeCell ref="F14:G14"/>
    <mergeCell ref="H14:K14"/>
    <mergeCell ref="A9:J9"/>
  </mergeCells>
  <printOptions/>
  <pageMargins left="0.7086614173228347" right="0.7086614173228347" top="0.7480314960629921" bottom="0.5511811023622047"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theme="0" tint="-0.4999699890613556"/>
  </sheetPr>
  <dimension ref="A1:L14"/>
  <sheetViews>
    <sheetView zoomScale="80" zoomScaleNormal="80" zoomScalePageLayoutView="0" workbookViewId="0" topLeftCell="A1">
      <selection activeCell="C18" sqref="C18"/>
    </sheetView>
  </sheetViews>
  <sheetFormatPr defaultColWidth="9.140625" defaultRowHeight="12.75"/>
  <cols>
    <col min="1" max="1" width="4.57421875" style="164" customWidth="1"/>
    <col min="2" max="2" width="21.140625" style="164" customWidth="1"/>
    <col min="3" max="12" width="16.28125" style="164" customWidth="1"/>
    <col min="13" max="16384" width="9.140625" style="164" customWidth="1"/>
  </cols>
  <sheetData>
    <row r="1" spans="1:12" ht="40.5" customHeight="1">
      <c r="A1" s="425" t="s">
        <v>215</v>
      </c>
      <c r="B1" s="425"/>
      <c r="C1" s="425"/>
      <c r="D1" s="425"/>
      <c r="E1" s="425"/>
      <c r="F1" s="425"/>
      <c r="G1" s="425"/>
      <c r="H1" s="425"/>
      <c r="I1" s="425"/>
      <c r="J1" s="425"/>
      <c r="K1" s="425"/>
      <c r="L1" s="425"/>
    </row>
    <row r="2" spans="1:12" ht="49.5" customHeight="1">
      <c r="A2" s="426" t="s">
        <v>191</v>
      </c>
      <c r="B2" s="426"/>
      <c r="C2" s="426"/>
      <c r="D2" s="426"/>
      <c r="E2" s="426"/>
      <c r="F2" s="426"/>
      <c r="G2" s="426"/>
      <c r="H2" s="426"/>
      <c r="I2" s="426"/>
      <c r="J2" s="426"/>
      <c r="K2" s="426"/>
      <c r="L2" s="426"/>
    </row>
    <row r="3" spans="1:12" ht="14.25" thickBot="1">
      <c r="A3" s="211"/>
      <c r="B3" s="212"/>
      <c r="C3" s="212"/>
      <c r="D3" s="212"/>
      <c r="E3" s="213"/>
      <c r="F3" s="212"/>
      <c r="G3" s="214"/>
      <c r="H3" s="214"/>
      <c r="I3" s="214"/>
      <c r="J3" s="214"/>
      <c r="K3" s="214"/>
      <c r="L3" s="214"/>
    </row>
    <row r="4" spans="1:12" ht="12.75" customHeight="1">
      <c r="A4" s="435" t="s">
        <v>192</v>
      </c>
      <c r="B4" s="437"/>
      <c r="C4" s="439" t="s">
        <v>193</v>
      </c>
      <c r="D4" s="439"/>
      <c r="E4" s="439"/>
      <c r="F4" s="437" t="s">
        <v>194</v>
      </c>
      <c r="G4" s="440" t="s">
        <v>195</v>
      </c>
      <c r="H4" s="423" t="s">
        <v>196</v>
      </c>
      <c r="I4" s="432" t="s">
        <v>197</v>
      </c>
      <c r="J4" s="432" t="s">
        <v>198</v>
      </c>
      <c r="K4" s="423" t="s">
        <v>199</v>
      </c>
      <c r="L4" s="427" t="s">
        <v>200</v>
      </c>
    </row>
    <row r="5" spans="1:12" ht="115.5" customHeight="1" thickBot="1">
      <c r="A5" s="436"/>
      <c r="B5" s="438"/>
      <c r="C5" s="215" t="s">
        <v>201</v>
      </c>
      <c r="D5" s="215" t="s">
        <v>202</v>
      </c>
      <c r="E5" s="215" t="s">
        <v>203</v>
      </c>
      <c r="F5" s="438"/>
      <c r="G5" s="441"/>
      <c r="H5" s="424"/>
      <c r="I5" s="433"/>
      <c r="J5" s="433"/>
      <c r="K5" s="424"/>
      <c r="L5" s="428"/>
    </row>
    <row r="6" spans="1:12" ht="20.25" customHeight="1" thickBot="1">
      <c r="A6" s="429" t="s">
        <v>204</v>
      </c>
      <c r="B6" s="430"/>
      <c r="C6" s="430"/>
      <c r="D6" s="430"/>
      <c r="E6" s="430"/>
      <c r="F6" s="430"/>
      <c r="G6" s="430"/>
      <c r="H6" s="430"/>
      <c r="I6" s="430"/>
      <c r="J6" s="216"/>
      <c r="K6" s="216"/>
      <c r="L6" s="217"/>
    </row>
    <row r="7" spans="1:12" ht="14.25" thickBot="1">
      <c r="A7" s="218" t="s">
        <v>205</v>
      </c>
      <c r="B7" s="219"/>
      <c r="C7" s="220"/>
      <c r="D7" s="220"/>
      <c r="E7" s="220"/>
      <c r="F7" s="221"/>
      <c r="G7" s="222">
        <f>SUM(G8:G10)</f>
        <v>4</v>
      </c>
      <c r="H7" s="223"/>
      <c r="I7" s="224"/>
      <c r="J7" s="224">
        <f>SUM(J8:J10)</f>
        <v>17648</v>
      </c>
      <c r="K7" s="224">
        <f>SUM(K8:K10)</f>
        <v>4252</v>
      </c>
      <c r="L7" s="225">
        <f>SUM(L8:L10)</f>
        <v>21900</v>
      </c>
    </row>
    <row r="8" spans="1:12" ht="15">
      <c r="A8" s="226">
        <v>2</v>
      </c>
      <c r="B8" s="227" t="s">
        <v>206</v>
      </c>
      <c r="C8" s="228" t="s">
        <v>207</v>
      </c>
      <c r="D8" s="229">
        <v>10</v>
      </c>
      <c r="E8" s="230" t="s">
        <v>208</v>
      </c>
      <c r="F8" s="231">
        <v>1174</v>
      </c>
      <c r="G8" s="232">
        <v>1</v>
      </c>
      <c r="H8" s="233">
        <v>12</v>
      </c>
      <c r="I8" s="231">
        <f>ROUND(F8*G8,0)</f>
        <v>1174</v>
      </c>
      <c r="J8" s="231">
        <f>ROUND(I8*0.3*H8-2,0)</f>
        <v>4224</v>
      </c>
      <c r="K8" s="231">
        <f>ROUND(J8*0.2409,0)</f>
        <v>1018</v>
      </c>
      <c r="L8" s="234">
        <f>J8+K8</f>
        <v>5242</v>
      </c>
    </row>
    <row r="9" spans="1:12" ht="15">
      <c r="A9" s="226">
        <v>3</v>
      </c>
      <c r="B9" s="227" t="s">
        <v>209</v>
      </c>
      <c r="C9" s="228" t="s">
        <v>210</v>
      </c>
      <c r="D9" s="229">
        <v>12</v>
      </c>
      <c r="E9" s="230" t="s">
        <v>208</v>
      </c>
      <c r="F9" s="231">
        <v>1382</v>
      </c>
      <c r="G9" s="232">
        <v>1</v>
      </c>
      <c r="H9" s="233">
        <v>12</v>
      </c>
      <c r="I9" s="231">
        <f>ROUND(F9*G9,0)</f>
        <v>1382</v>
      </c>
      <c r="J9" s="231">
        <f>ROUND(I9*0.3*H9-2,0)</f>
        <v>4973</v>
      </c>
      <c r="K9" s="231">
        <f>ROUND(J9*0.2409,0)</f>
        <v>1198</v>
      </c>
      <c r="L9" s="234">
        <f>J9+K9</f>
        <v>6171</v>
      </c>
    </row>
    <row r="10" spans="1:12" ht="15.75" thickBot="1">
      <c r="A10" s="235">
        <v>5</v>
      </c>
      <c r="B10" s="236" t="s">
        <v>180</v>
      </c>
      <c r="C10" s="237" t="s">
        <v>211</v>
      </c>
      <c r="D10" s="238">
        <v>10</v>
      </c>
      <c r="E10" s="239" t="s">
        <v>208</v>
      </c>
      <c r="F10" s="240">
        <v>1174</v>
      </c>
      <c r="G10" s="241">
        <v>2</v>
      </c>
      <c r="H10" s="242">
        <v>12</v>
      </c>
      <c r="I10" s="240">
        <f>ROUND(F10*G10,0)</f>
        <v>2348</v>
      </c>
      <c r="J10" s="240">
        <f>ROUND(I10*0.3*H10-2,0)</f>
        <v>8451</v>
      </c>
      <c r="K10" s="240">
        <f>ROUND(J10*0.2409,0)</f>
        <v>2036</v>
      </c>
      <c r="L10" s="243">
        <f>J10+K10</f>
        <v>10487</v>
      </c>
    </row>
    <row r="11" spans="1:12" ht="24" customHeight="1">
      <c r="A11" s="431" t="s">
        <v>212</v>
      </c>
      <c r="B11" s="431"/>
      <c r="C11" s="431"/>
      <c r="D11" s="431"/>
      <c r="E11" s="431"/>
      <c r="F11" s="431"/>
      <c r="G11" s="431"/>
      <c r="H11" s="431"/>
      <c r="I11" s="431"/>
      <c r="J11" s="431"/>
      <c r="K11" s="431"/>
      <c r="L11" s="431"/>
    </row>
    <row r="12" ht="25.5" customHeight="1"/>
    <row r="13" spans="2:3" ht="12.75">
      <c r="B13" s="434" t="s">
        <v>213</v>
      </c>
      <c r="C13" s="434"/>
    </row>
    <row r="14" spans="2:3" ht="18">
      <c r="B14" s="244" t="s">
        <v>214</v>
      </c>
      <c r="C14" s="244"/>
    </row>
  </sheetData>
  <sheetProtection/>
  <mergeCells count="15">
    <mergeCell ref="B13:C13"/>
    <mergeCell ref="A4:A5"/>
    <mergeCell ref="B4:B5"/>
    <mergeCell ref="C4:E4"/>
    <mergeCell ref="F4:F5"/>
    <mergeCell ref="G4:G5"/>
    <mergeCell ref="K4:K5"/>
    <mergeCell ref="A1:L1"/>
    <mergeCell ref="A2:L2"/>
    <mergeCell ref="L4:L5"/>
    <mergeCell ref="A6:I6"/>
    <mergeCell ref="A11:L11"/>
    <mergeCell ref="H4:H5"/>
    <mergeCell ref="I4:I5"/>
    <mergeCell ref="J4:J5"/>
  </mergeCells>
  <printOptions/>
  <pageMargins left="0.31496062992125984" right="0.11811023622047245"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Labklājbas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Noteikumi par psihosociālās rehabilitācijas pakalpojumu personām ar onkoloģisku slimību un to ģimenes locekļiem</dc:title>
  <dc:subject>Anotācijas pielikums</dc:subject>
  <dc:creator>Sandra Strele</dc:creator>
  <cp:keywords/>
  <dc:description>Sandra Strēle, 64331831
Sandra.Strele@lm.gov.lv</dc:description>
  <cp:lastModifiedBy>Anda Masejeva</cp:lastModifiedBy>
  <cp:lastPrinted>2017-12-11T14:22:27Z</cp:lastPrinted>
  <dcterms:created xsi:type="dcterms:W3CDTF">2012-09-03T07:32:21Z</dcterms:created>
  <dcterms:modified xsi:type="dcterms:W3CDTF">2017-12-11T14:23:25Z</dcterms:modified>
  <cp:category/>
  <cp:version/>
  <cp:contentType/>
  <cp:contentStatus/>
</cp:coreProperties>
</file>