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4" rupBuild="19001"/>
  <workbookPr defaultThemeVersion="124226"/>
  <mc:AlternateContent xmlns:mc="http://schemas.openxmlformats.org/markup-compatibility/2006">
    <mc:Choice Requires="x15">
      <x15ac:absPath xmlns:x15ac="http://schemas.microsoft.com/office/spreadsheetml/2010/11/ac" url="\\ts\tmdfs\RB\oz1101\Desktop\Datu Regulas likums\MK\gala\"/>
    </mc:Choice>
  </mc:AlternateContent>
  <bookViews>
    <workbookView xWindow="0" yWindow="0" windowWidth="24000" windowHeight="8910" tabRatio="886" activeTab="5" xr2:uid="{00000000-000D-0000-FFFF-FFFF00000000}"/>
  </bookViews>
  <sheets>
    <sheet name="2.pielik.kopsavilkums 2019-2020" sheetId="39" r:id="rId1"/>
    <sheet name="2.1.pielik.atlīdzība 2019" sheetId="54" r:id="rId2"/>
    <sheet name="2.2.pielik. EKK2000 2019" sheetId="55" r:id="rId3"/>
    <sheet name="2.3.pielik.vienreizējie 2019" sheetId="51" r:id="rId4"/>
    <sheet name="2.4.pielik.atlīdzība 2020" sheetId="53" r:id="rId5"/>
    <sheet name="2.5.pielik. EKK2000 2020" sheetId="50" r:id="rId6"/>
  </sheets>
  <definedNames>
    <definedName name="_xlnm._FilterDatabase" localSheetId="1" hidden="1">'2.1.pielik.atlīdzība 2019'!$A$8:$O$8</definedName>
    <definedName name="_xlnm._FilterDatabase" localSheetId="4" hidden="1">'2.4.pielik.atlīdzība 2020'!$A$7:$M$7</definedName>
    <definedName name="_xlnm.Print_Area" localSheetId="1">'2.1.pielik.atlīdzība 2019'!$A$1:$O$24</definedName>
    <definedName name="_xlnm.Print_Area" localSheetId="3">'2.3.pielik.vienreizējie 2019'!$A$1:$G$44</definedName>
    <definedName name="_xlnm.Print_Area" localSheetId="4">'2.4.pielik.atlīdzība 2020'!$A$1:$M$22</definedName>
  </definedNames>
  <calcPr calcId="171027"/>
</workbook>
</file>

<file path=xl/calcChain.xml><?xml version="1.0" encoding="utf-8"?>
<calcChain xmlns="http://schemas.openxmlformats.org/spreadsheetml/2006/main">
  <c r="D40" i="50" l="1"/>
  <c r="D39" i="50"/>
  <c r="D38" i="50"/>
  <c r="D36" i="50"/>
  <c r="D35" i="50"/>
  <c r="D34" i="50"/>
  <c r="D33" i="50" s="1"/>
  <c r="D32" i="50"/>
  <c r="D29" i="50" s="1"/>
  <c r="D31" i="50"/>
  <c r="D30" i="50"/>
  <c r="D28" i="50"/>
  <c r="D27" i="50"/>
  <c r="D26" i="50"/>
  <c r="D25" i="50"/>
  <c r="D24" i="50"/>
  <c r="D23" i="50"/>
  <c r="D22" i="50"/>
  <c r="D19" i="50"/>
  <c r="D18" i="50"/>
  <c r="D17" i="50"/>
  <c r="D16" i="50"/>
  <c r="D15" i="50"/>
  <c r="D13" i="50"/>
  <c r="D11" i="50" s="1"/>
  <c r="D12" i="50"/>
  <c r="D10" i="50"/>
  <c r="D9" i="50"/>
  <c r="D7" i="50" s="1"/>
  <c r="D8" i="50"/>
  <c r="D6" i="50"/>
  <c r="D5" i="50"/>
  <c r="L12" i="53"/>
  <c r="M12" i="53" s="1"/>
  <c r="L11" i="53"/>
  <c r="M11" i="53" s="1"/>
  <c r="L10" i="53"/>
  <c r="M10" i="53" s="1"/>
  <c r="L9" i="53"/>
  <c r="M9" i="53" s="1"/>
  <c r="L8" i="53"/>
  <c r="M8" i="53" s="1"/>
  <c r="L7" i="53"/>
  <c r="D7" i="53"/>
  <c r="F41" i="51"/>
  <c r="F40" i="51"/>
  <c r="F39" i="51"/>
  <c r="E39" i="51"/>
  <c r="F38" i="51"/>
  <c r="F37" i="51"/>
  <c r="F36" i="51"/>
  <c r="F35" i="51"/>
  <c r="F34" i="51"/>
  <c r="F33" i="51"/>
  <c r="F32" i="51"/>
  <c r="F31" i="51"/>
  <c r="F30" i="51"/>
  <c r="F29" i="51"/>
  <c r="F28" i="51"/>
  <c r="F27" i="51"/>
  <c r="F26" i="51"/>
  <c r="F25" i="51"/>
  <c r="F24" i="51"/>
  <c r="F23" i="51"/>
  <c r="F22" i="51"/>
  <c r="F21" i="51"/>
  <c r="F20" i="51"/>
  <c r="F19" i="51"/>
  <c r="F18" i="51"/>
  <c r="F42" i="51" s="1"/>
  <c r="F16" i="51"/>
  <c r="F15" i="51"/>
  <c r="F14" i="51"/>
  <c r="F13" i="51"/>
  <c r="F12" i="51"/>
  <c r="F11" i="51"/>
  <c r="F10" i="51"/>
  <c r="F9" i="51"/>
  <c r="F8" i="51"/>
  <c r="F17" i="51" s="1"/>
  <c r="F6" i="51"/>
  <c r="F5" i="51"/>
  <c r="F4" i="51"/>
  <c r="E4" i="51"/>
  <c r="F3" i="51"/>
  <c r="F7" i="51" s="1"/>
  <c r="D41" i="55"/>
  <c r="D40" i="55"/>
  <c r="D39" i="55"/>
  <c r="D38" i="55"/>
  <c r="D36" i="55"/>
  <c r="D35" i="55"/>
  <c r="D34" i="55"/>
  <c r="D33" i="55"/>
  <c r="D32" i="55"/>
  <c r="D31" i="55"/>
  <c r="D30" i="55"/>
  <c r="D29" i="55"/>
  <c r="D28" i="55"/>
  <c r="D27" i="55"/>
  <c r="D26" i="55"/>
  <c r="D25" i="55"/>
  <c r="D24" i="55"/>
  <c r="D23" i="55"/>
  <c r="D22" i="55"/>
  <c r="D19" i="55"/>
  <c r="D18" i="55"/>
  <c r="D17" i="55"/>
  <c r="D16" i="55"/>
  <c r="D15" i="55"/>
  <c r="D13" i="55"/>
  <c r="D12" i="55"/>
  <c r="D11" i="55"/>
  <c r="D10" i="55"/>
  <c r="D9" i="55"/>
  <c r="D8" i="55"/>
  <c r="D7" i="55"/>
  <c r="D6" i="55"/>
  <c r="D5" i="55"/>
  <c r="D22" i="54"/>
  <c r="D21" i="54"/>
  <c r="D20" i="54"/>
  <c r="D19" i="54"/>
  <c r="D18" i="54"/>
  <c r="O13" i="54"/>
  <c r="N13" i="54"/>
  <c r="L13" i="54"/>
  <c r="O12" i="54"/>
  <c r="N12" i="54"/>
  <c r="M12" i="54"/>
  <c r="O11" i="54"/>
  <c r="L11" i="54"/>
  <c r="O10" i="54"/>
  <c r="L10" i="54"/>
  <c r="O9" i="54"/>
  <c r="M9" i="54"/>
  <c r="O8" i="54"/>
  <c r="N8" i="54"/>
  <c r="M8" i="54"/>
  <c r="L8" i="54"/>
  <c r="D8" i="54"/>
  <c r="N1" i="54"/>
  <c r="B7" i="39"/>
  <c r="B6" i="39"/>
  <c r="D41" i="50" l="1"/>
  <c r="B11" i="39" s="1"/>
  <c r="M7" i="53"/>
  <c r="F43" i="51"/>
  <c r="B8" i="39" s="1"/>
  <c r="B5" i="39" s="1"/>
  <c r="D17" i="53" l="1"/>
  <c r="D16" i="53" s="1"/>
  <c r="D19" i="53"/>
  <c r="D18" i="53"/>
  <c r="D20" i="53" l="1"/>
  <c r="L1" i="53" s="1"/>
  <c r="B10" i="39" s="1"/>
  <c r="B9" i="39" s="1"/>
</calcChain>
</file>

<file path=xl/sharedStrings.xml><?xml version="1.0" encoding="utf-8"?>
<sst xmlns="http://schemas.openxmlformats.org/spreadsheetml/2006/main" count="342" uniqueCount="200">
  <si>
    <t>Nr.p.k.</t>
  </si>
  <si>
    <t>Nosaukums</t>
  </si>
  <si>
    <t>Skaits</t>
  </si>
  <si>
    <t>EKK</t>
  </si>
  <si>
    <t>Nr.p.k</t>
  </si>
  <si>
    <t>Struktūrvienības nosaukums</t>
  </si>
  <si>
    <t>Amata nosaukums</t>
  </si>
  <si>
    <t>Mēnesī</t>
  </si>
  <si>
    <t>Amatu skaits</t>
  </si>
  <si>
    <t>Gadā
KOPĀ</t>
  </si>
  <si>
    <t>Grupa</t>
  </si>
  <si>
    <t>Kategorija</t>
  </si>
  <si>
    <t>Objekta nosaukums un izmaksu veids un pamatojums</t>
  </si>
  <si>
    <t>Mēnešalgas noteikšanas kritēriji</t>
  </si>
  <si>
    <t>Saime</t>
  </si>
  <si>
    <t xml:space="preserve">Līmenis </t>
  </si>
  <si>
    <t>Detalizēts aprēķins, kas pamato plānoto izdevumu apjomu</t>
  </si>
  <si>
    <t>1. Mēnešalga (EKK 1110)</t>
  </si>
  <si>
    <t>370-1347</t>
  </si>
  <si>
    <t>220-527</t>
  </si>
  <si>
    <t>313-1157</t>
  </si>
  <si>
    <t>IV</t>
  </si>
  <si>
    <t>232-698</t>
  </si>
  <si>
    <t>Jurists</t>
  </si>
  <si>
    <t>2. Piemaksas, prēmijas un naudas balvas, atvaļinājuma pabalsts</t>
  </si>
  <si>
    <t>Kopā</t>
  </si>
  <si>
    <t>Naudas balva, novērtēšanas prēmija</t>
  </si>
  <si>
    <t>Telekomunikācijas pakalpojumi</t>
  </si>
  <si>
    <t>Internets un citi sakari</t>
  </si>
  <si>
    <t>Pasta pakalpojumi</t>
  </si>
  <si>
    <t>Pasta un citi sakaru pakalpojumi</t>
  </si>
  <si>
    <t>Darbinieku apmācība</t>
  </si>
  <si>
    <t>Kancelejas preces</t>
  </si>
  <si>
    <t>Biroja tehnikas uzturēšana (kasetes)</t>
  </si>
  <si>
    <t>Administratīvie izdevumi</t>
  </si>
  <si>
    <t>Inventārs (kārtējā gada)</t>
  </si>
  <si>
    <t>Degviela</t>
  </si>
  <si>
    <t>Kārtēja remonta un uzturēšanas materiāli</t>
  </si>
  <si>
    <t>Iekārtu noma (Venden)</t>
  </si>
  <si>
    <t>darba krēsli</t>
  </si>
  <si>
    <t>drēbju skapis</t>
  </si>
  <si>
    <t>telefona aparāti</t>
  </si>
  <si>
    <t>apmeklētāju krēsli</t>
  </si>
  <si>
    <t>KOPĀ (EKK 2310)</t>
  </si>
  <si>
    <t>fotoaparāts</t>
  </si>
  <si>
    <t>citas biroja preces (galda lampas, zīmogi, USB atmiņas u.c.)</t>
  </si>
  <si>
    <t>projekcijas ekrāns</t>
  </si>
  <si>
    <t>printeri</t>
  </si>
  <si>
    <t>KOPĀ (EKK 5000):</t>
  </si>
  <si>
    <t>stacionārie datori ar programmatūru</t>
  </si>
  <si>
    <t>portatīvie datori pārbaužu veikšanai ar programmatūru</t>
  </si>
  <si>
    <t>portatīvie printeri pārbaužu veikšanai</t>
  </si>
  <si>
    <t>multifunkcionāla iekārta (printeris, kopētājs, skeneris)</t>
  </si>
  <si>
    <t>dokumentu skapji</t>
  </si>
  <si>
    <t>seifi</t>
  </si>
  <si>
    <t>papīra smalcinātājs, kurš piemērots arī CD/DVD disku smalcināšanai</t>
  </si>
  <si>
    <t>multimēdiju mēdiju komplekts (interaktīvā tāfele, projektors, dators ar programmatūru)</t>
  </si>
  <si>
    <t>apmeklētāju galdi</t>
  </si>
  <si>
    <t>Web serveris (mājaslapa, reģistri, elektroniskā sūdzību sistēma)</t>
  </si>
  <si>
    <t>gaisa kondicionētāju serveru infrastruktūrai (ar uzstādīšanu)</t>
  </si>
  <si>
    <t>arhīva telpas aprīkojums (plaukti)</t>
  </si>
  <si>
    <t>KOPĀ (EKK 2000):</t>
  </si>
  <si>
    <t>biroja virtuves iekārta (skapīši, izlietne)</t>
  </si>
  <si>
    <t>darba galda komplekti</t>
  </si>
  <si>
    <t>apspriežu galdi</t>
  </si>
  <si>
    <t>projektors</t>
  </si>
  <si>
    <t>Preses abonēšana un speciālās literatūras iegāde</t>
  </si>
  <si>
    <t>E-paraksts</t>
  </si>
  <si>
    <t>Ekspertu pakalpojumi</t>
  </si>
  <si>
    <t>Iekārtu remonts, apkope un uzturēšana</t>
  </si>
  <si>
    <t>Transportlīdzekļu remonts, apkope un uzturēšana</t>
  </si>
  <si>
    <t>Informācijas tehnoliģiju pakalpojumi (datu bāžu uzturēšana u.c.)</t>
  </si>
  <si>
    <t xml:space="preserve">Darba devēja veselības izdevumi darba ņēmējiem </t>
  </si>
  <si>
    <t>Darba drošība</t>
  </si>
  <si>
    <t>Komandējumi Latvija</t>
  </si>
  <si>
    <t>Komandējumi</t>
  </si>
  <si>
    <t>2 darbinieki mēnesī</t>
  </si>
  <si>
    <t>pieeju kontroles sistēma</t>
  </si>
  <si>
    <t>Mēnešalgas likme, Ls</t>
  </si>
  <si>
    <t>84 st. - 72 euro stundā, mēnesī</t>
  </si>
  <si>
    <t>Personāla meklēšana</t>
  </si>
  <si>
    <t>Telpu uzturēšana</t>
  </si>
  <si>
    <t>Automašīnas noma</t>
  </si>
  <si>
    <t>Preces administratīvai nodrošināšanai</t>
  </si>
  <si>
    <t>metāla skapji</t>
  </si>
  <si>
    <t>video novērošanas sistēma</t>
  </si>
  <si>
    <t>Nodarbinātie - kopā</t>
  </si>
  <si>
    <t>Personas datu apstrādes uzraudzības nodaļa</t>
  </si>
  <si>
    <t xml:space="preserve">Juriskonsults </t>
  </si>
  <si>
    <t>26.3</t>
  </si>
  <si>
    <t>26.1</t>
  </si>
  <si>
    <t>Juridiskā nodaļa</t>
  </si>
  <si>
    <t>21</t>
  </si>
  <si>
    <t>ES un starptautiskās sadarbības nodaļa</t>
  </si>
  <si>
    <t>Juriskonsults</t>
  </si>
  <si>
    <t>Kārtridžu uzpilde</t>
  </si>
  <si>
    <t>Sabiedriskās attiecības</t>
  </si>
  <si>
    <t>Informatīvie materiāli</t>
  </si>
  <si>
    <t>50 euro vienam darbiniekam gadā</t>
  </si>
  <si>
    <t>pārcelšanās izdevumi</t>
  </si>
  <si>
    <t>informācijas sistēmas izstrāde</t>
  </si>
  <si>
    <t>interneta mājas lapas izstrāde</t>
  </si>
  <si>
    <t>Pētījums</t>
  </si>
  <si>
    <t>Tulkošana</t>
  </si>
  <si>
    <t>1 pētījums</t>
  </si>
  <si>
    <t>gadā</t>
  </si>
  <si>
    <t>tīkla ievilkšana</t>
  </si>
  <si>
    <t>telpu remonta izdevumi</t>
  </si>
  <si>
    <t>UPS, monitors, pele, klaviatūra, dators</t>
  </si>
  <si>
    <t xml:space="preserve">
Informācija par plānotajiem iestādes uzturēšanas izdevumiem 2019.gadā  (EKK 2000)</t>
  </si>
  <si>
    <t>Informācija par plānotajiem vienreizējie izdevumiem 2019.gadā</t>
  </si>
  <si>
    <t>saimnieciskais inventārs</t>
  </si>
  <si>
    <t>Vispārējās piemaksas</t>
  </si>
  <si>
    <t>1146, 1147</t>
  </si>
  <si>
    <t>Uzturēšanas izdevumi 2019.gadā  (EKK 2000)</t>
  </si>
  <si>
    <t>Vienreizējie izdevumi 2019.gadā</t>
  </si>
  <si>
    <t>Izdevumi atlīdzībai 2020 gadā (EKK 1000)</t>
  </si>
  <si>
    <t>Uzturēšanas izdevumi 2020.gadā  (EKK 2000)</t>
  </si>
  <si>
    <t>lampas, spoguļi, elektriskās tējkannas, mikroviļņu krāsns u.c.</t>
  </si>
  <si>
    <t>Iestādes darbības nodrošināšanas izdevumi (ūdens, ekspertu atzinumi u.c.)</t>
  </si>
  <si>
    <t>iekārtu remonts, apkope un uzturēšana</t>
  </si>
  <si>
    <t>esošo kondicionieru (6 gab.) noņemša un pieliekšana + papildu izdevumi par materiāliem</t>
  </si>
  <si>
    <t>vidēji 11 euro par lapu, 1000 lapas gadā</t>
  </si>
  <si>
    <t>Veselības pārbaudes 39 euro vienam darbiniekam (10 darbiniekiem)</t>
  </si>
  <si>
    <t>1 iekārtas - 9 euro mēnesī</t>
  </si>
  <si>
    <t>vidēji 38 euro mēnesī</t>
  </si>
  <si>
    <t>ūdens - 268 euro; 1400  euro - citi izdevumi gadā</t>
  </si>
  <si>
    <t>300 euro vienam darbiniekam (15 darbinieki)</t>
  </si>
  <si>
    <t>semināru materiāli, gada pārskats - 735 euro; rekomendācijas un bukleti (4000 gb.) - 9820 euro; skrejlapas 10000 gb. - 5000 euro</t>
  </si>
  <si>
    <t>2 darbinieki mēnesī uz Briseli</t>
  </si>
  <si>
    <t>Tonera kasete 49 euro - 15 gb.; lāzerprintera kasete 73 euro - 4 gb.</t>
  </si>
  <si>
    <t>mēnesī vidēji 346 euro</t>
  </si>
  <si>
    <t>kondicionieru, ugunsdzēšamo aparātu; printeru,  multifunkcionālo iekārtu, papīra smalcinātāju u.c. uzturēšana un apkope - 300 euro gadā</t>
  </si>
  <si>
    <t>Sociālās garantijas</t>
  </si>
  <si>
    <t>Iekšējā/lokālā datu pārraides un elektroinstalācijas tīklu ierīkošana datoriekārtu un elektroiekārtu pieslēgšanai katrai darba vietai. Visa tīkla izvilkšana uz vienu komutācijas telpu, savienojot vienā komutācijas/servera skapī - 6232 euro. Izmaksas interneta pieslēguma nodrošināšanai - 1500 euro.</t>
  </si>
  <si>
    <t>telpu kosmētiskais remonts kopā ar materiāliem</t>
  </si>
  <si>
    <t>nepieciešams izdrukāt liela apjoma dokumentus, kā arī semināru un pārbaudījumu materiālus, šajā laikā nav iespējams izdrukāt citiem dokumentus</t>
  </si>
  <si>
    <t>katram darbiniekam ir savs printeris, lai nodrošinātu personas datu drošību un ierobežotas informācijas konfidencialitāti, kā arī ņemot vērā lielo datu apjomu gatavojot kopijas izsniegšanai lietas dalībniekiem, materiālus semināriem un pārbaudījumiem, lai izvērtētu un sniegtu viedokli par normatīvajiem aktiem</t>
  </si>
  <si>
    <t xml:space="preserve">Microsoft licence ar CAL </t>
  </si>
  <si>
    <t>UPS iekārtas serverim un tīkla aparatūrai</t>
  </si>
  <si>
    <t>pārējie informācijas tehnoloģiju pakalpojumi</t>
  </si>
  <si>
    <t>ekspertu piesaiste informācijas sistēmas izveidošanas iepirkumam</t>
  </si>
  <si>
    <t>datu bāžu uzturēšana, mājas lapa, licenču noma</t>
  </si>
  <si>
    <t>Specifikācijas izstrādei 124 h, vienas stundas izmaksas 43 euro</t>
  </si>
  <si>
    <t>telpu uzkopšana - 600 euro mēnesī, apsardze - 200 euro mēnesī</t>
  </si>
  <si>
    <t>Izdevumi atlīdzībai 2019. gadā (EKK 1000)</t>
  </si>
  <si>
    <r>
      <t xml:space="preserve">Plānotā mēnešalga, </t>
    </r>
    <r>
      <rPr>
        <b/>
        <i/>
        <sz val="10"/>
        <rFont val="Times New Roman"/>
        <family val="1"/>
        <charset val="186"/>
      </rPr>
      <t>euro</t>
    </r>
  </si>
  <si>
    <t>Darba alga</t>
  </si>
  <si>
    <r>
      <t xml:space="preserve">Kopā gadā, </t>
    </r>
    <r>
      <rPr>
        <b/>
        <i/>
        <sz val="10"/>
        <rFont val="Times New Roman"/>
        <family val="1"/>
        <charset val="186"/>
      </rPr>
      <t>euro</t>
    </r>
  </si>
  <si>
    <t>2. Piemaksas, prēmijas un naudas balvas, atvaļinājuma pabalsts, darba devēja valsts sociālās apdrošināšanas obligātās iemaksas</t>
  </si>
  <si>
    <t>Darba devēja valsts sociālās apdrošināšanas obligātās iemaksas 24,09%</t>
  </si>
  <si>
    <t>Piemaksas veids un sociālās garantijas</t>
  </si>
  <si>
    <t xml:space="preserve"> Piemaksas un prēmijas - kopā, t.sk.:</t>
  </si>
  <si>
    <r>
      <t xml:space="preserve">Nodarbināto atlīdzība gadā, </t>
    </r>
    <r>
      <rPr>
        <b/>
        <i/>
        <sz val="10"/>
        <rFont val="Times New Roman"/>
        <family val="1"/>
        <charset val="186"/>
      </rPr>
      <t>euro</t>
    </r>
  </si>
  <si>
    <r>
      <t xml:space="preserve">Prognozētie izdevumi - kopā, </t>
    </r>
    <r>
      <rPr>
        <b/>
        <i/>
        <sz val="11"/>
        <rFont val="Times New Roman"/>
        <family val="1"/>
        <charset val="186"/>
      </rPr>
      <t>euro</t>
    </r>
  </si>
  <si>
    <t>V</t>
  </si>
  <si>
    <r>
      <t xml:space="preserve">Prognozētās 1 vienības izmaksas, </t>
    </r>
    <r>
      <rPr>
        <b/>
        <i/>
        <sz val="11"/>
        <rFont val="Times New Roman"/>
        <family val="1"/>
        <charset val="186"/>
      </rPr>
      <t>euro</t>
    </r>
  </si>
  <si>
    <t xml:space="preserve">9 euro uz vienu darbinieku </t>
  </si>
  <si>
    <t xml:space="preserve">12 euro uz vienu darbinieku </t>
  </si>
  <si>
    <t xml:space="preserve">8 euro par 1 darbinieku mēnesī </t>
  </si>
  <si>
    <t xml:space="preserve">9 euro mēnesī vienam darbiniekam </t>
  </si>
  <si>
    <t>1 konference 150 cilv. - 50000 euro, 2 video rullīši pa 5 min. - 1 gab. 4500 euro</t>
  </si>
  <si>
    <t xml:space="preserve">Komentāri </t>
  </si>
  <si>
    <t>Nodaļas vadītāja vietnieks</t>
  </si>
  <si>
    <t>1 automašīnas noma 659 euro mēnesī, lai veiktu pārbaudes uz vietas</t>
  </si>
  <si>
    <t>2 parakstītāji (Juridiskās nodaļas jurists, ES un starptautiskās sadarbības nodaļa vadītāja vietnieks) - 40 euro mēnesī vienam parakstītājam</t>
  </si>
  <si>
    <t>10 euro vienam darbiniekam mēnesī (15 darbiniekiem)</t>
  </si>
  <si>
    <t>2000 km mēnesī, 1.4 euro/l , 8 l /100 km</t>
  </si>
  <si>
    <t xml:space="preserve">Izdevumi kopā 2019. - 2020.gads </t>
  </si>
  <si>
    <t>Amati no 01.01.2019. (2 juristi, nodaļas vadītāja vietnieks, 2 juriskonsulti)</t>
  </si>
  <si>
    <t>Amati no 01.04.2019. (5 juriskonsulti)</t>
  </si>
  <si>
    <t>Amati no 01.07.2019. (5 juriskonsulti)</t>
  </si>
  <si>
    <t>-</t>
  </si>
  <si>
    <t>Informācija par papildus plānotajiem izdevumiem atlīdzībai 2019. gadā (EKK 1000)</t>
  </si>
  <si>
    <t>KOPĀ (EKK 2200)</t>
  </si>
  <si>
    <t>telpu noformēšana, pārtikas preces, ziedi, dāvanas un suvenīri citu institūciju pārstāvjiem organizējot apspriedes un seminārus - 100 euro mēnesī</t>
  </si>
  <si>
    <t xml:space="preserve">stāvvieta 70 euro vienai automašīnai mēnesī </t>
  </si>
  <si>
    <t>Īre un noma</t>
  </si>
  <si>
    <t>Izdevumi par precēm iestādes darbības nodrošīnāšanai</t>
  </si>
  <si>
    <t>Remontdarbi un uzturēšanas pakalpojumi</t>
  </si>
  <si>
    <t>Telpu noma ar  komunālajiem izdevumiem</t>
  </si>
  <si>
    <t>20 m2 uz vienu darbinieku, 18 euro par m2</t>
  </si>
  <si>
    <t>Pielikumi</t>
  </si>
  <si>
    <t>2.pielikums</t>
  </si>
  <si>
    <t>2.1.</t>
  </si>
  <si>
    <t>2.2.</t>
  </si>
  <si>
    <t>2.3.</t>
  </si>
  <si>
    <t>2.4.</t>
  </si>
  <si>
    <t>2.5.</t>
  </si>
  <si>
    <t xml:space="preserve">
Informācija par plānotajiem iestādes uzturēšanas izdevumiem 2020.gadā un turpmākajos gados  (EKK 2000)</t>
  </si>
  <si>
    <t>Informācija par papildus plānotajiem izdevumiem atlīdzībai 2020. gadā un turpmākajos gados (EKK 1000)</t>
  </si>
  <si>
    <t>likumprojekta "Personas datu apstrādes likums"</t>
  </si>
  <si>
    <t>sākotnējās ietekmes novērtējuma ziņojumam (anotācijai)</t>
  </si>
  <si>
    <t>Iesniedzējs:</t>
  </si>
  <si>
    <r>
      <t xml:space="preserve">Plānotie izdevumi gadā, </t>
    </r>
    <r>
      <rPr>
        <i/>
        <sz val="10"/>
        <rFont val="Arial"/>
        <family val="1"/>
        <charset val="186"/>
      </rPr>
      <t>euro</t>
    </r>
  </si>
  <si>
    <r>
      <t xml:space="preserve">2019.gadā kopā, </t>
    </r>
    <r>
      <rPr>
        <i/>
        <sz val="10"/>
        <rFont val="Arial"/>
        <family val="1"/>
        <charset val="186"/>
      </rPr>
      <t>euro</t>
    </r>
  </si>
  <si>
    <r>
      <t xml:space="preserve">2020.gadā kopā, </t>
    </r>
    <r>
      <rPr>
        <i/>
        <sz val="10"/>
        <rFont val="Arial"/>
        <family val="1"/>
        <charset val="186"/>
      </rPr>
      <t>euro</t>
    </r>
  </si>
  <si>
    <t>tieslietu ministrs</t>
  </si>
  <si>
    <t>Dzintars Rasnačs</t>
  </si>
  <si>
    <r>
      <t xml:space="preserve">Plānotie izdevumi gadā, </t>
    </r>
    <r>
      <rPr>
        <b/>
        <i/>
        <sz val="10"/>
        <rFont val="Times New Roman"/>
        <family val="1"/>
        <charset val="186"/>
      </rPr>
      <t>euro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</si>
</sst>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0"/>
      <name val="Arial"/>
      <charset val="186"/>
    </font>
    <font>
      <sz val="10"/>
      <name val="Arial"/>
      <family val="2"/>
      <charset val="186"/>
    </font>
    <font>
      <b/>
      <sz val="10"/>
      <name val="Times New Roman"/>
      <family val="1"/>
      <charset val="186"/>
    </font>
    <font>
      <sz val="10"/>
      <name val="Times New Roman"/>
      <family val="1"/>
      <charset val="186"/>
    </font>
    <font>
      <b/>
      <sz val="12"/>
      <name val="Times New Roman"/>
      <family val="1"/>
      <charset val="186"/>
    </font>
    <font>
      <b/>
      <sz val="11"/>
      <name val="Times New Roman"/>
      <family val="1"/>
      <charset val="186"/>
    </font>
    <font>
      <u/>
      <sz val="10"/>
      <name val="Times New Roman"/>
      <family val="1"/>
      <charset val="186"/>
    </font>
    <font>
      <sz val="11"/>
      <name val="Arial"/>
      <family val="2"/>
      <charset val="186"/>
    </font>
    <font>
      <sz val="12"/>
      <name val="Arial"/>
      <family val="2"/>
      <charset val="186"/>
    </font>
    <font>
      <i/>
      <sz val="10"/>
      <name val="Times New Roman"/>
      <family val="1"/>
      <charset val="186"/>
    </font>
    <font>
      <b/>
      <u/>
      <sz val="10"/>
      <name val="Times New Roman"/>
      <family val="1"/>
      <charset val="186"/>
    </font>
    <font>
      <b/>
      <i/>
      <u/>
      <sz val="10"/>
      <name val="Times New Roman"/>
      <family val="1"/>
      <charset val="186"/>
    </font>
    <font>
      <i/>
      <sz val="10"/>
      <name val="Arial"/>
      <family val="2"/>
      <charset val="186"/>
    </font>
    <font>
      <b/>
      <i/>
      <sz val="10"/>
      <name val="Times New Roman"/>
      <family val="1"/>
      <charset val="186"/>
    </font>
    <font>
      <sz val="11"/>
      <name val="Times New Roman"/>
      <family val="1"/>
      <charset val="186"/>
    </font>
    <font>
      <b/>
      <i/>
      <sz val="11"/>
      <name val="Times New Roman"/>
      <family val="1"/>
      <charset val="186"/>
    </font>
    <font>
      <b/>
      <i/>
      <sz val="12"/>
      <name val="Times New Roman"/>
      <family val="1"/>
      <charset val="186"/>
    </font>
    <font>
      <i/>
      <sz val="10"/>
      <name val="Arial"/>
      <family val="1"/>
      <charset val="186"/>
    </font>
    <font>
      <sz val="10"/>
      <name val="Times New Roman"/>
      <family val="1"/>
      <charset val="186"/>
    </font>
    <font>
      <sz val="10"/>
      <name val="Arial"/>
      <charset val="186"/>
    </font>
    <font>
      <b/>
      <sz val="11"/>
      <name val="Times New Roman"/>
      <family val="1"/>
      <charset val="186"/>
    </font>
    <font>
      <b/>
      <sz val="10"/>
      <name val="Times New Roman"/>
      <family val="1"/>
      <charset val="186"/>
    </font>
    <font>
      <sz val="11"/>
      <name val="Arial"/>
      <family val="2"/>
      <charset val="186"/>
    </font>
    <font>
      <sz val="10"/>
      <name val="Times New Roman"/>
      <family val="1"/>
      <charset val="186"/>
    </font>
    <font>
      <b/>
      <sz val="12"/>
      <name val="Times New Roman"/>
      <family val="1"/>
      <charset val="186"/>
    </font>
    <font>
      <b/>
      <sz val="10"/>
      <name val="Times New Roman"/>
      <family val="1"/>
      <charset val="186"/>
    </font>
    <font>
      <sz val="10"/>
      <name val="Arial"/>
      <charset val="186"/>
    </font>
    <font>
      <b/>
      <sz val="11"/>
      <name val="Times New Roman"/>
      <family val="1"/>
      <charset val="186"/>
    </font>
    <font>
      <sz val="11"/>
      <name val="Times New Roman"/>
      <family val="1"/>
      <charset val="186"/>
    </font>
    <font>
      <b/>
      <i/>
      <sz val="11"/>
      <name val="Times New Roman"/>
      <family val="1"/>
      <charset val="186"/>
    </font>
    <font>
      <sz val="10"/>
      <name val="Arial"/>
      <family val="2"/>
      <charset val="186"/>
    </font>
    <font>
      <i/>
      <sz val="10"/>
      <name val="Arial"/>
      <family val="2"/>
      <charset val="186"/>
    </font>
    <font>
      <sz val="12"/>
      <name val="Times New Roman"/>
      <family val="1"/>
    </font>
  </fonts>
  <fills count="6">
    <fill>
      <patternFill patternType="none"/>
    </fill>
    <fill>
      <patternFill patternType="gray125"/>
    </fill>
    <fill>
      <patternFill patternType="lightUp">
        <bgColor auto="1"/>
      </patternFill>
    </fill>
    <fill>
      <patternFill patternType="lightUp"/>
    </fill>
    <fill>
      <patternFill patternType="solid">
        <fgColor rgb="FFFFFF99"/>
        <bgColor indexed="64"/>
      </patternFill>
    </fill>
    <fill>
      <patternFill patternType="lightUp">
        <fgColor auto="1"/>
        <bgColor theme="0"/>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hair">
        <color auto="1"/>
      </left>
      <right style="hair">
        <color auto="1"/>
      </right>
      <top style="hair">
        <color auto="1"/>
      </top>
      <bottom style="hair">
        <color auto="1"/>
      </bottom>
      <diagonal/>
    </border>
    <border>
      <left style="hair">
        <color auto="1"/>
      </left>
      <right/>
      <top/>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bottom style="hair">
        <color auto="1"/>
      </bottom>
      <diagonal/>
    </border>
    <border>
      <left style="thin">
        <color auto="1"/>
      </left>
      <right style="thin">
        <color auto="1"/>
      </right>
      <top style="hair">
        <color auto="1"/>
      </top>
      <bottom/>
      <diagonal/>
    </border>
    <border>
      <left/>
      <right/>
      <top/>
      <bottom style="medium">
        <color indexed="64"/>
      </bottom>
      <diagonal/>
    </border>
    <border>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hair">
        <color indexed="64"/>
      </bottom>
      <diagonal/>
    </border>
  </borders>
  <cellStyleXfs count="1">
    <xf numFmtId="0" fontId="0" fillId="0" borderId="0"/>
  </cellStyleXfs>
  <cellXfs count="218">
    <xf numFmtId="0" fontId="0" fillId="0" borderId="0" xfId="0"/>
    <xf numFmtId="0" fontId="3" fillId="0" borderId="0" xfId="0" applyFont="1" applyAlignment="1">
      <alignment wrapText="1"/>
    </xf>
    <xf numFmtId="0" fontId="3" fillId="0" borderId="0" xfId="0" applyFont="1" applyFill="1" applyAlignment="1">
      <alignment wrapText="1"/>
    </xf>
    <xf numFmtId="0" fontId="0" fillId="0" borderId="0" xfId="0" applyFill="1"/>
    <xf numFmtId="0" fontId="3" fillId="0" borderId="0" xfId="0" applyFont="1"/>
    <xf numFmtId="0" fontId="3" fillId="0" borderId="0" xfId="0" applyFont="1" applyBorder="1" applyAlignment="1">
      <alignment wrapText="1"/>
    </xf>
    <xf numFmtId="0" fontId="3" fillId="0" borderId="0" xfId="0" applyFont="1" applyFill="1"/>
    <xf numFmtId="0" fontId="0" fillId="0" borderId="0" xfId="0" applyBorder="1"/>
    <xf numFmtId="0" fontId="3" fillId="0" borderId="0" xfId="0" applyFont="1" applyBorder="1"/>
    <xf numFmtId="0" fontId="2" fillId="0" borderId="0" xfId="0" applyFont="1" applyAlignment="1">
      <alignment horizontal="left"/>
    </xf>
    <xf numFmtId="0" fontId="2" fillId="0" borderId="0" xfId="0" applyFont="1" applyAlignment="1">
      <alignment horizontal="center"/>
    </xf>
    <xf numFmtId="0" fontId="2" fillId="0" borderId="0" xfId="0" applyFont="1" applyBorder="1" applyAlignment="1">
      <alignment horizontal="center"/>
    </xf>
    <xf numFmtId="0" fontId="2" fillId="0" borderId="0" xfId="0" applyFont="1" applyBorder="1" applyAlignment="1">
      <alignment horizontal="right"/>
    </xf>
    <xf numFmtId="0" fontId="6" fillId="0" borderId="1" xfId="0" applyFont="1" applyBorder="1" applyAlignment="1">
      <alignment horizontal="center" vertical="center" wrapText="1"/>
    </xf>
    <xf numFmtId="0" fontId="0" fillId="0" borderId="0" xfId="0" applyFill="1" applyBorder="1"/>
    <xf numFmtId="0" fontId="10"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10" fillId="0" borderId="4" xfId="0" applyFont="1" applyBorder="1" applyAlignment="1">
      <alignment horizontal="center" vertical="center" wrapText="1"/>
    </xf>
    <xf numFmtId="0" fontId="2" fillId="0" borderId="18" xfId="0" applyFont="1" applyBorder="1" applyAlignment="1">
      <alignment horizontal="center" vertical="center"/>
    </xf>
    <xf numFmtId="0" fontId="3" fillId="0" borderId="18" xfId="0" applyFont="1" applyBorder="1" applyAlignment="1">
      <alignment horizontal="center" vertical="center"/>
    </xf>
    <xf numFmtId="0" fontId="10" fillId="0" borderId="4" xfId="0" applyFont="1" applyBorder="1" applyAlignment="1">
      <alignment vertical="top" wrapText="1"/>
    </xf>
    <xf numFmtId="0" fontId="2" fillId="0" borderId="11" xfId="0" applyFont="1" applyBorder="1" applyAlignment="1">
      <alignment horizontal="center" vertical="center"/>
    </xf>
    <xf numFmtId="0" fontId="9" fillId="0" borderId="1" xfId="0" applyFont="1" applyBorder="1" applyAlignment="1">
      <alignment horizontal="left" vertical="center" wrapText="1"/>
    </xf>
    <xf numFmtId="0" fontId="12" fillId="0" borderId="0" xfId="0" applyFont="1"/>
    <xf numFmtId="0" fontId="3" fillId="0" borderId="0" xfId="0" applyFont="1" applyBorder="1" applyAlignment="1">
      <alignment horizontal="center"/>
    </xf>
    <xf numFmtId="0" fontId="3" fillId="0" borderId="12" xfId="0" applyFont="1" applyBorder="1" applyAlignment="1">
      <alignment horizontal="center"/>
    </xf>
    <xf numFmtId="0" fontId="3" fillId="0" borderId="9" xfId="0" applyFont="1" applyFill="1" applyBorder="1" applyAlignment="1">
      <alignment vertical="center" wrapText="1"/>
    </xf>
    <xf numFmtId="0" fontId="3" fillId="0" borderId="3" xfId="0" applyFont="1" applyFill="1" applyBorder="1" applyAlignment="1">
      <alignment horizontal="center" vertical="center" wrapText="1"/>
    </xf>
    <xf numFmtId="0" fontId="2" fillId="0" borderId="16" xfId="0" applyFont="1" applyBorder="1" applyAlignment="1">
      <alignment horizontal="center" vertical="center"/>
    </xf>
    <xf numFmtId="0" fontId="13" fillId="0" borderId="1" xfId="0" applyFont="1" applyBorder="1" applyAlignment="1">
      <alignment horizontal="left" vertical="center" wrapText="1"/>
    </xf>
    <xf numFmtId="0" fontId="2" fillId="0" borderId="12" xfId="0" applyFont="1" applyBorder="1" applyAlignment="1">
      <alignment horizontal="center"/>
    </xf>
    <xf numFmtId="0" fontId="10" fillId="0" borderId="1" xfId="0" applyFont="1" applyBorder="1" applyAlignment="1">
      <alignment horizontal="left" vertical="center" wrapText="1"/>
    </xf>
    <xf numFmtId="0" fontId="5" fillId="0" borderId="1" xfId="0" applyFont="1" applyBorder="1" applyAlignment="1">
      <alignment horizontal="center" vertical="center" wrapText="1"/>
    </xf>
    <xf numFmtId="0" fontId="14" fillId="0" borderId="1" xfId="0" applyFont="1" applyBorder="1"/>
    <xf numFmtId="0" fontId="14" fillId="0" borderId="1" xfId="0" applyFont="1" applyBorder="1" applyAlignment="1">
      <alignment horizontal="center" wrapText="1"/>
    </xf>
    <xf numFmtId="0" fontId="5" fillId="3" borderId="1" xfId="0" applyFont="1" applyFill="1" applyBorder="1" applyAlignment="1">
      <alignment horizontal="center" wrapText="1"/>
    </xf>
    <xf numFmtId="0" fontId="14" fillId="0" borderId="1" xfId="0" applyFont="1" applyBorder="1" applyAlignment="1">
      <alignment horizontal="left" vertical="center" wrapText="1"/>
    </xf>
    <xf numFmtId="0" fontId="14" fillId="0" borderId="1" xfId="0" applyFont="1" applyBorder="1" applyAlignment="1">
      <alignment horizontal="center"/>
    </xf>
    <xf numFmtId="0" fontId="2" fillId="0" borderId="0" xfId="0" applyFont="1" applyBorder="1" applyAlignment="1">
      <alignment horizontal="center" vertical="center"/>
    </xf>
    <xf numFmtId="0" fontId="10" fillId="0" borderId="0" xfId="0" applyFont="1" applyBorder="1" applyAlignment="1">
      <alignment horizontal="left" vertical="center" wrapText="1"/>
    </xf>
    <xf numFmtId="0" fontId="10" fillId="0" borderId="0" xfId="0" applyFont="1" applyBorder="1" applyAlignment="1">
      <alignment horizontal="center" vertical="center" wrapText="1"/>
    </xf>
    <xf numFmtId="0" fontId="15" fillId="0" borderId="1" xfId="0" applyFont="1" applyBorder="1" applyAlignment="1">
      <alignment horizontal="right"/>
    </xf>
    <xf numFmtId="0" fontId="5" fillId="0" borderId="1" xfId="0" applyFont="1" applyBorder="1" applyAlignment="1">
      <alignment horizontal="center" wrapText="1"/>
    </xf>
    <xf numFmtId="0" fontId="14" fillId="0" borderId="1" xfId="0" applyFont="1" applyBorder="1" applyAlignment="1">
      <alignment horizontal="center" vertical="center" wrapText="1"/>
    </xf>
    <xf numFmtId="0" fontId="14" fillId="0" borderId="1" xfId="0" applyFont="1" applyBorder="1" applyAlignment="1">
      <alignment horizontal="left" wrapText="1"/>
    </xf>
    <xf numFmtId="0" fontId="4" fillId="0" borderId="0" xfId="0" applyFont="1" applyBorder="1"/>
    <xf numFmtId="0" fontId="5" fillId="0" borderId="1" xfId="0" applyFont="1" applyBorder="1" applyAlignment="1">
      <alignment horizontal="right" vertical="center" wrapText="1"/>
    </xf>
    <xf numFmtId="0" fontId="3" fillId="4" borderId="11" xfId="0" applyFont="1" applyFill="1" applyBorder="1" applyAlignment="1">
      <alignment horizontal="center" vertical="center" wrapText="1"/>
    </xf>
    <xf numFmtId="0" fontId="3" fillId="4" borderId="0" xfId="0" applyFont="1" applyFill="1"/>
    <xf numFmtId="0" fontId="3" fillId="0" borderId="11" xfId="0" applyFont="1" applyFill="1" applyBorder="1" applyAlignment="1">
      <alignment horizontal="center" vertical="center" wrapText="1"/>
    </xf>
    <xf numFmtId="0" fontId="11" fillId="0" borderId="5" xfId="0" applyFont="1" applyFill="1" applyBorder="1" applyAlignment="1">
      <alignment horizontal="left" vertical="center" wrapText="1"/>
    </xf>
    <xf numFmtId="0" fontId="3" fillId="0" borderId="1" xfId="0" applyFont="1" applyFill="1" applyBorder="1" applyAlignment="1">
      <alignment vertical="center" wrapText="1"/>
    </xf>
    <xf numFmtId="0" fontId="3" fillId="0" borderId="3" xfId="0" applyFont="1" applyFill="1" applyBorder="1" applyAlignment="1">
      <alignment vertical="center" wrapText="1"/>
    </xf>
    <xf numFmtId="49" fontId="3" fillId="0" borderId="3" xfId="0" applyNumberFormat="1" applyFont="1" applyFill="1" applyBorder="1" applyAlignment="1">
      <alignment horizontal="righ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center" wrapText="1"/>
    </xf>
    <xf numFmtId="0" fontId="5" fillId="0" borderId="1" xfId="0" applyFont="1" applyBorder="1"/>
    <xf numFmtId="0" fontId="5" fillId="0" borderId="1" xfId="0" applyFont="1" applyBorder="1" applyAlignment="1">
      <alignment horizontal="right" wrapText="1"/>
    </xf>
    <xf numFmtId="0" fontId="2" fillId="0" borderId="8" xfId="0" applyFont="1" applyFill="1" applyBorder="1" applyAlignment="1">
      <alignment horizontal="center" vertical="center" wrapText="1"/>
    </xf>
    <xf numFmtId="0" fontId="5" fillId="0" borderId="0" xfId="0" applyFont="1" applyBorder="1" applyAlignment="1">
      <alignment horizontal="center"/>
    </xf>
    <xf numFmtId="0" fontId="2" fillId="0" borderId="10" xfId="0" applyFont="1" applyFill="1" applyBorder="1" applyAlignment="1">
      <alignment horizontal="center" vertical="center" wrapText="1"/>
    </xf>
    <xf numFmtId="0" fontId="4" fillId="0" borderId="26" xfId="0" applyFont="1" applyBorder="1" applyAlignment="1">
      <alignment horizontal="center" wrapText="1"/>
    </xf>
    <xf numFmtId="0" fontId="2" fillId="0" borderId="26" xfId="0" applyFont="1" applyBorder="1" applyAlignment="1">
      <alignment horizontal="center" wrapText="1"/>
    </xf>
    <xf numFmtId="9" fontId="3" fillId="0" borderId="0" xfId="0" applyNumberFormat="1" applyFont="1" applyFill="1"/>
    <xf numFmtId="0" fontId="4" fillId="0" borderId="27" xfId="0" applyFont="1" applyFill="1" applyBorder="1" applyAlignment="1">
      <alignment horizontal="center" wrapText="1"/>
    </xf>
    <xf numFmtId="0" fontId="2" fillId="0" borderId="27" xfId="0" applyFont="1" applyFill="1" applyBorder="1" applyAlignment="1">
      <alignment horizontal="center" wrapText="1"/>
    </xf>
    <xf numFmtId="0" fontId="14" fillId="0" borderId="1" xfId="0" applyFont="1" applyFill="1" applyBorder="1" applyAlignment="1">
      <alignment horizontal="left" vertical="center" wrapText="1"/>
    </xf>
    <xf numFmtId="0" fontId="1" fillId="0" borderId="0" xfId="0" applyFont="1"/>
    <xf numFmtId="0" fontId="0" fillId="0" borderId="0" xfId="0" applyAlignment="1"/>
    <xf numFmtId="3" fontId="5" fillId="0" borderId="1" xfId="0" applyNumberFormat="1" applyFont="1" applyBorder="1" applyAlignment="1">
      <alignment horizontal="center" vertical="center" wrapText="1"/>
    </xf>
    <xf numFmtId="3" fontId="14" fillId="0" borderId="1" xfId="0" applyNumberFormat="1" applyFont="1" applyBorder="1" applyAlignment="1">
      <alignment horizontal="center" vertical="center" wrapText="1"/>
    </xf>
    <xf numFmtId="3" fontId="14" fillId="0" borderId="1" xfId="0" applyNumberFormat="1" applyFont="1" applyFill="1" applyBorder="1" applyAlignment="1">
      <alignment horizontal="center" vertical="center" wrapText="1"/>
    </xf>
    <xf numFmtId="3" fontId="14" fillId="0" borderId="1" xfId="0" applyNumberFormat="1" applyFont="1" applyBorder="1" applyAlignment="1">
      <alignment horizontal="center" wrapText="1"/>
    </xf>
    <xf numFmtId="3" fontId="5" fillId="3" borderId="1" xfId="0" applyNumberFormat="1" applyFont="1" applyFill="1" applyBorder="1" applyAlignment="1">
      <alignment horizontal="center" wrapText="1"/>
    </xf>
    <xf numFmtId="3" fontId="14" fillId="0" borderId="1" xfId="0" applyNumberFormat="1" applyFont="1" applyFill="1" applyBorder="1" applyAlignment="1">
      <alignment horizontal="center" wrapText="1"/>
    </xf>
    <xf numFmtId="3" fontId="5" fillId="0" borderId="1" xfId="0" applyNumberFormat="1" applyFont="1" applyBorder="1" applyAlignment="1">
      <alignment horizontal="center" wrapText="1"/>
    </xf>
    <xf numFmtId="0" fontId="5" fillId="0" borderId="1" xfId="0" applyFont="1" applyFill="1" applyBorder="1" applyAlignment="1">
      <alignment horizontal="right" vertical="center" wrapText="1"/>
    </xf>
    <xf numFmtId="0" fontId="14" fillId="0" borderId="2" xfId="0" applyFont="1" applyFill="1" applyBorder="1" applyAlignment="1">
      <alignment horizontal="center" vertical="center" wrapText="1"/>
    </xf>
    <xf numFmtId="3" fontId="5" fillId="0" borderId="1" xfId="0" applyNumberFormat="1" applyFont="1" applyFill="1" applyBorder="1" applyAlignment="1">
      <alignment horizontal="center" wrapText="1"/>
    </xf>
    <xf numFmtId="0" fontId="5" fillId="0" borderId="0" xfId="0" applyFont="1" applyBorder="1" applyAlignment="1">
      <alignment wrapText="1"/>
    </xf>
    <xf numFmtId="0" fontId="7" fillId="0" borderId="0" xfId="0" applyFont="1" applyBorder="1" applyAlignment="1"/>
    <xf numFmtId="0" fontId="2" fillId="0" borderId="12" xfId="0" applyFont="1" applyBorder="1" applyAlignment="1">
      <alignment horizontal="center" vertical="center"/>
    </xf>
    <xf numFmtId="0" fontId="3" fillId="0" borderId="12" xfId="0" applyFont="1" applyBorder="1" applyAlignment="1">
      <alignment horizontal="center" vertical="center"/>
    </xf>
    <xf numFmtId="0" fontId="0" fillId="3" borderId="3" xfId="0" applyFill="1" applyBorder="1" applyAlignment="1">
      <alignment horizontal="center"/>
    </xf>
    <xf numFmtId="0" fontId="2" fillId="5" borderId="5" xfId="0" applyFont="1" applyFill="1" applyBorder="1" applyAlignment="1">
      <alignment wrapText="1"/>
    </xf>
    <xf numFmtId="0" fontId="2" fillId="5" borderId="3" xfId="0" applyFont="1" applyFill="1" applyBorder="1" applyAlignment="1">
      <alignment wrapText="1"/>
    </xf>
    <xf numFmtId="0" fontId="5" fillId="0" borderId="0" xfId="0" applyFont="1" applyBorder="1" applyAlignment="1">
      <alignment horizontal="center"/>
    </xf>
    <xf numFmtId="0" fontId="2" fillId="0" borderId="10" xfId="0" applyFont="1" applyBorder="1" applyAlignment="1">
      <alignment horizontal="center" vertical="center" wrapText="1"/>
    </xf>
    <xf numFmtId="0" fontId="2" fillId="0" borderId="8" xfId="0" applyFont="1" applyFill="1" applyBorder="1" applyAlignment="1">
      <alignment horizontal="center" vertical="center" wrapText="1"/>
    </xf>
    <xf numFmtId="0" fontId="2" fillId="0" borderId="23" xfId="0" applyFont="1" applyBorder="1" applyAlignment="1">
      <alignment vertical="center"/>
    </xf>
    <xf numFmtId="0" fontId="8" fillId="0" borderId="0" xfId="0" applyFont="1" applyAlignment="1">
      <alignment horizontal="center" wrapText="1"/>
    </xf>
    <xf numFmtId="3" fontId="2" fillId="2" borderId="10" xfId="0" applyNumberFormat="1" applyFont="1" applyFill="1" applyBorder="1" applyAlignment="1">
      <alignment horizontal="center" vertical="center" wrapText="1"/>
    </xf>
    <xf numFmtId="3" fontId="2" fillId="0" borderId="10" xfId="0" applyNumberFormat="1" applyFont="1" applyFill="1" applyBorder="1" applyAlignment="1">
      <alignment horizontal="center" vertical="center" wrapText="1"/>
    </xf>
    <xf numFmtId="3" fontId="3" fillId="0" borderId="1" xfId="0" applyNumberFormat="1" applyFont="1" applyFill="1" applyBorder="1" applyAlignment="1">
      <alignment horizontal="center" vertical="center" wrapText="1"/>
    </xf>
    <xf numFmtId="3" fontId="2" fillId="0" borderId="16" xfId="0" applyNumberFormat="1" applyFont="1" applyBorder="1" applyAlignment="1">
      <alignment horizontal="center" vertical="center"/>
    </xf>
    <xf numFmtId="3" fontId="3" fillId="0" borderId="12" xfId="0" applyNumberFormat="1" applyFont="1" applyBorder="1" applyAlignment="1">
      <alignment horizontal="center"/>
    </xf>
    <xf numFmtId="3" fontId="3" fillId="0" borderId="12" xfId="0" applyNumberFormat="1" applyFont="1" applyBorder="1" applyAlignment="1">
      <alignment horizontal="center" vertical="center"/>
    </xf>
    <xf numFmtId="3" fontId="2" fillId="0" borderId="12" xfId="0" applyNumberFormat="1" applyFont="1" applyBorder="1" applyAlignment="1">
      <alignment horizontal="center"/>
    </xf>
    <xf numFmtId="3" fontId="2" fillId="0" borderId="12" xfId="0" applyNumberFormat="1" applyFont="1" applyBorder="1" applyAlignment="1">
      <alignment horizontal="center" vertical="center"/>
    </xf>
    <xf numFmtId="0" fontId="2" fillId="0" borderId="34" xfId="0" applyFont="1" applyBorder="1" applyAlignment="1">
      <alignment horizontal="center" vertical="center" wrapText="1"/>
    </xf>
    <xf numFmtId="0" fontId="14" fillId="3" borderId="1" xfId="0" applyFont="1" applyFill="1" applyBorder="1" applyAlignment="1">
      <alignment horizontal="center" wrapText="1"/>
    </xf>
    <xf numFmtId="3" fontId="5" fillId="0" borderId="0" xfId="0" applyNumberFormat="1" applyFont="1" applyFill="1" applyBorder="1" applyAlignment="1">
      <alignment horizontal="center" wrapText="1"/>
    </xf>
    <xf numFmtId="3" fontId="3" fillId="0" borderId="0" xfId="0" applyNumberFormat="1" applyFont="1"/>
    <xf numFmtId="0" fontId="19" fillId="0" borderId="0" xfId="0" applyFont="1"/>
    <xf numFmtId="0" fontId="21" fillId="0" borderId="1" xfId="0" applyFont="1" applyBorder="1" applyAlignment="1">
      <alignment horizontal="center" vertical="center"/>
    </xf>
    <xf numFmtId="3" fontId="21" fillId="0" borderId="1" xfId="0" applyNumberFormat="1" applyFont="1" applyBorder="1"/>
    <xf numFmtId="0" fontId="18" fillId="0" borderId="30" xfId="0" applyFont="1" applyBorder="1"/>
    <xf numFmtId="3" fontId="18" fillId="0" borderId="30" xfId="0" applyNumberFormat="1" applyFont="1" applyFill="1" applyBorder="1"/>
    <xf numFmtId="0" fontId="18" fillId="0" borderId="35" xfId="0" applyFont="1" applyBorder="1" applyAlignment="1">
      <alignment horizontal="center"/>
    </xf>
    <xf numFmtId="0" fontId="18" fillId="0" borderId="28" xfId="0" applyFont="1" applyBorder="1"/>
    <xf numFmtId="3" fontId="18" fillId="0" borderId="28" xfId="0" applyNumberFormat="1" applyFont="1" applyFill="1" applyBorder="1"/>
    <xf numFmtId="0" fontId="18" fillId="0" borderId="28" xfId="0" applyFont="1" applyBorder="1" applyAlignment="1">
      <alignment horizontal="center"/>
    </xf>
    <xf numFmtId="0" fontId="18" fillId="0" borderId="31" xfId="0" applyFont="1" applyBorder="1"/>
    <xf numFmtId="3" fontId="18" fillId="0" borderId="31" xfId="0" applyNumberFormat="1" applyFont="1" applyBorder="1"/>
    <xf numFmtId="0" fontId="18" fillId="0" borderId="29" xfId="0" applyFont="1" applyBorder="1" applyAlignment="1">
      <alignment horizontal="center"/>
    </xf>
    <xf numFmtId="0" fontId="18" fillId="0" borderId="1" xfId="0" applyFont="1" applyBorder="1" applyAlignment="1">
      <alignment horizontal="center"/>
    </xf>
    <xf numFmtId="3" fontId="18" fillId="0" borderId="30" xfId="0" applyNumberFormat="1" applyFont="1" applyBorder="1"/>
    <xf numFmtId="0" fontId="18" fillId="0" borderId="29" xfId="0" applyFont="1" applyBorder="1"/>
    <xf numFmtId="3" fontId="18" fillId="0" borderId="29" xfId="0" applyNumberFormat="1" applyFont="1" applyBorder="1"/>
    <xf numFmtId="0" fontId="18" fillId="0" borderId="0" xfId="0" applyFont="1"/>
    <xf numFmtId="0" fontId="21" fillId="0" borderId="0" xfId="0" applyFont="1" applyFill="1"/>
    <xf numFmtId="3" fontId="18" fillId="0" borderId="0" xfId="0" applyNumberFormat="1" applyFont="1" applyAlignment="1">
      <alignment wrapText="1"/>
    </xf>
    <xf numFmtId="0" fontId="22" fillId="0" borderId="0" xfId="0" applyFont="1" applyAlignment="1">
      <alignment vertical="center"/>
    </xf>
    <xf numFmtId="0" fontId="23" fillId="0" borderId="0" xfId="0" applyFont="1"/>
    <xf numFmtId="0" fontId="26" fillId="0" borderId="0" xfId="0" applyFont="1"/>
    <xf numFmtId="0" fontId="27" fillId="0" borderId="1" xfId="0" applyFont="1" applyBorder="1" applyAlignment="1">
      <alignment horizontal="center" vertical="center" wrapText="1"/>
    </xf>
    <xf numFmtId="0" fontId="27" fillId="0" borderId="1" xfId="0" applyFont="1" applyFill="1" applyBorder="1" applyAlignment="1">
      <alignment horizontal="center" vertical="center" wrapText="1"/>
    </xf>
    <xf numFmtId="0" fontId="28" fillId="0" borderId="1" xfId="0" applyFont="1" applyBorder="1"/>
    <xf numFmtId="0" fontId="29" fillId="0" borderId="1" xfId="0" applyFont="1" applyBorder="1"/>
    <xf numFmtId="0" fontId="29" fillId="0" borderId="1" xfId="0" applyFont="1" applyFill="1" applyBorder="1"/>
    <xf numFmtId="0" fontId="28" fillId="0" borderId="1" xfId="0" applyFont="1" applyBorder="1" applyAlignment="1">
      <alignment horizontal="center"/>
    </xf>
    <xf numFmtId="0" fontId="28" fillId="0" borderId="1" xfId="0" applyFont="1" applyBorder="1" applyAlignment="1">
      <alignment horizontal="center" wrapText="1"/>
    </xf>
    <xf numFmtId="0" fontId="28" fillId="3" borderId="1" xfId="0" applyFont="1" applyFill="1" applyBorder="1"/>
    <xf numFmtId="0" fontId="29" fillId="0" borderId="1" xfId="0" applyFont="1" applyBorder="1" applyAlignment="1">
      <alignment horizontal="left" vertical="center" wrapText="1"/>
    </xf>
    <xf numFmtId="0" fontId="28" fillId="3" borderId="1" xfId="0" applyFont="1" applyFill="1" applyBorder="1" applyAlignment="1">
      <alignment horizontal="center" wrapText="1"/>
    </xf>
    <xf numFmtId="0" fontId="28" fillId="0" borderId="1" xfId="0" applyFont="1" applyBorder="1" applyAlignment="1">
      <alignment horizontal="left"/>
    </xf>
    <xf numFmtId="0" fontId="28" fillId="0" borderId="1" xfId="0" applyFont="1" applyFill="1" applyBorder="1"/>
    <xf numFmtId="0" fontId="26" fillId="0" borderId="0" xfId="0" applyFont="1" applyAlignment="1"/>
    <xf numFmtId="0" fontId="30" fillId="0" borderId="0" xfId="0" applyFont="1"/>
    <xf numFmtId="0" fontId="28" fillId="3" borderId="1" xfId="0" applyFont="1" applyFill="1" applyBorder="1" applyAlignment="1">
      <alignment horizontal="center"/>
    </xf>
    <xf numFmtId="0" fontId="28" fillId="0" borderId="1" xfId="0" applyFont="1" applyBorder="1" applyAlignment="1">
      <alignment wrapText="1"/>
    </xf>
    <xf numFmtId="0" fontId="29" fillId="0" borderId="1" xfId="0" applyFont="1" applyBorder="1" applyAlignment="1">
      <alignment vertical="center"/>
    </xf>
    <xf numFmtId="0" fontId="28" fillId="0" borderId="1" xfId="0" applyFont="1" applyFill="1" applyBorder="1" applyAlignment="1">
      <alignment horizontal="center"/>
    </xf>
    <xf numFmtId="0" fontId="28" fillId="0" borderId="1" xfId="0" applyFont="1" applyBorder="1" applyAlignment="1">
      <alignment vertical="center"/>
    </xf>
    <xf numFmtId="0" fontId="28" fillId="0" borderId="1" xfId="0" applyFont="1" applyBorder="1" applyAlignment="1">
      <alignment horizontal="left" vertical="center" wrapText="1"/>
    </xf>
    <xf numFmtId="0" fontId="29" fillId="0" borderId="1" xfId="0" applyFont="1" applyBorder="1" applyAlignment="1">
      <alignment wrapText="1"/>
    </xf>
    <xf numFmtId="0" fontId="28" fillId="0" borderId="1" xfId="0" applyFont="1" applyFill="1" applyBorder="1" applyAlignment="1">
      <alignment horizontal="center" wrapText="1"/>
    </xf>
    <xf numFmtId="0" fontId="27" fillId="3" borderId="1" xfId="0" applyFont="1" applyFill="1" applyBorder="1" applyAlignment="1">
      <alignment horizontal="center" wrapText="1"/>
    </xf>
    <xf numFmtId="0" fontId="27" fillId="0" borderId="5" xfId="0" applyFont="1" applyBorder="1" applyAlignment="1">
      <alignment horizontal="right"/>
    </xf>
    <xf numFmtId="0" fontId="31" fillId="0" borderId="0" xfId="0" applyFont="1"/>
    <xf numFmtId="0" fontId="32" fillId="0" borderId="0" xfId="0" applyFont="1"/>
    <xf numFmtId="0" fontId="26" fillId="0" borderId="0" xfId="0" applyFont="1" applyFill="1" applyBorder="1"/>
    <xf numFmtId="0" fontId="2"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3" fillId="0" borderId="1" xfId="0" applyFont="1" applyBorder="1"/>
    <xf numFmtId="0" fontId="13" fillId="0" borderId="1" xfId="0" applyFont="1" applyBorder="1"/>
    <xf numFmtId="0" fontId="13" fillId="0" borderId="1" xfId="0" applyFont="1" applyFill="1" applyBorder="1"/>
    <xf numFmtId="0" fontId="3" fillId="0" borderId="1" xfId="0" applyFont="1" applyBorder="1" applyAlignment="1">
      <alignment horizontal="center"/>
    </xf>
    <xf numFmtId="0" fontId="3" fillId="0" borderId="1" xfId="0" applyFont="1" applyBorder="1" applyAlignment="1">
      <alignment horizontal="center" wrapText="1"/>
    </xf>
    <xf numFmtId="0" fontId="3" fillId="3" borderId="1" xfId="0" applyFont="1" applyFill="1" applyBorder="1"/>
    <xf numFmtId="0" fontId="3" fillId="3" borderId="1" xfId="0" applyFont="1" applyFill="1" applyBorder="1" applyAlignment="1">
      <alignment horizontal="center" wrapText="1"/>
    </xf>
    <xf numFmtId="0" fontId="3" fillId="0" borderId="1" xfId="0" applyFont="1" applyBorder="1" applyAlignment="1">
      <alignment horizontal="left"/>
    </xf>
    <xf numFmtId="0" fontId="3" fillId="0" borderId="1" xfId="0" applyFont="1" applyFill="1" applyBorder="1"/>
    <xf numFmtId="0" fontId="3" fillId="3" borderId="1" xfId="0" applyFont="1" applyFill="1" applyBorder="1" applyAlignment="1">
      <alignment horizontal="center"/>
    </xf>
    <xf numFmtId="0" fontId="3" fillId="0" borderId="1" xfId="0" applyFont="1" applyBorder="1" applyAlignment="1">
      <alignment wrapText="1"/>
    </xf>
    <xf numFmtId="0" fontId="13" fillId="0" borderId="1" xfId="0" applyFont="1" applyBorder="1" applyAlignment="1">
      <alignment vertical="center"/>
    </xf>
    <xf numFmtId="0" fontId="3" fillId="0" borderId="1" xfId="0" applyFont="1" applyFill="1" applyBorder="1" applyAlignment="1">
      <alignment horizontal="center"/>
    </xf>
    <xf numFmtId="0" fontId="3" fillId="0" borderId="1" xfId="0" applyFont="1" applyBorder="1" applyAlignment="1">
      <alignment vertical="center"/>
    </xf>
    <xf numFmtId="0" fontId="3" fillId="0" borderId="1" xfId="0" applyFont="1" applyBorder="1" applyAlignment="1">
      <alignment horizontal="left" vertical="center" wrapText="1"/>
    </xf>
    <xf numFmtId="0" fontId="13" fillId="0" borderId="1" xfId="0" applyFont="1" applyBorder="1" applyAlignment="1">
      <alignment wrapText="1"/>
    </xf>
    <xf numFmtId="0" fontId="3" fillId="0"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5" xfId="0" applyFont="1" applyBorder="1" applyAlignment="1">
      <alignment horizontal="right"/>
    </xf>
    <xf numFmtId="0" fontId="20" fillId="0" borderId="0" xfId="0" applyFont="1" applyAlignment="1">
      <alignment horizontal="center"/>
    </xf>
    <xf numFmtId="0" fontId="18" fillId="0" borderId="0" xfId="0" applyFont="1" applyAlignment="1">
      <alignment horizontal="right"/>
    </xf>
    <xf numFmtId="0" fontId="2" fillId="0" borderId="10"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0"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4" fillId="0" borderId="0" xfId="0" applyFont="1" applyAlignment="1">
      <alignment horizontal="center" wrapText="1"/>
    </xf>
    <xf numFmtId="0" fontId="8" fillId="0" borderId="0" xfId="0" applyFont="1" applyAlignment="1">
      <alignment horizontal="center" wrapText="1"/>
    </xf>
    <xf numFmtId="0" fontId="5" fillId="0" borderId="0" xfId="0" applyFont="1" applyBorder="1" applyAlignment="1">
      <alignment horizontal="center"/>
    </xf>
    <xf numFmtId="0" fontId="3" fillId="0" borderId="0" xfId="0" applyFont="1" applyAlignment="1">
      <alignment horizontal="center"/>
    </xf>
    <xf numFmtId="0" fontId="10" fillId="0" borderId="7" xfId="0" applyFont="1" applyFill="1" applyBorder="1" applyAlignment="1">
      <alignment horizontal="left" vertical="center"/>
    </xf>
    <xf numFmtId="0" fontId="10" fillId="0" borderId="8" xfId="0" applyFont="1" applyFill="1" applyBorder="1" applyAlignment="1">
      <alignment horizontal="left" vertical="center"/>
    </xf>
    <xf numFmtId="0" fontId="10" fillId="0" borderId="9" xfId="0" applyFont="1" applyFill="1" applyBorder="1" applyAlignment="1">
      <alignment horizontal="left" vertical="center"/>
    </xf>
    <xf numFmtId="0" fontId="2" fillId="0" borderId="25"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13" xfId="0" applyFill="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4" fillId="0" borderId="32" xfId="0" applyFont="1" applyBorder="1" applyAlignment="1">
      <alignment horizontal="center" wrapText="1"/>
    </xf>
    <xf numFmtId="0" fontId="2" fillId="0" borderId="23" xfId="0" applyFont="1" applyBorder="1" applyAlignment="1">
      <alignment vertical="center"/>
    </xf>
    <xf numFmtId="0" fontId="2" fillId="0" borderId="24" xfId="0" applyFont="1" applyBorder="1" applyAlignment="1">
      <alignment vertical="center"/>
    </xf>
    <xf numFmtId="0" fontId="2" fillId="0" borderId="14" xfId="0" applyFont="1" applyBorder="1" applyAlignment="1">
      <alignment horizontal="center" vertical="center"/>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0" fillId="0" borderId="12" xfId="0" applyFill="1" applyBorder="1" applyAlignment="1">
      <alignment horizontal="center" vertical="center" wrapText="1"/>
    </xf>
    <xf numFmtId="0" fontId="0" fillId="0" borderId="15" xfId="0" applyFill="1" applyBorder="1" applyAlignment="1">
      <alignment horizontal="center" vertical="center" wrapText="1"/>
    </xf>
    <xf numFmtId="0" fontId="2" fillId="0" borderId="0" xfId="0" applyFont="1" applyAlignment="1">
      <alignment horizontal="center" wrapText="1"/>
    </xf>
    <xf numFmtId="0" fontId="16" fillId="0" borderId="0" xfId="0" applyFont="1" applyBorder="1" applyAlignment="1">
      <alignment horizontal="left" wrapText="1"/>
    </xf>
    <xf numFmtId="0" fontId="5" fillId="0" borderId="0" xfId="0" applyFont="1" applyBorder="1" applyAlignment="1">
      <alignment horizontal="center" wrapText="1"/>
    </xf>
    <xf numFmtId="0" fontId="4" fillId="0" borderId="0" xfId="0" applyFont="1" applyAlignment="1">
      <alignment horizontal="center" vertical="center" wrapText="1"/>
    </xf>
    <xf numFmtId="3" fontId="4" fillId="0" borderId="33" xfId="0" applyNumberFormat="1" applyFont="1" applyBorder="1" applyAlignment="1">
      <alignment horizontal="right"/>
    </xf>
    <xf numFmtId="3" fontId="4" fillId="0" borderId="3" xfId="0" applyNumberFormat="1" applyFont="1" applyBorder="1" applyAlignment="1">
      <alignment horizontal="right"/>
    </xf>
    <xf numFmtId="0" fontId="24" fillId="0" borderId="0" xfId="0" applyFont="1" applyAlignment="1">
      <alignment horizontal="center" wrapText="1"/>
    </xf>
    <xf numFmtId="0" fontId="25" fillId="0" borderId="0" xfId="0" applyFont="1" applyAlignment="1">
      <alignment horizontal="center" wrapText="1"/>
    </xf>
  </cellXfs>
  <cellStyles count="1">
    <cellStyle name="Parasts"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2076450</xdr:colOff>
      <xdr:row>13</xdr:row>
      <xdr:rowOff>0</xdr:rowOff>
    </xdr:from>
    <xdr:to>
      <xdr:col>2</xdr:col>
      <xdr:colOff>1571625</xdr:colOff>
      <xdr:row>13</xdr:row>
      <xdr:rowOff>0</xdr:rowOff>
    </xdr:to>
    <xdr:sp macro="" textlink="">
      <xdr:nvSpPr>
        <xdr:cNvPr id="2" name="Rectangle 2">
          <a:extLst>
            <a:ext uri="{FF2B5EF4-FFF2-40B4-BE49-F238E27FC236}">
              <a16:creationId xmlns:a16="http://schemas.microsoft.com/office/drawing/2014/main" id="{56B25F66-6D19-4924-9A7C-4E655A96E9F7}"/>
            </a:ext>
          </a:extLst>
        </xdr:cNvPr>
        <xdr:cNvSpPr>
          <a:spLocks noChangeArrowheads="1"/>
        </xdr:cNvSpPr>
      </xdr:nvSpPr>
      <xdr:spPr bwMode="auto">
        <a:xfrm>
          <a:off x="3429000" y="4371975"/>
          <a:ext cx="0" cy="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ctr" rtl="0">
            <a:defRPr sz="1000"/>
          </a:pPr>
          <a:r>
            <a:rPr lang="lv-LV" sz="1000" b="1" i="0" strike="noStrike">
              <a:solidFill>
                <a:srgbClr val="000000"/>
              </a:solidFill>
              <a:latin typeface="Times New Roman"/>
              <a:cs typeface="Times New Roman"/>
            </a:rPr>
            <a:t>Summa, Ls</a:t>
          </a:r>
          <a:endParaRPr lang="lv-LV" sz="1000" b="0" i="0" strike="noStrike">
            <a:solidFill>
              <a:srgbClr val="000000"/>
            </a:solidFill>
            <a:latin typeface="Times New Roman"/>
            <a:cs typeface="Times New Roman"/>
          </a:endParaRPr>
        </a:p>
        <a:p>
          <a:pPr algn="ctr" rtl="0">
            <a:defRPr sz="1000"/>
          </a:pPr>
          <a:endParaRPr lang="lv-LV" sz="1000" b="0" i="0" strike="noStrike">
            <a:solidFill>
              <a:srgbClr val="000000"/>
            </a:solidFill>
            <a:latin typeface="Times New Roman"/>
            <a:cs typeface="Times New Roman"/>
          </a:endParaRPr>
        </a:p>
      </xdr:txBody>
    </xdr:sp>
    <xdr:clientData/>
  </xdr:twoCellAnchor>
  <xdr:twoCellAnchor>
    <xdr:from>
      <xdr:col>2</xdr:col>
      <xdr:colOff>2076450</xdr:colOff>
      <xdr:row>13</xdr:row>
      <xdr:rowOff>0</xdr:rowOff>
    </xdr:from>
    <xdr:to>
      <xdr:col>2</xdr:col>
      <xdr:colOff>1571625</xdr:colOff>
      <xdr:row>13</xdr:row>
      <xdr:rowOff>0</xdr:rowOff>
    </xdr:to>
    <xdr:sp macro="" textlink="">
      <xdr:nvSpPr>
        <xdr:cNvPr id="3" name="Rectangle 4">
          <a:extLst>
            <a:ext uri="{FF2B5EF4-FFF2-40B4-BE49-F238E27FC236}">
              <a16:creationId xmlns:a16="http://schemas.microsoft.com/office/drawing/2014/main" id="{856E9E50-A206-4902-83C9-2544E515EC47}"/>
            </a:ext>
          </a:extLst>
        </xdr:cNvPr>
        <xdr:cNvSpPr>
          <a:spLocks noChangeArrowheads="1"/>
        </xdr:cNvSpPr>
      </xdr:nvSpPr>
      <xdr:spPr bwMode="auto">
        <a:xfrm>
          <a:off x="3429000" y="4371975"/>
          <a:ext cx="0" cy="0"/>
        </a:xfrm>
        <a:prstGeom prst="rect">
          <a:avLst/>
        </a:prstGeom>
        <a:solidFill>
          <a:srgbClr val="FFFFFF"/>
        </a:solidFill>
        <a:ln w="9525">
          <a:solidFill>
            <a:srgbClr val="000000"/>
          </a:solidFill>
          <a:miter lim="800000"/>
          <a:headEnd/>
          <a:tailEnd/>
        </a:ln>
      </xdr:spPr>
    </xdr:sp>
    <xdr:clientData/>
  </xdr:twoCellAnchor>
  <xdr:twoCellAnchor>
    <xdr:from>
      <xdr:col>2</xdr:col>
      <xdr:colOff>2076450</xdr:colOff>
      <xdr:row>13</xdr:row>
      <xdr:rowOff>0</xdr:rowOff>
    </xdr:from>
    <xdr:to>
      <xdr:col>2</xdr:col>
      <xdr:colOff>1571625</xdr:colOff>
      <xdr:row>13</xdr:row>
      <xdr:rowOff>0</xdr:rowOff>
    </xdr:to>
    <xdr:sp macro="" textlink="">
      <xdr:nvSpPr>
        <xdr:cNvPr id="4" name="Rectangle 6">
          <a:extLst>
            <a:ext uri="{FF2B5EF4-FFF2-40B4-BE49-F238E27FC236}">
              <a16:creationId xmlns:a16="http://schemas.microsoft.com/office/drawing/2014/main" id="{6C70490F-9CF6-4ECF-9A91-622C44BDC97D}"/>
            </a:ext>
          </a:extLst>
        </xdr:cNvPr>
        <xdr:cNvSpPr>
          <a:spLocks noChangeArrowheads="1"/>
        </xdr:cNvSpPr>
      </xdr:nvSpPr>
      <xdr:spPr bwMode="auto">
        <a:xfrm>
          <a:off x="3429000" y="4371975"/>
          <a:ext cx="0" cy="0"/>
        </a:xfrm>
        <a:prstGeom prst="rect">
          <a:avLst/>
        </a:prstGeom>
        <a:solidFill>
          <a:srgbClr val="FFFFFF"/>
        </a:solidFill>
        <a:ln w="9525">
          <a:solidFill>
            <a:srgbClr val="000000"/>
          </a:solidFill>
          <a:miter lim="800000"/>
          <a:headEnd/>
          <a:tailEnd/>
        </a:ln>
      </xdr:spPr>
    </xdr:sp>
    <xdr:clientData/>
  </xdr:twoCellAnchor>
  <xdr:twoCellAnchor>
    <xdr:from>
      <xdr:col>2</xdr:col>
      <xdr:colOff>2076450</xdr:colOff>
      <xdr:row>13</xdr:row>
      <xdr:rowOff>0</xdr:rowOff>
    </xdr:from>
    <xdr:to>
      <xdr:col>2</xdr:col>
      <xdr:colOff>1571625</xdr:colOff>
      <xdr:row>13</xdr:row>
      <xdr:rowOff>0</xdr:rowOff>
    </xdr:to>
    <xdr:sp macro="" textlink="">
      <xdr:nvSpPr>
        <xdr:cNvPr id="5" name="Rectangle 8">
          <a:extLst>
            <a:ext uri="{FF2B5EF4-FFF2-40B4-BE49-F238E27FC236}">
              <a16:creationId xmlns:a16="http://schemas.microsoft.com/office/drawing/2014/main" id="{CFC67B79-08C0-4DC5-918B-AB602D269C09}"/>
            </a:ext>
          </a:extLst>
        </xdr:cNvPr>
        <xdr:cNvSpPr>
          <a:spLocks noChangeArrowheads="1"/>
        </xdr:cNvSpPr>
      </xdr:nvSpPr>
      <xdr:spPr bwMode="auto">
        <a:xfrm>
          <a:off x="3429000" y="4371975"/>
          <a:ext cx="0" cy="0"/>
        </a:xfrm>
        <a:prstGeom prst="rect">
          <a:avLst/>
        </a:prstGeom>
        <a:solidFill>
          <a:srgbClr val="FFFFFF"/>
        </a:solidFill>
        <a:ln w="9525">
          <a:solidFill>
            <a:srgbClr val="000000"/>
          </a:solidFill>
          <a:miter lim="800000"/>
          <a:headEnd/>
          <a:tailEnd/>
        </a:ln>
      </xdr:spPr>
    </xdr:sp>
    <xdr:clientData/>
  </xdr:twoCellAnchor>
  <xdr:twoCellAnchor>
    <xdr:from>
      <xdr:col>2</xdr:col>
      <xdr:colOff>2076450</xdr:colOff>
      <xdr:row>13</xdr:row>
      <xdr:rowOff>0</xdr:rowOff>
    </xdr:from>
    <xdr:to>
      <xdr:col>2</xdr:col>
      <xdr:colOff>1571625</xdr:colOff>
      <xdr:row>13</xdr:row>
      <xdr:rowOff>0</xdr:rowOff>
    </xdr:to>
    <xdr:sp macro="" textlink="">
      <xdr:nvSpPr>
        <xdr:cNvPr id="6" name="Rectangle 10">
          <a:extLst>
            <a:ext uri="{FF2B5EF4-FFF2-40B4-BE49-F238E27FC236}">
              <a16:creationId xmlns:a16="http://schemas.microsoft.com/office/drawing/2014/main" id="{5EA2E4DC-42E2-4085-A264-994B56F5BCED}"/>
            </a:ext>
          </a:extLst>
        </xdr:cNvPr>
        <xdr:cNvSpPr>
          <a:spLocks noChangeArrowheads="1"/>
        </xdr:cNvSpPr>
      </xdr:nvSpPr>
      <xdr:spPr bwMode="auto">
        <a:xfrm>
          <a:off x="3429000" y="4371975"/>
          <a:ext cx="0" cy="0"/>
        </a:xfrm>
        <a:prstGeom prst="rect">
          <a:avLst/>
        </a:prstGeom>
        <a:solidFill>
          <a:srgbClr val="FFFFFF"/>
        </a:solidFill>
        <a:ln w="9525">
          <a:solidFill>
            <a:srgbClr val="000000"/>
          </a:solidFill>
          <a:miter lim="800000"/>
          <a:headEnd/>
          <a:tailEnd/>
        </a:ln>
      </xdr:spPr>
    </xdr:sp>
    <xdr:clientData/>
  </xdr:twoCellAnchor>
  <xdr:twoCellAnchor>
    <xdr:from>
      <xdr:col>2</xdr:col>
      <xdr:colOff>2076450</xdr:colOff>
      <xdr:row>13</xdr:row>
      <xdr:rowOff>0</xdr:rowOff>
    </xdr:from>
    <xdr:to>
      <xdr:col>2</xdr:col>
      <xdr:colOff>1571625</xdr:colOff>
      <xdr:row>13</xdr:row>
      <xdr:rowOff>0</xdr:rowOff>
    </xdr:to>
    <xdr:sp macro="" textlink="">
      <xdr:nvSpPr>
        <xdr:cNvPr id="7" name="Rectangle 15">
          <a:extLst>
            <a:ext uri="{FF2B5EF4-FFF2-40B4-BE49-F238E27FC236}">
              <a16:creationId xmlns:a16="http://schemas.microsoft.com/office/drawing/2014/main" id="{B3C6CCBD-3EEF-4ABF-9B1A-F120340A4B39}"/>
            </a:ext>
          </a:extLst>
        </xdr:cNvPr>
        <xdr:cNvSpPr>
          <a:spLocks noChangeArrowheads="1"/>
        </xdr:cNvSpPr>
      </xdr:nvSpPr>
      <xdr:spPr bwMode="auto">
        <a:xfrm>
          <a:off x="3429000" y="4371975"/>
          <a:ext cx="0" cy="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lv-LV" sz="1000" b="0" i="0" strike="noStrike">
            <a:solidFill>
              <a:srgbClr val="000000"/>
            </a:solidFill>
            <a:latin typeface="Times New Roman"/>
            <a:cs typeface="Times New Roman"/>
          </a:endParaRPr>
        </a:p>
        <a:p>
          <a:pPr algn="l" rtl="0">
            <a:defRPr sz="1000"/>
          </a:pPr>
          <a:endParaRPr lang="lv-LV" sz="1000" b="0" i="0" strike="noStrike">
            <a:solidFill>
              <a:srgbClr val="000000"/>
            </a:solidFill>
            <a:latin typeface="Times New Roman"/>
            <a:cs typeface="Times New Roman"/>
          </a:endParaRPr>
        </a:p>
      </xdr:txBody>
    </xdr:sp>
    <xdr:clientData/>
  </xdr:twoCellAnchor>
  <xdr:twoCellAnchor>
    <xdr:from>
      <xdr:col>2</xdr:col>
      <xdr:colOff>2076450</xdr:colOff>
      <xdr:row>13</xdr:row>
      <xdr:rowOff>0</xdr:rowOff>
    </xdr:from>
    <xdr:to>
      <xdr:col>2</xdr:col>
      <xdr:colOff>1571625</xdr:colOff>
      <xdr:row>13</xdr:row>
      <xdr:rowOff>0</xdr:rowOff>
    </xdr:to>
    <xdr:sp macro="" textlink="">
      <xdr:nvSpPr>
        <xdr:cNvPr id="8" name="Rectangle 17">
          <a:extLst>
            <a:ext uri="{FF2B5EF4-FFF2-40B4-BE49-F238E27FC236}">
              <a16:creationId xmlns:a16="http://schemas.microsoft.com/office/drawing/2014/main" id="{2D47ECC2-D673-485F-8022-4D42EEFF2F11}"/>
            </a:ext>
          </a:extLst>
        </xdr:cNvPr>
        <xdr:cNvSpPr>
          <a:spLocks noChangeArrowheads="1"/>
        </xdr:cNvSpPr>
      </xdr:nvSpPr>
      <xdr:spPr bwMode="auto">
        <a:xfrm>
          <a:off x="3429000" y="4371975"/>
          <a:ext cx="0" cy="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lv-LV" sz="1200" b="0" i="0" strike="noStrike">
            <a:solidFill>
              <a:srgbClr val="000000"/>
            </a:solidFill>
            <a:latin typeface="Times New Roman"/>
            <a:cs typeface="Times New Roman"/>
          </a:endParaRPr>
        </a:p>
        <a:p>
          <a:pPr algn="l" rtl="0">
            <a:defRPr sz="1000"/>
          </a:pPr>
          <a:endParaRPr lang="lv-LV" sz="1200" b="0" i="0" strike="noStrike">
            <a:solidFill>
              <a:srgbClr val="000000"/>
            </a:solidFill>
            <a:latin typeface="Times New Roman"/>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2076450</xdr:colOff>
      <xdr:row>12</xdr:row>
      <xdr:rowOff>0</xdr:rowOff>
    </xdr:from>
    <xdr:to>
      <xdr:col>2</xdr:col>
      <xdr:colOff>1571625</xdr:colOff>
      <xdr:row>12</xdr:row>
      <xdr:rowOff>0</xdr:rowOff>
    </xdr:to>
    <xdr:sp macro="" textlink="">
      <xdr:nvSpPr>
        <xdr:cNvPr id="2" name="Rectangle 2">
          <a:extLst>
            <a:ext uri="{FF2B5EF4-FFF2-40B4-BE49-F238E27FC236}">
              <a16:creationId xmlns:a16="http://schemas.microsoft.com/office/drawing/2014/main" id="{00000000-0008-0000-0900-000002000000}"/>
            </a:ext>
          </a:extLst>
        </xdr:cNvPr>
        <xdr:cNvSpPr>
          <a:spLocks noChangeArrowheads="1"/>
        </xdr:cNvSpPr>
      </xdr:nvSpPr>
      <xdr:spPr bwMode="auto">
        <a:xfrm>
          <a:off x="3429000" y="7286625"/>
          <a:ext cx="0" cy="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ctr" rtl="0">
            <a:defRPr sz="1000"/>
          </a:pPr>
          <a:r>
            <a:rPr lang="lv-LV" sz="1000" b="1" i="0" strike="noStrike">
              <a:solidFill>
                <a:srgbClr val="000000"/>
              </a:solidFill>
              <a:latin typeface="Times New Roman"/>
              <a:cs typeface="Times New Roman"/>
            </a:rPr>
            <a:t>Summa, Ls</a:t>
          </a:r>
          <a:endParaRPr lang="lv-LV" sz="1000" b="0" i="0" strike="noStrike">
            <a:solidFill>
              <a:srgbClr val="000000"/>
            </a:solidFill>
            <a:latin typeface="Times New Roman"/>
            <a:cs typeface="Times New Roman"/>
          </a:endParaRPr>
        </a:p>
        <a:p>
          <a:pPr algn="ctr" rtl="0">
            <a:defRPr sz="1000"/>
          </a:pPr>
          <a:endParaRPr lang="lv-LV" sz="1000" b="0" i="0" strike="noStrike">
            <a:solidFill>
              <a:srgbClr val="000000"/>
            </a:solidFill>
            <a:latin typeface="Times New Roman"/>
            <a:cs typeface="Times New Roman"/>
          </a:endParaRPr>
        </a:p>
      </xdr:txBody>
    </xdr:sp>
    <xdr:clientData/>
  </xdr:twoCellAnchor>
  <xdr:twoCellAnchor>
    <xdr:from>
      <xdr:col>2</xdr:col>
      <xdr:colOff>2076450</xdr:colOff>
      <xdr:row>12</xdr:row>
      <xdr:rowOff>0</xdr:rowOff>
    </xdr:from>
    <xdr:to>
      <xdr:col>2</xdr:col>
      <xdr:colOff>1571625</xdr:colOff>
      <xdr:row>12</xdr:row>
      <xdr:rowOff>0</xdr:rowOff>
    </xdr:to>
    <xdr:sp macro="" textlink="">
      <xdr:nvSpPr>
        <xdr:cNvPr id="3" name="Rectangle 4">
          <a:extLst>
            <a:ext uri="{FF2B5EF4-FFF2-40B4-BE49-F238E27FC236}">
              <a16:creationId xmlns:a16="http://schemas.microsoft.com/office/drawing/2014/main" id="{00000000-0008-0000-0900-000003000000}"/>
            </a:ext>
          </a:extLst>
        </xdr:cNvPr>
        <xdr:cNvSpPr>
          <a:spLocks noChangeArrowheads="1"/>
        </xdr:cNvSpPr>
      </xdr:nvSpPr>
      <xdr:spPr bwMode="auto">
        <a:xfrm>
          <a:off x="3429000" y="7286625"/>
          <a:ext cx="0" cy="0"/>
        </a:xfrm>
        <a:prstGeom prst="rect">
          <a:avLst/>
        </a:prstGeom>
        <a:solidFill>
          <a:srgbClr val="FFFFFF"/>
        </a:solidFill>
        <a:ln w="9525">
          <a:solidFill>
            <a:srgbClr val="000000"/>
          </a:solidFill>
          <a:miter lim="800000"/>
          <a:headEnd/>
          <a:tailEnd/>
        </a:ln>
      </xdr:spPr>
    </xdr:sp>
    <xdr:clientData/>
  </xdr:twoCellAnchor>
  <xdr:twoCellAnchor>
    <xdr:from>
      <xdr:col>2</xdr:col>
      <xdr:colOff>2076450</xdr:colOff>
      <xdr:row>12</xdr:row>
      <xdr:rowOff>0</xdr:rowOff>
    </xdr:from>
    <xdr:to>
      <xdr:col>2</xdr:col>
      <xdr:colOff>1571625</xdr:colOff>
      <xdr:row>12</xdr:row>
      <xdr:rowOff>0</xdr:rowOff>
    </xdr:to>
    <xdr:sp macro="" textlink="">
      <xdr:nvSpPr>
        <xdr:cNvPr id="4" name="Rectangle 6">
          <a:extLst>
            <a:ext uri="{FF2B5EF4-FFF2-40B4-BE49-F238E27FC236}">
              <a16:creationId xmlns:a16="http://schemas.microsoft.com/office/drawing/2014/main" id="{00000000-0008-0000-0900-000004000000}"/>
            </a:ext>
          </a:extLst>
        </xdr:cNvPr>
        <xdr:cNvSpPr>
          <a:spLocks noChangeArrowheads="1"/>
        </xdr:cNvSpPr>
      </xdr:nvSpPr>
      <xdr:spPr bwMode="auto">
        <a:xfrm>
          <a:off x="3429000" y="7286625"/>
          <a:ext cx="0" cy="0"/>
        </a:xfrm>
        <a:prstGeom prst="rect">
          <a:avLst/>
        </a:prstGeom>
        <a:solidFill>
          <a:srgbClr val="FFFFFF"/>
        </a:solidFill>
        <a:ln w="9525">
          <a:solidFill>
            <a:srgbClr val="000000"/>
          </a:solidFill>
          <a:miter lim="800000"/>
          <a:headEnd/>
          <a:tailEnd/>
        </a:ln>
      </xdr:spPr>
    </xdr:sp>
    <xdr:clientData/>
  </xdr:twoCellAnchor>
  <xdr:twoCellAnchor>
    <xdr:from>
      <xdr:col>2</xdr:col>
      <xdr:colOff>2076450</xdr:colOff>
      <xdr:row>12</xdr:row>
      <xdr:rowOff>0</xdr:rowOff>
    </xdr:from>
    <xdr:to>
      <xdr:col>2</xdr:col>
      <xdr:colOff>1571625</xdr:colOff>
      <xdr:row>12</xdr:row>
      <xdr:rowOff>0</xdr:rowOff>
    </xdr:to>
    <xdr:sp macro="" textlink="">
      <xdr:nvSpPr>
        <xdr:cNvPr id="5" name="Rectangle 8">
          <a:extLst>
            <a:ext uri="{FF2B5EF4-FFF2-40B4-BE49-F238E27FC236}">
              <a16:creationId xmlns:a16="http://schemas.microsoft.com/office/drawing/2014/main" id="{00000000-0008-0000-0900-000005000000}"/>
            </a:ext>
          </a:extLst>
        </xdr:cNvPr>
        <xdr:cNvSpPr>
          <a:spLocks noChangeArrowheads="1"/>
        </xdr:cNvSpPr>
      </xdr:nvSpPr>
      <xdr:spPr bwMode="auto">
        <a:xfrm>
          <a:off x="3429000" y="7286625"/>
          <a:ext cx="0" cy="0"/>
        </a:xfrm>
        <a:prstGeom prst="rect">
          <a:avLst/>
        </a:prstGeom>
        <a:solidFill>
          <a:srgbClr val="FFFFFF"/>
        </a:solidFill>
        <a:ln w="9525">
          <a:solidFill>
            <a:srgbClr val="000000"/>
          </a:solidFill>
          <a:miter lim="800000"/>
          <a:headEnd/>
          <a:tailEnd/>
        </a:ln>
      </xdr:spPr>
    </xdr:sp>
    <xdr:clientData/>
  </xdr:twoCellAnchor>
  <xdr:twoCellAnchor>
    <xdr:from>
      <xdr:col>2</xdr:col>
      <xdr:colOff>2076450</xdr:colOff>
      <xdr:row>12</xdr:row>
      <xdr:rowOff>0</xdr:rowOff>
    </xdr:from>
    <xdr:to>
      <xdr:col>2</xdr:col>
      <xdr:colOff>1571625</xdr:colOff>
      <xdr:row>12</xdr:row>
      <xdr:rowOff>0</xdr:rowOff>
    </xdr:to>
    <xdr:sp macro="" textlink="">
      <xdr:nvSpPr>
        <xdr:cNvPr id="6" name="Rectangle 10">
          <a:extLst>
            <a:ext uri="{FF2B5EF4-FFF2-40B4-BE49-F238E27FC236}">
              <a16:creationId xmlns:a16="http://schemas.microsoft.com/office/drawing/2014/main" id="{00000000-0008-0000-0900-000006000000}"/>
            </a:ext>
          </a:extLst>
        </xdr:cNvPr>
        <xdr:cNvSpPr>
          <a:spLocks noChangeArrowheads="1"/>
        </xdr:cNvSpPr>
      </xdr:nvSpPr>
      <xdr:spPr bwMode="auto">
        <a:xfrm>
          <a:off x="3429000" y="7286625"/>
          <a:ext cx="0" cy="0"/>
        </a:xfrm>
        <a:prstGeom prst="rect">
          <a:avLst/>
        </a:prstGeom>
        <a:solidFill>
          <a:srgbClr val="FFFFFF"/>
        </a:solidFill>
        <a:ln w="9525">
          <a:solidFill>
            <a:srgbClr val="000000"/>
          </a:solidFill>
          <a:miter lim="800000"/>
          <a:headEnd/>
          <a:tailEnd/>
        </a:ln>
      </xdr:spPr>
    </xdr:sp>
    <xdr:clientData/>
  </xdr:twoCellAnchor>
  <xdr:twoCellAnchor>
    <xdr:from>
      <xdr:col>2</xdr:col>
      <xdr:colOff>2076450</xdr:colOff>
      <xdr:row>12</xdr:row>
      <xdr:rowOff>0</xdr:rowOff>
    </xdr:from>
    <xdr:to>
      <xdr:col>2</xdr:col>
      <xdr:colOff>1571625</xdr:colOff>
      <xdr:row>12</xdr:row>
      <xdr:rowOff>0</xdr:rowOff>
    </xdr:to>
    <xdr:sp macro="" textlink="">
      <xdr:nvSpPr>
        <xdr:cNvPr id="7" name="Rectangle 15">
          <a:extLst>
            <a:ext uri="{FF2B5EF4-FFF2-40B4-BE49-F238E27FC236}">
              <a16:creationId xmlns:a16="http://schemas.microsoft.com/office/drawing/2014/main" id="{00000000-0008-0000-0900-000007000000}"/>
            </a:ext>
          </a:extLst>
        </xdr:cNvPr>
        <xdr:cNvSpPr>
          <a:spLocks noChangeArrowheads="1"/>
        </xdr:cNvSpPr>
      </xdr:nvSpPr>
      <xdr:spPr bwMode="auto">
        <a:xfrm>
          <a:off x="3429000" y="7286625"/>
          <a:ext cx="0" cy="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lv-LV" sz="1000" b="0" i="0" strike="noStrike">
            <a:solidFill>
              <a:srgbClr val="000000"/>
            </a:solidFill>
            <a:latin typeface="Times New Roman"/>
            <a:cs typeface="Times New Roman"/>
          </a:endParaRPr>
        </a:p>
        <a:p>
          <a:pPr algn="l" rtl="0">
            <a:defRPr sz="1000"/>
          </a:pPr>
          <a:endParaRPr lang="lv-LV" sz="1000" b="0" i="0" strike="noStrike">
            <a:solidFill>
              <a:srgbClr val="000000"/>
            </a:solidFill>
            <a:latin typeface="Times New Roman"/>
            <a:cs typeface="Times New Roman"/>
          </a:endParaRPr>
        </a:p>
      </xdr:txBody>
    </xdr:sp>
    <xdr:clientData/>
  </xdr:twoCellAnchor>
  <xdr:twoCellAnchor>
    <xdr:from>
      <xdr:col>2</xdr:col>
      <xdr:colOff>2076450</xdr:colOff>
      <xdr:row>12</xdr:row>
      <xdr:rowOff>0</xdr:rowOff>
    </xdr:from>
    <xdr:to>
      <xdr:col>2</xdr:col>
      <xdr:colOff>1571625</xdr:colOff>
      <xdr:row>12</xdr:row>
      <xdr:rowOff>0</xdr:rowOff>
    </xdr:to>
    <xdr:sp macro="" textlink="">
      <xdr:nvSpPr>
        <xdr:cNvPr id="8" name="Rectangle 17">
          <a:extLst>
            <a:ext uri="{FF2B5EF4-FFF2-40B4-BE49-F238E27FC236}">
              <a16:creationId xmlns:a16="http://schemas.microsoft.com/office/drawing/2014/main" id="{00000000-0008-0000-0900-000008000000}"/>
            </a:ext>
          </a:extLst>
        </xdr:cNvPr>
        <xdr:cNvSpPr>
          <a:spLocks noChangeArrowheads="1"/>
        </xdr:cNvSpPr>
      </xdr:nvSpPr>
      <xdr:spPr bwMode="auto">
        <a:xfrm>
          <a:off x="3429000" y="7286625"/>
          <a:ext cx="0" cy="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endParaRPr lang="lv-LV" sz="1200" b="0" i="0" strike="noStrike">
            <a:solidFill>
              <a:srgbClr val="000000"/>
            </a:solidFill>
            <a:latin typeface="Times New Roman"/>
            <a:cs typeface="Times New Roman"/>
          </a:endParaRPr>
        </a:p>
        <a:p>
          <a:pPr algn="l" rtl="0">
            <a:defRPr sz="1000"/>
          </a:pPr>
          <a:endParaRPr lang="lv-LV" sz="1200" b="0" i="0" strike="noStrike">
            <a:solidFill>
              <a:srgbClr val="000000"/>
            </a:solidFill>
            <a:latin typeface="Times New Roman"/>
            <a:cs typeface="Times New Roman"/>
          </a:endParaRPr>
        </a:p>
      </xdr:txBody>
    </xdr:sp>
    <xdr:clientData/>
  </xdr:twoCellAnchor>
</xdr:wsDr>
</file>

<file path=xl/theme/theme1.xml><?xml version="1.0" encoding="utf-8"?>
<a:theme xmlns:a="http://schemas.openxmlformats.org/drawingml/2006/main" name="Office dizains">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M31"/>
  <sheetViews>
    <sheetView zoomScale="118" zoomScaleNormal="118" workbookViewId="0">
      <selection activeCell="B23" sqref="B23"/>
    </sheetView>
  </sheetViews>
  <sheetFormatPr defaultRowHeight="12.75" x14ac:dyDescent="0.2"/>
  <cols>
    <col min="1" max="1" width="55" style="104" customWidth="1"/>
    <col min="2" max="2" width="12.28515625" style="104" bestFit="1" customWidth="1"/>
    <col min="3" max="16384" width="9.140625" style="104"/>
  </cols>
  <sheetData>
    <row r="1" spans="1:3" x14ac:dyDescent="0.2">
      <c r="A1" s="175" t="s">
        <v>183</v>
      </c>
      <c r="B1" s="175"/>
      <c r="C1" s="175"/>
    </row>
    <row r="2" spans="1:3" x14ac:dyDescent="0.2">
      <c r="A2" s="175" t="s">
        <v>191</v>
      </c>
      <c r="B2" s="175"/>
      <c r="C2" s="175"/>
    </row>
    <row r="3" spans="1:3" ht="14.25" customHeight="1" x14ac:dyDescent="0.2">
      <c r="A3" s="175" t="s">
        <v>192</v>
      </c>
      <c r="B3" s="175"/>
      <c r="C3" s="175"/>
    </row>
    <row r="4" spans="1:3" ht="25.5" customHeight="1" x14ac:dyDescent="0.2">
      <c r="A4" s="174" t="s">
        <v>168</v>
      </c>
      <c r="B4" s="174"/>
    </row>
    <row r="5" spans="1:3" ht="18" customHeight="1" x14ac:dyDescent="0.2">
      <c r="A5" s="105" t="s">
        <v>195</v>
      </c>
      <c r="B5" s="106">
        <f>SUM(B6:B8)</f>
        <v>761145</v>
      </c>
      <c r="C5" s="105" t="s">
        <v>182</v>
      </c>
    </row>
    <row r="6" spans="1:3" x14ac:dyDescent="0.2">
      <c r="A6" s="107" t="s">
        <v>145</v>
      </c>
      <c r="B6" s="108">
        <f>'2.1.pielik.atlīdzība 2019'!N1</f>
        <v>294327</v>
      </c>
      <c r="C6" s="109" t="s">
        <v>184</v>
      </c>
    </row>
    <row r="7" spans="1:3" x14ac:dyDescent="0.2">
      <c r="A7" s="110" t="s">
        <v>114</v>
      </c>
      <c r="B7" s="111">
        <f>'2.2.pielik. EKK2000 2019'!D41</f>
        <v>322154</v>
      </c>
      <c r="C7" s="112" t="s">
        <v>185</v>
      </c>
    </row>
    <row r="8" spans="1:3" x14ac:dyDescent="0.2">
      <c r="A8" s="113" t="s">
        <v>115</v>
      </c>
      <c r="B8" s="114">
        <f>'2.3.pielik.vienreizējie 2019'!F43</f>
        <v>144664</v>
      </c>
      <c r="C8" s="115" t="s">
        <v>186</v>
      </c>
    </row>
    <row r="9" spans="1:3" ht="18" customHeight="1" x14ac:dyDescent="0.2">
      <c r="A9" s="105" t="s">
        <v>196</v>
      </c>
      <c r="B9" s="106">
        <f>SUM(B10:B11)</f>
        <v>715104</v>
      </c>
      <c r="C9" s="116"/>
    </row>
    <row r="10" spans="1:3" x14ac:dyDescent="0.2">
      <c r="A10" s="107" t="s">
        <v>116</v>
      </c>
      <c r="B10" s="117">
        <f>'2.4.pielik.atlīdzība 2020'!L1</f>
        <v>390790</v>
      </c>
      <c r="C10" s="109" t="s">
        <v>187</v>
      </c>
    </row>
    <row r="11" spans="1:3" x14ac:dyDescent="0.2">
      <c r="A11" s="118" t="s">
        <v>117</v>
      </c>
      <c r="B11" s="119">
        <f>'2.5.pielik. EKK2000 2020'!D41</f>
        <v>324314</v>
      </c>
      <c r="C11" s="115" t="s">
        <v>188</v>
      </c>
    </row>
    <row r="12" spans="1:3" x14ac:dyDescent="0.2">
      <c r="A12" s="120"/>
      <c r="B12" s="120"/>
    </row>
    <row r="13" spans="1:3" x14ac:dyDescent="0.2">
      <c r="A13" s="121"/>
      <c r="B13" s="122"/>
    </row>
    <row r="14" spans="1:3" x14ac:dyDescent="0.2">
      <c r="A14" s="120"/>
    </row>
    <row r="29" spans="13:13" ht="14.25" x14ac:dyDescent="0.2">
      <c r="M29" s="123"/>
    </row>
    <row r="30" spans="13:13" ht="14.25" x14ac:dyDescent="0.2">
      <c r="M30" s="123"/>
    </row>
    <row r="31" spans="13:13" ht="14.25" x14ac:dyDescent="0.2">
      <c r="M31" s="123"/>
    </row>
  </sheetData>
  <mergeCells count="4">
    <mergeCell ref="A4:B4"/>
    <mergeCell ref="A1:C1"/>
    <mergeCell ref="A2:C2"/>
    <mergeCell ref="A3:C3"/>
  </mergeCells>
  <pageMargins left="1.1811023622047245" right="0.78740157480314965" top="0.98425196850393704" bottom="0.78740157480314965"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6896DB-DF21-41AC-9008-6784999D4D34}">
  <sheetPr>
    <tabColor rgb="FFFFC000"/>
    <pageSetUpPr fitToPage="1"/>
  </sheetPr>
  <dimension ref="A1:T27"/>
  <sheetViews>
    <sheetView view="pageBreakPreview" zoomScale="106" zoomScaleNormal="100" zoomScaleSheetLayoutView="106" workbookViewId="0">
      <pane ySplit="7" topLeftCell="A8" activePane="bottomLeft" state="frozen"/>
      <selection pane="bottomLeft" activeCell="G5" sqref="G5:G7"/>
    </sheetView>
  </sheetViews>
  <sheetFormatPr defaultRowHeight="12.75" outlineLevelRow="1" x14ac:dyDescent="0.2"/>
  <cols>
    <col min="1" max="1" width="8.5703125" style="4" hidden="1" customWidth="1"/>
    <col min="2" max="2" width="27.85546875" style="4" customWidth="1"/>
    <col min="3" max="3" width="23.5703125" style="4" customWidth="1"/>
    <col min="4" max="4" width="11.5703125" style="4" customWidth="1"/>
    <col min="5" max="5" width="11.85546875" style="4" hidden="1" customWidth="1"/>
    <col min="6" max="6" width="11.85546875" style="4" customWidth="1"/>
    <col min="7" max="7" width="12" style="4" bestFit="1" customWidth="1"/>
    <col min="8" max="8" width="13.42578125" style="4" customWidth="1"/>
    <col min="9" max="9" width="11.7109375" style="4" hidden="1" customWidth="1"/>
    <col min="10" max="10" width="12" style="4" hidden="1" customWidth="1"/>
    <col min="11" max="15" width="12" style="4" customWidth="1"/>
    <col min="16" max="16384" width="9.140625" style="4"/>
  </cols>
  <sheetData>
    <row r="1" spans="1:20" ht="33.75" customHeight="1" x14ac:dyDescent="0.25">
      <c r="A1" s="182" t="s">
        <v>173</v>
      </c>
      <c r="B1" s="183"/>
      <c r="C1" s="183"/>
      <c r="D1" s="183"/>
      <c r="E1" s="183"/>
      <c r="F1" s="183"/>
      <c r="G1" s="183"/>
      <c r="H1" s="183"/>
      <c r="I1" s="183"/>
      <c r="J1" s="183"/>
      <c r="K1" s="183"/>
      <c r="L1" s="91"/>
      <c r="M1" s="91"/>
      <c r="N1" s="62">
        <f>O8+D18+D21+D22</f>
        <v>294327</v>
      </c>
      <c r="O1" s="65"/>
    </row>
    <row r="2" spans="1:20" ht="39" x14ac:dyDescent="0.25">
      <c r="A2" s="9"/>
      <c r="B2" s="10"/>
      <c r="C2" s="10"/>
      <c r="D2" s="10"/>
      <c r="E2" s="10"/>
      <c r="F2" s="10"/>
      <c r="G2" s="10"/>
      <c r="H2" s="10"/>
      <c r="I2" s="10"/>
      <c r="J2" s="10"/>
      <c r="K2" s="10"/>
      <c r="L2" s="10"/>
      <c r="M2" s="10"/>
      <c r="N2" s="63" t="s">
        <v>153</v>
      </c>
      <c r="O2" s="66"/>
    </row>
    <row r="3" spans="1:20" ht="15" thickBot="1" x14ac:dyDescent="0.25">
      <c r="A3" s="184" t="s">
        <v>17</v>
      </c>
      <c r="B3" s="184"/>
      <c r="C3" s="184"/>
      <c r="D3" s="184"/>
      <c r="E3" s="184"/>
      <c r="F3" s="184"/>
      <c r="G3" s="184"/>
      <c r="H3" s="184"/>
      <c r="I3" s="184"/>
      <c r="J3" s="184"/>
      <c r="K3" s="184"/>
      <c r="L3" s="87"/>
      <c r="M3" s="87"/>
      <c r="N3" s="87"/>
      <c r="O3" s="87"/>
    </row>
    <row r="4" spans="1:20" ht="16.5" customHeight="1" x14ac:dyDescent="0.2">
      <c r="A4" s="195" t="s">
        <v>4</v>
      </c>
      <c r="B4" s="176" t="s">
        <v>5</v>
      </c>
      <c r="C4" s="176" t="s">
        <v>6</v>
      </c>
      <c r="D4" s="176" t="s">
        <v>8</v>
      </c>
      <c r="E4" s="179" t="s">
        <v>3</v>
      </c>
      <c r="F4" s="179" t="s">
        <v>13</v>
      </c>
      <c r="G4" s="179"/>
      <c r="H4" s="179"/>
      <c r="I4" s="179"/>
      <c r="J4" s="89"/>
      <c r="K4" s="189" t="s">
        <v>146</v>
      </c>
      <c r="L4" s="190"/>
      <c r="M4" s="190"/>
      <c r="N4" s="190"/>
      <c r="O4" s="191"/>
    </row>
    <row r="5" spans="1:20" ht="37.5" customHeight="1" x14ac:dyDescent="0.2">
      <c r="A5" s="196"/>
      <c r="B5" s="177"/>
      <c r="C5" s="177"/>
      <c r="D5" s="177"/>
      <c r="E5" s="180"/>
      <c r="F5" s="180" t="s">
        <v>14</v>
      </c>
      <c r="G5" s="180" t="s">
        <v>15</v>
      </c>
      <c r="H5" s="180" t="s">
        <v>10</v>
      </c>
      <c r="I5" s="180" t="s">
        <v>11</v>
      </c>
      <c r="J5" s="192" t="s">
        <v>78</v>
      </c>
      <c r="K5" s="192" t="s">
        <v>147</v>
      </c>
      <c r="L5" s="204" t="s">
        <v>169</v>
      </c>
      <c r="M5" s="204" t="s">
        <v>170</v>
      </c>
      <c r="N5" s="204" t="s">
        <v>171</v>
      </c>
      <c r="O5" s="207" t="s">
        <v>9</v>
      </c>
    </row>
    <row r="6" spans="1:20" ht="15" customHeight="1" x14ac:dyDescent="0.2">
      <c r="A6" s="196"/>
      <c r="B6" s="177"/>
      <c r="C6" s="177"/>
      <c r="D6" s="177"/>
      <c r="E6" s="180"/>
      <c r="F6" s="180"/>
      <c r="G6" s="180"/>
      <c r="H6" s="180"/>
      <c r="I6" s="180"/>
      <c r="J6" s="193"/>
      <c r="K6" s="193"/>
      <c r="L6" s="205"/>
      <c r="M6" s="205"/>
      <c r="N6" s="205"/>
      <c r="O6" s="208"/>
    </row>
    <row r="7" spans="1:20" ht="45" customHeight="1" thickBot="1" x14ac:dyDescent="0.25">
      <c r="A7" s="197"/>
      <c r="B7" s="178"/>
      <c r="C7" s="178"/>
      <c r="D7" s="178"/>
      <c r="E7" s="181"/>
      <c r="F7" s="181"/>
      <c r="G7" s="181"/>
      <c r="H7" s="181"/>
      <c r="I7" s="181"/>
      <c r="J7" s="194"/>
      <c r="K7" s="194"/>
      <c r="L7" s="206"/>
      <c r="M7" s="206"/>
      <c r="N7" s="206"/>
      <c r="O7" s="209"/>
    </row>
    <row r="8" spans="1:20" x14ac:dyDescent="0.2">
      <c r="A8" s="186" t="s">
        <v>86</v>
      </c>
      <c r="B8" s="187"/>
      <c r="C8" s="188"/>
      <c r="D8" s="27">
        <f>SUM(D9:D13)</f>
        <v>15</v>
      </c>
      <c r="E8" s="27"/>
      <c r="F8" s="17"/>
      <c r="G8" s="17"/>
      <c r="H8" s="17"/>
      <c r="I8" s="17"/>
      <c r="J8" s="17"/>
      <c r="K8" s="92"/>
      <c r="L8" s="93">
        <f>SUM(L9:L13)</f>
        <v>86100</v>
      </c>
      <c r="M8" s="93">
        <f>SUM(M9:M13)</f>
        <v>62190</v>
      </c>
      <c r="N8" s="93">
        <f>SUM(N9:N13)</f>
        <v>41460</v>
      </c>
      <c r="O8" s="93">
        <f>SUM(O9:O13)</f>
        <v>189750</v>
      </c>
    </row>
    <row r="9" spans="1:20" s="6" customFormat="1" ht="27" outlineLevel="1" x14ac:dyDescent="0.2">
      <c r="A9" s="50">
        <v>4</v>
      </c>
      <c r="B9" s="51" t="s">
        <v>87</v>
      </c>
      <c r="C9" s="52" t="s">
        <v>94</v>
      </c>
      <c r="D9" s="53">
        <v>3</v>
      </c>
      <c r="E9" s="53"/>
      <c r="F9" s="54" t="s">
        <v>89</v>
      </c>
      <c r="G9" s="16" t="s">
        <v>21</v>
      </c>
      <c r="H9" s="28">
        <v>11</v>
      </c>
      <c r="I9" s="28"/>
      <c r="J9" s="16" t="s">
        <v>18</v>
      </c>
      <c r="K9" s="94">
        <v>1382</v>
      </c>
      <c r="L9" s="94" t="s">
        <v>172</v>
      </c>
      <c r="M9" s="94">
        <f>K9*D9*9</f>
        <v>37314</v>
      </c>
      <c r="N9" s="94" t="s">
        <v>172</v>
      </c>
      <c r="O9" s="94">
        <f>SUM(L9:N9)</f>
        <v>37314</v>
      </c>
      <c r="Q9" s="185"/>
      <c r="R9" s="185"/>
      <c r="S9" s="185"/>
      <c r="T9" s="185"/>
    </row>
    <row r="10" spans="1:20" s="49" customFormat="1" ht="13.5" outlineLevel="1" x14ac:dyDescent="0.2">
      <c r="A10" s="48">
        <v>10</v>
      </c>
      <c r="B10" s="51" t="s">
        <v>91</v>
      </c>
      <c r="C10" s="52" t="s">
        <v>23</v>
      </c>
      <c r="D10" s="53">
        <v>2</v>
      </c>
      <c r="E10" s="53"/>
      <c r="F10" s="54" t="s">
        <v>92</v>
      </c>
      <c r="G10" s="16" t="s">
        <v>21</v>
      </c>
      <c r="H10" s="28">
        <v>11</v>
      </c>
      <c r="I10" s="28"/>
      <c r="J10" s="16" t="s">
        <v>22</v>
      </c>
      <c r="K10" s="94">
        <v>1382</v>
      </c>
      <c r="L10" s="94">
        <f>K10*D10*12</f>
        <v>33168</v>
      </c>
      <c r="M10" s="94" t="s">
        <v>172</v>
      </c>
      <c r="N10" s="94" t="s">
        <v>172</v>
      </c>
      <c r="O10" s="94">
        <f>SUM(L10:N10)</f>
        <v>33168</v>
      </c>
    </row>
    <row r="11" spans="1:20" s="49" customFormat="1" ht="27" outlineLevel="1" x14ac:dyDescent="0.2">
      <c r="A11" s="48">
        <v>11</v>
      </c>
      <c r="B11" s="51" t="s">
        <v>93</v>
      </c>
      <c r="C11" s="52" t="s">
        <v>163</v>
      </c>
      <c r="D11" s="53">
        <v>1</v>
      </c>
      <c r="E11" s="53"/>
      <c r="F11" s="54" t="s">
        <v>89</v>
      </c>
      <c r="G11" s="16" t="s">
        <v>155</v>
      </c>
      <c r="H11" s="28">
        <v>12</v>
      </c>
      <c r="I11" s="28"/>
      <c r="J11" s="16" t="s">
        <v>22</v>
      </c>
      <c r="K11" s="94">
        <v>1647</v>
      </c>
      <c r="L11" s="94">
        <f>K11*D11*12</f>
        <v>19764</v>
      </c>
      <c r="M11" s="94" t="s">
        <v>172</v>
      </c>
      <c r="N11" s="94" t="s">
        <v>172</v>
      </c>
      <c r="O11" s="94">
        <f>SUM(L11:N11)</f>
        <v>19764</v>
      </c>
    </row>
    <row r="12" spans="1:20" s="49" customFormat="1" ht="13.5" outlineLevel="1" x14ac:dyDescent="0.2">
      <c r="A12" s="48">
        <v>11</v>
      </c>
      <c r="B12" s="51"/>
      <c r="C12" s="52" t="s">
        <v>88</v>
      </c>
      <c r="D12" s="53">
        <v>6</v>
      </c>
      <c r="E12" s="53"/>
      <c r="F12" s="54" t="s">
        <v>90</v>
      </c>
      <c r="G12" s="16" t="s">
        <v>21</v>
      </c>
      <c r="H12" s="28">
        <v>11</v>
      </c>
      <c r="I12" s="28"/>
      <c r="J12" s="16" t="s">
        <v>20</v>
      </c>
      <c r="K12" s="94">
        <v>1382</v>
      </c>
      <c r="L12" s="94" t="s">
        <v>172</v>
      </c>
      <c r="M12" s="94">
        <f>K12*2*9</f>
        <v>24876</v>
      </c>
      <c r="N12" s="94">
        <f>K12*4*6</f>
        <v>33168</v>
      </c>
      <c r="O12" s="94">
        <f>SUM(L12:N12)</f>
        <v>58044</v>
      </c>
    </row>
    <row r="13" spans="1:20" s="49" customFormat="1" ht="13.5" outlineLevel="1" x14ac:dyDescent="0.2">
      <c r="A13" s="48">
        <v>11</v>
      </c>
      <c r="B13" s="51"/>
      <c r="C13" s="52" t="s">
        <v>88</v>
      </c>
      <c r="D13" s="53">
        <v>3</v>
      </c>
      <c r="E13" s="53"/>
      <c r="F13" s="54" t="s">
        <v>89</v>
      </c>
      <c r="G13" s="16" t="s">
        <v>21</v>
      </c>
      <c r="H13" s="28">
        <v>11</v>
      </c>
      <c r="I13" s="28"/>
      <c r="J13" s="16" t="s">
        <v>20</v>
      </c>
      <c r="K13" s="94">
        <v>1382</v>
      </c>
      <c r="L13" s="94">
        <f>K13*2*12</f>
        <v>33168</v>
      </c>
      <c r="M13" s="94" t="s">
        <v>172</v>
      </c>
      <c r="N13" s="94">
        <f>K13*1*6</f>
        <v>8292</v>
      </c>
      <c r="O13" s="94">
        <f>SUM(L13:N13)</f>
        <v>41460</v>
      </c>
    </row>
    <row r="14" spans="1:20" ht="14.25" customHeight="1" x14ac:dyDescent="0.2">
      <c r="A14" s="8"/>
      <c r="B14" s="8"/>
      <c r="C14" s="12"/>
      <c r="D14" s="11"/>
      <c r="E14" s="11"/>
      <c r="F14" s="11"/>
      <c r="G14" s="11"/>
      <c r="H14" s="11"/>
      <c r="I14" s="8"/>
      <c r="J14" s="8"/>
      <c r="K14" s="8"/>
      <c r="L14" s="8"/>
      <c r="M14" s="8"/>
      <c r="N14" s="8"/>
      <c r="O14" s="8"/>
    </row>
    <row r="15" spans="1:20" ht="46.5" customHeight="1" thickBot="1" x14ac:dyDescent="0.3">
      <c r="A15" s="80" t="s">
        <v>24</v>
      </c>
      <c r="B15" s="198" t="s">
        <v>149</v>
      </c>
      <c r="C15" s="198"/>
      <c r="D15" s="198"/>
      <c r="E15" s="81"/>
      <c r="F15" s="81"/>
      <c r="G15" s="81"/>
      <c r="H15" s="11"/>
      <c r="I15" s="11"/>
      <c r="J15" s="11"/>
      <c r="K15" s="11"/>
      <c r="L15" s="11"/>
      <c r="M15" s="11"/>
      <c r="N15" s="11"/>
      <c r="O15" s="11"/>
    </row>
    <row r="16" spans="1:20" ht="30.75" customHeight="1" x14ac:dyDescent="0.2">
      <c r="A16" s="199"/>
      <c r="B16" s="176" t="s">
        <v>151</v>
      </c>
      <c r="C16" s="176" t="s">
        <v>3</v>
      </c>
      <c r="D16" s="202" t="s">
        <v>148</v>
      </c>
    </row>
    <row r="17" spans="1:9" ht="73.5" customHeight="1" thickBot="1" x14ac:dyDescent="0.25">
      <c r="A17" s="200"/>
      <c r="B17" s="201"/>
      <c r="C17" s="178"/>
      <c r="D17" s="203"/>
    </row>
    <row r="18" spans="1:9" ht="25.5" x14ac:dyDescent="0.2">
      <c r="A18" s="22">
        <v>1</v>
      </c>
      <c r="B18" s="21" t="s">
        <v>152</v>
      </c>
      <c r="C18" s="18">
        <v>1140</v>
      </c>
      <c r="D18" s="95">
        <f>SUM(D19:D20)</f>
        <v>37950</v>
      </c>
    </row>
    <row r="19" spans="1:9" x14ac:dyDescent="0.2">
      <c r="A19" s="20"/>
      <c r="B19" s="23" t="s">
        <v>112</v>
      </c>
      <c r="C19" s="13" t="s">
        <v>113</v>
      </c>
      <c r="D19" s="96">
        <f>ROUND(O8*0.1,0)</f>
        <v>18975</v>
      </c>
      <c r="F19" s="64"/>
    </row>
    <row r="20" spans="1:9" ht="25.5" x14ac:dyDescent="0.2">
      <c r="A20" s="20"/>
      <c r="B20" s="23" t="s">
        <v>26</v>
      </c>
      <c r="C20" s="13">
        <v>1148</v>
      </c>
      <c r="D20" s="97">
        <f>ROUND(O8*0.1,0)</f>
        <v>18975</v>
      </c>
    </row>
    <row r="21" spans="1:9" ht="13.5" x14ac:dyDescent="0.2">
      <c r="A21" s="19">
        <v>2</v>
      </c>
      <c r="B21" s="30" t="s">
        <v>133</v>
      </c>
      <c r="C21" s="15">
        <v>1221</v>
      </c>
      <c r="D21" s="98">
        <f>ROUND(O8*0.05,0)</f>
        <v>9488</v>
      </c>
    </row>
    <row r="22" spans="1:9" ht="38.25" x14ac:dyDescent="0.2">
      <c r="A22" s="19">
        <v>3</v>
      </c>
      <c r="B22" s="32" t="s">
        <v>150</v>
      </c>
      <c r="C22" s="15">
        <v>1210</v>
      </c>
      <c r="D22" s="99">
        <f>ROUND((D21+D18+O8)*0.2409,0)</f>
        <v>57139</v>
      </c>
      <c r="F22" s="103"/>
    </row>
    <row r="23" spans="1:9" x14ac:dyDescent="0.2">
      <c r="A23" s="39"/>
      <c r="B23" s="40"/>
      <c r="C23" s="41"/>
      <c r="D23" s="11"/>
    </row>
    <row r="24" spans="1:9" x14ac:dyDescent="0.2">
      <c r="A24" s="8"/>
      <c r="B24" s="12"/>
      <c r="C24" s="11"/>
      <c r="D24" s="11"/>
      <c r="E24" s="25"/>
      <c r="F24" s="25"/>
      <c r="G24" s="8"/>
      <c r="H24" s="8"/>
      <c r="I24" s="8"/>
    </row>
    <row r="25" spans="1:9" s="3" customFormat="1" x14ac:dyDescent="0.2">
      <c r="A25" s="2"/>
      <c r="B25" s="2"/>
      <c r="C25" s="2"/>
    </row>
    <row r="26" spans="1:9" s="3" customFormat="1" x14ac:dyDescent="0.2">
      <c r="A26" s="2"/>
      <c r="B26" s="2"/>
      <c r="C26" s="2"/>
      <c r="D26" s="6"/>
    </row>
    <row r="27" spans="1:9" s="6" customFormat="1" ht="21.75" customHeight="1" x14ac:dyDescent="0.2"/>
  </sheetData>
  <mergeCells count="26">
    <mergeCell ref="N5:N7"/>
    <mergeCell ref="O5:O7"/>
    <mergeCell ref="L5:L7"/>
    <mergeCell ref="M5:M7"/>
    <mergeCell ref="F4:I4"/>
    <mergeCell ref="B15:D15"/>
    <mergeCell ref="A16:A17"/>
    <mergeCell ref="B16:B17"/>
    <mergeCell ref="C16:C17"/>
    <mergeCell ref="D16:D17"/>
    <mergeCell ref="D4:D7"/>
    <mergeCell ref="E4:E7"/>
    <mergeCell ref="A1:K1"/>
    <mergeCell ref="A3:K3"/>
    <mergeCell ref="Q9:T9"/>
    <mergeCell ref="A8:C8"/>
    <mergeCell ref="K4:O4"/>
    <mergeCell ref="F5:F7"/>
    <mergeCell ref="G5:G7"/>
    <mergeCell ref="H5:H7"/>
    <mergeCell ref="I5:I7"/>
    <mergeCell ref="J5:J7"/>
    <mergeCell ref="K5:K7"/>
    <mergeCell ref="A4:A7"/>
    <mergeCell ref="B4:B7"/>
    <mergeCell ref="C4:C7"/>
  </mergeCells>
  <pageMargins left="0.78740157480314965" right="0.98425196850393704" top="1.1811023622047245" bottom="0.78740157480314965" header="0.31496062992125984" footer="0.31496062992125984"/>
  <pageSetup paperSize="9" scale="75" fitToWidth="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067D80-6EBB-4892-8473-79F59E02C40D}">
  <sheetPr>
    <tabColor theme="6"/>
  </sheetPr>
  <dimension ref="A1:K48"/>
  <sheetViews>
    <sheetView zoomScale="95" zoomScaleNormal="95" zoomScaleSheetLayoutView="100" workbookViewId="0">
      <selection activeCell="D18" sqref="D18"/>
    </sheetView>
  </sheetViews>
  <sheetFormatPr defaultRowHeight="12.75" x14ac:dyDescent="0.2"/>
  <cols>
    <col min="1" max="1" width="7.140625" customWidth="1"/>
    <col min="2" max="2" width="12.28515625" customWidth="1"/>
    <col min="3" max="3" width="42.140625" customWidth="1"/>
    <col min="4" max="4" width="16" customWidth="1"/>
    <col min="5" max="5" width="60.7109375" customWidth="1"/>
  </cols>
  <sheetData>
    <row r="1" spans="1:11" s="4" customFormat="1" ht="36" customHeight="1" x14ac:dyDescent="0.25">
      <c r="A1" s="182" t="s">
        <v>109</v>
      </c>
      <c r="B1" s="210"/>
      <c r="C1" s="210"/>
      <c r="D1" s="210"/>
      <c r="E1" s="210"/>
    </row>
    <row r="3" spans="1:11" hidden="1" x14ac:dyDescent="0.2"/>
    <row r="4" spans="1:11" ht="26.25" x14ac:dyDescent="0.2">
      <c r="A4" s="153" t="s">
        <v>4</v>
      </c>
      <c r="B4" s="153" t="s">
        <v>3</v>
      </c>
      <c r="C4" s="154" t="s">
        <v>12</v>
      </c>
      <c r="D4" s="153" t="s">
        <v>199</v>
      </c>
      <c r="E4" s="153" t="s">
        <v>16</v>
      </c>
    </row>
    <row r="5" spans="1:11" ht="13.5" x14ac:dyDescent="0.25">
      <c r="A5" s="155">
        <v>1</v>
      </c>
      <c r="B5" s="156">
        <v>2110</v>
      </c>
      <c r="C5" s="156" t="s">
        <v>74</v>
      </c>
      <c r="D5" s="157">
        <f>(6*2+43)*2*12</f>
        <v>1320</v>
      </c>
      <c r="E5" s="158" t="s">
        <v>76</v>
      </c>
    </row>
    <row r="6" spans="1:11" ht="13.5" x14ac:dyDescent="0.25">
      <c r="A6" s="155">
        <v>2</v>
      </c>
      <c r="B6" s="156">
        <v>2120</v>
      </c>
      <c r="C6" s="156" t="s">
        <v>75</v>
      </c>
      <c r="D6" s="157">
        <f>(40*3+200*3+720+15)*2*12</f>
        <v>34920</v>
      </c>
      <c r="E6" s="159" t="s">
        <v>129</v>
      </c>
    </row>
    <row r="7" spans="1:11" ht="13.5" x14ac:dyDescent="0.25">
      <c r="A7" s="160"/>
      <c r="B7" s="156">
        <v>2210</v>
      </c>
      <c r="C7" s="30" t="s">
        <v>30</v>
      </c>
      <c r="D7" s="157">
        <f>SUM(D8:D10)</f>
        <v>6987</v>
      </c>
      <c r="E7" s="161"/>
    </row>
    <row r="8" spans="1:11" ht="15" customHeight="1" x14ac:dyDescent="0.2">
      <c r="A8" s="155">
        <v>3</v>
      </c>
      <c r="B8" s="155">
        <v>2219</v>
      </c>
      <c r="C8" s="162" t="s">
        <v>27</v>
      </c>
      <c r="D8" s="163">
        <f>9*12*5+9*9*5+9*6*5</f>
        <v>1215</v>
      </c>
      <c r="E8" s="159" t="s">
        <v>157</v>
      </c>
      <c r="F8" s="69"/>
      <c r="G8" s="69"/>
    </row>
    <row r="9" spans="1:11" x14ac:dyDescent="0.2">
      <c r="A9" s="155">
        <v>4</v>
      </c>
      <c r="B9" s="155">
        <v>2219</v>
      </c>
      <c r="C9" s="155" t="s">
        <v>28</v>
      </c>
      <c r="D9" s="163">
        <f>12*12*5+12*9*5+12*6*5</f>
        <v>1620</v>
      </c>
      <c r="E9" s="159" t="s">
        <v>158</v>
      </c>
      <c r="F9" s="69"/>
      <c r="G9" s="69"/>
      <c r="K9" s="68"/>
    </row>
    <row r="10" spans="1:11" x14ac:dyDescent="0.2">
      <c r="A10" s="155">
        <v>5</v>
      </c>
      <c r="B10" s="155">
        <v>2219</v>
      </c>
      <c r="C10" s="155" t="s">
        <v>29</v>
      </c>
      <c r="D10" s="163">
        <f>12*346</f>
        <v>4152</v>
      </c>
      <c r="E10" s="159" t="s">
        <v>131</v>
      </c>
      <c r="J10" s="68"/>
      <c r="K10" s="68"/>
    </row>
    <row r="11" spans="1:11" ht="13.5" x14ac:dyDescent="0.25">
      <c r="A11" s="160"/>
      <c r="B11" s="156">
        <v>2230</v>
      </c>
      <c r="C11" s="156" t="s">
        <v>34</v>
      </c>
      <c r="D11" s="157">
        <f>SUM(D12:D23)</f>
        <v>164408</v>
      </c>
      <c r="E11" s="164"/>
      <c r="J11" s="68"/>
      <c r="K11" s="68"/>
    </row>
    <row r="12" spans="1:11" x14ac:dyDescent="0.2">
      <c r="A12" s="155">
        <v>6</v>
      </c>
      <c r="B12" s="155">
        <v>2231</v>
      </c>
      <c r="C12" s="165" t="s">
        <v>96</v>
      </c>
      <c r="D12" s="163">
        <f>2*4500+50000</f>
        <v>59000</v>
      </c>
      <c r="E12" s="159" t="s">
        <v>161</v>
      </c>
    </row>
    <row r="13" spans="1:11" x14ac:dyDescent="0.2">
      <c r="A13" s="155">
        <v>7</v>
      </c>
      <c r="B13" s="155">
        <v>2232</v>
      </c>
      <c r="C13" s="165" t="s">
        <v>103</v>
      </c>
      <c r="D13" s="163">
        <f>11*1000</f>
        <v>11000</v>
      </c>
      <c r="E13" s="158" t="s">
        <v>122</v>
      </c>
    </row>
    <row r="14" spans="1:11" x14ac:dyDescent="0.2">
      <c r="A14" s="155">
        <v>8</v>
      </c>
      <c r="B14" s="155">
        <v>2232</v>
      </c>
      <c r="C14" s="165" t="s">
        <v>102</v>
      </c>
      <c r="D14" s="163">
        <v>10000</v>
      </c>
      <c r="E14" s="158" t="s">
        <v>104</v>
      </c>
    </row>
    <row r="15" spans="1:11" x14ac:dyDescent="0.2">
      <c r="A15" s="155">
        <v>9</v>
      </c>
      <c r="B15" s="155">
        <v>2234</v>
      </c>
      <c r="C15" s="165" t="s">
        <v>72</v>
      </c>
      <c r="D15" s="163">
        <f>10*39</f>
        <v>390</v>
      </c>
      <c r="E15" s="158" t="s">
        <v>123</v>
      </c>
    </row>
    <row r="16" spans="1:11" x14ac:dyDescent="0.2">
      <c r="A16" s="155">
        <v>10</v>
      </c>
      <c r="B16" s="155">
        <v>2235</v>
      </c>
      <c r="C16" s="155" t="s">
        <v>31</v>
      </c>
      <c r="D16" s="163">
        <f>300*15</f>
        <v>4500</v>
      </c>
      <c r="E16" s="158" t="s">
        <v>127</v>
      </c>
    </row>
    <row r="17" spans="1:5" x14ac:dyDescent="0.2">
      <c r="A17" s="155">
        <v>11</v>
      </c>
      <c r="B17" s="155">
        <v>2239</v>
      </c>
      <c r="C17" s="155" t="s">
        <v>68</v>
      </c>
      <c r="D17" s="163">
        <f>84*72*12</f>
        <v>72576</v>
      </c>
      <c r="E17" s="158" t="s">
        <v>79</v>
      </c>
    </row>
    <row r="18" spans="1:5" ht="50.25" customHeight="1" x14ac:dyDescent="0.2">
      <c r="A18" s="155">
        <v>12</v>
      </c>
      <c r="B18" s="155">
        <v>2239</v>
      </c>
      <c r="C18" s="155" t="s">
        <v>67</v>
      </c>
      <c r="D18" s="163">
        <f>40*12*2</f>
        <v>960</v>
      </c>
      <c r="E18" s="159" t="s">
        <v>165</v>
      </c>
    </row>
    <row r="19" spans="1:5" x14ac:dyDescent="0.2">
      <c r="A19" s="155">
        <v>13</v>
      </c>
      <c r="B19" s="155">
        <v>2239</v>
      </c>
      <c r="C19" s="165" t="s">
        <v>73</v>
      </c>
      <c r="D19" s="163">
        <f>8*12*5+8*9*5+8*6*5</f>
        <v>1080</v>
      </c>
      <c r="E19" s="159" t="s">
        <v>159</v>
      </c>
    </row>
    <row r="20" spans="1:5" x14ac:dyDescent="0.2">
      <c r="A20" s="155">
        <v>14</v>
      </c>
      <c r="B20" s="155">
        <v>2239</v>
      </c>
      <c r="C20" s="155" t="s">
        <v>66</v>
      </c>
      <c r="D20" s="163">
        <v>2500</v>
      </c>
      <c r="E20" s="158" t="s">
        <v>105</v>
      </c>
    </row>
    <row r="21" spans="1:5" x14ac:dyDescent="0.2">
      <c r="A21" s="155">
        <v>15</v>
      </c>
      <c r="B21" s="155">
        <v>2239</v>
      </c>
      <c r="C21" s="155" t="s">
        <v>80</v>
      </c>
      <c r="D21" s="163">
        <v>278</v>
      </c>
      <c r="E21" s="158" t="s">
        <v>105</v>
      </c>
    </row>
    <row r="22" spans="1:5" x14ac:dyDescent="0.2">
      <c r="A22" s="155">
        <v>16</v>
      </c>
      <c r="B22" s="155">
        <v>2239</v>
      </c>
      <c r="C22" s="165" t="s">
        <v>95</v>
      </c>
      <c r="D22" s="163">
        <f>12*38</f>
        <v>456</v>
      </c>
      <c r="E22" s="159" t="s">
        <v>125</v>
      </c>
    </row>
    <row r="23" spans="1:5" ht="25.5" x14ac:dyDescent="0.2">
      <c r="A23" s="155">
        <v>17</v>
      </c>
      <c r="B23" s="155">
        <v>2239</v>
      </c>
      <c r="C23" s="165" t="s">
        <v>119</v>
      </c>
      <c r="D23" s="163">
        <f>268+1400</f>
        <v>1668</v>
      </c>
      <c r="E23" s="159" t="s">
        <v>126</v>
      </c>
    </row>
    <row r="24" spans="1:5" ht="13.5" x14ac:dyDescent="0.25">
      <c r="A24" s="160"/>
      <c r="B24" s="166">
        <v>2240</v>
      </c>
      <c r="C24" s="30" t="s">
        <v>179</v>
      </c>
      <c r="D24" s="157">
        <f>SUM(D25:D27)</f>
        <v>10740</v>
      </c>
      <c r="E24" s="161"/>
    </row>
    <row r="25" spans="1:5" x14ac:dyDescent="0.2">
      <c r="A25" s="155">
        <v>18</v>
      </c>
      <c r="B25" s="155">
        <v>2242</v>
      </c>
      <c r="C25" s="165" t="s">
        <v>70</v>
      </c>
      <c r="D25" s="163">
        <f>70*12</f>
        <v>840</v>
      </c>
      <c r="E25" s="158" t="s">
        <v>176</v>
      </c>
    </row>
    <row r="26" spans="1:5" ht="36" customHeight="1" x14ac:dyDescent="0.2">
      <c r="A26" s="155">
        <v>19</v>
      </c>
      <c r="B26" s="155">
        <v>2243</v>
      </c>
      <c r="C26" s="155" t="s">
        <v>69</v>
      </c>
      <c r="D26" s="163">
        <f>300</f>
        <v>300</v>
      </c>
      <c r="E26" s="159" t="s">
        <v>132</v>
      </c>
    </row>
    <row r="27" spans="1:5" x14ac:dyDescent="0.2">
      <c r="A27" s="155">
        <v>20</v>
      </c>
      <c r="B27" s="155">
        <v>2244</v>
      </c>
      <c r="C27" s="155" t="s">
        <v>81</v>
      </c>
      <c r="D27" s="163">
        <f>12*200+12*600</f>
        <v>9600</v>
      </c>
      <c r="E27" s="158" t="s">
        <v>144</v>
      </c>
    </row>
    <row r="28" spans="1:5" ht="36" customHeight="1" x14ac:dyDescent="0.25">
      <c r="A28" s="155">
        <v>21</v>
      </c>
      <c r="B28" s="156">
        <v>2250</v>
      </c>
      <c r="C28" s="30" t="s">
        <v>71</v>
      </c>
      <c r="D28" s="157">
        <f>533+1000+1000+1000+243*15</f>
        <v>7178</v>
      </c>
      <c r="E28" s="167" t="s">
        <v>142</v>
      </c>
    </row>
    <row r="29" spans="1:5" ht="13.5" x14ac:dyDescent="0.25">
      <c r="A29" s="160"/>
      <c r="B29" s="166">
        <v>2260</v>
      </c>
      <c r="C29" s="30" t="s">
        <v>177</v>
      </c>
      <c r="D29" s="157">
        <f>SUM(D30:D32)</f>
        <v>72816</v>
      </c>
      <c r="E29" s="161"/>
    </row>
    <row r="30" spans="1:5" x14ac:dyDescent="0.2">
      <c r="A30" s="155">
        <v>22</v>
      </c>
      <c r="B30" s="168">
        <v>2261</v>
      </c>
      <c r="C30" s="169" t="s">
        <v>180</v>
      </c>
      <c r="D30" s="163">
        <f>20*15*18*12</f>
        <v>64800</v>
      </c>
      <c r="E30" s="159" t="s">
        <v>181</v>
      </c>
    </row>
    <row r="31" spans="1:5" ht="15" customHeight="1" x14ac:dyDescent="0.2">
      <c r="A31" s="155">
        <v>23</v>
      </c>
      <c r="B31" s="155">
        <v>2262</v>
      </c>
      <c r="C31" s="155" t="s">
        <v>82</v>
      </c>
      <c r="D31" s="163">
        <f>659*12</f>
        <v>7908</v>
      </c>
      <c r="E31" s="159" t="s">
        <v>164</v>
      </c>
    </row>
    <row r="32" spans="1:5" ht="15" customHeight="1" x14ac:dyDescent="0.2">
      <c r="A32" s="155">
        <v>24</v>
      </c>
      <c r="B32" s="168">
        <v>2264</v>
      </c>
      <c r="C32" s="169" t="s">
        <v>38</v>
      </c>
      <c r="D32" s="163">
        <f>9*12</f>
        <v>108</v>
      </c>
      <c r="E32" s="159" t="s">
        <v>124</v>
      </c>
    </row>
    <row r="33" spans="1:5" ht="27" x14ac:dyDescent="0.25">
      <c r="A33" s="160"/>
      <c r="B33" s="156">
        <v>2300</v>
      </c>
      <c r="C33" s="170" t="s">
        <v>178</v>
      </c>
      <c r="D33" s="157">
        <f>SUM(D34:D40)</f>
        <v>23785</v>
      </c>
      <c r="E33" s="160"/>
    </row>
    <row r="34" spans="1:5" x14ac:dyDescent="0.2">
      <c r="A34" s="155">
        <v>25</v>
      </c>
      <c r="B34" s="155">
        <v>2311</v>
      </c>
      <c r="C34" s="155" t="s">
        <v>32</v>
      </c>
      <c r="D34" s="163">
        <f>9*12*5+9*9*5+9*6*5</f>
        <v>1215</v>
      </c>
      <c r="E34" s="159" t="s">
        <v>160</v>
      </c>
    </row>
    <row r="35" spans="1:5" x14ac:dyDescent="0.2">
      <c r="A35" s="155">
        <v>26</v>
      </c>
      <c r="B35" s="155">
        <v>2311</v>
      </c>
      <c r="C35" s="163" t="s">
        <v>33</v>
      </c>
      <c r="D35" s="163">
        <f>49*15+73*4</f>
        <v>1027</v>
      </c>
      <c r="E35" s="171" t="s">
        <v>130</v>
      </c>
    </row>
    <row r="36" spans="1:5" x14ac:dyDescent="0.2">
      <c r="A36" s="155">
        <v>27</v>
      </c>
      <c r="B36" s="155">
        <v>2312</v>
      </c>
      <c r="C36" s="163" t="s">
        <v>35</v>
      </c>
      <c r="D36" s="163">
        <f>15*50</f>
        <v>750</v>
      </c>
      <c r="E36" s="167" t="s">
        <v>98</v>
      </c>
    </row>
    <row r="37" spans="1:5" ht="25.5" x14ac:dyDescent="0.2">
      <c r="A37" s="155">
        <v>28</v>
      </c>
      <c r="B37" s="155">
        <v>2314</v>
      </c>
      <c r="C37" s="155" t="s">
        <v>83</v>
      </c>
      <c r="D37" s="163">
        <v>1200</v>
      </c>
      <c r="E37" s="159" t="s">
        <v>175</v>
      </c>
    </row>
    <row r="38" spans="1:5" ht="25.5" x14ac:dyDescent="0.2">
      <c r="A38" s="155">
        <v>29</v>
      </c>
      <c r="B38" s="155">
        <v>2314</v>
      </c>
      <c r="C38" s="165" t="s">
        <v>97</v>
      </c>
      <c r="D38" s="163">
        <f>735+9820+5000</f>
        <v>15555</v>
      </c>
      <c r="E38" s="159" t="s">
        <v>128</v>
      </c>
    </row>
    <row r="39" spans="1:5" x14ac:dyDescent="0.2">
      <c r="A39" s="155">
        <v>30</v>
      </c>
      <c r="B39" s="155">
        <v>2322</v>
      </c>
      <c r="C39" s="155" t="s">
        <v>36</v>
      </c>
      <c r="D39" s="163">
        <f>20*8*1.4*12</f>
        <v>2688</v>
      </c>
      <c r="E39" s="158" t="s">
        <v>167</v>
      </c>
    </row>
    <row r="40" spans="1:5" x14ac:dyDescent="0.2">
      <c r="A40" s="155">
        <v>31</v>
      </c>
      <c r="B40" s="155">
        <v>2350</v>
      </c>
      <c r="C40" s="155" t="s">
        <v>37</v>
      </c>
      <c r="D40" s="163">
        <f>10*12*5+10*9*5+10*6*5</f>
        <v>1350</v>
      </c>
      <c r="E40" s="159" t="s">
        <v>166</v>
      </c>
    </row>
    <row r="41" spans="1:5" ht="13.5" x14ac:dyDescent="0.25">
      <c r="A41" s="172"/>
      <c r="B41" s="172"/>
      <c r="C41" s="173" t="s">
        <v>61</v>
      </c>
      <c r="D41" s="156">
        <f>D33+D29+D28+D24+D11+D7+D6+D5</f>
        <v>322154</v>
      </c>
      <c r="E41" s="172"/>
    </row>
    <row r="42" spans="1:5" x14ac:dyDescent="0.2">
      <c r="A42" s="24"/>
    </row>
    <row r="48" spans="1:5" x14ac:dyDescent="0.2">
      <c r="E48" s="14"/>
    </row>
  </sheetData>
  <mergeCells count="1">
    <mergeCell ref="A1:E1"/>
  </mergeCells>
  <pageMargins left="0.78740157480314965" right="0.98425196850393704" top="1.1811023622047245" bottom="0.78740157480314965" header="0.31496062992125984" footer="0.31496062992125984"/>
  <pageSetup paperSize="9" scale="6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G49"/>
  <sheetViews>
    <sheetView view="pageBreakPreview" zoomScale="106" zoomScaleNormal="100" zoomScaleSheetLayoutView="106" workbookViewId="0">
      <selection sqref="A1:XFD3"/>
    </sheetView>
  </sheetViews>
  <sheetFormatPr defaultRowHeight="12.75" x14ac:dyDescent="0.2"/>
  <cols>
    <col min="1" max="1" width="7.85546875" style="1" customWidth="1"/>
    <col min="2" max="2" width="10.42578125" style="1" customWidth="1"/>
    <col min="3" max="3" width="40.28515625" style="1" customWidth="1"/>
    <col min="4" max="4" width="19.140625" style="1" customWidth="1"/>
    <col min="5" max="6" width="19.42578125" style="1" customWidth="1"/>
    <col min="7" max="7" width="31.28515625" customWidth="1"/>
  </cols>
  <sheetData>
    <row r="1" spans="1:7" ht="36" customHeight="1" x14ac:dyDescent="0.2">
      <c r="A1" s="213" t="s">
        <v>110</v>
      </c>
      <c r="B1" s="213"/>
      <c r="C1" s="213"/>
      <c r="D1" s="213"/>
      <c r="E1" s="213"/>
      <c r="F1" s="213"/>
      <c r="G1" s="213"/>
    </row>
    <row r="2" spans="1:7" ht="47.25" customHeight="1" x14ac:dyDescent="0.2">
      <c r="A2" s="33" t="s">
        <v>0</v>
      </c>
      <c r="B2" s="33" t="s">
        <v>3</v>
      </c>
      <c r="C2" s="33" t="s">
        <v>1</v>
      </c>
      <c r="D2" s="33" t="s">
        <v>2</v>
      </c>
      <c r="E2" s="33" t="s">
        <v>156</v>
      </c>
      <c r="F2" s="33" t="s">
        <v>154</v>
      </c>
      <c r="G2" s="33" t="s">
        <v>162</v>
      </c>
    </row>
    <row r="3" spans="1:7" ht="31.5" customHeight="1" x14ac:dyDescent="0.25">
      <c r="A3" s="44">
        <v>1</v>
      </c>
      <c r="B3" s="57">
        <v>2241</v>
      </c>
      <c r="C3" s="34" t="s">
        <v>107</v>
      </c>
      <c r="D3" s="55">
        <v>1</v>
      </c>
      <c r="E3" s="71">
        <v>5000</v>
      </c>
      <c r="F3" s="71">
        <f>D3*E3</f>
        <v>5000</v>
      </c>
      <c r="G3" s="56" t="s">
        <v>135</v>
      </c>
    </row>
    <row r="4" spans="1:7" ht="142.5" customHeight="1" x14ac:dyDescent="0.2">
      <c r="A4" s="44">
        <v>2</v>
      </c>
      <c r="B4" s="77">
        <v>2243</v>
      </c>
      <c r="C4" s="67" t="s">
        <v>106</v>
      </c>
      <c r="D4" s="55">
        <v>1</v>
      </c>
      <c r="E4" s="72">
        <f>6232+1500</f>
        <v>7732</v>
      </c>
      <c r="F4" s="72">
        <f>D4*E4</f>
        <v>7732</v>
      </c>
      <c r="G4" s="78" t="s">
        <v>134</v>
      </c>
    </row>
    <row r="5" spans="1:7" ht="55.5" customHeight="1" x14ac:dyDescent="0.2">
      <c r="A5" s="44">
        <v>3</v>
      </c>
      <c r="B5" s="47">
        <v>2243</v>
      </c>
      <c r="C5" s="37" t="s">
        <v>120</v>
      </c>
      <c r="D5" s="44">
        <v>1</v>
      </c>
      <c r="E5" s="72">
        <v>4000</v>
      </c>
      <c r="F5" s="71">
        <f>D5*E5</f>
        <v>4000</v>
      </c>
      <c r="G5" s="44" t="s">
        <v>121</v>
      </c>
    </row>
    <row r="6" spans="1:7" ht="30" x14ac:dyDescent="0.25">
      <c r="A6" s="38">
        <v>4</v>
      </c>
      <c r="B6" s="58">
        <v>2259</v>
      </c>
      <c r="C6" s="45" t="s">
        <v>140</v>
      </c>
      <c r="D6" s="56">
        <v>1</v>
      </c>
      <c r="E6" s="75">
        <v>9680</v>
      </c>
      <c r="F6" s="75">
        <f>D6*E6</f>
        <v>9680</v>
      </c>
      <c r="G6" s="56" t="s">
        <v>141</v>
      </c>
    </row>
    <row r="7" spans="1:7" ht="15" x14ac:dyDescent="0.25">
      <c r="A7" s="36"/>
      <c r="B7" s="36"/>
      <c r="C7" s="42" t="s">
        <v>174</v>
      </c>
      <c r="D7" s="36"/>
      <c r="E7" s="74"/>
      <c r="F7" s="70">
        <f>SUM(F3:F6)</f>
        <v>26412</v>
      </c>
      <c r="G7" s="36"/>
    </row>
    <row r="8" spans="1:7" ht="15" x14ac:dyDescent="0.25">
      <c r="A8" s="38">
        <v>5</v>
      </c>
      <c r="B8" s="57">
        <v>2310</v>
      </c>
      <c r="C8" s="37" t="s">
        <v>39</v>
      </c>
      <c r="D8" s="55">
        <v>15</v>
      </c>
      <c r="E8" s="71">
        <v>185</v>
      </c>
      <c r="F8" s="71">
        <f>D8*E8</f>
        <v>2775</v>
      </c>
      <c r="G8" s="33"/>
    </row>
    <row r="9" spans="1:7" ht="15" x14ac:dyDescent="0.25">
      <c r="A9" s="38">
        <v>6</v>
      </c>
      <c r="B9" s="34"/>
      <c r="C9" s="37" t="s">
        <v>41</v>
      </c>
      <c r="D9" s="55">
        <v>15</v>
      </c>
      <c r="E9" s="71">
        <v>61</v>
      </c>
      <c r="F9" s="71">
        <f t="shared" ref="F9:F16" si="0">D9*E9</f>
        <v>915</v>
      </c>
      <c r="G9" s="55"/>
    </row>
    <row r="10" spans="1:7" ht="15" x14ac:dyDescent="0.25">
      <c r="A10" s="38">
        <v>7</v>
      </c>
      <c r="B10" s="34"/>
      <c r="C10" s="37" t="s">
        <v>42</v>
      </c>
      <c r="D10" s="55">
        <v>60</v>
      </c>
      <c r="E10" s="71">
        <v>57</v>
      </c>
      <c r="F10" s="71">
        <f t="shared" si="0"/>
        <v>3420</v>
      </c>
      <c r="G10" s="33"/>
    </row>
    <row r="11" spans="1:7" ht="15" x14ac:dyDescent="0.25">
      <c r="A11" s="38">
        <v>8</v>
      </c>
      <c r="B11" s="34"/>
      <c r="C11" s="37" t="s">
        <v>44</v>
      </c>
      <c r="D11" s="55">
        <v>1</v>
      </c>
      <c r="E11" s="71">
        <v>200</v>
      </c>
      <c r="F11" s="71">
        <f t="shared" si="0"/>
        <v>200</v>
      </c>
      <c r="G11" s="55"/>
    </row>
    <row r="12" spans="1:7" ht="30" x14ac:dyDescent="0.25">
      <c r="A12" s="38">
        <v>9</v>
      </c>
      <c r="B12" s="34"/>
      <c r="C12" s="67" t="s">
        <v>111</v>
      </c>
      <c r="D12" s="55">
        <v>1</v>
      </c>
      <c r="E12" s="71">
        <v>3000</v>
      </c>
      <c r="F12" s="71">
        <f t="shared" si="0"/>
        <v>3000</v>
      </c>
      <c r="G12" s="55" t="s">
        <v>118</v>
      </c>
    </row>
    <row r="13" spans="1:7" ht="15" x14ac:dyDescent="0.25">
      <c r="A13" s="38">
        <v>10</v>
      </c>
      <c r="B13" s="34"/>
      <c r="C13" s="37" t="s">
        <v>46</v>
      </c>
      <c r="D13" s="55">
        <v>1</v>
      </c>
      <c r="E13" s="71">
        <v>180</v>
      </c>
      <c r="F13" s="71">
        <f t="shared" si="0"/>
        <v>180</v>
      </c>
      <c r="G13" s="33"/>
    </row>
    <row r="14" spans="1:7" ht="150" x14ac:dyDescent="0.25">
      <c r="A14" s="38">
        <v>11</v>
      </c>
      <c r="B14" s="34"/>
      <c r="C14" s="37" t="s">
        <v>47</v>
      </c>
      <c r="D14" s="55">
        <v>15</v>
      </c>
      <c r="E14" s="71">
        <v>145</v>
      </c>
      <c r="F14" s="71">
        <f t="shared" si="0"/>
        <v>2175</v>
      </c>
      <c r="G14" s="55" t="s">
        <v>137</v>
      </c>
    </row>
    <row r="15" spans="1:7" ht="15" x14ac:dyDescent="0.25">
      <c r="A15" s="38">
        <v>12</v>
      </c>
      <c r="B15" s="35"/>
      <c r="C15" s="45" t="s">
        <v>60</v>
      </c>
      <c r="D15" s="56">
        <v>40</v>
      </c>
      <c r="E15" s="73">
        <v>125</v>
      </c>
      <c r="F15" s="71">
        <f t="shared" si="0"/>
        <v>5000</v>
      </c>
      <c r="G15" s="35"/>
    </row>
    <row r="16" spans="1:7" ht="30" x14ac:dyDescent="0.25">
      <c r="A16" s="38">
        <v>13</v>
      </c>
      <c r="B16" s="34"/>
      <c r="C16" s="37" t="s">
        <v>45</v>
      </c>
      <c r="D16" s="55">
        <v>15</v>
      </c>
      <c r="E16" s="71">
        <v>40</v>
      </c>
      <c r="F16" s="71">
        <f t="shared" si="0"/>
        <v>600</v>
      </c>
      <c r="G16" s="33"/>
    </row>
    <row r="17" spans="1:7" ht="15" x14ac:dyDescent="0.25">
      <c r="A17" s="36"/>
      <c r="B17" s="36"/>
      <c r="C17" s="42" t="s">
        <v>43</v>
      </c>
      <c r="D17" s="36"/>
      <c r="E17" s="74"/>
      <c r="F17" s="70">
        <f>SUM(F8:F16)</f>
        <v>18265</v>
      </c>
      <c r="G17" s="36"/>
    </row>
    <row r="18" spans="1:7" ht="30" x14ac:dyDescent="0.25">
      <c r="A18" s="38">
        <v>14</v>
      </c>
      <c r="B18" s="58">
        <v>5000</v>
      </c>
      <c r="C18" s="45" t="s">
        <v>49</v>
      </c>
      <c r="D18" s="56">
        <v>15</v>
      </c>
      <c r="E18" s="73">
        <v>1000</v>
      </c>
      <c r="F18" s="73">
        <f>D18*E18</f>
        <v>15000</v>
      </c>
      <c r="G18" s="35" t="s">
        <v>108</v>
      </c>
    </row>
    <row r="19" spans="1:7" ht="30" x14ac:dyDescent="0.25">
      <c r="A19" s="38">
        <v>15</v>
      </c>
      <c r="B19" s="35"/>
      <c r="C19" s="45" t="s">
        <v>50</v>
      </c>
      <c r="D19" s="56">
        <v>2</v>
      </c>
      <c r="E19" s="73">
        <v>1000</v>
      </c>
      <c r="F19" s="73">
        <f t="shared" ref="F19:F41" si="1">D19*E19</f>
        <v>2000</v>
      </c>
      <c r="G19" s="35"/>
    </row>
    <row r="20" spans="1:7" ht="15" x14ac:dyDescent="0.25">
      <c r="A20" s="38">
        <v>16</v>
      </c>
      <c r="B20" s="35"/>
      <c r="C20" s="45" t="s">
        <v>51</v>
      </c>
      <c r="D20" s="56">
        <v>2</v>
      </c>
      <c r="E20" s="73">
        <v>256</v>
      </c>
      <c r="F20" s="73">
        <f t="shared" si="1"/>
        <v>512</v>
      </c>
      <c r="G20" s="35"/>
    </row>
    <row r="21" spans="1:7" ht="75" x14ac:dyDescent="0.25">
      <c r="A21" s="38">
        <v>17</v>
      </c>
      <c r="B21" s="35"/>
      <c r="C21" s="45" t="s">
        <v>52</v>
      </c>
      <c r="D21" s="56">
        <v>1</v>
      </c>
      <c r="E21" s="73">
        <v>2000</v>
      </c>
      <c r="F21" s="73">
        <f t="shared" si="1"/>
        <v>2000</v>
      </c>
      <c r="G21" s="35" t="s">
        <v>136</v>
      </c>
    </row>
    <row r="22" spans="1:7" ht="15" x14ac:dyDescent="0.25">
      <c r="A22" s="38">
        <v>18</v>
      </c>
      <c r="B22" s="35"/>
      <c r="C22" s="45" t="s">
        <v>65</v>
      </c>
      <c r="D22" s="56">
        <v>1</v>
      </c>
      <c r="E22" s="73">
        <v>1500</v>
      </c>
      <c r="F22" s="73">
        <f t="shared" si="1"/>
        <v>1500</v>
      </c>
      <c r="G22" s="35"/>
    </row>
    <row r="23" spans="1:7" ht="15" x14ac:dyDescent="0.25">
      <c r="A23" s="38">
        <v>19</v>
      </c>
      <c r="B23" s="35"/>
      <c r="C23" s="45" t="s">
        <v>53</v>
      </c>
      <c r="D23" s="56">
        <v>15</v>
      </c>
      <c r="E23" s="73">
        <v>356</v>
      </c>
      <c r="F23" s="73">
        <f t="shared" si="1"/>
        <v>5340</v>
      </c>
      <c r="G23" s="35"/>
    </row>
    <row r="24" spans="1:7" ht="15" x14ac:dyDescent="0.25">
      <c r="A24" s="38">
        <v>20</v>
      </c>
      <c r="B24" s="35"/>
      <c r="C24" s="45" t="s">
        <v>63</v>
      </c>
      <c r="D24" s="56">
        <v>15</v>
      </c>
      <c r="E24" s="73">
        <v>400</v>
      </c>
      <c r="F24" s="73">
        <f t="shared" si="1"/>
        <v>6000</v>
      </c>
      <c r="G24" s="35"/>
    </row>
    <row r="25" spans="1:7" ht="15" x14ac:dyDescent="0.25">
      <c r="A25" s="38">
        <v>21</v>
      </c>
      <c r="B25" s="34"/>
      <c r="C25" s="37" t="s">
        <v>40</v>
      </c>
      <c r="D25" s="55">
        <v>6</v>
      </c>
      <c r="E25" s="71">
        <v>315</v>
      </c>
      <c r="F25" s="73">
        <f t="shared" si="1"/>
        <v>1890</v>
      </c>
      <c r="G25" s="33"/>
    </row>
    <row r="26" spans="1:7" ht="15" x14ac:dyDescent="0.25">
      <c r="A26" s="38">
        <v>22</v>
      </c>
      <c r="B26" s="35"/>
      <c r="C26" s="45" t="s">
        <v>54</v>
      </c>
      <c r="D26" s="56">
        <v>2</v>
      </c>
      <c r="E26" s="73">
        <v>1000</v>
      </c>
      <c r="F26" s="73">
        <f t="shared" si="1"/>
        <v>2000</v>
      </c>
      <c r="G26" s="35"/>
    </row>
    <row r="27" spans="1:7" ht="30" x14ac:dyDescent="0.25">
      <c r="A27" s="38">
        <v>23</v>
      </c>
      <c r="B27" s="35"/>
      <c r="C27" s="45" t="s">
        <v>55</v>
      </c>
      <c r="D27" s="56">
        <v>2</v>
      </c>
      <c r="E27" s="73">
        <v>925</v>
      </c>
      <c r="F27" s="73">
        <f t="shared" si="1"/>
        <v>1850</v>
      </c>
      <c r="G27" s="35"/>
    </row>
    <row r="28" spans="1:7" ht="30" x14ac:dyDescent="0.25">
      <c r="A28" s="38">
        <v>24</v>
      </c>
      <c r="B28" s="35"/>
      <c r="C28" s="45" t="s">
        <v>56</v>
      </c>
      <c r="D28" s="56">
        <v>1</v>
      </c>
      <c r="E28" s="73">
        <v>4200</v>
      </c>
      <c r="F28" s="73">
        <f t="shared" si="1"/>
        <v>4200</v>
      </c>
      <c r="G28" s="35"/>
    </row>
    <row r="29" spans="1:7" ht="15" x14ac:dyDescent="0.25">
      <c r="A29" s="38">
        <v>25</v>
      </c>
      <c r="B29" s="35"/>
      <c r="C29" s="45" t="s">
        <v>64</v>
      </c>
      <c r="D29" s="56">
        <v>3</v>
      </c>
      <c r="E29" s="73">
        <v>1000</v>
      </c>
      <c r="F29" s="73">
        <f t="shared" si="1"/>
        <v>3000</v>
      </c>
      <c r="G29" s="35"/>
    </row>
    <row r="30" spans="1:7" ht="15" x14ac:dyDescent="0.25">
      <c r="A30" s="38">
        <v>26</v>
      </c>
      <c r="B30" s="35"/>
      <c r="C30" s="45" t="s">
        <v>57</v>
      </c>
      <c r="D30" s="56">
        <v>5</v>
      </c>
      <c r="E30" s="73">
        <v>423</v>
      </c>
      <c r="F30" s="73">
        <f t="shared" si="1"/>
        <v>2115</v>
      </c>
      <c r="G30" s="35"/>
    </row>
    <row r="31" spans="1:7" ht="15" x14ac:dyDescent="0.25">
      <c r="A31" s="38">
        <v>27</v>
      </c>
      <c r="B31" s="35"/>
      <c r="C31" s="45" t="s">
        <v>84</v>
      </c>
      <c r="D31" s="56">
        <v>5</v>
      </c>
      <c r="E31" s="73">
        <v>586</v>
      </c>
      <c r="F31" s="73">
        <f t="shared" si="1"/>
        <v>2930</v>
      </c>
      <c r="G31" s="35"/>
    </row>
    <row r="32" spans="1:7" ht="15" x14ac:dyDescent="0.25">
      <c r="A32" s="38">
        <v>28</v>
      </c>
      <c r="B32" s="35"/>
      <c r="C32" s="45" t="s">
        <v>138</v>
      </c>
      <c r="D32" s="56">
        <v>15</v>
      </c>
      <c r="E32" s="75">
        <v>28</v>
      </c>
      <c r="F32" s="73">
        <f t="shared" si="1"/>
        <v>420</v>
      </c>
      <c r="G32" s="56"/>
    </row>
    <row r="33" spans="1:7" ht="30" x14ac:dyDescent="0.25">
      <c r="A33" s="38">
        <v>29</v>
      </c>
      <c r="B33" s="35"/>
      <c r="C33" s="45" t="s">
        <v>58</v>
      </c>
      <c r="D33" s="56">
        <v>1</v>
      </c>
      <c r="E33" s="75">
        <v>3000</v>
      </c>
      <c r="F33" s="73">
        <f t="shared" si="1"/>
        <v>3000</v>
      </c>
      <c r="G33" s="56"/>
    </row>
    <row r="34" spans="1:7" ht="15" x14ac:dyDescent="0.25">
      <c r="A34" s="38">
        <v>30</v>
      </c>
      <c r="B34" s="35"/>
      <c r="C34" s="45" t="s">
        <v>139</v>
      </c>
      <c r="D34" s="56">
        <v>2</v>
      </c>
      <c r="E34" s="75">
        <v>1549</v>
      </c>
      <c r="F34" s="73">
        <f t="shared" si="1"/>
        <v>3098</v>
      </c>
      <c r="G34" s="56"/>
    </row>
    <row r="35" spans="1:7" ht="30" x14ac:dyDescent="0.25">
      <c r="A35" s="38">
        <v>31</v>
      </c>
      <c r="B35" s="35"/>
      <c r="C35" s="45" t="s">
        <v>59</v>
      </c>
      <c r="D35" s="56">
        <v>1</v>
      </c>
      <c r="E35" s="75">
        <v>1400</v>
      </c>
      <c r="F35" s="73">
        <f t="shared" si="1"/>
        <v>1400</v>
      </c>
      <c r="G35" s="56"/>
    </row>
    <row r="36" spans="1:7" ht="15" x14ac:dyDescent="0.25">
      <c r="A36" s="38">
        <v>32</v>
      </c>
      <c r="B36" s="35"/>
      <c r="C36" s="45" t="s">
        <v>85</v>
      </c>
      <c r="D36" s="56">
        <v>1</v>
      </c>
      <c r="E36" s="75">
        <v>10000</v>
      </c>
      <c r="F36" s="73">
        <f t="shared" si="1"/>
        <v>10000</v>
      </c>
      <c r="G36" s="56"/>
    </row>
    <row r="37" spans="1:7" ht="15" x14ac:dyDescent="0.25">
      <c r="A37" s="38">
        <v>33</v>
      </c>
      <c r="B37" s="35"/>
      <c r="C37" s="45" t="s">
        <v>77</v>
      </c>
      <c r="D37" s="56">
        <v>1</v>
      </c>
      <c r="E37" s="75">
        <v>10000</v>
      </c>
      <c r="F37" s="73">
        <f t="shared" si="1"/>
        <v>10000</v>
      </c>
      <c r="G37" s="56"/>
    </row>
    <row r="38" spans="1:7" ht="15" x14ac:dyDescent="0.25">
      <c r="A38" s="38">
        <v>34</v>
      </c>
      <c r="B38" s="35"/>
      <c r="C38" s="45" t="s">
        <v>101</v>
      </c>
      <c r="D38" s="56">
        <v>1</v>
      </c>
      <c r="E38" s="75">
        <v>10000</v>
      </c>
      <c r="F38" s="73">
        <f t="shared" si="1"/>
        <v>10000</v>
      </c>
      <c r="G38" s="56"/>
    </row>
    <row r="39" spans="1:7" ht="30" x14ac:dyDescent="0.25">
      <c r="A39" s="38">
        <v>35</v>
      </c>
      <c r="B39" s="35"/>
      <c r="C39" s="45" t="s">
        <v>100</v>
      </c>
      <c r="D39" s="56">
        <v>1</v>
      </c>
      <c r="E39" s="75">
        <f>124*43</f>
        <v>5332</v>
      </c>
      <c r="F39" s="73">
        <f t="shared" si="1"/>
        <v>5332</v>
      </c>
      <c r="G39" s="56" t="s">
        <v>143</v>
      </c>
    </row>
    <row r="40" spans="1:7" ht="15" x14ac:dyDescent="0.25">
      <c r="A40" s="38">
        <v>36</v>
      </c>
      <c r="B40" s="35"/>
      <c r="C40" s="45" t="s">
        <v>99</v>
      </c>
      <c r="D40" s="56">
        <v>1</v>
      </c>
      <c r="E40" s="73">
        <v>5000</v>
      </c>
      <c r="F40" s="73">
        <f t="shared" si="1"/>
        <v>5000</v>
      </c>
      <c r="G40" s="56"/>
    </row>
    <row r="41" spans="1:7" ht="15" x14ac:dyDescent="0.25">
      <c r="A41" s="38">
        <v>37</v>
      </c>
      <c r="B41" s="35"/>
      <c r="C41" s="45" t="s">
        <v>62</v>
      </c>
      <c r="D41" s="56">
        <v>1</v>
      </c>
      <c r="E41" s="73">
        <v>1400</v>
      </c>
      <c r="F41" s="73">
        <f t="shared" si="1"/>
        <v>1400</v>
      </c>
      <c r="G41" s="35"/>
    </row>
    <row r="42" spans="1:7" ht="15" x14ac:dyDescent="0.25">
      <c r="A42" s="101"/>
      <c r="B42" s="36"/>
      <c r="C42" s="43" t="s">
        <v>48</v>
      </c>
      <c r="D42" s="36"/>
      <c r="E42" s="74"/>
      <c r="F42" s="76">
        <f>SUM(F18:F41)</f>
        <v>99987</v>
      </c>
      <c r="G42" s="36"/>
    </row>
    <row r="43" spans="1:7" s="7" customFormat="1" ht="16.5" customHeight="1" x14ac:dyDescent="0.25">
      <c r="A43" s="85"/>
      <c r="B43" s="86"/>
      <c r="C43" s="214" t="s">
        <v>25</v>
      </c>
      <c r="D43" s="214"/>
      <c r="E43" s="215"/>
      <c r="F43" s="79">
        <f>F42+F17+F7</f>
        <v>144664</v>
      </c>
      <c r="G43" s="84"/>
    </row>
    <row r="44" spans="1:7" s="7" customFormat="1" ht="36.75" customHeight="1" x14ac:dyDescent="0.25">
      <c r="A44" s="212"/>
      <c r="B44" s="212"/>
      <c r="C44" s="212"/>
      <c r="D44" s="212"/>
      <c r="E44" s="46"/>
      <c r="F44" s="102"/>
    </row>
    <row r="45" spans="1:7" s="7" customFormat="1" ht="28.5" customHeight="1" x14ac:dyDescent="0.25">
      <c r="A45" s="211"/>
      <c r="B45" s="211"/>
      <c r="C45" s="211"/>
      <c r="D45" s="211"/>
    </row>
    <row r="46" spans="1:7" s="7" customFormat="1" x14ac:dyDescent="0.2">
      <c r="A46" s="5"/>
      <c r="B46" s="5"/>
      <c r="C46" s="5"/>
      <c r="D46" s="5"/>
    </row>
    <row r="47" spans="1:7" s="7" customFormat="1" ht="15.75" customHeight="1" x14ac:dyDescent="0.2">
      <c r="A47" s="5"/>
      <c r="B47" s="5"/>
      <c r="C47" s="5"/>
      <c r="D47" s="5"/>
    </row>
    <row r="48" spans="1:7" s="7" customFormat="1" x14ac:dyDescent="0.2">
      <c r="A48" s="5"/>
      <c r="B48" s="5"/>
      <c r="C48" s="5"/>
      <c r="D48" s="5"/>
    </row>
    <row r="49" spans="1:6" s="7" customFormat="1" x14ac:dyDescent="0.2">
      <c r="A49" s="5"/>
      <c r="B49" s="5"/>
      <c r="C49" s="5"/>
      <c r="D49" s="5"/>
      <c r="E49" s="5"/>
      <c r="F49" s="5"/>
    </row>
  </sheetData>
  <mergeCells count="4">
    <mergeCell ref="A45:D45"/>
    <mergeCell ref="A44:D44"/>
    <mergeCell ref="A1:G1"/>
    <mergeCell ref="C43:E43"/>
  </mergeCells>
  <pageMargins left="0.78740157480314965" right="0.98425196850393704" top="1.1811023622047245" bottom="0.78740157480314965" header="0.51181102362204722" footer="0.51181102362204722"/>
  <pageSetup paperSize="9" scale="59" orientation="landscape" r:id="rId1"/>
  <headerFooter alignWithMargins="0"/>
  <rowBreaks count="1" manualBreakCount="1">
    <brk id="73" max="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C000"/>
    <pageSetUpPr fitToPage="1"/>
  </sheetPr>
  <dimension ref="A1:R25"/>
  <sheetViews>
    <sheetView view="pageBreakPreview" zoomScaleNormal="100" zoomScaleSheetLayoutView="100" workbookViewId="0">
      <pane ySplit="6" topLeftCell="A7" activePane="bottomLeft" state="frozen"/>
      <selection pane="bottomLeft" sqref="A1:XFD3"/>
    </sheetView>
  </sheetViews>
  <sheetFormatPr defaultRowHeight="12.75" outlineLevelRow="1" x14ac:dyDescent="0.2"/>
  <cols>
    <col min="1" max="1" width="8.5703125" style="4" hidden="1" customWidth="1"/>
    <col min="2" max="2" width="27.85546875" style="4" customWidth="1"/>
    <col min="3" max="3" width="23.5703125" style="4" customWidth="1"/>
    <col min="4" max="4" width="11.5703125" style="4" customWidth="1"/>
    <col min="5" max="5" width="11.85546875" style="4" hidden="1" customWidth="1"/>
    <col min="6" max="6" width="11.85546875" style="4" customWidth="1"/>
    <col min="7" max="7" width="12" style="4" bestFit="1" customWidth="1"/>
    <col min="8" max="8" width="13.42578125" style="4" customWidth="1"/>
    <col min="9" max="9" width="11.7109375" style="4" hidden="1" customWidth="1"/>
    <col min="10" max="10" width="12" style="4" hidden="1" customWidth="1"/>
    <col min="11" max="13" width="12" style="4" customWidth="1"/>
    <col min="14" max="16384" width="9.140625" style="4"/>
  </cols>
  <sheetData>
    <row r="1" spans="1:18" ht="33.75" customHeight="1" x14ac:dyDescent="0.25">
      <c r="A1" s="182" t="s">
        <v>190</v>
      </c>
      <c r="B1" s="183"/>
      <c r="C1" s="183"/>
      <c r="D1" s="183"/>
      <c r="E1" s="183"/>
      <c r="F1" s="183"/>
      <c r="G1" s="183"/>
      <c r="H1" s="183"/>
      <c r="I1" s="183"/>
      <c r="J1" s="183"/>
      <c r="K1" s="183"/>
      <c r="L1" s="62">
        <f>M7+D16+D19+D20</f>
        <v>390790</v>
      </c>
      <c r="M1" s="65"/>
    </row>
    <row r="2" spans="1:18" ht="39" x14ac:dyDescent="0.25">
      <c r="A2" s="9"/>
      <c r="B2" s="10"/>
      <c r="C2" s="10"/>
      <c r="D2" s="10"/>
      <c r="E2" s="10"/>
      <c r="F2" s="10"/>
      <c r="G2" s="10"/>
      <c r="H2" s="10"/>
      <c r="I2" s="10"/>
      <c r="J2" s="10"/>
      <c r="K2" s="10"/>
      <c r="L2" s="63" t="s">
        <v>153</v>
      </c>
      <c r="M2" s="66"/>
    </row>
    <row r="3" spans="1:18" ht="15" thickBot="1" x14ac:dyDescent="0.25">
      <c r="A3" s="184" t="s">
        <v>17</v>
      </c>
      <c r="B3" s="184"/>
      <c r="C3" s="184"/>
      <c r="D3" s="184"/>
      <c r="E3" s="184"/>
      <c r="F3" s="184"/>
      <c r="G3" s="184"/>
      <c r="H3" s="184"/>
      <c r="I3" s="184"/>
      <c r="J3" s="184"/>
      <c r="K3" s="184"/>
      <c r="L3" s="60"/>
      <c r="M3" s="60"/>
    </row>
    <row r="4" spans="1:18" ht="16.5" customHeight="1" x14ac:dyDescent="0.2">
      <c r="A4" s="195" t="s">
        <v>4</v>
      </c>
      <c r="B4" s="176" t="s">
        <v>5</v>
      </c>
      <c r="C4" s="176" t="s">
        <v>6</v>
      </c>
      <c r="D4" s="176" t="s">
        <v>8</v>
      </c>
      <c r="E4" s="179" t="s">
        <v>3</v>
      </c>
      <c r="F4" s="179" t="s">
        <v>13</v>
      </c>
      <c r="G4" s="179"/>
      <c r="H4" s="179"/>
      <c r="I4" s="179"/>
      <c r="J4" s="59"/>
      <c r="K4" s="189" t="s">
        <v>146</v>
      </c>
      <c r="L4" s="190"/>
      <c r="M4" s="191"/>
    </row>
    <row r="5" spans="1:18" ht="37.5" customHeight="1" x14ac:dyDescent="0.2">
      <c r="A5" s="196"/>
      <c r="B5" s="177"/>
      <c r="C5" s="177"/>
      <c r="D5" s="177"/>
      <c r="E5" s="180"/>
      <c r="F5" s="180" t="s">
        <v>14</v>
      </c>
      <c r="G5" s="180" t="s">
        <v>15</v>
      </c>
      <c r="H5" s="180" t="s">
        <v>10</v>
      </c>
      <c r="I5" s="180" t="s">
        <v>11</v>
      </c>
      <c r="J5" s="192" t="s">
        <v>78</v>
      </c>
      <c r="K5" s="192" t="s">
        <v>147</v>
      </c>
      <c r="L5" s="204" t="s">
        <v>7</v>
      </c>
      <c r="M5" s="207" t="s">
        <v>9</v>
      </c>
    </row>
    <row r="6" spans="1:18" ht="15" customHeight="1" thickBot="1" x14ac:dyDescent="0.25">
      <c r="A6" s="196"/>
      <c r="B6" s="177"/>
      <c r="C6" s="177"/>
      <c r="D6" s="177"/>
      <c r="E6" s="180"/>
      <c r="F6" s="180"/>
      <c r="G6" s="180"/>
      <c r="H6" s="180"/>
      <c r="I6" s="180"/>
      <c r="J6" s="193"/>
      <c r="K6" s="193"/>
      <c r="L6" s="205"/>
      <c r="M6" s="208"/>
    </row>
    <row r="7" spans="1:18" x14ac:dyDescent="0.2">
      <c r="A7" s="186" t="s">
        <v>86</v>
      </c>
      <c r="B7" s="187"/>
      <c r="C7" s="188"/>
      <c r="D7" s="27">
        <f>SUM(D8:D12)</f>
        <v>15</v>
      </c>
      <c r="E7" s="27"/>
      <c r="F7" s="17"/>
      <c r="G7" s="17"/>
      <c r="H7" s="17"/>
      <c r="I7" s="17"/>
      <c r="J7" s="17"/>
      <c r="K7" s="17"/>
      <c r="L7" s="61">
        <f>SUM(L8:L12)</f>
        <v>20995</v>
      </c>
      <c r="M7" s="61">
        <f>SUM(M8:M12)</f>
        <v>251940</v>
      </c>
    </row>
    <row r="8" spans="1:18" s="6" customFormat="1" ht="27" outlineLevel="1" x14ac:dyDescent="0.2">
      <c r="A8" s="50">
        <v>4</v>
      </c>
      <c r="B8" s="51" t="s">
        <v>87</v>
      </c>
      <c r="C8" s="52" t="s">
        <v>94</v>
      </c>
      <c r="D8" s="53">
        <v>3</v>
      </c>
      <c r="E8" s="53"/>
      <c r="F8" s="54" t="s">
        <v>89</v>
      </c>
      <c r="G8" s="16" t="s">
        <v>21</v>
      </c>
      <c r="H8" s="28">
        <v>11</v>
      </c>
      <c r="I8" s="28"/>
      <c r="J8" s="16" t="s">
        <v>18</v>
      </c>
      <c r="K8" s="16">
        <v>1382</v>
      </c>
      <c r="L8" s="16">
        <f>K8*D8</f>
        <v>4146</v>
      </c>
      <c r="M8" s="16">
        <f>L8*12</f>
        <v>49752</v>
      </c>
      <c r="O8" s="185"/>
      <c r="P8" s="185"/>
      <c r="Q8" s="185"/>
      <c r="R8" s="185"/>
    </row>
    <row r="9" spans="1:18" s="49" customFormat="1" ht="13.5" outlineLevel="1" x14ac:dyDescent="0.2">
      <c r="A9" s="48">
        <v>10</v>
      </c>
      <c r="B9" s="51" t="s">
        <v>91</v>
      </c>
      <c r="C9" s="52" t="s">
        <v>23</v>
      </c>
      <c r="D9" s="53">
        <v>2</v>
      </c>
      <c r="E9" s="53"/>
      <c r="F9" s="54" t="s">
        <v>92</v>
      </c>
      <c r="G9" s="16" t="s">
        <v>21</v>
      </c>
      <c r="H9" s="28">
        <v>11</v>
      </c>
      <c r="I9" s="28"/>
      <c r="J9" s="16" t="s">
        <v>22</v>
      </c>
      <c r="K9" s="16">
        <v>1382</v>
      </c>
      <c r="L9" s="16">
        <f>K9*D9</f>
        <v>2764</v>
      </c>
      <c r="M9" s="16">
        <f>L9*12</f>
        <v>33168</v>
      </c>
    </row>
    <row r="10" spans="1:18" s="49" customFormat="1" ht="27" outlineLevel="1" x14ac:dyDescent="0.2">
      <c r="A10" s="48">
        <v>11</v>
      </c>
      <c r="B10" s="51" t="s">
        <v>93</v>
      </c>
      <c r="C10" s="52" t="s">
        <v>163</v>
      </c>
      <c r="D10" s="53">
        <v>1</v>
      </c>
      <c r="E10" s="53"/>
      <c r="F10" s="54" t="s">
        <v>89</v>
      </c>
      <c r="G10" s="16" t="s">
        <v>155</v>
      </c>
      <c r="H10" s="28">
        <v>12</v>
      </c>
      <c r="I10" s="28"/>
      <c r="J10" s="16" t="s">
        <v>22</v>
      </c>
      <c r="K10" s="16">
        <v>1647</v>
      </c>
      <c r="L10" s="16">
        <f>K10*D10</f>
        <v>1647</v>
      </c>
      <c r="M10" s="16">
        <f>L10*12</f>
        <v>19764</v>
      </c>
    </row>
    <row r="11" spans="1:18" s="49" customFormat="1" ht="13.5" outlineLevel="1" x14ac:dyDescent="0.2">
      <c r="A11" s="48">
        <v>11</v>
      </c>
      <c r="B11" s="51"/>
      <c r="C11" s="52" t="s">
        <v>88</v>
      </c>
      <c r="D11" s="53">
        <v>6</v>
      </c>
      <c r="E11" s="53"/>
      <c r="F11" s="54" t="s">
        <v>90</v>
      </c>
      <c r="G11" s="16" t="s">
        <v>21</v>
      </c>
      <c r="H11" s="28">
        <v>11</v>
      </c>
      <c r="I11" s="28"/>
      <c r="J11" s="16" t="s">
        <v>20</v>
      </c>
      <c r="K11" s="16">
        <v>1382</v>
      </c>
      <c r="L11" s="16">
        <f>K11*D11</f>
        <v>8292</v>
      </c>
      <c r="M11" s="16">
        <f>L11*12</f>
        <v>99504</v>
      </c>
    </row>
    <row r="12" spans="1:18" s="49" customFormat="1" ht="13.5" outlineLevel="1" x14ac:dyDescent="0.2">
      <c r="A12" s="48">
        <v>49</v>
      </c>
      <c r="B12" s="51"/>
      <c r="C12" s="52" t="s">
        <v>88</v>
      </c>
      <c r="D12" s="53">
        <v>3</v>
      </c>
      <c r="E12" s="53"/>
      <c r="F12" s="54" t="s">
        <v>89</v>
      </c>
      <c r="G12" s="16" t="s">
        <v>21</v>
      </c>
      <c r="H12" s="28">
        <v>11</v>
      </c>
      <c r="I12" s="28"/>
      <c r="J12" s="16" t="s">
        <v>19</v>
      </c>
      <c r="K12" s="16">
        <v>1382</v>
      </c>
      <c r="L12" s="16">
        <f>K12*D12</f>
        <v>4146</v>
      </c>
      <c r="M12" s="16">
        <f>L12*12</f>
        <v>49752</v>
      </c>
    </row>
    <row r="13" spans="1:18" ht="21" customHeight="1" x14ac:dyDescent="0.2">
      <c r="A13" s="8"/>
      <c r="B13" s="8"/>
      <c r="C13" s="12"/>
      <c r="D13" s="11"/>
      <c r="E13" s="11"/>
      <c r="F13" s="11"/>
      <c r="G13" s="11"/>
      <c r="H13" s="11"/>
      <c r="I13" s="8"/>
      <c r="J13" s="8"/>
      <c r="K13" s="8"/>
      <c r="L13" s="8"/>
      <c r="M13" s="8"/>
    </row>
    <row r="14" spans="1:18" ht="46.5" customHeight="1" thickBot="1" x14ac:dyDescent="0.3">
      <c r="A14" s="80" t="s">
        <v>24</v>
      </c>
      <c r="B14" s="198" t="s">
        <v>149</v>
      </c>
      <c r="C14" s="198"/>
      <c r="D14" s="198"/>
      <c r="E14" s="81"/>
      <c r="F14" s="81"/>
      <c r="G14" s="81"/>
      <c r="H14" s="11"/>
      <c r="I14" s="11"/>
      <c r="J14" s="11"/>
      <c r="K14" s="11"/>
      <c r="L14" s="11"/>
      <c r="M14" s="11"/>
    </row>
    <row r="15" spans="1:18" ht="45.75" customHeight="1" x14ac:dyDescent="0.2">
      <c r="A15" s="90"/>
      <c r="B15" s="88" t="s">
        <v>151</v>
      </c>
      <c r="C15" s="88" t="s">
        <v>3</v>
      </c>
      <c r="D15" s="100" t="s">
        <v>148</v>
      </c>
    </row>
    <row r="16" spans="1:18" ht="25.5" x14ac:dyDescent="0.2">
      <c r="A16" s="22">
        <v>1</v>
      </c>
      <c r="B16" s="21" t="s">
        <v>152</v>
      </c>
      <c r="C16" s="18">
        <v>1140</v>
      </c>
      <c r="D16" s="29">
        <f>SUM(D17:D18)</f>
        <v>50388</v>
      </c>
    </row>
    <row r="17" spans="1:9" x14ac:dyDescent="0.2">
      <c r="A17" s="20"/>
      <c r="B17" s="23" t="s">
        <v>112</v>
      </c>
      <c r="C17" s="13" t="s">
        <v>113</v>
      </c>
      <c r="D17" s="26">
        <f>ROUND(M7*0.1,0)</f>
        <v>25194</v>
      </c>
      <c r="F17" s="64"/>
    </row>
    <row r="18" spans="1:9" ht="25.5" x14ac:dyDescent="0.2">
      <c r="A18" s="20"/>
      <c r="B18" s="23" t="s">
        <v>26</v>
      </c>
      <c r="C18" s="13">
        <v>1148</v>
      </c>
      <c r="D18" s="83">
        <f>ROUND(M7*0.1,0)</f>
        <v>25194</v>
      </c>
    </row>
    <row r="19" spans="1:9" ht="13.5" x14ac:dyDescent="0.2">
      <c r="A19" s="19">
        <v>2</v>
      </c>
      <c r="B19" s="30" t="s">
        <v>133</v>
      </c>
      <c r="C19" s="15">
        <v>1221</v>
      </c>
      <c r="D19" s="31">
        <f>ROUND(M7*0.05,0)</f>
        <v>12597</v>
      </c>
    </row>
    <row r="20" spans="1:9" ht="38.25" x14ac:dyDescent="0.2">
      <c r="A20" s="19">
        <v>3</v>
      </c>
      <c r="B20" s="32" t="s">
        <v>150</v>
      </c>
      <c r="C20" s="15">
        <v>1210</v>
      </c>
      <c r="D20" s="82">
        <f>ROUND((D19+D16+M7)*0.2409,0)</f>
        <v>75865</v>
      </c>
    </row>
    <row r="21" spans="1:9" x14ac:dyDescent="0.2">
      <c r="A21" s="39"/>
      <c r="B21" s="40"/>
      <c r="C21" s="41"/>
      <c r="D21" s="11"/>
    </row>
    <row r="22" spans="1:9" x14ac:dyDescent="0.2">
      <c r="A22" s="8"/>
      <c r="B22" s="12"/>
      <c r="C22" s="11"/>
      <c r="D22" s="11"/>
      <c r="E22" s="25"/>
      <c r="F22" s="25"/>
      <c r="G22" s="8"/>
      <c r="H22" s="8"/>
      <c r="I22" s="8"/>
    </row>
    <row r="23" spans="1:9" s="3" customFormat="1" x14ac:dyDescent="0.2">
      <c r="A23" s="2"/>
      <c r="B23" s="2"/>
      <c r="C23" s="2"/>
    </row>
    <row r="24" spans="1:9" s="3" customFormat="1" x14ac:dyDescent="0.2">
      <c r="A24" s="2"/>
      <c r="B24" s="2"/>
      <c r="C24" s="2"/>
      <c r="D24" s="6"/>
    </row>
    <row r="25" spans="1:9" s="6" customFormat="1" ht="21.75" customHeight="1" x14ac:dyDescent="0.2"/>
  </sheetData>
  <mergeCells count="20">
    <mergeCell ref="B14:D14"/>
    <mergeCell ref="O8:R8"/>
    <mergeCell ref="H5:H6"/>
    <mergeCell ref="I5:I6"/>
    <mergeCell ref="J5:J6"/>
    <mergeCell ref="K5:K6"/>
    <mergeCell ref="L5:L6"/>
    <mergeCell ref="C4:C6"/>
    <mergeCell ref="D4:D6"/>
    <mergeCell ref="E4:E6"/>
    <mergeCell ref="F4:I4"/>
    <mergeCell ref="K4:M4"/>
    <mergeCell ref="F5:F6"/>
    <mergeCell ref="M5:M6"/>
    <mergeCell ref="A1:K1"/>
    <mergeCell ref="G5:G6"/>
    <mergeCell ref="A7:C7"/>
    <mergeCell ref="A3:K3"/>
    <mergeCell ref="A4:A6"/>
    <mergeCell ref="B4:B6"/>
  </mergeCells>
  <pageMargins left="0.78740157480314965" right="0.98425196850393704" top="1.1811023622047245" bottom="0.78740157480314965" header="0.31496062992125984" footer="0.31496062992125984"/>
  <pageSetup paperSize="9" scale="94" fitToHeight="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6"/>
    <pageSetUpPr fitToPage="1"/>
  </sheetPr>
  <dimension ref="A1:K48"/>
  <sheetViews>
    <sheetView tabSelected="1" zoomScale="95" zoomScaleNormal="95" zoomScaleSheetLayoutView="100" workbookViewId="0">
      <selection activeCell="E13" sqref="E13"/>
    </sheetView>
  </sheetViews>
  <sheetFormatPr defaultRowHeight="12.75" x14ac:dyDescent="0.2"/>
  <cols>
    <col min="1" max="1" width="7.140625" style="125" customWidth="1"/>
    <col min="2" max="2" width="12.28515625" style="125" customWidth="1"/>
    <col min="3" max="3" width="40.28515625" style="125" customWidth="1"/>
    <col min="4" max="4" width="16" style="125" customWidth="1"/>
    <col min="5" max="5" width="60.7109375" style="125" customWidth="1"/>
    <col min="6" max="16384" width="9.140625" style="125"/>
  </cols>
  <sheetData>
    <row r="1" spans="1:11" s="124" customFormat="1" ht="36" customHeight="1" x14ac:dyDescent="0.25">
      <c r="A1" s="216" t="s">
        <v>189</v>
      </c>
      <c r="B1" s="217"/>
      <c r="C1" s="217"/>
      <c r="D1" s="217"/>
      <c r="E1" s="217"/>
    </row>
    <row r="3" spans="1:11" hidden="1" x14ac:dyDescent="0.2"/>
    <row r="4" spans="1:11" ht="41.25" x14ac:dyDescent="0.2">
      <c r="A4" s="126" t="s">
        <v>4</v>
      </c>
      <c r="B4" s="126" t="s">
        <v>3</v>
      </c>
      <c r="C4" s="127" t="s">
        <v>12</v>
      </c>
      <c r="D4" s="126" t="s">
        <v>194</v>
      </c>
      <c r="E4" s="126" t="s">
        <v>16</v>
      </c>
    </row>
    <row r="5" spans="1:11" ht="15" x14ac:dyDescent="0.25">
      <c r="A5" s="128">
        <v>1</v>
      </c>
      <c r="B5" s="129">
        <v>2110</v>
      </c>
      <c r="C5" s="129" t="s">
        <v>74</v>
      </c>
      <c r="D5" s="130">
        <f>(6*2+43)*2*12</f>
        <v>1320</v>
      </c>
      <c r="E5" s="131" t="s">
        <v>76</v>
      </c>
    </row>
    <row r="6" spans="1:11" ht="15" x14ac:dyDescent="0.25">
      <c r="A6" s="128">
        <v>2</v>
      </c>
      <c r="B6" s="129">
        <v>2120</v>
      </c>
      <c r="C6" s="129" t="s">
        <v>75</v>
      </c>
      <c r="D6" s="130">
        <f>(40*3+200*3+720+15)*2*12</f>
        <v>34920</v>
      </c>
      <c r="E6" s="132" t="s">
        <v>129</v>
      </c>
    </row>
    <row r="7" spans="1:11" ht="15" x14ac:dyDescent="0.25">
      <c r="A7" s="133"/>
      <c r="B7" s="129">
        <v>2210</v>
      </c>
      <c r="C7" s="134" t="s">
        <v>30</v>
      </c>
      <c r="D7" s="130">
        <f>SUM(D8:D10)</f>
        <v>7932</v>
      </c>
      <c r="E7" s="135"/>
    </row>
    <row r="8" spans="1:11" ht="15" customHeight="1" x14ac:dyDescent="0.25">
      <c r="A8" s="128">
        <v>3</v>
      </c>
      <c r="B8" s="128">
        <v>2219</v>
      </c>
      <c r="C8" s="136" t="s">
        <v>27</v>
      </c>
      <c r="D8" s="137">
        <f>9*12*15</f>
        <v>1620</v>
      </c>
      <c r="E8" s="132" t="s">
        <v>157</v>
      </c>
      <c r="F8" s="138"/>
      <c r="G8" s="138"/>
    </row>
    <row r="9" spans="1:11" ht="15" x14ac:dyDescent="0.25">
      <c r="A9" s="128">
        <v>4</v>
      </c>
      <c r="B9" s="128">
        <v>2219</v>
      </c>
      <c r="C9" s="128" t="s">
        <v>28</v>
      </c>
      <c r="D9" s="137">
        <f>12*12*15</f>
        <v>2160</v>
      </c>
      <c r="E9" s="132" t="s">
        <v>158</v>
      </c>
      <c r="F9" s="138"/>
      <c r="G9" s="138"/>
      <c r="K9" s="139"/>
    </row>
    <row r="10" spans="1:11" ht="15" x14ac:dyDescent="0.25">
      <c r="A10" s="128">
        <v>5</v>
      </c>
      <c r="B10" s="128">
        <v>2219</v>
      </c>
      <c r="C10" s="128" t="s">
        <v>29</v>
      </c>
      <c r="D10" s="137">
        <f>12*346</f>
        <v>4152</v>
      </c>
      <c r="E10" s="132" t="s">
        <v>131</v>
      </c>
      <c r="J10" s="139"/>
      <c r="K10" s="139"/>
    </row>
    <row r="11" spans="1:11" ht="15" x14ac:dyDescent="0.25">
      <c r="A11" s="133"/>
      <c r="B11" s="129">
        <v>2230</v>
      </c>
      <c r="C11" s="129" t="s">
        <v>34</v>
      </c>
      <c r="D11" s="130">
        <f>SUM(D12:D23)</f>
        <v>164768</v>
      </c>
      <c r="E11" s="140"/>
      <c r="J11" s="139"/>
      <c r="K11" s="139"/>
    </row>
    <row r="12" spans="1:11" ht="30" x14ac:dyDescent="0.25">
      <c r="A12" s="128">
        <v>6</v>
      </c>
      <c r="B12" s="128">
        <v>2231</v>
      </c>
      <c r="C12" s="141" t="s">
        <v>96</v>
      </c>
      <c r="D12" s="137">
        <f>2*4500+50000</f>
        <v>59000</v>
      </c>
      <c r="E12" s="132" t="s">
        <v>161</v>
      </c>
    </row>
    <row r="13" spans="1:11" ht="15" x14ac:dyDescent="0.25">
      <c r="A13" s="128">
        <v>7</v>
      </c>
      <c r="B13" s="128">
        <v>2232</v>
      </c>
      <c r="C13" s="141" t="s">
        <v>103</v>
      </c>
      <c r="D13" s="137">
        <f>11*1000</f>
        <v>11000</v>
      </c>
      <c r="E13" s="131" t="s">
        <v>122</v>
      </c>
    </row>
    <row r="14" spans="1:11" ht="15" x14ac:dyDescent="0.25">
      <c r="A14" s="128">
        <v>8</v>
      </c>
      <c r="B14" s="128">
        <v>2232</v>
      </c>
      <c r="C14" s="141" t="s">
        <v>102</v>
      </c>
      <c r="D14" s="137">
        <v>10000</v>
      </c>
      <c r="E14" s="131" t="s">
        <v>104</v>
      </c>
    </row>
    <row r="15" spans="1:11" ht="30" x14ac:dyDescent="0.25">
      <c r="A15" s="128">
        <v>9</v>
      </c>
      <c r="B15" s="128">
        <v>2234</v>
      </c>
      <c r="C15" s="141" t="s">
        <v>72</v>
      </c>
      <c r="D15" s="137">
        <f>10*39</f>
        <v>390</v>
      </c>
      <c r="E15" s="131" t="s">
        <v>123</v>
      </c>
    </row>
    <row r="16" spans="1:11" ht="15" x14ac:dyDescent="0.25">
      <c r="A16" s="128">
        <v>10</v>
      </c>
      <c r="B16" s="128">
        <v>2235</v>
      </c>
      <c r="C16" s="128" t="s">
        <v>31</v>
      </c>
      <c r="D16" s="137">
        <f>300*15</f>
        <v>4500</v>
      </c>
      <c r="E16" s="131" t="s">
        <v>127</v>
      </c>
    </row>
    <row r="17" spans="1:5" ht="15" x14ac:dyDescent="0.25">
      <c r="A17" s="128">
        <v>11</v>
      </c>
      <c r="B17" s="128">
        <v>2239</v>
      </c>
      <c r="C17" s="128" t="s">
        <v>68</v>
      </c>
      <c r="D17" s="137">
        <f>84*72*12</f>
        <v>72576</v>
      </c>
      <c r="E17" s="131" t="s">
        <v>79</v>
      </c>
    </row>
    <row r="18" spans="1:5" ht="50.25" customHeight="1" x14ac:dyDescent="0.25">
      <c r="A18" s="128">
        <v>12</v>
      </c>
      <c r="B18" s="128">
        <v>2239</v>
      </c>
      <c r="C18" s="128" t="s">
        <v>67</v>
      </c>
      <c r="D18" s="137">
        <f>40*12*2</f>
        <v>960</v>
      </c>
      <c r="E18" s="132" t="s">
        <v>165</v>
      </c>
    </row>
    <row r="19" spans="1:5" ht="15" x14ac:dyDescent="0.25">
      <c r="A19" s="128">
        <v>13</v>
      </c>
      <c r="B19" s="128">
        <v>2239</v>
      </c>
      <c r="C19" s="141" t="s">
        <v>73</v>
      </c>
      <c r="D19" s="137">
        <f>8*15*12</f>
        <v>1440</v>
      </c>
      <c r="E19" s="132" t="s">
        <v>159</v>
      </c>
    </row>
    <row r="20" spans="1:5" ht="15" x14ac:dyDescent="0.25">
      <c r="A20" s="128">
        <v>14</v>
      </c>
      <c r="B20" s="128">
        <v>2239</v>
      </c>
      <c r="C20" s="128" t="s">
        <v>66</v>
      </c>
      <c r="D20" s="137">
        <v>2500</v>
      </c>
      <c r="E20" s="131" t="s">
        <v>105</v>
      </c>
    </row>
    <row r="21" spans="1:5" ht="15" x14ac:dyDescent="0.25">
      <c r="A21" s="128">
        <v>15</v>
      </c>
      <c r="B21" s="128">
        <v>2239</v>
      </c>
      <c r="C21" s="128" t="s">
        <v>80</v>
      </c>
      <c r="D21" s="137">
        <v>278</v>
      </c>
      <c r="E21" s="131" t="s">
        <v>105</v>
      </c>
    </row>
    <row r="22" spans="1:5" ht="15" x14ac:dyDescent="0.25">
      <c r="A22" s="128">
        <v>16</v>
      </c>
      <c r="B22" s="128">
        <v>2239</v>
      </c>
      <c r="C22" s="141" t="s">
        <v>95</v>
      </c>
      <c r="D22" s="137">
        <f>12*38</f>
        <v>456</v>
      </c>
      <c r="E22" s="132" t="s">
        <v>125</v>
      </c>
    </row>
    <row r="23" spans="1:5" ht="30" x14ac:dyDescent="0.25">
      <c r="A23" s="128">
        <v>17</v>
      </c>
      <c r="B23" s="128">
        <v>2239</v>
      </c>
      <c r="C23" s="141" t="s">
        <v>119</v>
      </c>
      <c r="D23" s="137">
        <f>268+1400</f>
        <v>1668</v>
      </c>
      <c r="E23" s="132" t="s">
        <v>126</v>
      </c>
    </row>
    <row r="24" spans="1:5" ht="15" x14ac:dyDescent="0.25">
      <c r="A24" s="133"/>
      <c r="B24" s="142">
        <v>2240</v>
      </c>
      <c r="C24" s="134" t="s">
        <v>179</v>
      </c>
      <c r="D24" s="130">
        <f>SUM(D25:D27)</f>
        <v>10740</v>
      </c>
      <c r="E24" s="135"/>
    </row>
    <row r="25" spans="1:5" ht="30" x14ac:dyDescent="0.25">
      <c r="A25" s="128">
        <v>18</v>
      </c>
      <c r="B25" s="128">
        <v>2242</v>
      </c>
      <c r="C25" s="141" t="s">
        <v>70</v>
      </c>
      <c r="D25" s="137">
        <f>70*12</f>
        <v>840</v>
      </c>
      <c r="E25" s="131" t="s">
        <v>176</v>
      </c>
    </row>
    <row r="26" spans="1:5" ht="36" customHeight="1" x14ac:dyDescent="0.25">
      <c r="A26" s="128">
        <v>19</v>
      </c>
      <c r="B26" s="128">
        <v>2243</v>
      </c>
      <c r="C26" s="128" t="s">
        <v>69</v>
      </c>
      <c r="D26" s="137">
        <f>300</f>
        <v>300</v>
      </c>
      <c r="E26" s="132" t="s">
        <v>132</v>
      </c>
    </row>
    <row r="27" spans="1:5" ht="15" x14ac:dyDescent="0.25">
      <c r="A27" s="128">
        <v>20</v>
      </c>
      <c r="B27" s="128">
        <v>2244</v>
      </c>
      <c r="C27" s="128" t="s">
        <v>81</v>
      </c>
      <c r="D27" s="137">
        <f>12*200+12*600</f>
        <v>9600</v>
      </c>
      <c r="E27" s="131" t="s">
        <v>144</v>
      </c>
    </row>
    <row r="28" spans="1:5" ht="36" customHeight="1" x14ac:dyDescent="0.25">
      <c r="A28" s="128">
        <v>21</v>
      </c>
      <c r="B28" s="129">
        <v>2250</v>
      </c>
      <c r="C28" s="134" t="s">
        <v>71</v>
      </c>
      <c r="D28" s="130">
        <f>533+1000+1000+1000+243*15</f>
        <v>7178</v>
      </c>
      <c r="E28" s="143" t="s">
        <v>142</v>
      </c>
    </row>
    <row r="29" spans="1:5" ht="15" x14ac:dyDescent="0.25">
      <c r="A29" s="133"/>
      <c r="B29" s="142">
        <v>2260</v>
      </c>
      <c r="C29" s="134" t="s">
        <v>177</v>
      </c>
      <c r="D29" s="130">
        <f>SUM(D30:D32)</f>
        <v>72816</v>
      </c>
      <c r="E29" s="135"/>
    </row>
    <row r="30" spans="1:5" ht="15" x14ac:dyDescent="0.25">
      <c r="A30" s="128">
        <v>22</v>
      </c>
      <c r="B30" s="144">
        <v>2261</v>
      </c>
      <c r="C30" s="145" t="s">
        <v>180</v>
      </c>
      <c r="D30" s="137">
        <f>20*15*18*12</f>
        <v>64800</v>
      </c>
      <c r="E30" s="132" t="s">
        <v>181</v>
      </c>
    </row>
    <row r="31" spans="1:5" ht="15" customHeight="1" x14ac:dyDescent="0.25">
      <c r="A31" s="128">
        <v>23</v>
      </c>
      <c r="B31" s="128">
        <v>2262</v>
      </c>
      <c r="C31" s="128" t="s">
        <v>82</v>
      </c>
      <c r="D31" s="137">
        <f>659*12</f>
        <v>7908</v>
      </c>
      <c r="E31" s="132" t="s">
        <v>164</v>
      </c>
    </row>
    <row r="32" spans="1:5" ht="15" customHeight="1" x14ac:dyDescent="0.25">
      <c r="A32" s="128">
        <v>24</v>
      </c>
      <c r="B32" s="144">
        <v>2264</v>
      </c>
      <c r="C32" s="145" t="s">
        <v>38</v>
      </c>
      <c r="D32" s="137">
        <f>9*12</f>
        <v>108</v>
      </c>
      <c r="E32" s="132" t="s">
        <v>124</v>
      </c>
    </row>
    <row r="33" spans="1:5" ht="30" x14ac:dyDescent="0.25">
      <c r="A33" s="133"/>
      <c r="B33" s="129">
        <v>2300</v>
      </c>
      <c r="C33" s="146" t="s">
        <v>178</v>
      </c>
      <c r="D33" s="130">
        <f>SUM(D34:D40)</f>
        <v>24640</v>
      </c>
      <c r="E33" s="133"/>
    </row>
    <row r="34" spans="1:5" ht="15" x14ac:dyDescent="0.25">
      <c r="A34" s="128">
        <v>25</v>
      </c>
      <c r="B34" s="128">
        <v>2311</v>
      </c>
      <c r="C34" s="128" t="s">
        <v>32</v>
      </c>
      <c r="D34" s="137">
        <f>9*12*15</f>
        <v>1620</v>
      </c>
      <c r="E34" s="132" t="s">
        <v>160</v>
      </c>
    </row>
    <row r="35" spans="1:5" ht="15" x14ac:dyDescent="0.25">
      <c r="A35" s="128">
        <v>26</v>
      </c>
      <c r="B35" s="128">
        <v>2311</v>
      </c>
      <c r="C35" s="137" t="s">
        <v>33</v>
      </c>
      <c r="D35" s="137">
        <f>49*15+73*4</f>
        <v>1027</v>
      </c>
      <c r="E35" s="147" t="s">
        <v>130</v>
      </c>
    </row>
    <row r="36" spans="1:5" ht="15" x14ac:dyDescent="0.25">
      <c r="A36" s="128">
        <v>27</v>
      </c>
      <c r="B36" s="128">
        <v>2312</v>
      </c>
      <c r="C36" s="137" t="s">
        <v>35</v>
      </c>
      <c r="D36" s="137">
        <f>15*50</f>
        <v>750</v>
      </c>
      <c r="E36" s="143" t="s">
        <v>98</v>
      </c>
    </row>
    <row r="37" spans="1:5" ht="45" x14ac:dyDescent="0.25">
      <c r="A37" s="128">
        <v>28</v>
      </c>
      <c r="B37" s="128">
        <v>2314</v>
      </c>
      <c r="C37" s="128" t="s">
        <v>83</v>
      </c>
      <c r="D37" s="137">
        <v>1200</v>
      </c>
      <c r="E37" s="132" t="s">
        <v>175</v>
      </c>
    </row>
    <row r="38" spans="1:5" ht="30" x14ac:dyDescent="0.25">
      <c r="A38" s="128">
        <v>29</v>
      </c>
      <c r="B38" s="128">
        <v>2314</v>
      </c>
      <c r="C38" s="141" t="s">
        <v>97</v>
      </c>
      <c r="D38" s="137">
        <f>735+9820+5000</f>
        <v>15555</v>
      </c>
      <c r="E38" s="132" t="s">
        <v>128</v>
      </c>
    </row>
    <row r="39" spans="1:5" ht="15" x14ac:dyDescent="0.25">
      <c r="A39" s="128">
        <v>30</v>
      </c>
      <c r="B39" s="128">
        <v>2322</v>
      </c>
      <c r="C39" s="128" t="s">
        <v>36</v>
      </c>
      <c r="D39" s="137">
        <f>20*8*1.4*12</f>
        <v>2688</v>
      </c>
      <c r="E39" s="131" t="s">
        <v>167</v>
      </c>
    </row>
    <row r="40" spans="1:5" ht="15" x14ac:dyDescent="0.25">
      <c r="A40" s="128">
        <v>31</v>
      </c>
      <c r="B40" s="128">
        <v>2350</v>
      </c>
      <c r="C40" s="128" t="s">
        <v>37</v>
      </c>
      <c r="D40" s="137">
        <f>10*15*12</f>
        <v>1800</v>
      </c>
      <c r="E40" s="132" t="s">
        <v>166</v>
      </c>
    </row>
    <row r="41" spans="1:5" ht="15" x14ac:dyDescent="0.25">
      <c r="A41" s="148"/>
      <c r="B41" s="148"/>
      <c r="C41" s="149" t="s">
        <v>61</v>
      </c>
      <c r="D41" s="129">
        <f>D33+D29+D28+D24+D11+D7+D6+D5</f>
        <v>324314</v>
      </c>
      <c r="E41" s="148"/>
    </row>
    <row r="42" spans="1:5" x14ac:dyDescent="0.2">
      <c r="A42" s="150"/>
    </row>
    <row r="44" spans="1:5" ht="15.75" x14ac:dyDescent="0.25">
      <c r="A44" s="151" t="s">
        <v>193</v>
      </c>
      <c r="B44" s="151"/>
      <c r="C44" s="151"/>
      <c r="D44" s="151"/>
      <c r="E44" s="151"/>
    </row>
    <row r="45" spans="1:5" ht="15.75" x14ac:dyDescent="0.25">
      <c r="A45" s="151" t="s">
        <v>197</v>
      </c>
      <c r="B45" s="151"/>
      <c r="C45" s="151"/>
      <c r="D45" s="151"/>
      <c r="E45" s="151" t="s">
        <v>198</v>
      </c>
    </row>
    <row r="48" spans="1:5" x14ac:dyDescent="0.2">
      <c r="E48" s="152"/>
    </row>
  </sheetData>
  <mergeCells count="1">
    <mergeCell ref="A1:E1"/>
  </mergeCells>
  <pageMargins left="0.78740157480314965" right="0.98425196850393704" top="1.1811023622047245" bottom="0.78740157480314965" header="0.31496062992125984" footer="0.31496062992125984"/>
  <pageSetup paperSize="9" scale="9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Darblapas</vt:lpstr>
      </vt:variant>
      <vt:variant>
        <vt:i4>6</vt:i4>
      </vt:variant>
      <vt:variant>
        <vt:lpstr>Diapazoni ar nosaukumiem</vt:lpstr>
      </vt:variant>
      <vt:variant>
        <vt:i4>3</vt:i4>
      </vt:variant>
    </vt:vector>
  </HeadingPairs>
  <TitlesOfParts>
    <vt:vector size="9" baseType="lpstr">
      <vt:lpstr>2.pielik.kopsavilkums 2019-2020</vt:lpstr>
      <vt:lpstr>2.1.pielik.atlīdzība 2019</vt:lpstr>
      <vt:lpstr>2.2.pielik. EKK2000 2019</vt:lpstr>
      <vt:lpstr>2.3.pielik.vienreizējie 2019</vt:lpstr>
      <vt:lpstr>2.4.pielik.atlīdzība 2020</vt:lpstr>
      <vt:lpstr>2.5.pielik. EKK2000 2020</vt:lpstr>
      <vt:lpstr>'2.1.pielik.atlīdzība 2019'!Drukas_apgabals</vt:lpstr>
      <vt:lpstr>'2.3.pielik.vienreizējie 2019'!Drukas_apgabals</vt:lpstr>
      <vt:lpstr>'2.4.pielik.atlīdzība 2020'!Drukas_apgabals</vt:lpstr>
    </vt:vector>
  </TitlesOfParts>
  <Company>Tieslietu ministrija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2.pielikums likumprojekta "Personas datu apstrādes likums" sākotnējās ietekmes novērtējuma ziņojumam (anotācijai)</dc:title>
  <dc:subject>2.pielikums anotācijai</dc:subject>
  <dc:creator>Olga Zeile</dc:creator>
  <dc:description>67046134, Olga.Zeile@tm.gov.lv</dc:description>
  <cp:lastModifiedBy>Olga Zeile</cp:lastModifiedBy>
  <cp:lastPrinted>2018-03-01T09:11:22Z</cp:lastPrinted>
  <dcterms:created xsi:type="dcterms:W3CDTF">2005-09-23T13:05:53Z</dcterms:created>
  <dcterms:modified xsi:type="dcterms:W3CDTF">2018-03-01T09:11:45Z</dcterms:modified>
</cp:coreProperties>
</file>