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users$\linda.gurecka\My Documents\Projekti\PVD maksas\MK 1083 groz. 2018 janv_aprilis\Pēc VSS marts\pēc VSS aprīlis 2x saskaņošana\"/>
    </mc:Choice>
  </mc:AlternateContent>
  <bookViews>
    <workbookView xWindow="0" yWindow="0" windowWidth="20700" windowHeight="8430"/>
  </bookViews>
  <sheets>
    <sheet name="cenu_izmaiņas" sheetId="1" r:id="rId1"/>
  </sheets>
  <definedNames>
    <definedName name="_xlnm.Print_Area" localSheetId="0">cenu_izmaiņas!$A$1:$AU$87</definedName>
    <definedName name="_xlnm.Print_Titles" localSheetId="0">cenu_izmaiņas!$3:$5</definedName>
  </definedNames>
  <calcPr calcId="162913"/>
</workbook>
</file>

<file path=xl/calcChain.xml><?xml version="1.0" encoding="utf-8"?>
<calcChain xmlns="http://schemas.openxmlformats.org/spreadsheetml/2006/main">
  <c r="D10" i="1" l="1"/>
  <c r="AD81" i="1" l="1"/>
  <c r="AD80" i="1"/>
  <c r="AD65" i="1"/>
  <c r="AD63" i="1"/>
  <c r="AD53" i="1"/>
  <c r="AD47" i="1"/>
  <c r="AD45" i="1"/>
  <c r="AD34" i="1"/>
  <c r="AD32" i="1"/>
  <c r="AD22" i="1"/>
  <c r="AO58" i="1"/>
  <c r="AN58" i="1"/>
  <c r="AM58" i="1"/>
  <c r="AL58" i="1"/>
  <c r="AI58" i="1"/>
  <c r="AH58" i="1"/>
  <c r="AG58" i="1"/>
  <c r="AF58" i="1"/>
  <c r="AE58" i="1"/>
  <c r="AD58" i="1"/>
  <c r="AC58" i="1"/>
  <c r="AB58" i="1"/>
  <c r="AA58" i="1"/>
  <c r="Z58" i="1"/>
  <c r="Y58" i="1"/>
  <c r="X58" i="1"/>
  <c r="W58" i="1"/>
  <c r="V58" i="1"/>
  <c r="U58" i="1"/>
  <c r="T58" i="1"/>
  <c r="S58" i="1"/>
  <c r="R58" i="1"/>
  <c r="Q58" i="1"/>
  <c r="P58" i="1"/>
  <c r="M58" i="1"/>
  <c r="AO59" i="1"/>
  <c r="AN59" i="1"/>
  <c r="AM59" i="1"/>
  <c r="AL59" i="1"/>
  <c r="AI59" i="1"/>
  <c r="AH59" i="1"/>
  <c r="AG59" i="1"/>
  <c r="AF59" i="1"/>
  <c r="AE59" i="1"/>
  <c r="AD59" i="1"/>
  <c r="AC59" i="1"/>
  <c r="AB59" i="1"/>
  <c r="AA59" i="1"/>
  <c r="Z59" i="1"/>
  <c r="Y59" i="1"/>
  <c r="X59" i="1"/>
  <c r="W59" i="1"/>
  <c r="V59" i="1"/>
  <c r="U59" i="1"/>
  <c r="T59" i="1"/>
  <c r="S59" i="1"/>
  <c r="R59" i="1"/>
  <c r="Q59" i="1"/>
  <c r="P59" i="1"/>
  <c r="M59" i="1"/>
  <c r="AO56" i="1"/>
  <c r="AN56" i="1"/>
  <c r="AM56" i="1"/>
  <c r="AL56" i="1"/>
  <c r="AI56" i="1"/>
  <c r="AH56" i="1"/>
  <c r="AG56" i="1"/>
  <c r="AF56" i="1"/>
  <c r="AE56" i="1"/>
  <c r="AD56" i="1"/>
  <c r="AC56" i="1"/>
  <c r="AB56" i="1"/>
  <c r="AA56" i="1"/>
  <c r="Z56" i="1"/>
  <c r="Y56" i="1"/>
  <c r="X56" i="1"/>
  <c r="W56" i="1"/>
  <c r="V56" i="1"/>
  <c r="U56" i="1"/>
  <c r="T56" i="1"/>
  <c r="S56" i="1"/>
  <c r="R56" i="1"/>
  <c r="Q56" i="1"/>
  <c r="P56" i="1"/>
  <c r="M56" i="1"/>
  <c r="M55" i="1" l="1"/>
  <c r="P55" i="1"/>
  <c r="Q55" i="1"/>
  <c r="R55" i="1"/>
  <c r="S55" i="1"/>
  <c r="T55" i="1"/>
  <c r="U55" i="1"/>
  <c r="V55" i="1"/>
  <c r="W55" i="1"/>
  <c r="X55" i="1"/>
  <c r="Y55" i="1"/>
  <c r="Z55" i="1"/>
  <c r="AA55" i="1"/>
  <c r="AB55" i="1"/>
  <c r="AC55" i="1"/>
  <c r="AD55" i="1"/>
  <c r="AE55" i="1"/>
  <c r="AF55" i="1"/>
  <c r="AG55" i="1"/>
  <c r="AH55" i="1"/>
  <c r="AI55" i="1"/>
  <c r="AL55" i="1"/>
  <c r="AM55" i="1"/>
  <c r="AN55" i="1"/>
  <c r="AO55" i="1"/>
  <c r="AD38" i="1"/>
  <c r="AD37" i="1"/>
  <c r="AD36" i="1"/>
  <c r="AP36" i="1" s="1"/>
  <c r="AD35" i="1"/>
  <c r="AP35" i="1" s="1"/>
  <c r="AP81" i="1"/>
  <c r="AP80" i="1"/>
  <c r="AP65" i="1"/>
  <c r="AP63" i="1"/>
  <c r="AP59" i="1"/>
  <c r="AP58" i="1"/>
  <c r="AP57" i="1"/>
  <c r="AP56" i="1"/>
  <c r="AP53" i="1"/>
  <c r="AP47" i="1"/>
  <c r="AP45" i="1"/>
  <c r="AP38" i="1"/>
  <c r="AP37" i="1"/>
  <c r="AP34" i="1"/>
  <c r="AP32" i="1"/>
  <c r="AP22" i="1"/>
  <c r="AD26" i="1"/>
  <c r="AP26" i="1" s="1"/>
  <c r="AD25" i="1"/>
  <c r="AP25" i="1" s="1"/>
  <c r="AD24" i="1"/>
  <c r="AP24" i="1" s="1"/>
  <c r="AD23" i="1"/>
  <c r="AP23" i="1" s="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AP20" i="1" s="1"/>
  <c r="O20" i="1"/>
  <c r="N20" i="1"/>
  <c r="M20"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AP19" i="1" s="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AP18" i="1" s="1"/>
  <c r="M18"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AD14" i="1"/>
  <c r="AO14" i="1"/>
  <c r="AN14" i="1"/>
  <c r="AM14" i="1"/>
  <c r="AL14" i="1"/>
  <c r="AK14" i="1"/>
  <c r="AJ14" i="1"/>
  <c r="AI14" i="1"/>
  <c r="AH14" i="1"/>
  <c r="AG14" i="1"/>
  <c r="AF14" i="1"/>
  <c r="AE14" i="1"/>
  <c r="AC14" i="1"/>
  <c r="AB14" i="1"/>
  <c r="AA14" i="1"/>
  <c r="Z14" i="1"/>
  <c r="Y14" i="1"/>
  <c r="X14" i="1"/>
  <c r="W14" i="1"/>
  <c r="V14" i="1"/>
  <c r="U14" i="1"/>
  <c r="T14" i="1"/>
  <c r="S14" i="1"/>
  <c r="R14" i="1"/>
  <c r="Q14" i="1"/>
  <c r="P14" i="1"/>
  <c r="M14" i="1"/>
  <c r="AP14" i="1" s="1"/>
  <c r="N14" i="1"/>
  <c r="O14" i="1"/>
  <c r="AP11" i="1"/>
  <c r="AD13" i="1"/>
  <c r="AP13" i="1" s="1"/>
  <c r="AD12" i="1"/>
  <c r="AP12" i="1" s="1"/>
  <c r="AD11" i="1"/>
  <c r="AD9" i="1"/>
  <c r="AP9" i="1" s="1"/>
  <c r="AD10" i="1"/>
  <c r="AP10" i="1" s="1"/>
  <c r="F14" i="1"/>
  <c r="J14" i="1"/>
  <c r="H14" i="1"/>
  <c r="G14" i="1"/>
  <c r="E16" i="1"/>
  <c r="AP17" i="1" l="1"/>
  <c r="AP55" i="1"/>
  <c r="AP16" i="1"/>
  <c r="D55" i="1"/>
  <c r="AR26" i="1" l="1"/>
  <c r="AR25" i="1"/>
  <c r="AR24" i="1"/>
  <c r="AR23" i="1"/>
  <c r="E26" i="1" l="1"/>
  <c r="D26" i="1"/>
  <c r="E25" i="1"/>
  <c r="AU25" i="1" s="1"/>
  <c r="D25" i="1"/>
  <c r="E24" i="1"/>
  <c r="D24" i="1"/>
  <c r="E23" i="1"/>
  <c r="D23" i="1"/>
  <c r="L22" i="1"/>
  <c r="E22" i="1"/>
  <c r="K22" i="1" s="1"/>
  <c r="AQ22" i="1" s="1"/>
  <c r="AS22" i="1" s="1"/>
  <c r="K23" i="1" l="1"/>
  <c r="AQ23" i="1" s="1"/>
  <c r="AS23" i="1" s="1"/>
  <c r="K26" i="1"/>
  <c r="AQ26" i="1" s="1"/>
  <c r="AS26" i="1" s="1"/>
  <c r="AU26" i="1"/>
  <c r="K25" i="1"/>
  <c r="AQ25" i="1" s="1"/>
  <c r="AS25" i="1" s="1"/>
  <c r="AU23" i="1"/>
  <c r="AU24" i="1"/>
  <c r="AU22" i="1"/>
  <c r="K24" i="1"/>
  <c r="AQ24" i="1" s="1"/>
  <c r="AS24" i="1" s="1"/>
  <c r="AT22" i="1"/>
  <c r="AT23" i="1"/>
  <c r="AT24" i="1"/>
  <c r="AT26" i="1"/>
  <c r="AT25" i="1"/>
  <c r="L59" i="1"/>
  <c r="AU59" i="1" s="1"/>
  <c r="D59" i="1"/>
  <c r="AT59" i="1" s="1"/>
  <c r="L56" i="1"/>
  <c r="AU56" i="1" s="1"/>
  <c r="D56" i="1"/>
  <c r="AT56" i="1" s="1"/>
  <c r="L55" i="1"/>
  <c r="AU55" i="1" s="1"/>
  <c r="AT55" i="1"/>
  <c r="D20" i="1" l="1"/>
  <c r="D19" i="1"/>
  <c r="D18" i="1"/>
  <c r="D17" i="1"/>
  <c r="E17" i="1"/>
  <c r="E18" i="1"/>
  <c r="E19" i="1"/>
  <c r="E20" i="1"/>
  <c r="L17" i="1"/>
  <c r="L18" i="1"/>
  <c r="L19" i="1"/>
  <c r="L20" i="1"/>
  <c r="D16" i="1"/>
  <c r="AT20" i="1" l="1"/>
  <c r="K19" i="1"/>
  <c r="AQ19" i="1" s="1"/>
  <c r="AS19" i="1" s="1"/>
  <c r="K18" i="1"/>
  <c r="K17" i="1"/>
  <c r="AQ17" i="1" s="1"/>
  <c r="AS17" i="1" s="1"/>
  <c r="K16" i="1"/>
  <c r="AU18" i="1"/>
  <c r="AT18" i="1"/>
  <c r="AU17" i="1"/>
  <c r="AT16" i="1"/>
  <c r="D13" i="1"/>
  <c r="D12" i="1"/>
  <c r="D11" i="1"/>
  <c r="AQ16" i="1" l="1"/>
  <c r="AS16" i="1" s="1"/>
  <c r="AQ18" i="1"/>
  <c r="AS18" i="1" s="1"/>
  <c r="K20" i="1"/>
  <c r="AQ20" i="1" s="1"/>
  <c r="AS20" i="1" s="1"/>
  <c r="AU20" i="1"/>
  <c r="AU19" i="1"/>
  <c r="AU16" i="1"/>
  <c r="AT17" i="1"/>
  <c r="AT19" i="1"/>
  <c r="AR10" i="1"/>
  <c r="AR13" i="1"/>
  <c r="AR12" i="1"/>
  <c r="AR11" i="1"/>
  <c r="AR9" i="1"/>
  <c r="K56" i="1"/>
  <c r="AQ56" i="1" l="1"/>
  <c r="AS56" i="1" s="1"/>
  <c r="AT81" i="1"/>
  <c r="AT80" i="1"/>
  <c r="AT65" i="1"/>
  <c r="AT63" i="1"/>
  <c r="AT47" i="1"/>
  <c r="AT57" i="1"/>
  <c r="AT53" i="1"/>
  <c r="AT45" i="1"/>
  <c r="AT34" i="1"/>
  <c r="AT32" i="1"/>
  <c r="AT11" i="1"/>
  <c r="AT12" i="1"/>
  <c r="AT13" i="1"/>
  <c r="AT9" i="1"/>
  <c r="D58" i="1" l="1"/>
  <c r="AT58" i="1" s="1"/>
  <c r="L58" i="1"/>
  <c r="AU58" i="1" s="1"/>
  <c r="K59" i="1" l="1"/>
  <c r="K58" i="1"/>
  <c r="K55" i="1"/>
  <c r="AQ55" i="1" s="1"/>
  <c r="AS55" i="1" s="1"/>
  <c r="K57" i="1"/>
  <c r="AQ57" i="1" s="1"/>
  <c r="AS57" i="1" s="1"/>
  <c r="L81" i="1"/>
  <c r="L80" i="1"/>
  <c r="L65" i="1"/>
  <c r="L63" i="1"/>
  <c r="L47" i="1"/>
  <c r="AQ59" i="1" l="1"/>
  <c r="AS59" i="1" s="1"/>
  <c r="AQ58" i="1"/>
  <c r="AS58" i="1" s="1"/>
  <c r="L53" i="1" l="1"/>
  <c r="L45" i="1"/>
  <c r="E35" i="1"/>
  <c r="AU35" i="1" s="1"/>
  <c r="D35" i="1"/>
  <c r="AT35" i="1" s="1"/>
  <c r="E38" i="1"/>
  <c r="AU38" i="1" s="1"/>
  <c r="D38" i="1"/>
  <c r="AT38" i="1" s="1"/>
  <c r="E37" i="1"/>
  <c r="AU37" i="1" s="1"/>
  <c r="D37" i="1"/>
  <c r="AT37" i="1" s="1"/>
  <c r="E36" i="1"/>
  <c r="AU36" i="1" s="1"/>
  <c r="D36" i="1"/>
  <c r="AT36" i="1" s="1"/>
  <c r="L34" i="1"/>
  <c r="L32" i="1"/>
  <c r="L14" i="1"/>
  <c r="L9" i="1"/>
  <c r="E14" i="1"/>
  <c r="D14" i="1"/>
  <c r="AT14" i="1" s="1"/>
  <c r="E10" i="1"/>
  <c r="AU10" i="1" s="1"/>
  <c r="AT10" i="1"/>
  <c r="E13" i="1"/>
  <c r="AU13" i="1" s="1"/>
  <c r="E12" i="1"/>
  <c r="AU12" i="1" s="1"/>
  <c r="E11" i="1"/>
  <c r="AU11" i="1" s="1"/>
  <c r="AU14" i="1" l="1"/>
  <c r="E53" i="1"/>
  <c r="AU53" i="1" s="1"/>
  <c r="K53" i="1" l="1"/>
  <c r="AQ53" i="1" s="1"/>
  <c r="AS53" i="1" s="1"/>
  <c r="E81" i="1"/>
  <c r="E80" i="1"/>
  <c r="E65" i="1"/>
  <c r="E63" i="1"/>
  <c r="K80" i="1" l="1"/>
  <c r="AQ80" i="1" s="1"/>
  <c r="AS80" i="1" s="1"/>
  <c r="AU80" i="1"/>
  <c r="K81" i="1"/>
  <c r="AQ81" i="1" s="1"/>
  <c r="AS81" i="1" s="1"/>
  <c r="AU81" i="1"/>
  <c r="K63" i="1"/>
  <c r="AQ63" i="1" s="1"/>
  <c r="AS63" i="1" s="1"/>
  <c r="AU63" i="1"/>
  <c r="K65" i="1"/>
  <c r="AQ65" i="1" s="1"/>
  <c r="AS65" i="1" s="1"/>
  <c r="AU65" i="1"/>
  <c r="E47" i="1"/>
  <c r="E45" i="1"/>
  <c r="E34" i="1"/>
  <c r="K36" i="1"/>
  <c r="AQ36" i="1" s="1"/>
  <c r="AS36" i="1" s="1"/>
  <c r="K37" i="1"/>
  <c r="AQ37" i="1" s="1"/>
  <c r="AS37" i="1" s="1"/>
  <c r="K38" i="1"/>
  <c r="AQ38" i="1" s="1"/>
  <c r="AS38" i="1" s="1"/>
  <c r="K35" i="1"/>
  <c r="AQ35" i="1" s="1"/>
  <c r="AS35" i="1" s="1"/>
  <c r="E32" i="1"/>
  <c r="K45" i="1" l="1"/>
  <c r="AQ45" i="1" s="1"/>
  <c r="AS45" i="1" s="1"/>
  <c r="AU45" i="1"/>
  <c r="K47" i="1"/>
  <c r="AQ47" i="1" s="1"/>
  <c r="AS47" i="1" s="1"/>
  <c r="AU47" i="1"/>
  <c r="K32" i="1"/>
  <c r="AQ32" i="1" s="1"/>
  <c r="AS32" i="1" s="1"/>
  <c r="AU32" i="1"/>
  <c r="K34" i="1"/>
  <c r="AQ34" i="1" s="1"/>
  <c r="AS34" i="1" s="1"/>
  <c r="AU34" i="1"/>
  <c r="K12" i="1" l="1"/>
  <c r="AQ12" i="1" s="1"/>
  <c r="AS12" i="1" s="1"/>
  <c r="K11" i="1"/>
  <c r="AQ11" i="1" s="1"/>
  <c r="AS11" i="1" s="1"/>
  <c r="K10" i="1"/>
  <c r="AQ10" i="1" s="1"/>
  <c r="AS10" i="1" s="1"/>
  <c r="K13" i="1"/>
  <c r="AQ13" i="1" s="1"/>
  <c r="AS13" i="1" s="1"/>
  <c r="K14" i="1"/>
  <c r="AQ14" i="1" s="1"/>
  <c r="AS14" i="1" s="1"/>
  <c r="E9" i="1"/>
  <c r="K9" i="1" l="1"/>
  <c r="AQ9" i="1" s="1"/>
  <c r="AS9" i="1" s="1"/>
  <c r="AU9" i="1"/>
</calcChain>
</file>

<file path=xl/sharedStrings.xml><?xml version="1.0" encoding="utf-8"?>
<sst xmlns="http://schemas.openxmlformats.org/spreadsheetml/2006/main" count="287" uniqueCount="203">
  <si>
    <t>Tiešās izmaksas, EUR</t>
  </si>
  <si>
    <t>Tiešās izmaksas, kopā</t>
  </si>
  <si>
    <t>Pakalpojuma izmaksas kopā (bez PVN)</t>
  </si>
  <si>
    <t>Maksas pakalpojuma vienību skaits noteiktā laikposmā (gab.)</t>
  </si>
  <si>
    <t>Prognozētais ieņēmumu apjoms (EUR)</t>
  </si>
  <si>
    <t>Atlīdzība (EKK 1000)</t>
  </si>
  <si>
    <t>EKK 2000</t>
  </si>
  <si>
    <t>Pakalpojuma nosaukums</t>
  </si>
  <si>
    <t>I</t>
  </si>
  <si>
    <t>1.</t>
  </si>
  <si>
    <t>1.pielikums</t>
  </si>
  <si>
    <t>Veterinārā (veselības) sertifikāta sagatavošana un izsniegšana</t>
  </si>
  <si>
    <t>2.</t>
  </si>
  <si>
    <t>3.</t>
  </si>
  <si>
    <t>4.</t>
  </si>
  <si>
    <t>5.</t>
  </si>
  <si>
    <t>6.</t>
  </si>
  <si>
    <t>7.</t>
  </si>
  <si>
    <t>8.</t>
  </si>
  <si>
    <t>ārpus darba laika un brīvdienās</t>
  </si>
  <si>
    <t>nakts stundās</t>
  </si>
  <si>
    <t>svētku dienās</t>
  </si>
  <si>
    <t>9.</t>
  </si>
  <si>
    <t>10.</t>
  </si>
  <si>
    <t>11.</t>
  </si>
  <si>
    <t>13.</t>
  </si>
  <si>
    <t>14.</t>
  </si>
  <si>
    <t>15.</t>
  </si>
  <si>
    <t>16.</t>
  </si>
  <si>
    <t>17.</t>
  </si>
  <si>
    <t>18.</t>
  </si>
  <si>
    <t>II</t>
  </si>
  <si>
    <t>Atbilstības sertifikāta, kontroles apliecības un pārējo ar uzraudzību un kontroli saistīto apliecinājumu, sertifikātu un izziņu sagatavošana un izsniegšana</t>
  </si>
  <si>
    <t>19.</t>
  </si>
  <si>
    <t>Sēņu un meža ogu sertifikāta sagatavošana un izsniegšana (par kravu)</t>
  </si>
  <si>
    <t>20.</t>
  </si>
  <si>
    <t>21.</t>
  </si>
  <si>
    <t>22.</t>
  </si>
  <si>
    <t>23.</t>
  </si>
  <si>
    <t>Ar preču un produktu robežkontroli saistīta apliecinājuma vai sertifikāta sagatavošana un izsniegšana vai sertifikāta izraksta apstiprināšana (par kravu)</t>
  </si>
  <si>
    <t>25.</t>
  </si>
  <si>
    <t>27.</t>
  </si>
  <si>
    <t>28.</t>
  </si>
  <si>
    <t>29.</t>
  </si>
  <si>
    <t>30.</t>
  </si>
  <si>
    <t xml:space="preserve">III. </t>
  </si>
  <si>
    <t>Normatīvajos aktos noteiktās uzraudzības objektu novērtēšanas, atzīšanas darbības un kontroles institūcijas (pārtikas un veterinārās jomas) apstiprināšana</t>
  </si>
  <si>
    <t>Izmaiņu izdarīšana atzīšanas apliecībā vai kontroles institūcijas apstiprināšanas apliecībā:</t>
  </si>
  <si>
    <t>Atzīšanas apliecības vai kontroles institūcijas apstiprināšanas apliecības dublikāta izsniegšana</t>
  </si>
  <si>
    <t>Inspektora vienas darba stundas izmaksas par novērtēšanu (pārbaudi) pirms atzīšanas, reģistrācijas vai kontroles institūcijas (pārtikas un veterinārās jomas) apstiprināšanas un atkārtotu novērtēšanu (pārbaudi), ja konstatēta neatbilstība</t>
  </si>
  <si>
    <t>Reģistrācijas apliecības noformēšana un izsniegšana</t>
  </si>
  <si>
    <t>Uzņēmuma atzīšana eksportam uz valstīm ārpus Eiropas Savienības</t>
  </si>
  <si>
    <t>atbilstoši attaisnojuma dokumentiem vai saskaņā ar nosūtītājvalsts ekspertu nosacījumiem noteiktajiem tarifiem</t>
  </si>
  <si>
    <t>12.4.1.</t>
  </si>
  <si>
    <t>14.1.</t>
  </si>
  <si>
    <t>Parauga ņemšana</t>
  </si>
  <si>
    <t>pakalpojuma cena nemainās</t>
  </si>
  <si>
    <t>Zvejas produktu laišanas tirgū valsts uzraudzība un kontrole</t>
  </si>
  <si>
    <t>IV.</t>
  </si>
  <si>
    <t>V.</t>
  </si>
  <si>
    <t>Bioloģiskās lauksaimniecības kontroles institūcijas darbības izvērtēšana trešajā valstī</t>
  </si>
  <si>
    <t>VI.</t>
  </si>
  <si>
    <t>Produktu sertificēšana pārtikas kvalitātes shēmā, ikgadējā pārbaude un atkārtota pārbaude, ja konstatēta neatbilstība</t>
  </si>
  <si>
    <t>VII.</t>
  </si>
  <si>
    <t>Inspektora (eksperta) vienas darba stundas izmaksas</t>
  </si>
  <si>
    <t>VIII.</t>
  </si>
  <si>
    <t>Izmēģinājumu projektu izvērtēšana</t>
  </si>
  <si>
    <t>pamata darba laikā</t>
  </si>
  <si>
    <t>10.1.</t>
  </si>
  <si>
    <t>10.2.</t>
  </si>
  <si>
    <t>10.3.</t>
  </si>
  <si>
    <t>10.4.</t>
  </si>
  <si>
    <t>10.5.</t>
  </si>
  <si>
    <t>Vienas darba stundas izmaksas par papildu oficiālo kontroli</t>
  </si>
  <si>
    <t xml:space="preserve">Pielikums
Ministru kabineta noteikumu projekta „Grozījumi Ministru
kabineta 2013. gada 8. oktobra noteikumos Nr. 1083 „Kārtība, 
kādā veicama samaksa par Pārtikas un veterinārā dienesta valsts uzraudzības un kontroles darbībām un maksas pakalpojumiem”” sākotnējās ietekmes novērtējuma ziņojumam (anotācijai)
</t>
  </si>
  <si>
    <t>Atbilstības un speciālā sertifikāta sagatavošana par lauksaimniecības un pārstrādātiem lauksaimniecības produktiem, kas pretendē uz eksporta kompensāciju saņemšanu (atbilstoši faktiskajām kontroles izmaksām par darba stundu), un tā izsniegšana</t>
  </si>
  <si>
    <t>Ar uzraudzību un kontroli, tostarp intervences pasākumiem, saistīta apliecinājuma vai sertifikāta sagatavošana un izsniegšana (par darba stundu)</t>
  </si>
  <si>
    <t>Cenrāža punkts</t>
  </si>
  <si>
    <t>svētku dienu nakts stundās</t>
  </si>
  <si>
    <t>Veterinārā (veselības) sertifikāta sagatavošana un izsniegšana, par mājas (istabas) dzīvnieku</t>
  </si>
  <si>
    <t>Augkopības produktu atbilstības sertifikāta sagatavošana un izsniegšana</t>
  </si>
  <si>
    <t>12.</t>
  </si>
  <si>
    <t>Atbilstības sertifikāta vai kontroles apliecības sagatavošana par importēto vai eksportējamo svaigo augļu un dārzeņu atbilstību tirdzniecības standartiem un tās izsniegšana</t>
  </si>
  <si>
    <t>Kontroles apliecības sagatavošana par atkārtotu svaigu augļu un dārzeņu atbilstības novērtēšanu tirdzniecības standartiem (par neatbilstošo produkta partiju atkarībā no tās svara) un tās izsniegšana</t>
  </si>
  <si>
    <t>Dažādu ar uzraudzību un kontroli saistītu apliecinājumu, sertifikātu, pārbaudes protokola izrakstu un izziņu sagatavošana un izsniegšana (ja nav nepieciešama speciāla uzraudzības objekta pārbaude vai citas darbības (laboratoriskie izmeklējumi))</t>
  </si>
  <si>
    <t>Inspektora (eksperta) vienas darba stundas izmaksas (bez viesnīcas izmaksām) par uzņēmuma (objekta) vai dokumentu pārbaudi dažādu apliecinājumu saņemšanai vai ierobežojumu atcelšanai, kā arī paraugu ņemšanu (pēc klienta rakstiska pieprasījuma)</t>
  </si>
  <si>
    <t>Veterinārā ekspertīze un pastāvīgā veterinārā uzraudzība kautuvēs un medījumu apstrādes uzņēmumos</t>
  </si>
  <si>
    <t>3.pielikums</t>
  </si>
  <si>
    <t>Inspektora (eksperta) vienas darba stundas izmaksas par kravas paraugu paņemšanu un nosūtīšanu laboratoriskiem izmeklējumiem pēc kravas īpašnieka (pilnvarotās personas) pieprasījuma</t>
  </si>
  <si>
    <t>4.pielikums</t>
  </si>
  <si>
    <t>12.4.</t>
  </si>
  <si>
    <t>Pakalpojumu izcenojuma aprēķins</t>
  </si>
  <si>
    <t>5.pielikums</t>
  </si>
  <si>
    <t>Piezīmes:</t>
  </si>
  <si>
    <t>1.1.</t>
  </si>
  <si>
    <t>1.2.</t>
  </si>
  <si>
    <t>1.3.</t>
  </si>
  <si>
    <t>1.4.</t>
  </si>
  <si>
    <t>1.5.</t>
  </si>
  <si>
    <t>Dzīvnieku veterinārā (veselības) sertifikāta sagatavošana un izsniegšana, tostarp dzīvnieku pārbaude pirms karantīnas un karantīnas laikā (atbilstoši faktiskajam kontroles laikam par darba stundu):</t>
  </si>
  <si>
    <t>3.1.</t>
  </si>
  <si>
    <t>3.2.</t>
  </si>
  <si>
    <t>3.3.</t>
  </si>
  <si>
    <t>3.4.</t>
  </si>
  <si>
    <t>3.5.</t>
  </si>
  <si>
    <t>Dzīvnieku izcelsmes produktu veterinārā (veselības) sertifikāta sagatavošana un izsniegšana (par kravu):</t>
  </si>
  <si>
    <t>4.1.</t>
  </si>
  <si>
    <t>4.2.</t>
  </si>
  <si>
    <t>4.3.</t>
  </si>
  <si>
    <t>4.4.</t>
  </si>
  <si>
    <t>4.5.</t>
  </si>
  <si>
    <t>Augu un dzīvnieku valsts barības veterinārā (veselības) sertifikāta sagatavošana un izsniegšana (atbilstoši faktiskajam kontroles laikam par darba stundu):</t>
  </si>
  <si>
    <t>31.</t>
  </si>
  <si>
    <t>32.</t>
  </si>
  <si>
    <t>Esošais</t>
  </si>
  <si>
    <r>
      <t>6.</t>
    </r>
    <r>
      <rPr>
        <vertAlign val="superscript"/>
        <sz val="10"/>
        <color theme="1"/>
        <rFont val="Times New Roman"/>
        <family val="1"/>
        <charset val="186"/>
      </rPr>
      <t>1</t>
    </r>
  </si>
  <si>
    <r>
      <t>3.</t>
    </r>
    <r>
      <rPr>
        <vertAlign val="superscript"/>
        <sz val="10"/>
        <color theme="1"/>
        <rFont val="Times New Roman"/>
        <family val="1"/>
        <charset val="186"/>
      </rPr>
      <t>1</t>
    </r>
  </si>
  <si>
    <r>
      <t>16.</t>
    </r>
    <r>
      <rPr>
        <vertAlign val="superscript"/>
        <sz val="10"/>
        <color theme="1"/>
        <rFont val="Times New Roman"/>
        <family val="1"/>
        <charset val="186"/>
      </rPr>
      <t>1</t>
    </r>
  </si>
  <si>
    <t>2.pie-likuma 1.p.</t>
  </si>
  <si>
    <t>2.pie-likuma 9.p.</t>
  </si>
  <si>
    <t>Izmēģinājuma projekta atļaujas grozīšana (1,5 stundas)</t>
  </si>
  <si>
    <t>Izmēģinājuma projekta atļaujas atjaunošana (2,5 stundas)</t>
  </si>
  <si>
    <t>Pakalpojumie, kuri noteikti 28., 29., 31., 32. punktā atlīdzība rēķināta no daļas vadītāja amata algas – 26.3.saime, V līmenis, 12.mēnešalgu grupa</t>
  </si>
  <si>
    <r>
      <t>Atlīdzība</t>
    </r>
    <r>
      <rPr>
        <b/>
        <vertAlign val="superscript"/>
        <sz val="10"/>
        <color theme="1"/>
        <rFont val="Times New Roman"/>
        <family val="1"/>
        <charset val="186"/>
      </rPr>
      <t>1</t>
    </r>
  </si>
  <si>
    <t>Jaunais</t>
  </si>
  <si>
    <t>Atzīšanas, apstiprināšanas apliecības noformēšana un izsniegšana</t>
  </si>
  <si>
    <t>Zemkopības ministrs</t>
  </si>
  <si>
    <t>Jānis Dūklavs</t>
  </si>
  <si>
    <t xml:space="preserve">30.punkts - projekta izvērtēšanā piesaistītā eksperta atalgojums neto - EUR 100,00 </t>
  </si>
  <si>
    <t>Izmēģinājuma projekta un ar to saistīto dokumentu izvērtēšana un izmēģinājuma projekta atļaujas izsniegšana (ja izvērtēšanai nav nepieciešami papildu dokumenti)</t>
  </si>
  <si>
    <t>Papildus iesniegto izmēģinājuma projektam nepieciešamo dokumentu izvērtēšana</t>
  </si>
  <si>
    <t>Izmēģinājuma projekta izvērtēšanā iesaistītā eksperta (pētnieka) atlīdzība (par vienu projektu)</t>
  </si>
  <si>
    <t>26.</t>
  </si>
  <si>
    <t>t.sk.</t>
  </si>
  <si>
    <t>EKK 2262</t>
  </si>
  <si>
    <t>EKK 2311</t>
  </si>
  <si>
    <t>EKK 2313</t>
  </si>
  <si>
    <t>EKK 2390</t>
  </si>
  <si>
    <t>EKK 2322</t>
  </si>
  <si>
    <t>Netiešās izmaksas, EUR</t>
  </si>
  <si>
    <t>EKK 2111</t>
  </si>
  <si>
    <t>EKK 2112</t>
  </si>
  <si>
    <t>Netiešās izmaksas, kopā</t>
  </si>
  <si>
    <t>EKK 2121</t>
  </si>
  <si>
    <t>EKK 2122</t>
  </si>
  <si>
    <t>EKK 2219</t>
  </si>
  <si>
    <t>EKK 2221</t>
  </si>
  <si>
    <t>EKK 2222</t>
  </si>
  <si>
    <t>EKK 2223</t>
  </si>
  <si>
    <t>EKK 2224</t>
  </si>
  <si>
    <t>EKK 2235</t>
  </si>
  <si>
    <t>EKK 2239</t>
  </si>
  <si>
    <t>EKK 2241</t>
  </si>
  <si>
    <t>EKK 2242</t>
  </si>
  <si>
    <t>EKK 2243</t>
  </si>
  <si>
    <t>EKK 2244</t>
  </si>
  <si>
    <t>EKK 2247</t>
  </si>
  <si>
    <t>EKK 2252</t>
  </si>
  <si>
    <t>EKK 2259</t>
  </si>
  <si>
    <t>EKK 2261</t>
  </si>
  <si>
    <t>EKK 2263</t>
  </si>
  <si>
    <t>EKK 2321</t>
  </si>
  <si>
    <t>EKK 2341</t>
  </si>
  <si>
    <t>EKK 2350</t>
  </si>
  <si>
    <t>EKK 1000</t>
  </si>
  <si>
    <t>EKK 2249</t>
  </si>
  <si>
    <t>EKK 2513</t>
  </si>
  <si>
    <t>EKK 2519</t>
  </si>
  <si>
    <t>Netiešās izmaksas</t>
  </si>
  <si>
    <t>Pārējās tiešās izmaksas</t>
  </si>
  <si>
    <t>1 – stundas likme pamata darba laikā EUR 6,042 aprēķināta, ņemot vērā inspektora (26.3.saime, IIIA līmenis, 9.mēnešalgu grupa), teritoriālo struktūrvienību vadītāju (26.3.saime, V līmenis, 12.mēnešalgu grupa) un viņu vietnieku (26.3.saime, IV līmenis, 11.mēnešalgu grupa) algas likmes</t>
  </si>
  <si>
    <t>ATBILSTĪBAS NOVĒRTĒŠANA:</t>
  </si>
  <si>
    <t>Veterināro zāļu ražošanas uzņēmuma atbilstības novērtēšana:</t>
  </si>
  <si>
    <t>12.1.</t>
  </si>
  <si>
    <t>pirmās veterināro zāļu formas novērtēšana</t>
  </si>
  <si>
    <t>katras papildu veterinārās zāļu formas novērtēšana</t>
  </si>
  <si>
    <t>veterināro zāļu ražošanas uzņēmuma, kas neveic importēšanu, novērtēšana</t>
  </si>
  <si>
    <t>veterināro zāļu ražošanas uzņēmuma, kas veic daļēju ražošanas procesu (tostarp fasēšanu, iepakošanu, galaproduktu noformēšanu), novērtēšana</t>
  </si>
  <si>
    <t>veterināro zāļu ražošanas uzņēmuma, kas ražo tikai pētāmās zāles, novērtēšana</t>
  </si>
  <si>
    <t>12.1.1. </t>
  </si>
  <si>
    <t>12.1.2.</t>
  </si>
  <si>
    <t>12.1.3.</t>
  </si>
  <si>
    <t>12.1.4.</t>
  </si>
  <si>
    <t>12.1.5.</t>
  </si>
  <si>
    <t>Atbilstības novērtēšanas pārbaudes veterinārfarmaceitiskās darbības uzņēmumā (tostarp dokumentu izvērtēšana un protokola sagatavošana):</t>
  </si>
  <si>
    <t>12.2.</t>
  </si>
  <si>
    <t>12.2.1.</t>
  </si>
  <si>
    <t>veterinārajā aptiekā</t>
  </si>
  <si>
    <t>12.2.2.</t>
  </si>
  <si>
    <t>veterināro zāļu lieltirgotavā</t>
  </si>
  <si>
    <t>Dokumentācijas ekspertīze:</t>
  </si>
  <si>
    <t>12.3.</t>
  </si>
  <si>
    <t>Personas, kas nenodarbojas ar veterinārmedicīnisko praksi, bet ir tiesīgas iegādāties veterinārās zāles lieltirgotavā savas darbības nodrošināšanai bez tiesībām tās tālāk izplatīt:atbilstības novērtēšana (atbilstoši faktiskajam inspekcijas laikam par darba stundu vienam inspektoram)</t>
  </si>
  <si>
    <t>veterinārfarmaceitiskās darbības uzņēmuma dokumentu ekspertīze, ja tiek sākta (veikta) izejvielu ražošana vai importēšana</t>
  </si>
  <si>
    <t>12.3.1.</t>
  </si>
  <si>
    <t>12.3.3.</t>
  </si>
  <si>
    <t>12.1.1.</t>
  </si>
  <si>
    <t>12.1.1.1.</t>
  </si>
  <si>
    <t>12.1.1.2.</t>
  </si>
  <si>
    <t>12.2.3.</t>
  </si>
  <si>
    <t>12.3.11.</t>
  </si>
  <si>
    <t>izmaiņas dokumentos un informācijā, ja nav nepieciešams pārreģistrēt speciālo atļauju (licenci) veterinārfarmaceitiskai darbībai, neiekļaujot atbilstības novērtēšanu</t>
  </si>
  <si>
    <t>12.3.8.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</si>
</sst>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2" x14ac:knownFonts="1">
    <font>
      <sz val="11"/>
      <color theme="1"/>
      <name val="Calibri"/>
      <family val="2"/>
      <charset val="186"/>
      <scheme val="minor"/>
    </font>
    <font>
      <sz val="10"/>
      <color theme="1"/>
      <name val="Times New Roman"/>
      <family val="1"/>
      <charset val="186"/>
    </font>
    <font>
      <b/>
      <sz val="10"/>
      <color theme="1"/>
      <name val="Times New Roman"/>
      <family val="1"/>
      <charset val="186"/>
    </font>
    <font>
      <sz val="10"/>
      <name val="Times New Roman"/>
      <family val="1"/>
      <charset val="186"/>
    </font>
    <font>
      <b/>
      <sz val="10"/>
      <name val="Times New Roman"/>
      <family val="1"/>
      <charset val="186"/>
    </font>
    <font>
      <sz val="11"/>
      <color theme="1"/>
      <name val="Times New Roman"/>
      <family val="1"/>
      <charset val="186"/>
    </font>
    <font>
      <b/>
      <sz val="11"/>
      <color theme="1"/>
      <name val="Times New Roman"/>
      <family val="1"/>
      <charset val="186"/>
    </font>
    <font>
      <b/>
      <sz val="12"/>
      <color theme="1"/>
      <name val="Times New Roman"/>
      <family val="1"/>
      <charset val="186"/>
    </font>
    <font>
      <i/>
      <sz val="10"/>
      <color theme="1"/>
      <name val="Times New Roman"/>
      <family val="1"/>
      <charset val="186"/>
    </font>
    <font>
      <b/>
      <vertAlign val="superscript"/>
      <sz val="10"/>
      <color theme="1"/>
      <name val="Times New Roman"/>
      <family val="1"/>
      <charset val="186"/>
    </font>
    <font>
      <vertAlign val="superscript"/>
      <sz val="10"/>
      <color theme="1"/>
      <name val="Times New Roman"/>
      <family val="1"/>
      <charset val="186"/>
    </font>
    <font>
      <i/>
      <sz val="10"/>
      <name val="Times New Roman"/>
      <family val="1"/>
      <charset val="186"/>
    </font>
  </fonts>
  <fills count="2">
    <fill>
      <patternFill patternType="none"/>
    </fill>
    <fill>
      <patternFill patternType="gray125"/>
    </fill>
  </fills>
  <borders count="19">
    <border>
      <left/>
      <right/>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1">
    <xf numFmtId="0" fontId="0" fillId="0" borderId="0"/>
  </cellStyleXfs>
  <cellXfs count="120">
    <xf numFmtId="0" fontId="0" fillId="0" borderId="0" xfId="0"/>
    <xf numFmtId="0" fontId="5" fillId="0" borderId="0" xfId="0" applyFont="1"/>
    <xf numFmtId="4" fontId="5" fillId="0" borderId="0" xfId="0" applyNumberFormat="1" applyFont="1"/>
    <xf numFmtId="0" fontId="1" fillId="0" borderId="0" xfId="0" applyFont="1"/>
    <xf numFmtId="0" fontId="6" fillId="0" borderId="0" xfId="0" applyFont="1"/>
    <xf numFmtId="0" fontId="5" fillId="0" borderId="0" xfId="0" applyNumberFormat="1" applyFont="1"/>
    <xf numFmtId="0" fontId="5" fillId="0" borderId="0" xfId="0" applyFont="1" applyAlignment="1">
      <alignment horizontal="center" vertical="center"/>
    </xf>
    <xf numFmtId="0" fontId="1" fillId="0" borderId="0" xfId="0" applyFont="1" applyAlignment="1">
      <alignment horizontal="center" vertical="center"/>
    </xf>
    <xf numFmtId="49" fontId="4"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justify" vertical="top" wrapText="1"/>
    </xf>
    <xf numFmtId="0" fontId="1" fillId="0" borderId="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165" fontId="1" fillId="0" borderId="2"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4" fontId="2" fillId="0" borderId="2" xfId="0" applyNumberFormat="1" applyFont="1" applyFill="1" applyBorder="1" applyAlignment="1">
      <alignment horizontal="center" vertical="center" wrapText="1"/>
    </xf>
    <xf numFmtId="0" fontId="4" fillId="0" borderId="2" xfId="0" applyFont="1" applyBorder="1" applyAlignment="1">
      <alignment horizontal="justify" vertical="top"/>
    </xf>
    <xf numFmtId="0" fontId="5" fillId="0" borderId="2" xfId="0" applyFont="1" applyBorder="1"/>
    <xf numFmtId="0" fontId="5" fillId="0" borderId="2" xfId="0" applyFont="1" applyBorder="1" applyAlignment="1">
      <alignment horizontal="center" vertical="center"/>
    </xf>
    <xf numFmtId="4" fontId="5" fillId="0" borderId="2" xfId="0" applyNumberFormat="1" applyFont="1" applyBorder="1"/>
    <xf numFmtId="0" fontId="5" fillId="0" borderId="2" xfId="0" applyNumberFormat="1" applyFont="1" applyBorder="1"/>
    <xf numFmtId="0" fontId="3" fillId="0" borderId="2" xfId="0" applyFont="1" applyBorder="1" applyAlignment="1">
      <alignment horizontal="left" vertical="center" wrapText="1"/>
    </xf>
    <xf numFmtId="0" fontId="1" fillId="0" borderId="6" xfId="0" applyFont="1" applyBorder="1" applyAlignment="1">
      <alignment horizontal="center" vertical="center" wrapText="1"/>
    </xf>
    <xf numFmtId="0" fontId="4" fillId="0" borderId="3" xfId="0" applyFont="1" applyBorder="1" applyAlignment="1">
      <alignment vertical="top" wrapText="1"/>
    </xf>
    <xf numFmtId="49" fontId="4" fillId="0" borderId="8" xfId="0" applyNumberFormat="1" applyFont="1" applyBorder="1" applyAlignment="1">
      <alignment horizontal="center" vertical="center" wrapText="1"/>
    </xf>
    <xf numFmtId="0" fontId="3" fillId="0" borderId="2" xfId="0" applyFont="1" applyFill="1" applyBorder="1" applyAlignment="1">
      <alignment horizontal="justify" vertical="top"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2" fillId="0" borderId="8" xfId="0" applyFont="1" applyBorder="1" applyAlignment="1">
      <alignment horizontal="center" vertical="center" wrapText="1"/>
    </xf>
    <xf numFmtId="4" fontId="2" fillId="0" borderId="8" xfId="0" applyNumberFormat="1" applyFont="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2" xfId="0" applyFont="1" applyBorder="1" applyAlignment="1">
      <alignment vertical="top" wrapText="1"/>
    </xf>
    <xf numFmtId="49" fontId="4" fillId="0" borderId="3" xfId="0" applyNumberFormat="1" applyFont="1" applyBorder="1" applyAlignment="1">
      <alignment horizontal="center" vertical="center" wrapText="1"/>
    </xf>
    <xf numFmtId="49" fontId="4" fillId="0" borderId="8" xfId="0" applyNumberFormat="1" applyFont="1" applyBorder="1" applyAlignment="1">
      <alignment vertical="center" wrapText="1"/>
    </xf>
    <xf numFmtId="49" fontId="3" fillId="0" borderId="3"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3" fillId="0" borderId="5" xfId="0" applyFont="1" applyBorder="1" applyAlignment="1">
      <alignment horizontal="justify" vertical="top" wrapText="1"/>
    </xf>
    <xf numFmtId="0" fontId="3" fillId="0" borderId="5" xfId="0" applyFont="1" applyBorder="1" applyAlignment="1">
      <alignment horizontal="justify" vertical="top"/>
    </xf>
    <xf numFmtId="49" fontId="1" fillId="0" borderId="2" xfId="0" applyNumberFormat="1" applyFont="1" applyBorder="1" applyAlignment="1">
      <alignment horizontal="center" vertical="center" wrapText="1"/>
    </xf>
    <xf numFmtId="0" fontId="1" fillId="0" borderId="6" xfId="0" applyFont="1" applyBorder="1" applyAlignment="1">
      <alignment horizontal="justify" vertical="top" wrapText="1"/>
    </xf>
    <xf numFmtId="0" fontId="5" fillId="0" borderId="0" xfId="0" applyFont="1" applyBorder="1"/>
    <xf numFmtId="0" fontId="5" fillId="0" borderId="0" xfId="0" applyFont="1" applyBorder="1" applyAlignment="1">
      <alignment horizontal="center" vertical="center"/>
    </xf>
    <xf numFmtId="4" fontId="5" fillId="0" borderId="0" xfId="0" applyNumberFormat="1" applyFont="1" applyBorder="1"/>
    <xf numFmtId="0" fontId="5" fillId="0" borderId="0" xfId="0" applyNumberFormat="1" applyFont="1" applyBorder="1"/>
    <xf numFmtId="0" fontId="1" fillId="0" borderId="6" xfId="0" applyFont="1" applyBorder="1" applyAlignment="1">
      <alignment horizontal="justify" vertical="center" wrapText="1"/>
    </xf>
    <xf numFmtId="0" fontId="2" fillId="0" borderId="2" xfId="0" applyFont="1" applyBorder="1" applyAlignment="1">
      <alignment horizontal="center" vertical="center" wrapText="1"/>
    </xf>
    <xf numFmtId="164" fontId="1" fillId="0" borderId="8" xfId="0" applyNumberFormat="1" applyFont="1" applyBorder="1" applyAlignment="1">
      <alignment horizontal="center" vertical="center" wrapText="1"/>
    </xf>
    <xf numFmtId="165" fontId="1" fillId="0" borderId="8" xfId="0" applyNumberFormat="1" applyFont="1" applyBorder="1" applyAlignment="1">
      <alignment horizontal="center" vertical="center" wrapText="1"/>
    </xf>
    <xf numFmtId="165" fontId="2" fillId="0" borderId="8" xfId="0" applyNumberFormat="1" applyFont="1" applyBorder="1" applyAlignment="1">
      <alignment horizontal="center" vertical="center" wrapText="1"/>
    </xf>
    <xf numFmtId="0" fontId="5" fillId="0" borderId="0" xfId="0" applyFont="1" applyAlignment="1">
      <alignment vertical="center"/>
    </xf>
    <xf numFmtId="49" fontId="4" fillId="0" borderId="2"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0" fontId="1"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4" fontId="8" fillId="0" borderId="3" xfId="0" applyNumberFormat="1" applyFont="1" applyBorder="1" applyAlignment="1">
      <alignment horizontal="left" vertical="center"/>
    </xf>
    <xf numFmtId="4" fontId="8" fillId="0" borderId="4" xfId="0" applyNumberFormat="1" applyFont="1" applyBorder="1" applyAlignment="1">
      <alignment horizontal="left" vertical="center"/>
    </xf>
    <xf numFmtId="4" fontId="8" fillId="0" borderId="5" xfId="0" applyNumberFormat="1" applyFont="1" applyBorder="1" applyAlignment="1">
      <alignment horizontal="left" vertical="center"/>
    </xf>
    <xf numFmtId="0" fontId="5" fillId="0" borderId="0" xfId="0" applyFont="1" applyAlignment="1">
      <alignment horizontal="left"/>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49" fontId="4" fillId="0" borderId="9"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1" fillId="0" borderId="0" xfId="0" applyFont="1" applyAlignment="1">
      <alignment horizontal="left"/>
    </xf>
    <xf numFmtId="0" fontId="1" fillId="0" borderId="0" xfId="0" applyFont="1" applyBorder="1" applyAlignment="1">
      <alignment horizontal="left"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NumberFormat="1" applyFont="1" applyBorder="1" applyAlignment="1">
      <alignment horizontal="right" vertical="top" wrapText="1"/>
    </xf>
    <xf numFmtId="0" fontId="7" fillId="0" borderId="0"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4" fontId="4" fillId="0" borderId="2" xfId="0" applyNumberFormat="1" applyFont="1" applyBorder="1" applyAlignment="1">
      <alignment horizontal="center" vertical="center" wrapText="1"/>
    </xf>
    <xf numFmtId="4" fontId="4"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3" fillId="0" borderId="3"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5" xfId="0" applyNumberFormat="1" applyFont="1" applyBorder="1" applyAlignment="1">
      <alignment vertical="center" wrapText="1"/>
    </xf>
    <xf numFmtId="49" fontId="11" fillId="0" borderId="3" xfId="0" applyNumberFormat="1" applyFont="1" applyBorder="1" applyAlignment="1">
      <alignment vertical="center" wrapText="1"/>
    </xf>
    <xf numFmtId="49" fontId="11" fillId="0" borderId="4" xfId="0" applyNumberFormat="1" applyFont="1" applyBorder="1" applyAlignment="1">
      <alignment vertical="center" wrapText="1"/>
    </xf>
    <xf numFmtId="49" fontId="11" fillId="0" borderId="5" xfId="0" applyNumberFormat="1" applyFont="1" applyBorder="1" applyAlignment="1">
      <alignment vertical="center" wrapText="1"/>
    </xf>
    <xf numFmtId="0" fontId="5" fillId="0" borderId="2" xfId="0" applyFont="1" applyBorder="1" applyAlignment="1">
      <alignment horizontal="left"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7"/>
  <sheetViews>
    <sheetView tabSelected="1" topLeftCell="A76" zoomScaleNormal="100" workbookViewId="0">
      <selection activeCell="K91" sqref="K91"/>
    </sheetView>
  </sheetViews>
  <sheetFormatPr defaultRowHeight="15" x14ac:dyDescent="0.25"/>
  <cols>
    <col min="1" max="1" width="6.85546875" style="1" customWidth="1"/>
    <col min="2" max="2" width="7" style="1" customWidth="1"/>
    <col min="3" max="3" width="33.7109375" style="1" customWidth="1"/>
    <col min="4" max="4" width="8.7109375" style="6" customWidth="1"/>
    <col min="5" max="5" width="9.42578125" style="6" customWidth="1"/>
    <col min="6" max="10" width="9.42578125" style="6" hidden="1" customWidth="1"/>
    <col min="11" max="11" width="9.28515625" style="1" bestFit="1" customWidth="1"/>
    <col min="12" max="12" width="8.85546875" style="1" customWidth="1"/>
    <col min="13" max="42" width="11" style="1" hidden="1" customWidth="1"/>
    <col min="43" max="43" width="11.42578125" style="2" customWidth="1"/>
    <col min="44" max="44" width="10.85546875" style="5" customWidth="1"/>
    <col min="45" max="45" width="11.85546875" style="1" customWidth="1"/>
    <col min="46" max="46" width="10.28515625" style="1" customWidth="1"/>
    <col min="47" max="47" width="9.28515625" style="1" bestFit="1" customWidth="1"/>
    <col min="48" max="48" width="18.140625" style="1" customWidth="1"/>
    <col min="49" max="16384" width="9.140625" style="1"/>
  </cols>
  <sheetData>
    <row r="1" spans="1:48" ht="80.25" customHeight="1" x14ac:dyDescent="0.25">
      <c r="A1" s="3"/>
      <c r="B1" s="3"/>
      <c r="C1" s="3"/>
      <c r="D1" s="7"/>
      <c r="E1" s="7"/>
      <c r="F1" s="7"/>
      <c r="G1" s="7"/>
      <c r="H1" s="7"/>
      <c r="I1" s="7"/>
      <c r="J1" s="7"/>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93" t="s">
        <v>74</v>
      </c>
      <c r="AR1" s="93"/>
      <c r="AS1" s="93"/>
      <c r="AT1" s="93"/>
      <c r="AU1" s="93"/>
      <c r="AV1" s="3"/>
    </row>
    <row r="2" spans="1:48" ht="23.25" customHeight="1" x14ac:dyDescent="0.25">
      <c r="A2" s="3"/>
      <c r="B2" s="3"/>
      <c r="C2" s="94" t="s">
        <v>91</v>
      </c>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3"/>
    </row>
    <row r="3" spans="1:48" ht="21.75" customHeight="1" x14ac:dyDescent="0.25">
      <c r="A3" s="109" t="s">
        <v>77</v>
      </c>
      <c r="B3" s="110"/>
      <c r="C3" s="104" t="s">
        <v>7</v>
      </c>
      <c r="D3" s="100" t="s">
        <v>0</v>
      </c>
      <c r="E3" s="100"/>
      <c r="F3" s="100"/>
      <c r="G3" s="100"/>
      <c r="H3" s="100"/>
      <c r="I3" s="100"/>
      <c r="J3" s="100"/>
      <c r="K3" s="100"/>
      <c r="L3" s="64" t="s">
        <v>139</v>
      </c>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6"/>
      <c r="AQ3" s="107" t="s">
        <v>2</v>
      </c>
      <c r="AR3" s="108" t="s">
        <v>3</v>
      </c>
      <c r="AS3" s="98" t="s">
        <v>4</v>
      </c>
      <c r="AT3" s="99" t="s">
        <v>5</v>
      </c>
      <c r="AU3" s="99" t="s">
        <v>6</v>
      </c>
      <c r="AV3" s="3"/>
    </row>
    <row r="4" spans="1:48" ht="17.25" customHeight="1" x14ac:dyDescent="0.25">
      <c r="A4" s="111"/>
      <c r="B4" s="112"/>
      <c r="C4" s="105"/>
      <c r="D4" s="62" t="s">
        <v>123</v>
      </c>
      <c r="E4" s="62" t="s">
        <v>169</v>
      </c>
      <c r="F4" s="64" t="s">
        <v>133</v>
      </c>
      <c r="G4" s="65"/>
      <c r="H4" s="65"/>
      <c r="I4" s="65"/>
      <c r="J4" s="66"/>
      <c r="K4" s="62" t="s">
        <v>1</v>
      </c>
      <c r="L4" s="62" t="s">
        <v>168</v>
      </c>
      <c r="M4" s="64" t="s">
        <v>133</v>
      </c>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2" t="s">
        <v>142</v>
      </c>
      <c r="AQ4" s="107"/>
      <c r="AR4" s="108"/>
      <c r="AS4" s="98"/>
      <c r="AT4" s="99"/>
      <c r="AU4" s="99"/>
      <c r="AV4" s="3"/>
    </row>
    <row r="5" spans="1:48" ht="49.5" customHeight="1" x14ac:dyDescent="0.25">
      <c r="A5" s="40" t="s">
        <v>124</v>
      </c>
      <c r="B5" s="29" t="s">
        <v>114</v>
      </c>
      <c r="C5" s="106"/>
      <c r="D5" s="63"/>
      <c r="E5" s="63"/>
      <c r="F5" s="54" t="s">
        <v>134</v>
      </c>
      <c r="G5" s="54" t="s">
        <v>135</v>
      </c>
      <c r="H5" s="54" t="s">
        <v>136</v>
      </c>
      <c r="I5" s="54" t="s">
        <v>138</v>
      </c>
      <c r="J5" s="54" t="s">
        <v>137</v>
      </c>
      <c r="K5" s="63"/>
      <c r="L5" s="63"/>
      <c r="M5" s="54" t="s">
        <v>164</v>
      </c>
      <c r="N5" s="54" t="s">
        <v>140</v>
      </c>
      <c r="O5" s="54" t="s">
        <v>141</v>
      </c>
      <c r="P5" s="54" t="s">
        <v>143</v>
      </c>
      <c r="Q5" s="54" t="s">
        <v>144</v>
      </c>
      <c r="R5" s="54" t="s">
        <v>145</v>
      </c>
      <c r="S5" s="54" t="s">
        <v>146</v>
      </c>
      <c r="T5" s="54" t="s">
        <v>147</v>
      </c>
      <c r="U5" s="54" t="s">
        <v>148</v>
      </c>
      <c r="V5" s="54" t="s">
        <v>149</v>
      </c>
      <c r="W5" s="54" t="s">
        <v>150</v>
      </c>
      <c r="X5" s="54" t="s">
        <v>151</v>
      </c>
      <c r="Y5" s="54" t="s">
        <v>152</v>
      </c>
      <c r="Z5" s="54" t="s">
        <v>153</v>
      </c>
      <c r="AA5" s="54" t="s">
        <v>154</v>
      </c>
      <c r="AB5" s="54" t="s">
        <v>155</v>
      </c>
      <c r="AC5" s="54" t="s">
        <v>156</v>
      </c>
      <c r="AD5" s="54" t="s">
        <v>165</v>
      </c>
      <c r="AE5" s="54" t="s">
        <v>157</v>
      </c>
      <c r="AF5" s="54" t="s">
        <v>158</v>
      </c>
      <c r="AG5" s="54" t="s">
        <v>159</v>
      </c>
      <c r="AH5" s="54" t="s">
        <v>160</v>
      </c>
      <c r="AI5" s="54" t="s">
        <v>135</v>
      </c>
      <c r="AJ5" s="54" t="s">
        <v>161</v>
      </c>
      <c r="AK5" s="54" t="s">
        <v>162</v>
      </c>
      <c r="AL5" s="54" t="s">
        <v>163</v>
      </c>
      <c r="AM5" s="54" t="s">
        <v>137</v>
      </c>
      <c r="AN5" s="54" t="s">
        <v>166</v>
      </c>
      <c r="AO5" s="54" t="s">
        <v>167</v>
      </c>
      <c r="AP5" s="63"/>
      <c r="AQ5" s="107"/>
      <c r="AR5" s="108"/>
      <c r="AS5" s="98"/>
      <c r="AT5" s="99"/>
      <c r="AU5" s="99"/>
      <c r="AV5" s="3"/>
    </row>
    <row r="6" spans="1:48" x14ac:dyDescent="0.25">
      <c r="A6" s="101" t="s">
        <v>10</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3"/>
      <c r="AV6" s="3"/>
    </row>
    <row r="7" spans="1:48" x14ac:dyDescent="0.25">
      <c r="A7" s="39" t="s">
        <v>8</v>
      </c>
      <c r="B7" s="95" t="s">
        <v>11</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7"/>
      <c r="AV7" s="3"/>
    </row>
    <row r="8" spans="1:48" ht="65.25" customHeight="1" x14ac:dyDescent="0.25">
      <c r="A8" s="41" t="s">
        <v>9</v>
      </c>
      <c r="B8" s="12" t="s">
        <v>9</v>
      </c>
      <c r="C8" s="45" t="s">
        <v>99</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row>
    <row r="9" spans="1:48" x14ac:dyDescent="0.25">
      <c r="A9" s="42" t="s">
        <v>94</v>
      </c>
      <c r="B9" s="14" t="s">
        <v>9</v>
      </c>
      <c r="C9" s="43" t="s">
        <v>67</v>
      </c>
      <c r="D9" s="34">
        <v>6.0419999999999998</v>
      </c>
      <c r="E9" s="34">
        <f t="shared" ref="E9:E26" si="0">3.532+5.04</f>
        <v>8.5719999999999992</v>
      </c>
      <c r="F9" s="55">
        <v>2.04</v>
      </c>
      <c r="G9" s="55">
        <v>9.8000000000000004E-2</v>
      </c>
      <c r="H9" s="55">
        <v>1.304</v>
      </c>
      <c r="I9" s="55">
        <v>5.04</v>
      </c>
      <c r="J9" s="55">
        <v>0.09</v>
      </c>
      <c r="K9" s="35">
        <f t="shared" ref="K9" si="1">SUM(D9:E9)</f>
        <v>14.613999999999999</v>
      </c>
      <c r="L9" s="35">
        <f>2.972+0.01</f>
        <v>2.9819999999999998</v>
      </c>
      <c r="M9" s="34">
        <v>1.6379999999999999</v>
      </c>
      <c r="N9" s="34">
        <v>1E-3</v>
      </c>
      <c r="O9" s="34">
        <v>3.0000000000000001E-3</v>
      </c>
      <c r="P9" s="34">
        <v>1.2999999999999999E-2</v>
      </c>
      <c r="Q9" s="34">
        <v>2E-3</v>
      </c>
      <c r="R9" s="56">
        <v>0.14000000000000001</v>
      </c>
      <c r="S9" s="34">
        <v>3.5999999999999997E-2</v>
      </c>
      <c r="T9" s="34">
        <v>6.0000000000000001E-3</v>
      </c>
      <c r="U9" s="34">
        <v>6.7000000000000004E-2</v>
      </c>
      <c r="V9" s="34">
        <v>7.0000000000000001E-3</v>
      </c>
      <c r="W9" s="34">
        <v>8.9999999999999993E-3</v>
      </c>
      <c r="X9" s="34">
        <v>1.7999999999999999E-2</v>
      </c>
      <c r="Y9" s="34">
        <v>0.253</v>
      </c>
      <c r="Z9" s="34">
        <v>0.11799999999999999</v>
      </c>
      <c r="AA9" s="34">
        <v>3.4000000000000002E-2</v>
      </c>
      <c r="AB9" s="34">
        <v>3.5000000000000003E-2</v>
      </c>
      <c r="AC9" s="34">
        <v>1.0999999999999999E-2</v>
      </c>
      <c r="AD9" s="34">
        <f>0.263+0.01</f>
        <v>0.27300000000000002</v>
      </c>
      <c r="AE9" s="34">
        <v>3.3000000000000002E-2</v>
      </c>
      <c r="AF9" s="34">
        <v>8.0000000000000002E-3</v>
      </c>
      <c r="AG9" s="34">
        <v>5.8000000000000003E-2</v>
      </c>
      <c r="AH9" s="34">
        <v>1.0999999999999999E-2</v>
      </c>
      <c r="AI9" s="34">
        <v>0.12</v>
      </c>
      <c r="AJ9" s="34">
        <v>2.9000000000000001E-2</v>
      </c>
      <c r="AK9" s="34">
        <v>1.6E-2</v>
      </c>
      <c r="AL9" s="34">
        <v>2.5000000000000001E-2</v>
      </c>
      <c r="AM9" s="34">
        <v>6.0000000000000001E-3</v>
      </c>
      <c r="AN9" s="34">
        <v>4.0000000000000001E-3</v>
      </c>
      <c r="AO9" s="34">
        <v>8.0000000000000002E-3</v>
      </c>
      <c r="AP9" s="35">
        <f>SUM(M9:AO9)</f>
        <v>2.9819999999999993</v>
      </c>
      <c r="AQ9" s="36">
        <f t="shared" ref="AQ9:AQ14" si="2">K9+L9</f>
        <v>17.596</v>
      </c>
      <c r="AR9" s="37">
        <f>3415-3000</f>
        <v>415</v>
      </c>
      <c r="AS9" s="36">
        <f t="shared" ref="AS9" si="3">AQ9*AR9</f>
        <v>7302.34</v>
      </c>
      <c r="AT9" s="36">
        <f>AR9*(D9+1.638)</f>
        <v>3187.2</v>
      </c>
      <c r="AU9" s="36">
        <f>AR9*(E9+L9-1.638)</f>
        <v>4115.1399999999994</v>
      </c>
    </row>
    <row r="10" spans="1:48" ht="15.75" x14ac:dyDescent="0.25">
      <c r="A10" s="42" t="s">
        <v>95</v>
      </c>
      <c r="B10" s="47" t="s">
        <v>115</v>
      </c>
      <c r="C10" s="44" t="s">
        <v>19</v>
      </c>
      <c r="D10" s="14">
        <f>6.042*(100%+100%)</f>
        <v>12.084</v>
      </c>
      <c r="E10" s="14">
        <f t="shared" si="0"/>
        <v>8.5719999999999992</v>
      </c>
      <c r="F10" s="55">
        <v>2.04</v>
      </c>
      <c r="G10" s="55">
        <v>9.8000000000000004E-2</v>
      </c>
      <c r="H10" s="55">
        <v>1.304</v>
      </c>
      <c r="I10" s="55">
        <v>5.04</v>
      </c>
      <c r="J10" s="55">
        <v>0.09</v>
      </c>
      <c r="K10" s="9">
        <f>SUM(D10:E10)</f>
        <v>20.655999999999999</v>
      </c>
      <c r="L10" s="9">
        <v>2.972</v>
      </c>
      <c r="M10" s="34">
        <v>1.6379999999999999</v>
      </c>
      <c r="N10" s="34">
        <v>1E-3</v>
      </c>
      <c r="O10" s="34">
        <v>3.0000000000000001E-3</v>
      </c>
      <c r="P10" s="34">
        <v>1.2999999999999999E-2</v>
      </c>
      <c r="Q10" s="34">
        <v>2E-3</v>
      </c>
      <c r="R10" s="56">
        <v>0.14000000000000001</v>
      </c>
      <c r="S10" s="34">
        <v>3.5999999999999997E-2</v>
      </c>
      <c r="T10" s="34">
        <v>6.0000000000000001E-3</v>
      </c>
      <c r="U10" s="34">
        <v>6.7000000000000004E-2</v>
      </c>
      <c r="V10" s="34">
        <v>7.0000000000000001E-3</v>
      </c>
      <c r="W10" s="34">
        <v>8.9999999999999993E-3</v>
      </c>
      <c r="X10" s="34">
        <v>1.7999999999999999E-2</v>
      </c>
      <c r="Y10" s="34">
        <v>0.253</v>
      </c>
      <c r="Z10" s="34">
        <v>0.11799999999999999</v>
      </c>
      <c r="AA10" s="34">
        <v>3.4000000000000002E-2</v>
      </c>
      <c r="AB10" s="34">
        <v>3.5000000000000003E-2</v>
      </c>
      <c r="AC10" s="34">
        <v>1.0999999999999999E-2</v>
      </c>
      <c r="AD10" s="34">
        <f>0.263</f>
        <v>0.26300000000000001</v>
      </c>
      <c r="AE10" s="34">
        <v>3.3000000000000002E-2</v>
      </c>
      <c r="AF10" s="34">
        <v>8.0000000000000002E-3</v>
      </c>
      <c r="AG10" s="34">
        <v>5.8000000000000003E-2</v>
      </c>
      <c r="AH10" s="34">
        <v>1.0999999999999999E-2</v>
      </c>
      <c r="AI10" s="34">
        <v>0.12</v>
      </c>
      <c r="AJ10" s="34">
        <v>2.9000000000000001E-2</v>
      </c>
      <c r="AK10" s="34">
        <v>1.6E-2</v>
      </c>
      <c r="AL10" s="34">
        <v>2.5000000000000001E-2</v>
      </c>
      <c r="AM10" s="34">
        <v>6.0000000000000001E-3</v>
      </c>
      <c r="AN10" s="34">
        <v>4.0000000000000001E-3</v>
      </c>
      <c r="AO10" s="34">
        <v>8.0000000000000002E-3</v>
      </c>
      <c r="AP10" s="35">
        <f t="shared" ref="AP10:AP20" si="4">SUM(M10:AO10)</f>
        <v>2.9719999999999991</v>
      </c>
      <c r="AQ10" s="10">
        <f t="shared" si="2"/>
        <v>23.628</v>
      </c>
      <c r="AR10" s="11">
        <f>870-750</f>
        <v>120</v>
      </c>
      <c r="AS10" s="10">
        <f>AQ10*AR10</f>
        <v>2835.36</v>
      </c>
      <c r="AT10" s="10">
        <f>AR10*(D10+1.638)</f>
        <v>1646.6399999999999</v>
      </c>
      <c r="AU10" s="10">
        <f>AR10*(E10+L10-1.638)</f>
        <v>1188.7199999999998</v>
      </c>
    </row>
    <row r="11" spans="1:48" x14ac:dyDescent="0.25">
      <c r="A11" s="42" t="s">
        <v>96</v>
      </c>
      <c r="B11" s="14" t="s">
        <v>14</v>
      </c>
      <c r="C11" s="44" t="s">
        <v>20</v>
      </c>
      <c r="D11" s="14">
        <f>6.042*(200%+50%)</f>
        <v>15.105</v>
      </c>
      <c r="E11" s="14">
        <f t="shared" si="0"/>
        <v>8.5719999999999992</v>
      </c>
      <c r="F11" s="55">
        <v>2.04</v>
      </c>
      <c r="G11" s="55">
        <v>9.8000000000000004E-2</v>
      </c>
      <c r="H11" s="55">
        <v>1.304</v>
      </c>
      <c r="I11" s="55">
        <v>5.04</v>
      </c>
      <c r="J11" s="55">
        <v>0.09</v>
      </c>
      <c r="K11" s="9">
        <f>SUM(D11:E11)</f>
        <v>23.677</v>
      </c>
      <c r="L11" s="9">
        <v>2.972</v>
      </c>
      <c r="M11" s="34">
        <v>1.6379999999999999</v>
      </c>
      <c r="N11" s="34">
        <v>1E-3</v>
      </c>
      <c r="O11" s="34">
        <v>3.0000000000000001E-3</v>
      </c>
      <c r="P11" s="34">
        <v>1.2999999999999999E-2</v>
      </c>
      <c r="Q11" s="34">
        <v>2E-3</v>
      </c>
      <c r="R11" s="56">
        <v>0.14000000000000001</v>
      </c>
      <c r="S11" s="34">
        <v>3.5999999999999997E-2</v>
      </c>
      <c r="T11" s="34">
        <v>6.0000000000000001E-3</v>
      </c>
      <c r="U11" s="34">
        <v>6.7000000000000004E-2</v>
      </c>
      <c r="V11" s="34">
        <v>7.0000000000000001E-3</v>
      </c>
      <c r="W11" s="34">
        <v>8.9999999999999993E-3</v>
      </c>
      <c r="X11" s="34">
        <v>1.7999999999999999E-2</v>
      </c>
      <c r="Y11" s="34">
        <v>0.253</v>
      </c>
      <c r="Z11" s="34">
        <v>0.11799999999999999</v>
      </c>
      <c r="AA11" s="34">
        <v>3.4000000000000002E-2</v>
      </c>
      <c r="AB11" s="34">
        <v>3.5000000000000003E-2</v>
      </c>
      <c r="AC11" s="34">
        <v>1.0999999999999999E-2</v>
      </c>
      <c r="AD11" s="34">
        <f t="shared" ref="AD11:AD13" si="5">0.263</f>
        <v>0.26300000000000001</v>
      </c>
      <c r="AE11" s="34">
        <v>3.3000000000000002E-2</v>
      </c>
      <c r="AF11" s="34">
        <v>8.0000000000000002E-3</v>
      </c>
      <c r="AG11" s="34">
        <v>5.8000000000000003E-2</v>
      </c>
      <c r="AH11" s="34">
        <v>1.0999999999999999E-2</v>
      </c>
      <c r="AI11" s="34">
        <v>0.12</v>
      </c>
      <c r="AJ11" s="34">
        <v>2.9000000000000001E-2</v>
      </c>
      <c r="AK11" s="34">
        <v>1.6E-2</v>
      </c>
      <c r="AL11" s="34">
        <v>2.5000000000000001E-2</v>
      </c>
      <c r="AM11" s="34">
        <v>6.0000000000000001E-3</v>
      </c>
      <c r="AN11" s="34">
        <v>4.0000000000000001E-3</v>
      </c>
      <c r="AO11" s="34">
        <v>8.0000000000000002E-3</v>
      </c>
      <c r="AP11" s="35">
        <f t="shared" si="4"/>
        <v>2.9719999999999991</v>
      </c>
      <c r="AQ11" s="10">
        <f t="shared" si="2"/>
        <v>26.649000000000001</v>
      </c>
      <c r="AR11" s="11">
        <f>85-55</f>
        <v>30</v>
      </c>
      <c r="AS11" s="10">
        <f>AQ11*AR11</f>
        <v>799.47</v>
      </c>
      <c r="AT11" s="10">
        <f>AR11*(D11+1.638)</f>
        <v>502.29000000000008</v>
      </c>
      <c r="AU11" s="10">
        <f>AR11*(E11+L11-1.638)</f>
        <v>297.17999999999995</v>
      </c>
    </row>
    <row r="12" spans="1:48" x14ac:dyDescent="0.25">
      <c r="A12" s="42" t="s">
        <v>97</v>
      </c>
      <c r="B12" s="14" t="s">
        <v>15</v>
      </c>
      <c r="C12" s="44" t="s">
        <v>21</v>
      </c>
      <c r="D12" s="14">
        <f>6.042*(200%+100%)</f>
        <v>18.125999999999998</v>
      </c>
      <c r="E12" s="14">
        <f t="shared" si="0"/>
        <v>8.5719999999999992</v>
      </c>
      <c r="F12" s="55">
        <v>2.04</v>
      </c>
      <c r="G12" s="55">
        <v>9.8000000000000004E-2</v>
      </c>
      <c r="H12" s="55">
        <v>1.304</v>
      </c>
      <c r="I12" s="55">
        <v>5.04</v>
      </c>
      <c r="J12" s="55">
        <v>0.09</v>
      </c>
      <c r="K12" s="9">
        <f>SUM(D12:E12)</f>
        <v>26.697999999999997</v>
      </c>
      <c r="L12" s="9">
        <v>2.972</v>
      </c>
      <c r="M12" s="34">
        <v>1.6379999999999999</v>
      </c>
      <c r="N12" s="34">
        <v>1E-3</v>
      </c>
      <c r="O12" s="34">
        <v>3.0000000000000001E-3</v>
      </c>
      <c r="P12" s="34">
        <v>1.2999999999999999E-2</v>
      </c>
      <c r="Q12" s="34">
        <v>2E-3</v>
      </c>
      <c r="R12" s="56">
        <v>0.14000000000000001</v>
      </c>
      <c r="S12" s="34">
        <v>3.5999999999999997E-2</v>
      </c>
      <c r="T12" s="34">
        <v>6.0000000000000001E-3</v>
      </c>
      <c r="U12" s="34">
        <v>6.7000000000000004E-2</v>
      </c>
      <c r="V12" s="34">
        <v>7.0000000000000001E-3</v>
      </c>
      <c r="W12" s="34">
        <v>8.9999999999999993E-3</v>
      </c>
      <c r="X12" s="34">
        <v>1.7999999999999999E-2</v>
      </c>
      <c r="Y12" s="34">
        <v>0.253</v>
      </c>
      <c r="Z12" s="34">
        <v>0.11799999999999999</v>
      </c>
      <c r="AA12" s="34">
        <v>3.4000000000000002E-2</v>
      </c>
      <c r="AB12" s="34">
        <v>3.5000000000000003E-2</v>
      </c>
      <c r="AC12" s="34">
        <v>1.0999999999999999E-2</v>
      </c>
      <c r="AD12" s="34">
        <f t="shared" si="5"/>
        <v>0.26300000000000001</v>
      </c>
      <c r="AE12" s="34">
        <v>3.3000000000000002E-2</v>
      </c>
      <c r="AF12" s="34">
        <v>8.0000000000000002E-3</v>
      </c>
      <c r="AG12" s="34">
        <v>5.8000000000000003E-2</v>
      </c>
      <c r="AH12" s="34">
        <v>1.0999999999999999E-2</v>
      </c>
      <c r="AI12" s="34">
        <v>0.12</v>
      </c>
      <c r="AJ12" s="34">
        <v>2.9000000000000001E-2</v>
      </c>
      <c r="AK12" s="34">
        <v>1.6E-2</v>
      </c>
      <c r="AL12" s="34">
        <v>2.5000000000000001E-2</v>
      </c>
      <c r="AM12" s="34">
        <v>6.0000000000000001E-3</v>
      </c>
      <c r="AN12" s="34">
        <v>4.0000000000000001E-3</v>
      </c>
      <c r="AO12" s="34">
        <v>8.0000000000000002E-3</v>
      </c>
      <c r="AP12" s="35">
        <f t="shared" si="4"/>
        <v>2.9719999999999991</v>
      </c>
      <c r="AQ12" s="10">
        <f t="shared" si="2"/>
        <v>29.669999999999998</v>
      </c>
      <c r="AR12" s="11">
        <f>45-35</f>
        <v>10</v>
      </c>
      <c r="AS12" s="10">
        <f>AQ12*AR12</f>
        <v>296.7</v>
      </c>
      <c r="AT12" s="10">
        <f>AR12*(D12+1.638)</f>
        <v>197.63999999999996</v>
      </c>
      <c r="AU12" s="10">
        <f>AR12*(E12+L12-1.638)</f>
        <v>99.059999999999988</v>
      </c>
    </row>
    <row r="13" spans="1:48" x14ac:dyDescent="0.25">
      <c r="A13" s="42" t="s">
        <v>98</v>
      </c>
      <c r="B13" s="14" t="s">
        <v>16</v>
      </c>
      <c r="C13" s="44" t="s">
        <v>78</v>
      </c>
      <c r="D13" s="14">
        <f>6.042*(100%+200%+50%)</f>
        <v>21.146999999999998</v>
      </c>
      <c r="E13" s="14">
        <f t="shared" si="0"/>
        <v>8.5719999999999992</v>
      </c>
      <c r="F13" s="55">
        <v>2.04</v>
      </c>
      <c r="G13" s="55">
        <v>9.8000000000000004E-2</v>
      </c>
      <c r="H13" s="55">
        <v>1.304</v>
      </c>
      <c r="I13" s="55">
        <v>5.04</v>
      </c>
      <c r="J13" s="55">
        <v>0.09</v>
      </c>
      <c r="K13" s="9">
        <f>SUM(D13:E13)</f>
        <v>29.718999999999998</v>
      </c>
      <c r="L13" s="9">
        <v>2.972</v>
      </c>
      <c r="M13" s="34">
        <v>1.6379999999999999</v>
      </c>
      <c r="N13" s="34">
        <v>1E-3</v>
      </c>
      <c r="O13" s="34">
        <v>3.0000000000000001E-3</v>
      </c>
      <c r="P13" s="34">
        <v>1.2999999999999999E-2</v>
      </c>
      <c r="Q13" s="34">
        <v>2E-3</v>
      </c>
      <c r="R13" s="56">
        <v>0.14000000000000001</v>
      </c>
      <c r="S13" s="34">
        <v>3.5999999999999997E-2</v>
      </c>
      <c r="T13" s="34">
        <v>6.0000000000000001E-3</v>
      </c>
      <c r="U13" s="34">
        <v>6.7000000000000004E-2</v>
      </c>
      <c r="V13" s="34">
        <v>7.0000000000000001E-3</v>
      </c>
      <c r="W13" s="34">
        <v>8.9999999999999993E-3</v>
      </c>
      <c r="X13" s="34">
        <v>1.7999999999999999E-2</v>
      </c>
      <c r="Y13" s="34">
        <v>0.253</v>
      </c>
      <c r="Z13" s="34">
        <v>0.11799999999999999</v>
      </c>
      <c r="AA13" s="34">
        <v>3.4000000000000002E-2</v>
      </c>
      <c r="AB13" s="34">
        <v>3.5000000000000003E-2</v>
      </c>
      <c r="AC13" s="34">
        <v>1.0999999999999999E-2</v>
      </c>
      <c r="AD13" s="34">
        <f t="shared" si="5"/>
        <v>0.26300000000000001</v>
      </c>
      <c r="AE13" s="34">
        <v>3.3000000000000002E-2</v>
      </c>
      <c r="AF13" s="34">
        <v>8.0000000000000002E-3</v>
      </c>
      <c r="AG13" s="34">
        <v>5.8000000000000003E-2</v>
      </c>
      <c r="AH13" s="34">
        <v>1.0999999999999999E-2</v>
      </c>
      <c r="AI13" s="34">
        <v>0.12</v>
      </c>
      <c r="AJ13" s="34">
        <v>2.9000000000000001E-2</v>
      </c>
      <c r="AK13" s="34">
        <v>1.6E-2</v>
      </c>
      <c r="AL13" s="34">
        <v>2.5000000000000001E-2</v>
      </c>
      <c r="AM13" s="34">
        <v>6.0000000000000001E-3</v>
      </c>
      <c r="AN13" s="34">
        <v>4.0000000000000001E-3</v>
      </c>
      <c r="AO13" s="34">
        <v>8.0000000000000002E-3</v>
      </c>
      <c r="AP13" s="35">
        <f t="shared" si="4"/>
        <v>2.9719999999999991</v>
      </c>
      <c r="AQ13" s="10">
        <f t="shared" si="2"/>
        <v>32.690999999999995</v>
      </c>
      <c r="AR13" s="11">
        <f>12-8</f>
        <v>4</v>
      </c>
      <c r="AS13" s="10">
        <f>AQ13*AR13</f>
        <v>130.76399999999998</v>
      </c>
      <c r="AT13" s="10">
        <f>AR13*(D13+1.638)</f>
        <v>91.139999999999986</v>
      </c>
      <c r="AU13" s="10">
        <f>AR13*(E13+L13-1.638)</f>
        <v>39.623999999999995</v>
      </c>
    </row>
    <row r="14" spans="1:48" ht="38.25" x14ac:dyDescent="0.25">
      <c r="A14" s="41" t="s">
        <v>12</v>
      </c>
      <c r="B14" s="47" t="s">
        <v>116</v>
      </c>
      <c r="C14" s="45" t="s">
        <v>79</v>
      </c>
      <c r="D14" s="14">
        <f>ROUND(6.042*0.6,2)</f>
        <v>3.63</v>
      </c>
      <c r="E14" s="16">
        <f>ROUND(3.532*0.6,2)</f>
        <v>2.12</v>
      </c>
      <c r="F14" s="55">
        <f>2.04*0.6</f>
        <v>1.224</v>
      </c>
      <c r="G14" s="55">
        <f>0.098*0.6</f>
        <v>5.8799999999999998E-2</v>
      </c>
      <c r="H14" s="55">
        <f>1.304*0.6</f>
        <v>0.78239999999999998</v>
      </c>
      <c r="I14" s="55"/>
      <c r="J14" s="55">
        <f>0.09*0.6</f>
        <v>5.3999999999999999E-2</v>
      </c>
      <c r="K14" s="9">
        <f>SUM(D14:E14)</f>
        <v>5.75</v>
      </c>
      <c r="L14" s="9">
        <f>ROUND(2.972*0.6,2)-0.03</f>
        <v>1.75</v>
      </c>
      <c r="M14" s="56">
        <f>1.638*0.6</f>
        <v>0.9827999999999999</v>
      </c>
      <c r="N14" s="34">
        <f>0.001*0.6</f>
        <v>5.9999999999999995E-4</v>
      </c>
      <c r="O14" s="34">
        <f>0.003*0.6</f>
        <v>1.8E-3</v>
      </c>
      <c r="P14" s="34">
        <f>0.013*0.6</f>
        <v>7.7999999999999996E-3</v>
      </c>
      <c r="Q14" s="34">
        <f>0.002*0.6</f>
        <v>1.1999999999999999E-3</v>
      </c>
      <c r="R14" s="56">
        <f>0.14*0.6</f>
        <v>8.4000000000000005E-2</v>
      </c>
      <c r="S14" s="34">
        <f>0.036*0.6</f>
        <v>2.1599999999999998E-2</v>
      </c>
      <c r="T14" s="34">
        <f>0.006*0.6</f>
        <v>3.5999999999999999E-3</v>
      </c>
      <c r="U14" s="34">
        <f>0.067*0.6</f>
        <v>4.02E-2</v>
      </c>
      <c r="V14" s="34">
        <f>0.007*0.6</f>
        <v>4.1999999999999997E-3</v>
      </c>
      <c r="W14" s="34">
        <f>0.009*0.6</f>
        <v>5.3999999999999994E-3</v>
      </c>
      <c r="X14" s="34">
        <f>0.018*0.6</f>
        <v>1.0799999999999999E-2</v>
      </c>
      <c r="Y14" s="34">
        <f>0.253*0.6</f>
        <v>0.15179999999999999</v>
      </c>
      <c r="Z14" s="34">
        <f>0.118*0.6</f>
        <v>7.0799999999999988E-2</v>
      </c>
      <c r="AA14" s="34">
        <f>0.034*0.6</f>
        <v>2.0400000000000001E-2</v>
      </c>
      <c r="AB14" s="34">
        <f>0.035*0.6</f>
        <v>2.1000000000000001E-2</v>
      </c>
      <c r="AC14" s="34">
        <f>0.011*0.6</f>
        <v>6.5999999999999991E-3</v>
      </c>
      <c r="AD14" s="34">
        <f>0.263*0.6-0.0332</f>
        <v>0.12459999999999999</v>
      </c>
      <c r="AE14" s="34">
        <f>0.033*0.6</f>
        <v>1.9800000000000002E-2</v>
      </c>
      <c r="AF14" s="34">
        <f>0.008*0.6</f>
        <v>4.7999999999999996E-3</v>
      </c>
      <c r="AG14" s="34">
        <f>0.058*0.6</f>
        <v>3.4799999999999998E-2</v>
      </c>
      <c r="AH14" s="34">
        <f>0.011*0.6</f>
        <v>6.5999999999999991E-3</v>
      </c>
      <c r="AI14" s="34">
        <f>0.12*0.6</f>
        <v>7.1999999999999995E-2</v>
      </c>
      <c r="AJ14" s="34">
        <f>0.029*0.6</f>
        <v>1.7399999999999999E-2</v>
      </c>
      <c r="AK14" s="34">
        <f>0.016*0.6</f>
        <v>9.5999999999999992E-3</v>
      </c>
      <c r="AL14" s="34">
        <f>0.025*0.6</f>
        <v>1.4999999999999999E-2</v>
      </c>
      <c r="AM14" s="34">
        <f>0.006*0.6</f>
        <v>3.5999999999999999E-3</v>
      </c>
      <c r="AN14" s="34">
        <f>0.004*0.6</f>
        <v>2.3999999999999998E-3</v>
      </c>
      <c r="AO14" s="34">
        <f>0.008*0.6</f>
        <v>4.7999999999999996E-3</v>
      </c>
      <c r="AP14" s="35">
        <f t="shared" si="4"/>
        <v>1.7499999999999998</v>
      </c>
      <c r="AQ14" s="10">
        <f t="shared" si="2"/>
        <v>7.5</v>
      </c>
      <c r="AR14" s="11">
        <v>380</v>
      </c>
      <c r="AS14" s="10">
        <f>AQ14*AR14</f>
        <v>2850</v>
      </c>
      <c r="AT14" s="10">
        <f>AR14*(D14+1.638*0.6)</f>
        <v>1752.864</v>
      </c>
      <c r="AU14" s="10">
        <f>AR14*(E14+L14-1.638*0.6)</f>
        <v>1097.136</v>
      </c>
    </row>
    <row r="15" spans="1:48" ht="38.25" x14ac:dyDescent="0.25">
      <c r="A15" s="42" t="s">
        <v>13</v>
      </c>
      <c r="B15" s="14" t="s">
        <v>12</v>
      </c>
      <c r="C15" s="45" t="s">
        <v>105</v>
      </c>
      <c r="D15" s="16"/>
      <c r="E15" s="16"/>
      <c r="F15" s="18"/>
      <c r="G15" s="18"/>
      <c r="H15" s="18"/>
      <c r="I15" s="18"/>
      <c r="J15" s="18"/>
      <c r="K15" s="17"/>
      <c r="L15" s="17"/>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7"/>
      <c r="AQ15" s="10"/>
      <c r="AR15" s="15"/>
      <c r="AS15" s="10"/>
      <c r="AT15" s="10"/>
      <c r="AU15" s="10"/>
    </row>
    <row r="16" spans="1:48" x14ac:dyDescent="0.25">
      <c r="A16" s="42" t="s">
        <v>100</v>
      </c>
      <c r="B16" s="14" t="s">
        <v>12</v>
      </c>
      <c r="C16" s="45" t="s">
        <v>67</v>
      </c>
      <c r="D16" s="18">
        <f>6.042*(1.047+0.75)</f>
        <v>10.857474</v>
      </c>
      <c r="E16" s="18">
        <f>(3.532+5.04)*(1.047+0.75)</f>
        <v>15.403883999999998</v>
      </c>
      <c r="F16" s="18">
        <v>3.66588</v>
      </c>
      <c r="G16" s="55">
        <v>0.17610600000000001</v>
      </c>
      <c r="H16" s="55">
        <v>2.3432879999999998</v>
      </c>
      <c r="I16" s="55">
        <v>9.0568799999999996</v>
      </c>
      <c r="J16" s="55">
        <v>0.16172999999999998</v>
      </c>
      <c r="K16" s="19">
        <f t="shared" ref="K16:K20" si="6">SUM(D16:E16)</f>
        <v>26.261357999999998</v>
      </c>
      <c r="L16" s="19">
        <f>2.972*(1.047+0.75)</f>
        <v>5.3406839999999995</v>
      </c>
      <c r="M16" s="56">
        <f>1.638*(1.047+0.75)</f>
        <v>2.9434859999999996</v>
      </c>
      <c r="N16" s="34">
        <f>0.001*(1.047+0.75)</f>
        <v>1.797E-3</v>
      </c>
      <c r="O16" s="34">
        <f>0.003*(1.047+0.75)</f>
        <v>5.391E-3</v>
      </c>
      <c r="P16" s="34">
        <f>0.013*(1.047+0.75)</f>
        <v>2.3360999999999996E-2</v>
      </c>
      <c r="Q16" s="34">
        <f>0.002*(1.047+0.75)</f>
        <v>3.594E-3</v>
      </c>
      <c r="R16" s="56">
        <f>0.14*(1.047+0.75)</f>
        <v>0.25158000000000003</v>
      </c>
      <c r="S16" s="34">
        <f>0.036*(1.047+0.75)</f>
        <v>6.4692E-2</v>
      </c>
      <c r="T16" s="34">
        <f>0.006*(1.047+0.75)</f>
        <v>1.0782E-2</v>
      </c>
      <c r="U16" s="34">
        <f>0.067*(1.047+0.75)</f>
        <v>0.12039900000000001</v>
      </c>
      <c r="V16" s="34">
        <f>0.007*(1.047+0.75)</f>
        <v>1.2579E-2</v>
      </c>
      <c r="W16" s="34">
        <f>0.009*(1.047+0.75)</f>
        <v>1.6173E-2</v>
      </c>
      <c r="X16" s="34">
        <f>0.018*(1.047+0.75)</f>
        <v>3.2346E-2</v>
      </c>
      <c r="Y16" s="34">
        <f>0.253*(1.047+0.75)</f>
        <v>0.45464099999999996</v>
      </c>
      <c r="Z16" s="34">
        <f>0.118*(1.047+0.75)</f>
        <v>0.21204599999999998</v>
      </c>
      <c r="AA16" s="34">
        <f>0.034*(1.047+0.75)</f>
        <v>6.1098E-2</v>
      </c>
      <c r="AB16" s="34">
        <f>0.035*(1.047+0.75)</f>
        <v>6.2895000000000006E-2</v>
      </c>
      <c r="AC16" s="34">
        <f>0.011*(1.047+0.75)</f>
        <v>1.9766999999999996E-2</v>
      </c>
      <c r="AD16" s="34">
        <f>0.263*(1.047+0.75)</f>
        <v>0.472611</v>
      </c>
      <c r="AE16" s="34">
        <f>0.033*(1.047+0.75)</f>
        <v>5.9301E-2</v>
      </c>
      <c r="AF16" s="34">
        <f>0.008*(1.047+0.75)</f>
        <v>1.4376E-2</v>
      </c>
      <c r="AG16" s="34">
        <f>0.058*(1.047+0.75)</f>
        <v>0.104226</v>
      </c>
      <c r="AH16" s="34">
        <f>0.011*(1.047+0.75)</f>
        <v>1.9766999999999996E-2</v>
      </c>
      <c r="AI16" s="34">
        <f>0.12*(1.047+0.75)</f>
        <v>0.21563999999999997</v>
      </c>
      <c r="AJ16" s="34">
        <f>0.029*(1.047+0.75)</f>
        <v>5.2113E-2</v>
      </c>
      <c r="AK16" s="34">
        <f>0.016*(1.047+0.75)</f>
        <v>2.8752E-2</v>
      </c>
      <c r="AL16" s="34">
        <f>0.025*(1.047+0.75)</f>
        <v>4.4925E-2</v>
      </c>
      <c r="AM16" s="34">
        <f>0.006*(1.047+0.75)</f>
        <v>1.0782E-2</v>
      </c>
      <c r="AN16" s="34">
        <f>0.004*(1.047+0.75)</f>
        <v>7.1879999999999999E-3</v>
      </c>
      <c r="AO16" s="34">
        <f>0.008*(1.047+0.75)</f>
        <v>1.4376E-2</v>
      </c>
      <c r="AP16" s="57">
        <f t="shared" si="4"/>
        <v>5.3406839999999995</v>
      </c>
      <c r="AQ16" s="20">
        <f>K16+L16</f>
        <v>31.602041999999997</v>
      </c>
      <c r="AR16" s="11">
        <v>2500</v>
      </c>
      <c r="AS16" s="10">
        <f t="shared" ref="AS16:AS20" si="7">AQ16*AR16</f>
        <v>79005.104999999996</v>
      </c>
      <c r="AT16" s="10">
        <f>AR16*(D16+1.638)</f>
        <v>31238.684999999998</v>
      </c>
      <c r="AU16" s="10">
        <f>AR16*(E16+L16-1.638)</f>
        <v>47766.419999999991</v>
      </c>
    </row>
    <row r="17" spans="1:47" ht="15.75" x14ac:dyDescent="0.25">
      <c r="A17" s="42" t="s">
        <v>101</v>
      </c>
      <c r="B17" s="47" t="s">
        <v>115</v>
      </c>
      <c r="C17" s="45" t="s">
        <v>19</v>
      </c>
      <c r="D17" s="18">
        <f>6.042*(100%+100%)*(1.047+0.75)</f>
        <v>21.714948</v>
      </c>
      <c r="E17" s="18">
        <f t="shared" ref="E17:E20" si="8">(3.532+5.04)*(1.047+0.75)</f>
        <v>15.403883999999998</v>
      </c>
      <c r="F17" s="18">
        <v>3.66588</v>
      </c>
      <c r="G17" s="55">
        <v>0.17610600000000001</v>
      </c>
      <c r="H17" s="55">
        <v>2.3432879999999998</v>
      </c>
      <c r="I17" s="55">
        <v>9.0568799999999996</v>
      </c>
      <c r="J17" s="55">
        <v>0.16172999999999998</v>
      </c>
      <c r="K17" s="17">
        <f t="shared" si="6"/>
        <v>37.118831999999998</v>
      </c>
      <c r="L17" s="19">
        <f t="shared" ref="L17:L20" si="9">2.972*(1.047+0.75)</f>
        <v>5.3406839999999995</v>
      </c>
      <c r="M17" s="56">
        <f t="shared" ref="M17:M20" si="10">1.638*(1.047+0.75)</f>
        <v>2.9434859999999996</v>
      </c>
      <c r="N17" s="34">
        <f t="shared" ref="N17:N20" si="11">0.001*(1.047+0.75)</f>
        <v>1.797E-3</v>
      </c>
      <c r="O17" s="34">
        <f t="shared" ref="O17:O20" si="12">0.003*(1.047+0.75)</f>
        <v>5.391E-3</v>
      </c>
      <c r="P17" s="34">
        <f t="shared" ref="P17:P20" si="13">0.013*(1.047+0.75)</f>
        <v>2.3360999999999996E-2</v>
      </c>
      <c r="Q17" s="34">
        <f t="shared" ref="Q17:Q20" si="14">0.002*(1.047+0.75)</f>
        <v>3.594E-3</v>
      </c>
      <c r="R17" s="56">
        <f t="shared" ref="R17:R20" si="15">0.14*(1.047+0.75)</f>
        <v>0.25158000000000003</v>
      </c>
      <c r="S17" s="34">
        <f t="shared" ref="S17:S20" si="16">0.036*(1.047+0.75)</f>
        <v>6.4692E-2</v>
      </c>
      <c r="T17" s="34">
        <f t="shared" ref="T17:T20" si="17">0.006*(1.047+0.75)</f>
        <v>1.0782E-2</v>
      </c>
      <c r="U17" s="34">
        <f t="shared" ref="U17:U20" si="18">0.067*(1.047+0.75)</f>
        <v>0.12039900000000001</v>
      </c>
      <c r="V17" s="34">
        <f t="shared" ref="V17:V20" si="19">0.007*(1.047+0.75)</f>
        <v>1.2579E-2</v>
      </c>
      <c r="W17" s="34">
        <f t="shared" ref="W17:W20" si="20">0.009*(1.047+0.75)</f>
        <v>1.6173E-2</v>
      </c>
      <c r="X17" s="34">
        <f t="shared" ref="X17:X20" si="21">0.018*(1.047+0.75)</f>
        <v>3.2346E-2</v>
      </c>
      <c r="Y17" s="34">
        <f t="shared" ref="Y17:Y20" si="22">0.253*(1.047+0.75)</f>
        <v>0.45464099999999996</v>
      </c>
      <c r="Z17" s="34">
        <f t="shared" ref="Z17:Z20" si="23">0.118*(1.047+0.75)</f>
        <v>0.21204599999999998</v>
      </c>
      <c r="AA17" s="34">
        <f t="shared" ref="AA17:AA20" si="24">0.034*(1.047+0.75)</f>
        <v>6.1098E-2</v>
      </c>
      <c r="AB17" s="34">
        <f t="shared" ref="AB17:AB20" si="25">0.035*(1.047+0.75)</f>
        <v>6.2895000000000006E-2</v>
      </c>
      <c r="AC17" s="34">
        <f t="shared" ref="AC17:AC20" si="26">0.011*(1.047+0.75)</f>
        <v>1.9766999999999996E-2</v>
      </c>
      <c r="AD17" s="34">
        <f t="shared" ref="AD17:AD20" si="27">0.263*(1.047+0.75)</f>
        <v>0.472611</v>
      </c>
      <c r="AE17" s="34">
        <f t="shared" ref="AE17:AE20" si="28">0.033*(1.047+0.75)</f>
        <v>5.9301E-2</v>
      </c>
      <c r="AF17" s="34">
        <f t="shared" ref="AF17:AF20" si="29">0.008*(1.047+0.75)</f>
        <v>1.4376E-2</v>
      </c>
      <c r="AG17" s="34">
        <f t="shared" ref="AG17:AG20" si="30">0.058*(1.047+0.75)</f>
        <v>0.104226</v>
      </c>
      <c r="AH17" s="34">
        <f t="shared" ref="AH17:AH20" si="31">0.011*(1.047+0.75)</f>
        <v>1.9766999999999996E-2</v>
      </c>
      <c r="AI17" s="34">
        <f t="shared" ref="AI17:AI20" si="32">0.12*(1.047+0.75)</f>
        <v>0.21563999999999997</v>
      </c>
      <c r="AJ17" s="34">
        <f t="shared" ref="AJ17:AJ20" si="33">0.029*(1.047+0.75)</f>
        <v>5.2113E-2</v>
      </c>
      <c r="AK17" s="34">
        <f t="shared" ref="AK17:AK20" si="34">0.016*(1.047+0.75)</f>
        <v>2.8752E-2</v>
      </c>
      <c r="AL17" s="34">
        <f t="shared" ref="AL17:AL20" si="35">0.025*(1.047+0.75)</f>
        <v>4.4925E-2</v>
      </c>
      <c r="AM17" s="34">
        <f t="shared" ref="AM17:AM20" si="36">0.006*(1.047+0.75)</f>
        <v>1.0782E-2</v>
      </c>
      <c r="AN17" s="34">
        <f t="shared" ref="AN17:AN20" si="37">0.004*(1.047+0.75)</f>
        <v>7.1879999999999999E-3</v>
      </c>
      <c r="AO17" s="34">
        <f t="shared" ref="AO17:AO20" si="38">0.008*(1.047+0.75)</f>
        <v>1.4376E-2</v>
      </c>
      <c r="AP17" s="57">
        <f t="shared" si="4"/>
        <v>5.3406839999999995</v>
      </c>
      <c r="AQ17" s="20">
        <f>K17+L17</f>
        <v>42.459515999999994</v>
      </c>
      <c r="AR17" s="11">
        <v>0</v>
      </c>
      <c r="AS17" s="10">
        <f t="shared" si="7"/>
        <v>0</v>
      </c>
      <c r="AT17" s="10">
        <f>AR17*(D17+1.638)</f>
        <v>0</v>
      </c>
      <c r="AU17" s="10">
        <f>AR17*(E17+L17-1.638)</f>
        <v>0</v>
      </c>
    </row>
    <row r="18" spans="1:47" x14ac:dyDescent="0.25">
      <c r="A18" s="42" t="s">
        <v>102</v>
      </c>
      <c r="B18" s="14" t="s">
        <v>14</v>
      </c>
      <c r="C18" s="45" t="s">
        <v>20</v>
      </c>
      <c r="D18" s="18">
        <f>6.042*(200%+50%)*(1.047+0.75)</f>
        <v>27.143685000000001</v>
      </c>
      <c r="E18" s="18">
        <f t="shared" si="8"/>
        <v>15.403883999999998</v>
      </c>
      <c r="F18" s="18">
        <v>3.66588</v>
      </c>
      <c r="G18" s="55">
        <v>0.17610600000000001</v>
      </c>
      <c r="H18" s="55">
        <v>2.3432879999999998</v>
      </c>
      <c r="I18" s="55">
        <v>9.0568799999999996</v>
      </c>
      <c r="J18" s="55">
        <v>0.16172999999999998</v>
      </c>
      <c r="K18" s="17">
        <f t="shared" si="6"/>
        <v>42.547568999999996</v>
      </c>
      <c r="L18" s="19">
        <f t="shared" si="9"/>
        <v>5.3406839999999995</v>
      </c>
      <c r="M18" s="56">
        <f t="shared" si="10"/>
        <v>2.9434859999999996</v>
      </c>
      <c r="N18" s="34">
        <f t="shared" si="11"/>
        <v>1.797E-3</v>
      </c>
      <c r="O18" s="34">
        <f t="shared" si="12"/>
        <v>5.391E-3</v>
      </c>
      <c r="P18" s="34">
        <f t="shared" si="13"/>
        <v>2.3360999999999996E-2</v>
      </c>
      <c r="Q18" s="34">
        <f t="shared" si="14"/>
        <v>3.594E-3</v>
      </c>
      <c r="R18" s="56">
        <f t="shared" si="15"/>
        <v>0.25158000000000003</v>
      </c>
      <c r="S18" s="34">
        <f t="shared" si="16"/>
        <v>6.4692E-2</v>
      </c>
      <c r="T18" s="34">
        <f t="shared" si="17"/>
        <v>1.0782E-2</v>
      </c>
      <c r="U18" s="34">
        <f t="shared" si="18"/>
        <v>0.12039900000000001</v>
      </c>
      <c r="V18" s="34">
        <f t="shared" si="19"/>
        <v>1.2579E-2</v>
      </c>
      <c r="W18" s="34">
        <f t="shared" si="20"/>
        <v>1.6173E-2</v>
      </c>
      <c r="X18" s="34">
        <f t="shared" si="21"/>
        <v>3.2346E-2</v>
      </c>
      <c r="Y18" s="34">
        <f t="shared" si="22"/>
        <v>0.45464099999999996</v>
      </c>
      <c r="Z18" s="34">
        <f t="shared" si="23"/>
        <v>0.21204599999999998</v>
      </c>
      <c r="AA18" s="34">
        <f t="shared" si="24"/>
        <v>6.1098E-2</v>
      </c>
      <c r="AB18" s="34">
        <f t="shared" si="25"/>
        <v>6.2895000000000006E-2</v>
      </c>
      <c r="AC18" s="34">
        <f t="shared" si="26"/>
        <v>1.9766999999999996E-2</v>
      </c>
      <c r="AD18" s="34">
        <f t="shared" si="27"/>
        <v>0.472611</v>
      </c>
      <c r="AE18" s="34">
        <f t="shared" si="28"/>
        <v>5.9301E-2</v>
      </c>
      <c r="AF18" s="34">
        <f t="shared" si="29"/>
        <v>1.4376E-2</v>
      </c>
      <c r="AG18" s="34">
        <f t="shared" si="30"/>
        <v>0.104226</v>
      </c>
      <c r="AH18" s="34">
        <f t="shared" si="31"/>
        <v>1.9766999999999996E-2</v>
      </c>
      <c r="AI18" s="34">
        <f t="shared" si="32"/>
        <v>0.21563999999999997</v>
      </c>
      <c r="AJ18" s="34">
        <f t="shared" si="33"/>
        <v>5.2113E-2</v>
      </c>
      <c r="AK18" s="34">
        <f t="shared" si="34"/>
        <v>2.8752E-2</v>
      </c>
      <c r="AL18" s="34">
        <f t="shared" si="35"/>
        <v>4.4925E-2</v>
      </c>
      <c r="AM18" s="34">
        <f t="shared" si="36"/>
        <v>1.0782E-2</v>
      </c>
      <c r="AN18" s="34">
        <f t="shared" si="37"/>
        <v>7.1879999999999999E-3</v>
      </c>
      <c r="AO18" s="34">
        <f t="shared" si="38"/>
        <v>1.4376E-2</v>
      </c>
      <c r="AP18" s="57">
        <f t="shared" si="4"/>
        <v>5.3406839999999995</v>
      </c>
      <c r="AQ18" s="20">
        <f>K18+L18</f>
        <v>47.888252999999992</v>
      </c>
      <c r="AR18" s="11">
        <v>0</v>
      </c>
      <c r="AS18" s="10">
        <f t="shared" si="7"/>
        <v>0</v>
      </c>
      <c r="AT18" s="10">
        <f>AR18*(D18+1.638)</f>
        <v>0</v>
      </c>
      <c r="AU18" s="10">
        <f>AR18*(E18+L18-1.638)</f>
        <v>0</v>
      </c>
    </row>
    <row r="19" spans="1:47" x14ac:dyDescent="0.25">
      <c r="A19" s="42" t="s">
        <v>103</v>
      </c>
      <c r="B19" s="14" t="s">
        <v>15</v>
      </c>
      <c r="C19" s="45" t="s">
        <v>21</v>
      </c>
      <c r="D19" s="18">
        <f>6.042*(200%+100%)*(1.047+0.75)</f>
        <v>32.572421999999996</v>
      </c>
      <c r="E19" s="18">
        <f t="shared" si="8"/>
        <v>15.403883999999998</v>
      </c>
      <c r="F19" s="18">
        <v>3.66588</v>
      </c>
      <c r="G19" s="55">
        <v>0.17610600000000001</v>
      </c>
      <c r="H19" s="55">
        <v>2.3432879999999998</v>
      </c>
      <c r="I19" s="55">
        <v>9.0568799999999996</v>
      </c>
      <c r="J19" s="55">
        <v>0.16172999999999998</v>
      </c>
      <c r="K19" s="17">
        <f t="shared" si="6"/>
        <v>47.976305999999994</v>
      </c>
      <c r="L19" s="19">
        <f t="shared" si="9"/>
        <v>5.3406839999999995</v>
      </c>
      <c r="M19" s="56">
        <f t="shared" si="10"/>
        <v>2.9434859999999996</v>
      </c>
      <c r="N19" s="34">
        <f t="shared" si="11"/>
        <v>1.797E-3</v>
      </c>
      <c r="O19" s="34">
        <f t="shared" si="12"/>
        <v>5.391E-3</v>
      </c>
      <c r="P19" s="34">
        <f t="shared" si="13"/>
        <v>2.3360999999999996E-2</v>
      </c>
      <c r="Q19" s="34">
        <f t="shared" si="14"/>
        <v>3.594E-3</v>
      </c>
      <c r="R19" s="56">
        <f t="shared" si="15"/>
        <v>0.25158000000000003</v>
      </c>
      <c r="S19" s="34">
        <f t="shared" si="16"/>
        <v>6.4692E-2</v>
      </c>
      <c r="T19" s="34">
        <f t="shared" si="17"/>
        <v>1.0782E-2</v>
      </c>
      <c r="U19" s="34">
        <f t="shared" si="18"/>
        <v>0.12039900000000001</v>
      </c>
      <c r="V19" s="34">
        <f t="shared" si="19"/>
        <v>1.2579E-2</v>
      </c>
      <c r="W19" s="34">
        <f t="shared" si="20"/>
        <v>1.6173E-2</v>
      </c>
      <c r="X19" s="34">
        <f t="shared" si="21"/>
        <v>3.2346E-2</v>
      </c>
      <c r="Y19" s="34">
        <f t="shared" si="22"/>
        <v>0.45464099999999996</v>
      </c>
      <c r="Z19" s="34">
        <f t="shared" si="23"/>
        <v>0.21204599999999998</v>
      </c>
      <c r="AA19" s="34">
        <f t="shared" si="24"/>
        <v>6.1098E-2</v>
      </c>
      <c r="AB19" s="34">
        <f t="shared" si="25"/>
        <v>6.2895000000000006E-2</v>
      </c>
      <c r="AC19" s="34">
        <f t="shared" si="26"/>
        <v>1.9766999999999996E-2</v>
      </c>
      <c r="AD19" s="34">
        <f t="shared" si="27"/>
        <v>0.472611</v>
      </c>
      <c r="AE19" s="34">
        <f t="shared" si="28"/>
        <v>5.9301E-2</v>
      </c>
      <c r="AF19" s="34">
        <f t="shared" si="29"/>
        <v>1.4376E-2</v>
      </c>
      <c r="AG19" s="34">
        <f t="shared" si="30"/>
        <v>0.104226</v>
      </c>
      <c r="AH19" s="34">
        <f t="shared" si="31"/>
        <v>1.9766999999999996E-2</v>
      </c>
      <c r="AI19" s="34">
        <f t="shared" si="32"/>
        <v>0.21563999999999997</v>
      </c>
      <c r="AJ19" s="34">
        <f t="shared" si="33"/>
        <v>5.2113E-2</v>
      </c>
      <c r="AK19" s="34">
        <f t="shared" si="34"/>
        <v>2.8752E-2</v>
      </c>
      <c r="AL19" s="34">
        <f t="shared" si="35"/>
        <v>4.4925E-2</v>
      </c>
      <c r="AM19" s="34">
        <f t="shared" si="36"/>
        <v>1.0782E-2</v>
      </c>
      <c r="AN19" s="34">
        <f t="shared" si="37"/>
        <v>7.1879999999999999E-3</v>
      </c>
      <c r="AO19" s="34">
        <f t="shared" si="38"/>
        <v>1.4376E-2</v>
      </c>
      <c r="AP19" s="57">
        <f t="shared" si="4"/>
        <v>5.3406839999999995</v>
      </c>
      <c r="AQ19" s="20">
        <f>K19+L19</f>
        <v>53.31698999999999</v>
      </c>
      <c r="AR19" s="11">
        <v>0</v>
      </c>
      <c r="AS19" s="10">
        <f t="shared" si="7"/>
        <v>0</v>
      </c>
      <c r="AT19" s="10">
        <f>AR19*(D19+1.638)</f>
        <v>0</v>
      </c>
      <c r="AU19" s="10">
        <f>AR19*(E19+L19-1.638)</f>
        <v>0</v>
      </c>
    </row>
    <row r="20" spans="1:47" x14ac:dyDescent="0.25">
      <c r="A20" s="42" t="s">
        <v>104</v>
      </c>
      <c r="B20" s="14" t="s">
        <v>16</v>
      </c>
      <c r="C20" s="45" t="s">
        <v>78</v>
      </c>
      <c r="D20" s="18">
        <f>6.042*(200%+100%+50%)*(1.047+0.75)</f>
        <v>38.001158999999994</v>
      </c>
      <c r="E20" s="18">
        <f t="shared" si="8"/>
        <v>15.403883999999998</v>
      </c>
      <c r="F20" s="18">
        <v>3.66588</v>
      </c>
      <c r="G20" s="55">
        <v>0.17610600000000001</v>
      </c>
      <c r="H20" s="55">
        <v>2.3432879999999998</v>
      </c>
      <c r="I20" s="55">
        <v>9.0568799999999996</v>
      </c>
      <c r="J20" s="55">
        <v>0.16172999999999998</v>
      </c>
      <c r="K20" s="17">
        <f t="shared" si="6"/>
        <v>53.405042999999992</v>
      </c>
      <c r="L20" s="19">
        <f t="shared" si="9"/>
        <v>5.3406839999999995</v>
      </c>
      <c r="M20" s="56">
        <f t="shared" si="10"/>
        <v>2.9434859999999996</v>
      </c>
      <c r="N20" s="34">
        <f t="shared" si="11"/>
        <v>1.797E-3</v>
      </c>
      <c r="O20" s="34">
        <f t="shared" si="12"/>
        <v>5.391E-3</v>
      </c>
      <c r="P20" s="34">
        <f t="shared" si="13"/>
        <v>2.3360999999999996E-2</v>
      </c>
      <c r="Q20" s="34">
        <f t="shared" si="14"/>
        <v>3.594E-3</v>
      </c>
      <c r="R20" s="56">
        <f t="shared" si="15"/>
        <v>0.25158000000000003</v>
      </c>
      <c r="S20" s="34">
        <f t="shared" si="16"/>
        <v>6.4692E-2</v>
      </c>
      <c r="T20" s="34">
        <f t="shared" si="17"/>
        <v>1.0782E-2</v>
      </c>
      <c r="U20" s="34">
        <f t="shared" si="18"/>
        <v>0.12039900000000001</v>
      </c>
      <c r="V20" s="34">
        <f t="shared" si="19"/>
        <v>1.2579E-2</v>
      </c>
      <c r="W20" s="34">
        <f t="shared" si="20"/>
        <v>1.6173E-2</v>
      </c>
      <c r="X20" s="34">
        <f t="shared" si="21"/>
        <v>3.2346E-2</v>
      </c>
      <c r="Y20" s="34">
        <f t="shared" si="22"/>
        <v>0.45464099999999996</v>
      </c>
      <c r="Z20" s="34">
        <f t="shared" si="23"/>
        <v>0.21204599999999998</v>
      </c>
      <c r="AA20" s="34">
        <f t="shared" si="24"/>
        <v>6.1098E-2</v>
      </c>
      <c r="AB20" s="34">
        <f t="shared" si="25"/>
        <v>6.2895000000000006E-2</v>
      </c>
      <c r="AC20" s="34">
        <f t="shared" si="26"/>
        <v>1.9766999999999996E-2</v>
      </c>
      <c r="AD20" s="34">
        <f t="shared" si="27"/>
        <v>0.472611</v>
      </c>
      <c r="AE20" s="34">
        <f t="shared" si="28"/>
        <v>5.9301E-2</v>
      </c>
      <c r="AF20" s="34">
        <f t="shared" si="29"/>
        <v>1.4376E-2</v>
      </c>
      <c r="AG20" s="34">
        <f t="shared" si="30"/>
        <v>0.104226</v>
      </c>
      <c r="AH20" s="34">
        <f t="shared" si="31"/>
        <v>1.9766999999999996E-2</v>
      </c>
      <c r="AI20" s="34">
        <f t="shared" si="32"/>
        <v>0.21563999999999997</v>
      </c>
      <c r="AJ20" s="34">
        <f t="shared" si="33"/>
        <v>5.2113E-2</v>
      </c>
      <c r="AK20" s="34">
        <f t="shared" si="34"/>
        <v>2.8752E-2</v>
      </c>
      <c r="AL20" s="34">
        <f t="shared" si="35"/>
        <v>4.4925E-2</v>
      </c>
      <c r="AM20" s="34">
        <f t="shared" si="36"/>
        <v>1.0782E-2</v>
      </c>
      <c r="AN20" s="34">
        <f t="shared" si="37"/>
        <v>7.1879999999999999E-3</v>
      </c>
      <c r="AO20" s="34">
        <f t="shared" si="38"/>
        <v>1.4376E-2</v>
      </c>
      <c r="AP20" s="57">
        <f t="shared" si="4"/>
        <v>5.3406839999999995</v>
      </c>
      <c r="AQ20" s="20">
        <f>K20+L20</f>
        <v>58.745726999999988</v>
      </c>
      <c r="AR20" s="11">
        <v>0</v>
      </c>
      <c r="AS20" s="10">
        <f t="shared" si="7"/>
        <v>0</v>
      </c>
      <c r="AT20" s="10">
        <f>AR20*(D20+1.638)</f>
        <v>0</v>
      </c>
      <c r="AU20" s="10">
        <f>AR20*(E20+L20-1.638)</f>
        <v>0</v>
      </c>
    </row>
    <row r="21" spans="1:47" ht="63.75" x14ac:dyDescent="0.25">
      <c r="A21" s="42" t="s">
        <v>14</v>
      </c>
      <c r="B21" s="14" t="s">
        <v>13</v>
      </c>
      <c r="C21" s="45" t="s">
        <v>111</v>
      </c>
      <c r="D21" s="14"/>
      <c r="E21" s="14"/>
      <c r="F21" s="18"/>
      <c r="G21" s="18"/>
      <c r="H21" s="18"/>
      <c r="I21" s="18"/>
      <c r="J21" s="18"/>
      <c r="K21" s="9"/>
      <c r="L21" s="9"/>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54"/>
      <c r="AQ21" s="10"/>
      <c r="AR21" s="11"/>
      <c r="AS21" s="10"/>
      <c r="AT21" s="10"/>
      <c r="AU21" s="10"/>
    </row>
    <row r="22" spans="1:47" x14ac:dyDescent="0.25">
      <c r="A22" s="42" t="s">
        <v>106</v>
      </c>
      <c r="B22" s="14" t="s">
        <v>13</v>
      </c>
      <c r="C22" s="43" t="s">
        <v>67</v>
      </c>
      <c r="D22" s="34">
        <v>6.0419999999999998</v>
      </c>
      <c r="E22" s="34">
        <f t="shared" si="0"/>
        <v>8.5719999999999992</v>
      </c>
      <c r="F22" s="55">
        <v>2.04</v>
      </c>
      <c r="G22" s="55">
        <v>9.8000000000000004E-2</v>
      </c>
      <c r="H22" s="55">
        <v>1.304</v>
      </c>
      <c r="I22" s="55">
        <v>5.04</v>
      </c>
      <c r="J22" s="55">
        <v>0.09</v>
      </c>
      <c r="K22" s="35">
        <f t="shared" ref="K22" si="39">SUM(D22:E22)</f>
        <v>14.613999999999999</v>
      </c>
      <c r="L22" s="35">
        <f>2.972+0.01</f>
        <v>2.9819999999999998</v>
      </c>
      <c r="M22" s="34">
        <v>1.6379999999999999</v>
      </c>
      <c r="N22" s="34">
        <v>1E-3</v>
      </c>
      <c r="O22" s="34">
        <v>3.0000000000000001E-3</v>
      </c>
      <c r="P22" s="34">
        <v>1.2999999999999999E-2</v>
      </c>
      <c r="Q22" s="34">
        <v>2E-3</v>
      </c>
      <c r="R22" s="56">
        <v>0.14000000000000001</v>
      </c>
      <c r="S22" s="34">
        <v>3.5999999999999997E-2</v>
      </c>
      <c r="T22" s="34">
        <v>6.0000000000000001E-3</v>
      </c>
      <c r="U22" s="34">
        <v>6.7000000000000004E-2</v>
      </c>
      <c r="V22" s="34">
        <v>7.0000000000000001E-3</v>
      </c>
      <c r="W22" s="34">
        <v>8.9999999999999993E-3</v>
      </c>
      <c r="X22" s="34">
        <v>1.7999999999999999E-2</v>
      </c>
      <c r="Y22" s="34">
        <v>0.253</v>
      </c>
      <c r="Z22" s="34">
        <v>0.11799999999999999</v>
      </c>
      <c r="AA22" s="34">
        <v>3.4000000000000002E-2</v>
      </c>
      <c r="AB22" s="34">
        <v>3.5000000000000003E-2</v>
      </c>
      <c r="AC22" s="34">
        <v>1.0999999999999999E-2</v>
      </c>
      <c r="AD22" s="34">
        <f>0.263+0.01</f>
        <v>0.27300000000000002</v>
      </c>
      <c r="AE22" s="34">
        <v>3.3000000000000002E-2</v>
      </c>
      <c r="AF22" s="34">
        <v>8.0000000000000002E-3</v>
      </c>
      <c r="AG22" s="34">
        <v>5.8000000000000003E-2</v>
      </c>
      <c r="AH22" s="34">
        <v>1.0999999999999999E-2</v>
      </c>
      <c r="AI22" s="34">
        <v>0.12</v>
      </c>
      <c r="AJ22" s="34">
        <v>2.9000000000000001E-2</v>
      </c>
      <c r="AK22" s="34">
        <v>1.6E-2</v>
      </c>
      <c r="AL22" s="34">
        <v>2.5000000000000001E-2</v>
      </c>
      <c r="AM22" s="34">
        <v>6.0000000000000001E-3</v>
      </c>
      <c r="AN22" s="34">
        <v>4.0000000000000001E-3</v>
      </c>
      <c r="AO22" s="34">
        <v>8.0000000000000002E-3</v>
      </c>
      <c r="AP22" s="35">
        <f t="shared" ref="AP22:AP26" si="40">SUM(M22:AO22)</f>
        <v>2.9819999999999993</v>
      </c>
      <c r="AQ22" s="36">
        <f>K22+L22</f>
        <v>17.596</v>
      </c>
      <c r="AR22" s="37">
        <v>1415</v>
      </c>
      <c r="AS22" s="36">
        <f t="shared" ref="AS22" si="41">AQ22*AR22</f>
        <v>24898.34</v>
      </c>
      <c r="AT22" s="36">
        <f>AR22*(D22+1.638)</f>
        <v>10867.199999999999</v>
      </c>
      <c r="AU22" s="36">
        <f>AR22*(E22+L22-1.638)</f>
        <v>14031.139999999998</v>
      </c>
    </row>
    <row r="23" spans="1:47" ht="15.75" x14ac:dyDescent="0.25">
      <c r="A23" s="42" t="s">
        <v>107</v>
      </c>
      <c r="B23" s="47" t="s">
        <v>115</v>
      </c>
      <c r="C23" s="44" t="s">
        <v>19</v>
      </c>
      <c r="D23" s="14">
        <f>6.042*(100%+100%)</f>
        <v>12.084</v>
      </c>
      <c r="E23" s="14">
        <f t="shared" si="0"/>
        <v>8.5719999999999992</v>
      </c>
      <c r="F23" s="55">
        <v>2.04</v>
      </c>
      <c r="G23" s="55">
        <v>9.8000000000000004E-2</v>
      </c>
      <c r="H23" s="55">
        <v>1.304</v>
      </c>
      <c r="I23" s="55">
        <v>5.04</v>
      </c>
      <c r="J23" s="55">
        <v>0.09</v>
      </c>
      <c r="K23" s="9">
        <f>SUM(D23:E23)</f>
        <v>20.655999999999999</v>
      </c>
      <c r="L23" s="9">
        <v>2.972</v>
      </c>
      <c r="M23" s="34">
        <v>1.6379999999999999</v>
      </c>
      <c r="N23" s="34">
        <v>1E-3</v>
      </c>
      <c r="O23" s="34">
        <v>3.0000000000000001E-3</v>
      </c>
      <c r="P23" s="34">
        <v>1.2999999999999999E-2</v>
      </c>
      <c r="Q23" s="34">
        <v>2E-3</v>
      </c>
      <c r="R23" s="56">
        <v>0.14000000000000001</v>
      </c>
      <c r="S23" s="34">
        <v>3.5999999999999997E-2</v>
      </c>
      <c r="T23" s="34">
        <v>6.0000000000000001E-3</v>
      </c>
      <c r="U23" s="34">
        <v>6.7000000000000004E-2</v>
      </c>
      <c r="V23" s="34">
        <v>7.0000000000000001E-3</v>
      </c>
      <c r="W23" s="34">
        <v>8.9999999999999993E-3</v>
      </c>
      <c r="X23" s="34">
        <v>1.7999999999999999E-2</v>
      </c>
      <c r="Y23" s="34">
        <v>0.253</v>
      </c>
      <c r="Z23" s="34">
        <v>0.11799999999999999</v>
      </c>
      <c r="AA23" s="34">
        <v>3.4000000000000002E-2</v>
      </c>
      <c r="AB23" s="34">
        <v>3.5000000000000003E-2</v>
      </c>
      <c r="AC23" s="34">
        <v>1.0999999999999999E-2</v>
      </c>
      <c r="AD23" s="34">
        <f t="shared" ref="AD23:AD26" si="42">0.263</f>
        <v>0.26300000000000001</v>
      </c>
      <c r="AE23" s="34">
        <v>3.3000000000000002E-2</v>
      </c>
      <c r="AF23" s="34">
        <v>8.0000000000000002E-3</v>
      </c>
      <c r="AG23" s="34">
        <v>5.8000000000000003E-2</v>
      </c>
      <c r="AH23" s="34">
        <v>1.0999999999999999E-2</v>
      </c>
      <c r="AI23" s="34">
        <v>0.12</v>
      </c>
      <c r="AJ23" s="34">
        <v>2.9000000000000001E-2</v>
      </c>
      <c r="AK23" s="34">
        <v>1.6E-2</v>
      </c>
      <c r="AL23" s="34">
        <v>2.5000000000000001E-2</v>
      </c>
      <c r="AM23" s="34">
        <v>6.0000000000000001E-3</v>
      </c>
      <c r="AN23" s="34">
        <v>4.0000000000000001E-3</v>
      </c>
      <c r="AO23" s="34">
        <v>8.0000000000000002E-3</v>
      </c>
      <c r="AP23" s="35">
        <f t="shared" si="40"/>
        <v>2.9719999999999991</v>
      </c>
      <c r="AQ23" s="10">
        <f>K23+L23</f>
        <v>23.628</v>
      </c>
      <c r="AR23" s="11">
        <f>870-750</f>
        <v>120</v>
      </c>
      <c r="AS23" s="10">
        <f>AQ23*AR23</f>
        <v>2835.36</v>
      </c>
      <c r="AT23" s="10">
        <f>AR23*(D23+1.638)</f>
        <v>1646.6399999999999</v>
      </c>
      <c r="AU23" s="10">
        <f>AR23*(E23+L23-1.638)</f>
        <v>1188.7199999999998</v>
      </c>
    </row>
    <row r="24" spans="1:47" x14ac:dyDescent="0.25">
      <c r="A24" s="42" t="s">
        <v>108</v>
      </c>
      <c r="B24" s="14" t="s">
        <v>14</v>
      </c>
      <c r="C24" s="44" t="s">
        <v>20</v>
      </c>
      <c r="D24" s="14">
        <f>6.042*(200%+50%)</f>
        <v>15.105</v>
      </c>
      <c r="E24" s="14">
        <f t="shared" si="0"/>
        <v>8.5719999999999992</v>
      </c>
      <c r="F24" s="55">
        <v>2.04</v>
      </c>
      <c r="G24" s="55">
        <v>9.8000000000000004E-2</v>
      </c>
      <c r="H24" s="55">
        <v>1.304</v>
      </c>
      <c r="I24" s="55">
        <v>5.04</v>
      </c>
      <c r="J24" s="55">
        <v>0.09</v>
      </c>
      <c r="K24" s="9">
        <f>SUM(D24:E24)</f>
        <v>23.677</v>
      </c>
      <c r="L24" s="9">
        <v>2.972</v>
      </c>
      <c r="M24" s="34">
        <v>1.6379999999999999</v>
      </c>
      <c r="N24" s="34">
        <v>1E-3</v>
      </c>
      <c r="O24" s="34">
        <v>3.0000000000000001E-3</v>
      </c>
      <c r="P24" s="34">
        <v>1.2999999999999999E-2</v>
      </c>
      <c r="Q24" s="34">
        <v>2E-3</v>
      </c>
      <c r="R24" s="56">
        <v>0.14000000000000001</v>
      </c>
      <c r="S24" s="34">
        <v>3.5999999999999997E-2</v>
      </c>
      <c r="T24" s="34">
        <v>6.0000000000000001E-3</v>
      </c>
      <c r="U24" s="34">
        <v>6.7000000000000004E-2</v>
      </c>
      <c r="V24" s="34">
        <v>7.0000000000000001E-3</v>
      </c>
      <c r="W24" s="34">
        <v>8.9999999999999993E-3</v>
      </c>
      <c r="X24" s="34">
        <v>1.7999999999999999E-2</v>
      </c>
      <c r="Y24" s="34">
        <v>0.253</v>
      </c>
      <c r="Z24" s="34">
        <v>0.11799999999999999</v>
      </c>
      <c r="AA24" s="34">
        <v>3.4000000000000002E-2</v>
      </c>
      <c r="AB24" s="34">
        <v>3.5000000000000003E-2</v>
      </c>
      <c r="AC24" s="34">
        <v>1.0999999999999999E-2</v>
      </c>
      <c r="AD24" s="34">
        <f t="shared" si="42"/>
        <v>0.26300000000000001</v>
      </c>
      <c r="AE24" s="34">
        <v>3.3000000000000002E-2</v>
      </c>
      <c r="AF24" s="34">
        <v>8.0000000000000002E-3</v>
      </c>
      <c r="AG24" s="34">
        <v>5.8000000000000003E-2</v>
      </c>
      <c r="AH24" s="34">
        <v>1.0999999999999999E-2</v>
      </c>
      <c r="AI24" s="34">
        <v>0.12</v>
      </c>
      <c r="AJ24" s="34">
        <v>2.9000000000000001E-2</v>
      </c>
      <c r="AK24" s="34">
        <v>1.6E-2</v>
      </c>
      <c r="AL24" s="34">
        <v>2.5000000000000001E-2</v>
      </c>
      <c r="AM24" s="34">
        <v>6.0000000000000001E-3</v>
      </c>
      <c r="AN24" s="34">
        <v>4.0000000000000001E-3</v>
      </c>
      <c r="AO24" s="34">
        <v>8.0000000000000002E-3</v>
      </c>
      <c r="AP24" s="35">
        <f t="shared" si="40"/>
        <v>2.9719999999999991</v>
      </c>
      <c r="AQ24" s="10">
        <f>K24+L24</f>
        <v>26.649000000000001</v>
      </c>
      <c r="AR24" s="11">
        <f>85-55</f>
        <v>30</v>
      </c>
      <c r="AS24" s="10">
        <f>AQ24*AR24</f>
        <v>799.47</v>
      </c>
      <c r="AT24" s="10">
        <f>AR24*(D24+1.638)</f>
        <v>502.29000000000008</v>
      </c>
      <c r="AU24" s="10">
        <f>AR24*(E24+L24-1.638)</f>
        <v>297.17999999999995</v>
      </c>
    </row>
    <row r="25" spans="1:47" x14ac:dyDescent="0.25">
      <c r="A25" s="42" t="s">
        <v>109</v>
      </c>
      <c r="B25" s="14" t="s">
        <v>15</v>
      </c>
      <c r="C25" s="44" t="s">
        <v>21</v>
      </c>
      <c r="D25" s="14">
        <f>6.042*(200%+100%)</f>
        <v>18.125999999999998</v>
      </c>
      <c r="E25" s="14">
        <f t="shared" si="0"/>
        <v>8.5719999999999992</v>
      </c>
      <c r="F25" s="55">
        <v>2.04</v>
      </c>
      <c r="G25" s="55">
        <v>9.8000000000000004E-2</v>
      </c>
      <c r="H25" s="55">
        <v>1.304</v>
      </c>
      <c r="I25" s="55">
        <v>5.04</v>
      </c>
      <c r="J25" s="55">
        <v>0.09</v>
      </c>
      <c r="K25" s="9">
        <f>SUM(D25:E25)</f>
        <v>26.697999999999997</v>
      </c>
      <c r="L25" s="9">
        <v>2.972</v>
      </c>
      <c r="M25" s="34">
        <v>1.6379999999999999</v>
      </c>
      <c r="N25" s="34">
        <v>1E-3</v>
      </c>
      <c r="O25" s="34">
        <v>3.0000000000000001E-3</v>
      </c>
      <c r="P25" s="34">
        <v>1.2999999999999999E-2</v>
      </c>
      <c r="Q25" s="34">
        <v>2E-3</v>
      </c>
      <c r="R25" s="56">
        <v>0.14000000000000001</v>
      </c>
      <c r="S25" s="34">
        <v>3.5999999999999997E-2</v>
      </c>
      <c r="T25" s="34">
        <v>6.0000000000000001E-3</v>
      </c>
      <c r="U25" s="34">
        <v>6.7000000000000004E-2</v>
      </c>
      <c r="V25" s="34">
        <v>7.0000000000000001E-3</v>
      </c>
      <c r="W25" s="34">
        <v>8.9999999999999993E-3</v>
      </c>
      <c r="X25" s="34">
        <v>1.7999999999999999E-2</v>
      </c>
      <c r="Y25" s="34">
        <v>0.253</v>
      </c>
      <c r="Z25" s="34">
        <v>0.11799999999999999</v>
      </c>
      <c r="AA25" s="34">
        <v>3.4000000000000002E-2</v>
      </c>
      <c r="AB25" s="34">
        <v>3.5000000000000003E-2</v>
      </c>
      <c r="AC25" s="34">
        <v>1.0999999999999999E-2</v>
      </c>
      <c r="AD25" s="34">
        <f t="shared" si="42"/>
        <v>0.26300000000000001</v>
      </c>
      <c r="AE25" s="34">
        <v>3.3000000000000002E-2</v>
      </c>
      <c r="AF25" s="34">
        <v>8.0000000000000002E-3</v>
      </c>
      <c r="AG25" s="34">
        <v>5.8000000000000003E-2</v>
      </c>
      <c r="AH25" s="34">
        <v>1.0999999999999999E-2</v>
      </c>
      <c r="AI25" s="34">
        <v>0.12</v>
      </c>
      <c r="AJ25" s="34">
        <v>2.9000000000000001E-2</v>
      </c>
      <c r="AK25" s="34">
        <v>1.6E-2</v>
      </c>
      <c r="AL25" s="34">
        <v>2.5000000000000001E-2</v>
      </c>
      <c r="AM25" s="34">
        <v>6.0000000000000001E-3</v>
      </c>
      <c r="AN25" s="34">
        <v>4.0000000000000001E-3</v>
      </c>
      <c r="AO25" s="34">
        <v>8.0000000000000002E-3</v>
      </c>
      <c r="AP25" s="35">
        <f t="shared" si="40"/>
        <v>2.9719999999999991</v>
      </c>
      <c r="AQ25" s="10">
        <f>K25+L25</f>
        <v>29.669999999999998</v>
      </c>
      <c r="AR25" s="11">
        <f>45-35</f>
        <v>10</v>
      </c>
      <c r="AS25" s="10">
        <f>AQ25*AR25</f>
        <v>296.7</v>
      </c>
      <c r="AT25" s="10">
        <f>AR25*(D25+1.638)</f>
        <v>197.63999999999996</v>
      </c>
      <c r="AU25" s="10">
        <f>AR25*(E25+L25-1.638)</f>
        <v>99.059999999999988</v>
      </c>
    </row>
    <row r="26" spans="1:47" x14ac:dyDescent="0.25">
      <c r="A26" s="42" t="s">
        <v>110</v>
      </c>
      <c r="B26" s="14" t="s">
        <v>16</v>
      </c>
      <c r="C26" s="44" t="s">
        <v>78</v>
      </c>
      <c r="D26" s="14">
        <f>6.042*(100%+200%+50%)</f>
        <v>21.146999999999998</v>
      </c>
      <c r="E26" s="14">
        <f t="shared" si="0"/>
        <v>8.5719999999999992</v>
      </c>
      <c r="F26" s="55">
        <v>2.04</v>
      </c>
      <c r="G26" s="55">
        <v>9.8000000000000004E-2</v>
      </c>
      <c r="H26" s="55">
        <v>1.304</v>
      </c>
      <c r="I26" s="55">
        <v>5.04</v>
      </c>
      <c r="J26" s="55">
        <v>0.09</v>
      </c>
      <c r="K26" s="9">
        <f>SUM(D26:E26)</f>
        <v>29.718999999999998</v>
      </c>
      <c r="L26" s="9">
        <v>2.972</v>
      </c>
      <c r="M26" s="34">
        <v>1.6379999999999999</v>
      </c>
      <c r="N26" s="34">
        <v>1E-3</v>
      </c>
      <c r="O26" s="34">
        <v>3.0000000000000001E-3</v>
      </c>
      <c r="P26" s="34">
        <v>1.2999999999999999E-2</v>
      </c>
      <c r="Q26" s="34">
        <v>2E-3</v>
      </c>
      <c r="R26" s="56">
        <v>0.14000000000000001</v>
      </c>
      <c r="S26" s="34">
        <v>3.5999999999999997E-2</v>
      </c>
      <c r="T26" s="34">
        <v>6.0000000000000001E-3</v>
      </c>
      <c r="U26" s="34">
        <v>6.7000000000000004E-2</v>
      </c>
      <c r="V26" s="34">
        <v>7.0000000000000001E-3</v>
      </c>
      <c r="W26" s="34">
        <v>8.9999999999999993E-3</v>
      </c>
      <c r="X26" s="34">
        <v>1.7999999999999999E-2</v>
      </c>
      <c r="Y26" s="34">
        <v>0.253</v>
      </c>
      <c r="Z26" s="34">
        <v>0.11799999999999999</v>
      </c>
      <c r="AA26" s="34">
        <v>3.4000000000000002E-2</v>
      </c>
      <c r="AB26" s="34">
        <v>3.5000000000000003E-2</v>
      </c>
      <c r="AC26" s="34">
        <v>1.0999999999999999E-2</v>
      </c>
      <c r="AD26" s="34">
        <f t="shared" si="42"/>
        <v>0.26300000000000001</v>
      </c>
      <c r="AE26" s="34">
        <v>3.3000000000000002E-2</v>
      </c>
      <c r="AF26" s="34">
        <v>8.0000000000000002E-3</v>
      </c>
      <c r="AG26" s="34">
        <v>5.8000000000000003E-2</v>
      </c>
      <c r="AH26" s="34">
        <v>1.0999999999999999E-2</v>
      </c>
      <c r="AI26" s="34">
        <v>0.12</v>
      </c>
      <c r="AJ26" s="34">
        <v>2.9000000000000001E-2</v>
      </c>
      <c r="AK26" s="34">
        <v>1.6E-2</v>
      </c>
      <c r="AL26" s="34">
        <v>2.5000000000000001E-2</v>
      </c>
      <c r="AM26" s="34">
        <v>6.0000000000000001E-3</v>
      </c>
      <c r="AN26" s="34">
        <v>4.0000000000000001E-3</v>
      </c>
      <c r="AO26" s="34">
        <v>8.0000000000000002E-3</v>
      </c>
      <c r="AP26" s="35">
        <f t="shared" si="40"/>
        <v>2.9719999999999991</v>
      </c>
      <c r="AQ26" s="10">
        <f>K26+L26</f>
        <v>32.690999999999995</v>
      </c>
      <c r="AR26" s="11">
        <f>12-8</f>
        <v>4</v>
      </c>
      <c r="AS26" s="10">
        <f>AQ26*AR26</f>
        <v>130.76399999999998</v>
      </c>
      <c r="AT26" s="10">
        <f>AR26*(D26+1.638)</f>
        <v>91.139999999999986</v>
      </c>
      <c r="AU26" s="10">
        <f>AR26*(E26+L26-1.638)</f>
        <v>39.623999999999995</v>
      </c>
    </row>
    <row r="27" spans="1:47" x14ac:dyDescent="0.25">
      <c r="A27" s="39" t="s">
        <v>31</v>
      </c>
      <c r="B27" s="73" t="s">
        <v>32</v>
      </c>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5"/>
    </row>
    <row r="28" spans="1:47" ht="25.5" x14ac:dyDescent="0.25">
      <c r="A28" s="41" t="s">
        <v>15</v>
      </c>
      <c r="B28" s="12" t="s">
        <v>18</v>
      </c>
      <c r="C28" s="46" t="s">
        <v>80</v>
      </c>
      <c r="D28" s="76" t="s">
        <v>56</v>
      </c>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8"/>
    </row>
    <row r="29" spans="1:47" ht="25.5" x14ac:dyDescent="0.25">
      <c r="A29" s="41" t="s">
        <v>16</v>
      </c>
      <c r="B29" s="12" t="s">
        <v>22</v>
      </c>
      <c r="C29" s="45" t="s">
        <v>34</v>
      </c>
      <c r="D29" s="76" t="s">
        <v>56</v>
      </c>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8"/>
    </row>
    <row r="30" spans="1:47" ht="63.75" x14ac:dyDescent="0.25">
      <c r="A30" s="41" t="s">
        <v>17</v>
      </c>
      <c r="B30" s="12" t="s">
        <v>23</v>
      </c>
      <c r="C30" s="46" t="s">
        <v>82</v>
      </c>
      <c r="D30" s="76" t="s">
        <v>56</v>
      </c>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8"/>
    </row>
    <row r="31" spans="1:47" ht="76.5" x14ac:dyDescent="0.25">
      <c r="A31" s="41" t="s">
        <v>18</v>
      </c>
      <c r="B31" s="12" t="s">
        <v>24</v>
      </c>
      <c r="C31" s="46" t="s">
        <v>83</v>
      </c>
      <c r="D31" s="76" t="s">
        <v>56</v>
      </c>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8"/>
    </row>
    <row r="32" spans="1:47" ht="89.25" x14ac:dyDescent="0.25">
      <c r="A32" s="41" t="s">
        <v>22</v>
      </c>
      <c r="B32" s="12" t="s">
        <v>81</v>
      </c>
      <c r="C32" s="45" t="s">
        <v>75</v>
      </c>
      <c r="D32" s="14">
        <v>6.0419999999999998</v>
      </c>
      <c r="E32" s="14">
        <f t="shared" ref="E32:E38" si="43">3.532+5.04</f>
        <v>8.5719999999999992</v>
      </c>
      <c r="F32" s="55">
        <v>2.04</v>
      </c>
      <c r="G32" s="55">
        <v>9.8000000000000004E-2</v>
      </c>
      <c r="H32" s="55">
        <v>1.304</v>
      </c>
      <c r="I32" s="55">
        <v>5.04</v>
      </c>
      <c r="J32" s="55">
        <v>0.09</v>
      </c>
      <c r="K32" s="9">
        <f t="shared" ref="K32" si="44">SUM(D32:E32)</f>
        <v>14.613999999999999</v>
      </c>
      <c r="L32" s="9">
        <f t="shared" ref="L32:L34" si="45">2.972+0.01</f>
        <v>2.9819999999999998</v>
      </c>
      <c r="M32" s="34">
        <v>1.6379999999999999</v>
      </c>
      <c r="N32" s="34">
        <v>1E-3</v>
      </c>
      <c r="O32" s="34">
        <v>3.0000000000000001E-3</v>
      </c>
      <c r="P32" s="34">
        <v>1.2999999999999999E-2</v>
      </c>
      <c r="Q32" s="34">
        <v>2E-3</v>
      </c>
      <c r="R32" s="56">
        <v>0.14000000000000001</v>
      </c>
      <c r="S32" s="34">
        <v>3.5999999999999997E-2</v>
      </c>
      <c r="T32" s="34">
        <v>6.0000000000000001E-3</v>
      </c>
      <c r="U32" s="34">
        <v>6.7000000000000004E-2</v>
      </c>
      <c r="V32" s="34">
        <v>7.0000000000000001E-3</v>
      </c>
      <c r="W32" s="34">
        <v>8.9999999999999993E-3</v>
      </c>
      <c r="X32" s="34">
        <v>1.7999999999999999E-2</v>
      </c>
      <c r="Y32" s="34">
        <v>0.253</v>
      </c>
      <c r="Z32" s="34">
        <v>0.11799999999999999</v>
      </c>
      <c r="AA32" s="34">
        <v>3.4000000000000002E-2</v>
      </c>
      <c r="AB32" s="34">
        <v>3.5000000000000003E-2</v>
      </c>
      <c r="AC32" s="34">
        <v>1.0999999999999999E-2</v>
      </c>
      <c r="AD32" s="34">
        <f>0.263+0.01</f>
        <v>0.27300000000000002</v>
      </c>
      <c r="AE32" s="34">
        <v>3.3000000000000002E-2</v>
      </c>
      <c r="AF32" s="34">
        <v>8.0000000000000002E-3</v>
      </c>
      <c r="AG32" s="34">
        <v>5.8000000000000003E-2</v>
      </c>
      <c r="AH32" s="34">
        <v>1.0999999999999999E-2</v>
      </c>
      <c r="AI32" s="34">
        <v>0.12</v>
      </c>
      <c r="AJ32" s="34">
        <v>2.9000000000000001E-2</v>
      </c>
      <c r="AK32" s="34">
        <v>1.6E-2</v>
      </c>
      <c r="AL32" s="34">
        <v>2.5000000000000001E-2</v>
      </c>
      <c r="AM32" s="34">
        <v>6.0000000000000001E-3</v>
      </c>
      <c r="AN32" s="34">
        <v>4.0000000000000001E-3</v>
      </c>
      <c r="AO32" s="34">
        <v>8.0000000000000002E-3</v>
      </c>
      <c r="AP32" s="54">
        <f>SUM(M32:AO32)</f>
        <v>2.9819999999999993</v>
      </c>
      <c r="AQ32" s="10">
        <f>K32+L32</f>
        <v>17.596</v>
      </c>
      <c r="AR32" s="11">
        <v>0</v>
      </c>
      <c r="AS32" s="10">
        <f t="shared" ref="AS32" si="46">AQ32*AR32</f>
        <v>0</v>
      </c>
      <c r="AT32" s="10">
        <f>AR32*(D32+1.638)</f>
        <v>0</v>
      </c>
      <c r="AU32" s="10">
        <f>AR32*(E32+L32-1.638)</f>
        <v>0</v>
      </c>
    </row>
    <row r="33" spans="1:47" ht="51" x14ac:dyDescent="0.25">
      <c r="A33" s="42" t="s">
        <v>23</v>
      </c>
      <c r="B33" s="14" t="s">
        <v>25</v>
      </c>
      <c r="C33" s="45" t="s">
        <v>76</v>
      </c>
      <c r="D33" s="23"/>
      <c r="E33" s="23"/>
      <c r="F33" s="23"/>
      <c r="G33" s="23"/>
      <c r="H33" s="23"/>
      <c r="I33" s="23"/>
      <c r="J33" s="23"/>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4"/>
      <c r="AR33" s="25"/>
      <c r="AS33" s="22"/>
      <c r="AT33" s="22"/>
      <c r="AU33" s="22"/>
    </row>
    <row r="34" spans="1:47" x14ac:dyDescent="0.25">
      <c r="A34" s="42" t="s">
        <v>68</v>
      </c>
      <c r="B34" s="14" t="s">
        <v>25</v>
      </c>
      <c r="C34" s="43" t="s">
        <v>67</v>
      </c>
      <c r="D34" s="14">
        <v>6.0419999999999998</v>
      </c>
      <c r="E34" s="14">
        <f t="shared" si="43"/>
        <v>8.5719999999999992</v>
      </c>
      <c r="F34" s="55">
        <v>2.04</v>
      </c>
      <c r="G34" s="55">
        <v>9.8000000000000004E-2</v>
      </c>
      <c r="H34" s="55">
        <v>1.304</v>
      </c>
      <c r="I34" s="55">
        <v>5.04</v>
      </c>
      <c r="J34" s="55">
        <v>0.09</v>
      </c>
      <c r="K34" s="9">
        <f>SUM(D34:E34)</f>
        <v>14.613999999999999</v>
      </c>
      <c r="L34" s="9">
        <f t="shared" si="45"/>
        <v>2.9819999999999998</v>
      </c>
      <c r="M34" s="34">
        <v>1.6379999999999999</v>
      </c>
      <c r="N34" s="34">
        <v>1E-3</v>
      </c>
      <c r="O34" s="34">
        <v>3.0000000000000001E-3</v>
      </c>
      <c r="P34" s="34">
        <v>1.2999999999999999E-2</v>
      </c>
      <c r="Q34" s="34">
        <v>2E-3</v>
      </c>
      <c r="R34" s="56">
        <v>0.14000000000000001</v>
      </c>
      <c r="S34" s="34">
        <v>3.5999999999999997E-2</v>
      </c>
      <c r="T34" s="34">
        <v>6.0000000000000001E-3</v>
      </c>
      <c r="U34" s="34">
        <v>6.7000000000000004E-2</v>
      </c>
      <c r="V34" s="34">
        <v>7.0000000000000001E-3</v>
      </c>
      <c r="W34" s="34">
        <v>8.9999999999999993E-3</v>
      </c>
      <c r="X34" s="34">
        <v>1.7999999999999999E-2</v>
      </c>
      <c r="Y34" s="34">
        <v>0.253</v>
      </c>
      <c r="Z34" s="34">
        <v>0.11799999999999999</v>
      </c>
      <c r="AA34" s="34">
        <v>3.4000000000000002E-2</v>
      </c>
      <c r="AB34" s="34">
        <v>3.5000000000000003E-2</v>
      </c>
      <c r="AC34" s="34">
        <v>1.0999999999999999E-2</v>
      </c>
      <c r="AD34" s="34">
        <f>0.263+0.01</f>
        <v>0.27300000000000002</v>
      </c>
      <c r="AE34" s="34">
        <v>3.3000000000000002E-2</v>
      </c>
      <c r="AF34" s="34">
        <v>8.0000000000000002E-3</v>
      </c>
      <c r="AG34" s="34">
        <v>5.8000000000000003E-2</v>
      </c>
      <c r="AH34" s="34">
        <v>1.0999999999999999E-2</v>
      </c>
      <c r="AI34" s="34">
        <v>0.12</v>
      </c>
      <c r="AJ34" s="34">
        <v>2.9000000000000001E-2</v>
      </c>
      <c r="AK34" s="34">
        <v>1.6E-2</v>
      </c>
      <c r="AL34" s="34">
        <v>2.5000000000000001E-2</v>
      </c>
      <c r="AM34" s="34">
        <v>6.0000000000000001E-3</v>
      </c>
      <c r="AN34" s="34">
        <v>4.0000000000000001E-3</v>
      </c>
      <c r="AO34" s="34">
        <v>8.0000000000000002E-3</v>
      </c>
      <c r="AP34" s="54">
        <f t="shared" ref="AP34:AP38" si="47">SUM(M34:AO34)</f>
        <v>2.9819999999999993</v>
      </c>
      <c r="AQ34" s="10">
        <f>K34+L34</f>
        <v>17.596</v>
      </c>
      <c r="AR34" s="11">
        <v>360</v>
      </c>
      <c r="AS34" s="10">
        <f>AQ34*AR34</f>
        <v>6334.56</v>
      </c>
      <c r="AT34" s="10">
        <f>AR34*(D34+1.638)</f>
        <v>2764.7999999999997</v>
      </c>
      <c r="AU34" s="10">
        <f>AR34*(E34+L34-1.638)</f>
        <v>3569.7599999999993</v>
      </c>
    </row>
    <row r="35" spans="1:47" ht="15.75" x14ac:dyDescent="0.25">
      <c r="A35" s="42" t="s">
        <v>69</v>
      </c>
      <c r="B35" s="47" t="s">
        <v>117</v>
      </c>
      <c r="C35" s="44" t="s">
        <v>19</v>
      </c>
      <c r="D35" s="14">
        <f>6.042*(100%+100%)</f>
        <v>12.084</v>
      </c>
      <c r="E35" s="14">
        <f t="shared" si="43"/>
        <v>8.5719999999999992</v>
      </c>
      <c r="F35" s="55">
        <v>2.04</v>
      </c>
      <c r="G35" s="55">
        <v>9.8000000000000004E-2</v>
      </c>
      <c r="H35" s="55">
        <v>1.304</v>
      </c>
      <c r="I35" s="55">
        <v>5.04</v>
      </c>
      <c r="J35" s="55">
        <v>0.09</v>
      </c>
      <c r="K35" s="9">
        <f>SUM(D35:E35)</f>
        <v>20.655999999999999</v>
      </c>
      <c r="L35" s="9">
        <v>2.972</v>
      </c>
      <c r="M35" s="34">
        <v>1.6379999999999999</v>
      </c>
      <c r="N35" s="34">
        <v>1E-3</v>
      </c>
      <c r="O35" s="34">
        <v>3.0000000000000001E-3</v>
      </c>
      <c r="P35" s="34">
        <v>1.2999999999999999E-2</v>
      </c>
      <c r="Q35" s="34">
        <v>2E-3</v>
      </c>
      <c r="R35" s="56">
        <v>0.14000000000000001</v>
      </c>
      <c r="S35" s="34">
        <v>3.5999999999999997E-2</v>
      </c>
      <c r="T35" s="34">
        <v>6.0000000000000001E-3</v>
      </c>
      <c r="U35" s="34">
        <v>6.7000000000000004E-2</v>
      </c>
      <c r="V35" s="34">
        <v>7.0000000000000001E-3</v>
      </c>
      <c r="W35" s="34">
        <v>8.9999999999999993E-3</v>
      </c>
      <c r="X35" s="34">
        <v>1.7999999999999999E-2</v>
      </c>
      <c r="Y35" s="34">
        <v>0.253</v>
      </c>
      <c r="Z35" s="34">
        <v>0.11799999999999999</v>
      </c>
      <c r="AA35" s="34">
        <v>3.4000000000000002E-2</v>
      </c>
      <c r="AB35" s="34">
        <v>3.5000000000000003E-2</v>
      </c>
      <c r="AC35" s="34">
        <v>1.0999999999999999E-2</v>
      </c>
      <c r="AD35" s="34">
        <f t="shared" ref="AD35:AD38" si="48">0.263</f>
        <v>0.26300000000000001</v>
      </c>
      <c r="AE35" s="34">
        <v>3.3000000000000002E-2</v>
      </c>
      <c r="AF35" s="34">
        <v>8.0000000000000002E-3</v>
      </c>
      <c r="AG35" s="34">
        <v>5.8000000000000003E-2</v>
      </c>
      <c r="AH35" s="34">
        <v>1.0999999999999999E-2</v>
      </c>
      <c r="AI35" s="34">
        <v>0.12</v>
      </c>
      <c r="AJ35" s="34">
        <v>2.9000000000000001E-2</v>
      </c>
      <c r="AK35" s="34">
        <v>1.6E-2</v>
      </c>
      <c r="AL35" s="34">
        <v>2.5000000000000001E-2</v>
      </c>
      <c r="AM35" s="34">
        <v>6.0000000000000001E-3</v>
      </c>
      <c r="AN35" s="34">
        <v>4.0000000000000001E-3</v>
      </c>
      <c r="AO35" s="34">
        <v>8.0000000000000002E-3</v>
      </c>
      <c r="AP35" s="54">
        <f t="shared" si="47"/>
        <v>2.9719999999999991</v>
      </c>
      <c r="AQ35" s="10">
        <f>K35+L35</f>
        <v>23.628</v>
      </c>
      <c r="AR35" s="11">
        <v>5</v>
      </c>
      <c r="AS35" s="10">
        <f>AQ35*AR35</f>
        <v>118.14</v>
      </c>
      <c r="AT35" s="10">
        <f>AR35*(D35+1.638)</f>
        <v>68.61</v>
      </c>
      <c r="AU35" s="10">
        <f>AR35*(E35+L35-1.638)</f>
        <v>49.529999999999994</v>
      </c>
    </row>
    <row r="36" spans="1:47" x14ac:dyDescent="0.25">
      <c r="A36" s="42" t="s">
        <v>70</v>
      </c>
      <c r="B36" s="14" t="s">
        <v>26</v>
      </c>
      <c r="C36" s="44" t="s">
        <v>20</v>
      </c>
      <c r="D36" s="14">
        <f>6.042*(200%+50%)</f>
        <v>15.105</v>
      </c>
      <c r="E36" s="14">
        <f t="shared" si="43"/>
        <v>8.5719999999999992</v>
      </c>
      <c r="F36" s="55">
        <v>2.04</v>
      </c>
      <c r="G36" s="55">
        <v>9.8000000000000004E-2</v>
      </c>
      <c r="H36" s="55">
        <v>1.304</v>
      </c>
      <c r="I36" s="55">
        <v>5.04</v>
      </c>
      <c r="J36" s="55">
        <v>0.09</v>
      </c>
      <c r="K36" s="9">
        <f>SUM(D36:E36)</f>
        <v>23.677</v>
      </c>
      <c r="L36" s="9">
        <v>2.972</v>
      </c>
      <c r="M36" s="34">
        <v>1.6379999999999999</v>
      </c>
      <c r="N36" s="34">
        <v>1E-3</v>
      </c>
      <c r="O36" s="34">
        <v>3.0000000000000001E-3</v>
      </c>
      <c r="P36" s="34">
        <v>1.2999999999999999E-2</v>
      </c>
      <c r="Q36" s="34">
        <v>2E-3</v>
      </c>
      <c r="R36" s="56">
        <v>0.14000000000000001</v>
      </c>
      <c r="S36" s="34">
        <v>3.5999999999999997E-2</v>
      </c>
      <c r="T36" s="34">
        <v>6.0000000000000001E-3</v>
      </c>
      <c r="U36" s="34">
        <v>6.7000000000000004E-2</v>
      </c>
      <c r="V36" s="34">
        <v>7.0000000000000001E-3</v>
      </c>
      <c r="W36" s="34">
        <v>8.9999999999999993E-3</v>
      </c>
      <c r="X36" s="34">
        <v>1.7999999999999999E-2</v>
      </c>
      <c r="Y36" s="34">
        <v>0.253</v>
      </c>
      <c r="Z36" s="34">
        <v>0.11799999999999999</v>
      </c>
      <c r="AA36" s="34">
        <v>3.4000000000000002E-2</v>
      </c>
      <c r="AB36" s="34">
        <v>3.5000000000000003E-2</v>
      </c>
      <c r="AC36" s="34">
        <v>1.0999999999999999E-2</v>
      </c>
      <c r="AD36" s="34">
        <f t="shared" si="48"/>
        <v>0.26300000000000001</v>
      </c>
      <c r="AE36" s="34">
        <v>3.3000000000000002E-2</v>
      </c>
      <c r="AF36" s="34">
        <v>8.0000000000000002E-3</v>
      </c>
      <c r="AG36" s="34">
        <v>5.8000000000000003E-2</v>
      </c>
      <c r="AH36" s="34">
        <v>1.0999999999999999E-2</v>
      </c>
      <c r="AI36" s="34">
        <v>0.12</v>
      </c>
      <c r="AJ36" s="34">
        <v>2.9000000000000001E-2</v>
      </c>
      <c r="AK36" s="34">
        <v>1.6E-2</v>
      </c>
      <c r="AL36" s="34">
        <v>2.5000000000000001E-2</v>
      </c>
      <c r="AM36" s="34">
        <v>6.0000000000000001E-3</v>
      </c>
      <c r="AN36" s="34">
        <v>4.0000000000000001E-3</v>
      </c>
      <c r="AO36" s="34">
        <v>8.0000000000000002E-3</v>
      </c>
      <c r="AP36" s="54">
        <f t="shared" si="47"/>
        <v>2.9719999999999991</v>
      </c>
      <c r="AQ36" s="10">
        <f>K36+L36</f>
        <v>26.649000000000001</v>
      </c>
      <c r="AR36" s="11">
        <v>0</v>
      </c>
      <c r="AS36" s="10">
        <f>AQ36*AR36</f>
        <v>0</v>
      </c>
      <c r="AT36" s="10">
        <f>AR36*(D36+1.638)</f>
        <v>0</v>
      </c>
      <c r="AU36" s="10">
        <f>AR36*(E36+L36-1.638)</f>
        <v>0</v>
      </c>
    </row>
    <row r="37" spans="1:47" x14ac:dyDescent="0.25">
      <c r="A37" s="42" t="s">
        <v>71</v>
      </c>
      <c r="B37" s="14" t="s">
        <v>27</v>
      </c>
      <c r="C37" s="44" t="s">
        <v>21</v>
      </c>
      <c r="D37" s="14">
        <f>6.042*(200%+100%)</f>
        <v>18.125999999999998</v>
      </c>
      <c r="E37" s="14">
        <f t="shared" si="43"/>
        <v>8.5719999999999992</v>
      </c>
      <c r="F37" s="55">
        <v>2.04</v>
      </c>
      <c r="G37" s="55">
        <v>9.8000000000000004E-2</v>
      </c>
      <c r="H37" s="55">
        <v>1.304</v>
      </c>
      <c r="I37" s="55">
        <v>5.04</v>
      </c>
      <c r="J37" s="55">
        <v>0.09</v>
      </c>
      <c r="K37" s="9">
        <f>SUM(D37:E37)</f>
        <v>26.697999999999997</v>
      </c>
      <c r="L37" s="9">
        <v>2.972</v>
      </c>
      <c r="M37" s="34">
        <v>1.6379999999999999</v>
      </c>
      <c r="N37" s="34">
        <v>1E-3</v>
      </c>
      <c r="O37" s="34">
        <v>3.0000000000000001E-3</v>
      </c>
      <c r="P37" s="34">
        <v>1.2999999999999999E-2</v>
      </c>
      <c r="Q37" s="34">
        <v>2E-3</v>
      </c>
      <c r="R37" s="56">
        <v>0.14000000000000001</v>
      </c>
      <c r="S37" s="34">
        <v>3.5999999999999997E-2</v>
      </c>
      <c r="T37" s="34">
        <v>6.0000000000000001E-3</v>
      </c>
      <c r="U37" s="34">
        <v>6.7000000000000004E-2</v>
      </c>
      <c r="V37" s="34">
        <v>7.0000000000000001E-3</v>
      </c>
      <c r="W37" s="34">
        <v>8.9999999999999993E-3</v>
      </c>
      <c r="X37" s="34">
        <v>1.7999999999999999E-2</v>
      </c>
      <c r="Y37" s="34">
        <v>0.253</v>
      </c>
      <c r="Z37" s="34">
        <v>0.11799999999999999</v>
      </c>
      <c r="AA37" s="34">
        <v>3.4000000000000002E-2</v>
      </c>
      <c r="AB37" s="34">
        <v>3.5000000000000003E-2</v>
      </c>
      <c r="AC37" s="34">
        <v>1.0999999999999999E-2</v>
      </c>
      <c r="AD37" s="34">
        <f t="shared" si="48"/>
        <v>0.26300000000000001</v>
      </c>
      <c r="AE37" s="34">
        <v>3.3000000000000002E-2</v>
      </c>
      <c r="AF37" s="34">
        <v>8.0000000000000002E-3</v>
      </c>
      <c r="AG37" s="34">
        <v>5.8000000000000003E-2</v>
      </c>
      <c r="AH37" s="34">
        <v>1.0999999999999999E-2</v>
      </c>
      <c r="AI37" s="34">
        <v>0.12</v>
      </c>
      <c r="AJ37" s="34">
        <v>2.9000000000000001E-2</v>
      </c>
      <c r="AK37" s="34">
        <v>1.6E-2</v>
      </c>
      <c r="AL37" s="34">
        <v>2.5000000000000001E-2</v>
      </c>
      <c r="AM37" s="34">
        <v>6.0000000000000001E-3</v>
      </c>
      <c r="AN37" s="34">
        <v>4.0000000000000001E-3</v>
      </c>
      <c r="AO37" s="34">
        <v>8.0000000000000002E-3</v>
      </c>
      <c r="AP37" s="54">
        <f t="shared" si="47"/>
        <v>2.9719999999999991</v>
      </c>
      <c r="AQ37" s="10">
        <f>K37+L37</f>
        <v>29.669999999999998</v>
      </c>
      <c r="AR37" s="11">
        <v>0</v>
      </c>
      <c r="AS37" s="10">
        <f>AQ37*AR37</f>
        <v>0</v>
      </c>
      <c r="AT37" s="10">
        <f>AR37*(D37+1.638)</f>
        <v>0</v>
      </c>
      <c r="AU37" s="10">
        <f>AR37*(E37+L37-1.638)</f>
        <v>0</v>
      </c>
    </row>
    <row r="38" spans="1:47" x14ac:dyDescent="0.25">
      <c r="A38" s="42" t="s">
        <v>72</v>
      </c>
      <c r="B38" s="14" t="s">
        <v>28</v>
      </c>
      <c r="C38" s="44" t="s">
        <v>78</v>
      </c>
      <c r="D38" s="14">
        <f>6.042*(100%+200%+50%)</f>
        <v>21.146999999999998</v>
      </c>
      <c r="E38" s="14">
        <f t="shared" si="43"/>
        <v>8.5719999999999992</v>
      </c>
      <c r="F38" s="55">
        <v>2.04</v>
      </c>
      <c r="G38" s="55">
        <v>9.8000000000000004E-2</v>
      </c>
      <c r="H38" s="55">
        <v>1.304</v>
      </c>
      <c r="I38" s="55">
        <v>5.04</v>
      </c>
      <c r="J38" s="55">
        <v>0.09</v>
      </c>
      <c r="K38" s="9">
        <f>SUM(D38:E38)</f>
        <v>29.718999999999998</v>
      </c>
      <c r="L38" s="9">
        <v>2.972</v>
      </c>
      <c r="M38" s="34">
        <v>1.6379999999999999</v>
      </c>
      <c r="N38" s="34">
        <v>1E-3</v>
      </c>
      <c r="O38" s="34">
        <v>3.0000000000000001E-3</v>
      </c>
      <c r="P38" s="34">
        <v>1.2999999999999999E-2</v>
      </c>
      <c r="Q38" s="34">
        <v>2E-3</v>
      </c>
      <c r="R38" s="56">
        <v>0.14000000000000001</v>
      </c>
      <c r="S38" s="34">
        <v>3.5999999999999997E-2</v>
      </c>
      <c r="T38" s="34">
        <v>6.0000000000000001E-3</v>
      </c>
      <c r="U38" s="34">
        <v>6.7000000000000004E-2</v>
      </c>
      <c r="V38" s="34">
        <v>7.0000000000000001E-3</v>
      </c>
      <c r="W38" s="34">
        <v>8.9999999999999993E-3</v>
      </c>
      <c r="X38" s="34">
        <v>1.7999999999999999E-2</v>
      </c>
      <c r="Y38" s="34">
        <v>0.253</v>
      </c>
      <c r="Z38" s="34">
        <v>0.11799999999999999</v>
      </c>
      <c r="AA38" s="34">
        <v>3.4000000000000002E-2</v>
      </c>
      <c r="AB38" s="34">
        <v>3.5000000000000003E-2</v>
      </c>
      <c r="AC38" s="34">
        <v>1.0999999999999999E-2</v>
      </c>
      <c r="AD38" s="34">
        <f t="shared" si="48"/>
        <v>0.26300000000000001</v>
      </c>
      <c r="AE38" s="34">
        <v>3.3000000000000002E-2</v>
      </c>
      <c r="AF38" s="34">
        <v>8.0000000000000002E-3</v>
      </c>
      <c r="AG38" s="34">
        <v>5.8000000000000003E-2</v>
      </c>
      <c r="AH38" s="34">
        <v>1.0999999999999999E-2</v>
      </c>
      <c r="AI38" s="34">
        <v>0.12</v>
      </c>
      <c r="AJ38" s="34">
        <v>2.9000000000000001E-2</v>
      </c>
      <c r="AK38" s="34">
        <v>1.6E-2</v>
      </c>
      <c r="AL38" s="34">
        <v>2.5000000000000001E-2</v>
      </c>
      <c r="AM38" s="34">
        <v>6.0000000000000001E-3</v>
      </c>
      <c r="AN38" s="34">
        <v>4.0000000000000001E-3</v>
      </c>
      <c r="AO38" s="34">
        <v>8.0000000000000002E-3</v>
      </c>
      <c r="AP38" s="54">
        <f t="shared" si="47"/>
        <v>2.9719999999999991</v>
      </c>
      <c r="AQ38" s="10">
        <f>K38+L38</f>
        <v>32.690999999999995</v>
      </c>
      <c r="AR38" s="11">
        <v>0</v>
      </c>
      <c r="AS38" s="10">
        <f>AQ38*AR38</f>
        <v>0</v>
      </c>
      <c r="AT38" s="10">
        <f>AR38*(D38+1.638)</f>
        <v>0</v>
      </c>
      <c r="AU38" s="10">
        <f>AR38*(E38+L38-1.638)</f>
        <v>0</v>
      </c>
    </row>
    <row r="39" spans="1:47" ht="63.75" x14ac:dyDescent="0.25">
      <c r="A39" s="41" t="s">
        <v>24</v>
      </c>
      <c r="B39" s="12" t="s">
        <v>29</v>
      </c>
      <c r="C39" s="45" t="s">
        <v>39</v>
      </c>
      <c r="D39" s="76" t="s">
        <v>56</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8"/>
    </row>
    <row r="40" spans="1:47" ht="76.5" x14ac:dyDescent="0.25">
      <c r="A40" s="41" t="s">
        <v>81</v>
      </c>
      <c r="B40" s="12" t="s">
        <v>33</v>
      </c>
      <c r="C40" s="45" t="s">
        <v>84</v>
      </c>
      <c r="D40" s="76" t="s">
        <v>56</v>
      </c>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8"/>
    </row>
    <row r="41" spans="1:47" x14ac:dyDescent="0.25">
      <c r="A41" s="39" t="s">
        <v>45</v>
      </c>
      <c r="B41" s="80" t="s">
        <v>46</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2"/>
    </row>
    <row r="42" spans="1:47" ht="25.5" x14ac:dyDescent="0.25">
      <c r="A42" s="41" t="s">
        <v>25</v>
      </c>
      <c r="B42" s="12" t="s">
        <v>35</v>
      </c>
      <c r="C42" s="46" t="s">
        <v>125</v>
      </c>
      <c r="D42" s="76" t="s">
        <v>56</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8"/>
    </row>
    <row r="43" spans="1:47" ht="38.25" x14ac:dyDescent="0.25">
      <c r="A43" s="41" t="s">
        <v>26</v>
      </c>
      <c r="B43" s="12" t="s">
        <v>36</v>
      </c>
      <c r="C43" s="46" t="s">
        <v>47</v>
      </c>
      <c r="D43" s="67" t="s">
        <v>56</v>
      </c>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9"/>
    </row>
    <row r="44" spans="1:47" ht="38.25" x14ac:dyDescent="0.25">
      <c r="A44" s="41" t="s">
        <v>27</v>
      </c>
      <c r="B44" s="12" t="s">
        <v>37</v>
      </c>
      <c r="C44" s="46" t="s">
        <v>48</v>
      </c>
      <c r="D44" s="76" t="s">
        <v>56</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8"/>
    </row>
    <row r="45" spans="1:47" ht="76.5" x14ac:dyDescent="0.25">
      <c r="A45" s="41" t="s">
        <v>28</v>
      </c>
      <c r="B45" s="12" t="s">
        <v>38</v>
      </c>
      <c r="C45" s="45" t="s">
        <v>49</v>
      </c>
      <c r="D45" s="14">
        <v>6.0419999999999998</v>
      </c>
      <c r="E45" s="14">
        <f>3.532+5.04</f>
        <v>8.5719999999999992</v>
      </c>
      <c r="F45" s="55">
        <v>2.04</v>
      </c>
      <c r="G45" s="55">
        <v>9.8000000000000004E-2</v>
      </c>
      <c r="H45" s="55">
        <v>1.304</v>
      </c>
      <c r="I45" s="55">
        <v>5.04</v>
      </c>
      <c r="J45" s="55">
        <v>0.09</v>
      </c>
      <c r="K45" s="9">
        <f>SUM(D45:E45)</f>
        <v>14.613999999999999</v>
      </c>
      <c r="L45" s="9">
        <f t="shared" ref="L45" si="49">2.972+0.01</f>
        <v>2.9819999999999998</v>
      </c>
      <c r="M45" s="34">
        <v>1.6379999999999999</v>
      </c>
      <c r="N45" s="34">
        <v>1E-3</v>
      </c>
      <c r="O45" s="34">
        <v>3.0000000000000001E-3</v>
      </c>
      <c r="P45" s="34">
        <v>1.2999999999999999E-2</v>
      </c>
      <c r="Q45" s="34">
        <v>2E-3</v>
      </c>
      <c r="R45" s="56">
        <v>0.14000000000000001</v>
      </c>
      <c r="S45" s="34">
        <v>3.5999999999999997E-2</v>
      </c>
      <c r="T45" s="34">
        <v>6.0000000000000001E-3</v>
      </c>
      <c r="U45" s="34">
        <v>6.7000000000000004E-2</v>
      </c>
      <c r="V45" s="34">
        <v>7.0000000000000001E-3</v>
      </c>
      <c r="W45" s="34">
        <v>8.9999999999999993E-3</v>
      </c>
      <c r="X45" s="34">
        <v>1.7999999999999999E-2</v>
      </c>
      <c r="Y45" s="34">
        <v>0.253</v>
      </c>
      <c r="Z45" s="34">
        <v>0.11799999999999999</v>
      </c>
      <c r="AA45" s="34">
        <v>3.4000000000000002E-2</v>
      </c>
      <c r="AB45" s="34">
        <v>3.5000000000000003E-2</v>
      </c>
      <c r="AC45" s="34">
        <v>1.0999999999999999E-2</v>
      </c>
      <c r="AD45" s="34">
        <f>0.263+0.01</f>
        <v>0.27300000000000002</v>
      </c>
      <c r="AE45" s="34">
        <v>3.3000000000000002E-2</v>
      </c>
      <c r="AF45" s="34">
        <v>8.0000000000000002E-3</v>
      </c>
      <c r="AG45" s="34">
        <v>5.8000000000000003E-2</v>
      </c>
      <c r="AH45" s="34">
        <v>1.0999999999999999E-2</v>
      </c>
      <c r="AI45" s="34">
        <v>0.12</v>
      </c>
      <c r="AJ45" s="34">
        <v>2.9000000000000001E-2</v>
      </c>
      <c r="AK45" s="34">
        <v>1.6E-2</v>
      </c>
      <c r="AL45" s="34">
        <v>2.5000000000000001E-2</v>
      </c>
      <c r="AM45" s="34">
        <v>6.0000000000000001E-3</v>
      </c>
      <c r="AN45" s="34">
        <v>4.0000000000000001E-3</v>
      </c>
      <c r="AO45" s="34">
        <v>8.0000000000000002E-3</v>
      </c>
      <c r="AP45" s="54">
        <f>SUM(M45:AO45)</f>
        <v>2.9819999999999993</v>
      </c>
      <c r="AQ45" s="10">
        <f>K45+L45</f>
        <v>17.596</v>
      </c>
      <c r="AR45" s="11">
        <v>85</v>
      </c>
      <c r="AS45" s="10">
        <f>AQ45*AR45</f>
        <v>1495.66</v>
      </c>
      <c r="AT45" s="10">
        <f>AR45*(D45+1.638)</f>
        <v>652.79999999999995</v>
      </c>
      <c r="AU45" s="10">
        <f>AR45*(E45+L45-1.638)</f>
        <v>842.8599999999999</v>
      </c>
    </row>
    <row r="46" spans="1:47" ht="25.5" x14ac:dyDescent="0.25">
      <c r="A46" s="41" t="s">
        <v>29</v>
      </c>
      <c r="B46" s="12" t="s">
        <v>40</v>
      </c>
      <c r="C46" s="45" t="s">
        <v>50</v>
      </c>
      <c r="D46" s="76" t="s">
        <v>56</v>
      </c>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8"/>
    </row>
    <row r="47" spans="1:47" ht="90" customHeight="1" x14ac:dyDescent="0.25">
      <c r="A47" s="41" t="s">
        <v>30</v>
      </c>
      <c r="B47" s="12" t="s">
        <v>118</v>
      </c>
      <c r="C47" s="45" t="s">
        <v>85</v>
      </c>
      <c r="D47" s="14">
        <v>6.0419999999999998</v>
      </c>
      <c r="E47" s="14">
        <f>3.532+5.04</f>
        <v>8.5719999999999992</v>
      </c>
      <c r="F47" s="55">
        <v>2.04</v>
      </c>
      <c r="G47" s="55">
        <v>9.8000000000000004E-2</v>
      </c>
      <c r="H47" s="55">
        <v>1.304</v>
      </c>
      <c r="I47" s="55">
        <v>5.04</v>
      </c>
      <c r="J47" s="55">
        <v>0.09</v>
      </c>
      <c r="K47" s="9">
        <f>SUM(D47:E47)</f>
        <v>14.613999999999999</v>
      </c>
      <c r="L47" s="9">
        <f t="shared" ref="L47" si="50">2.972+0.01</f>
        <v>2.9819999999999998</v>
      </c>
      <c r="M47" s="34">
        <v>1.6379999999999999</v>
      </c>
      <c r="N47" s="34">
        <v>1E-3</v>
      </c>
      <c r="O47" s="34">
        <v>3.0000000000000001E-3</v>
      </c>
      <c r="P47" s="34">
        <v>1.2999999999999999E-2</v>
      </c>
      <c r="Q47" s="34">
        <v>2E-3</v>
      </c>
      <c r="R47" s="56">
        <v>0.14000000000000001</v>
      </c>
      <c r="S47" s="34">
        <v>3.5999999999999997E-2</v>
      </c>
      <c r="T47" s="34">
        <v>6.0000000000000001E-3</v>
      </c>
      <c r="U47" s="34">
        <v>6.7000000000000004E-2</v>
      </c>
      <c r="V47" s="34">
        <v>7.0000000000000001E-3</v>
      </c>
      <c r="W47" s="34">
        <v>8.9999999999999993E-3</v>
      </c>
      <c r="X47" s="34">
        <v>1.7999999999999999E-2</v>
      </c>
      <c r="Y47" s="34">
        <v>0.253</v>
      </c>
      <c r="Z47" s="34">
        <v>0.11799999999999999</v>
      </c>
      <c r="AA47" s="34">
        <v>3.4000000000000002E-2</v>
      </c>
      <c r="AB47" s="34">
        <v>3.5000000000000003E-2</v>
      </c>
      <c r="AC47" s="34">
        <v>1.0999999999999999E-2</v>
      </c>
      <c r="AD47" s="34">
        <f>0.263+0.01</f>
        <v>0.27300000000000002</v>
      </c>
      <c r="AE47" s="34">
        <v>3.3000000000000002E-2</v>
      </c>
      <c r="AF47" s="34">
        <v>8.0000000000000002E-3</v>
      </c>
      <c r="AG47" s="34">
        <v>5.8000000000000003E-2</v>
      </c>
      <c r="AH47" s="34">
        <v>1.0999999999999999E-2</v>
      </c>
      <c r="AI47" s="34">
        <v>0.12</v>
      </c>
      <c r="AJ47" s="34">
        <v>2.9000000000000001E-2</v>
      </c>
      <c r="AK47" s="34">
        <v>1.6E-2</v>
      </c>
      <c r="AL47" s="34">
        <v>2.5000000000000001E-2</v>
      </c>
      <c r="AM47" s="34">
        <v>6.0000000000000001E-3</v>
      </c>
      <c r="AN47" s="34">
        <v>4.0000000000000001E-3</v>
      </c>
      <c r="AO47" s="34">
        <v>8.0000000000000002E-3</v>
      </c>
      <c r="AP47" s="54">
        <f>SUM(M47:AO47)</f>
        <v>2.9819999999999993</v>
      </c>
      <c r="AQ47" s="10">
        <f>K47+L47</f>
        <v>17.596</v>
      </c>
      <c r="AR47" s="11">
        <v>1150</v>
      </c>
      <c r="AS47" s="10">
        <f t="shared" ref="AS47" si="51">AQ47*AR47</f>
        <v>20235.400000000001</v>
      </c>
      <c r="AT47" s="10">
        <f>AR47*(D47+1.638)</f>
        <v>8832</v>
      </c>
      <c r="AU47" s="10">
        <f>AR47*(E47+L47-1.638)</f>
        <v>11403.399999999998</v>
      </c>
    </row>
    <row r="48" spans="1:47" ht="38.25" x14ac:dyDescent="0.25">
      <c r="A48" s="41" t="s">
        <v>33</v>
      </c>
      <c r="B48" s="12" t="s">
        <v>119</v>
      </c>
      <c r="C48" s="13" t="s">
        <v>51</v>
      </c>
      <c r="D48" s="90" t="s">
        <v>52</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2"/>
    </row>
    <row r="49" spans="1:48" s="4" customFormat="1" ht="25.5" x14ac:dyDescent="0.25">
      <c r="A49" s="8" t="s">
        <v>58</v>
      </c>
      <c r="B49" s="8" t="s">
        <v>58</v>
      </c>
      <c r="C49" s="28" t="s">
        <v>57</v>
      </c>
      <c r="D49" s="76" t="s">
        <v>56</v>
      </c>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8"/>
      <c r="AV49" s="1"/>
    </row>
    <row r="50" spans="1:48" s="4" customFormat="1" ht="38.25" x14ac:dyDescent="0.25">
      <c r="A50" s="8" t="s">
        <v>59</v>
      </c>
      <c r="B50" s="8" t="s">
        <v>59</v>
      </c>
      <c r="C50" s="21" t="s">
        <v>86</v>
      </c>
      <c r="D50" s="67" t="s">
        <v>56</v>
      </c>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9"/>
      <c r="AV50" s="1"/>
    </row>
    <row r="51" spans="1:48" s="4" customFormat="1" ht="38.25" x14ac:dyDescent="0.25">
      <c r="A51" s="8" t="s">
        <v>61</v>
      </c>
      <c r="B51" s="8" t="s">
        <v>61</v>
      </c>
      <c r="C51" s="21" t="s">
        <v>60</v>
      </c>
      <c r="D51" s="67" t="s">
        <v>56</v>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9"/>
      <c r="AV51" s="1"/>
    </row>
    <row r="52" spans="1:48" s="4" customFormat="1" ht="15" customHeight="1" x14ac:dyDescent="0.25">
      <c r="A52" s="8" t="s">
        <v>63</v>
      </c>
      <c r="B52" s="80" t="s">
        <v>62</v>
      </c>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2"/>
      <c r="AV52" s="1"/>
    </row>
    <row r="53" spans="1:48" ht="25.5" x14ac:dyDescent="0.25">
      <c r="A53" s="12" t="s">
        <v>132</v>
      </c>
      <c r="B53" s="12" t="s">
        <v>113</v>
      </c>
      <c r="C53" s="13" t="s">
        <v>64</v>
      </c>
      <c r="D53" s="14">
        <v>6.0419999999999998</v>
      </c>
      <c r="E53" s="14">
        <f>3.532+5.04</f>
        <v>8.5719999999999992</v>
      </c>
      <c r="F53" s="55">
        <v>2.04</v>
      </c>
      <c r="G53" s="55">
        <v>9.8000000000000004E-2</v>
      </c>
      <c r="H53" s="55">
        <v>1.304</v>
      </c>
      <c r="I53" s="55">
        <v>5.04</v>
      </c>
      <c r="J53" s="55">
        <v>0.09</v>
      </c>
      <c r="K53" s="9">
        <f>SUM(D53:E53)</f>
        <v>14.613999999999999</v>
      </c>
      <c r="L53" s="9">
        <f t="shared" ref="L53" si="52">2.972+0.01</f>
        <v>2.9819999999999998</v>
      </c>
      <c r="M53" s="34">
        <v>1.6379999999999999</v>
      </c>
      <c r="N53" s="34">
        <v>1E-3</v>
      </c>
      <c r="O53" s="34">
        <v>3.0000000000000001E-3</v>
      </c>
      <c r="P53" s="34">
        <v>1.2999999999999999E-2</v>
      </c>
      <c r="Q53" s="34">
        <v>2E-3</v>
      </c>
      <c r="R53" s="56">
        <v>0.14000000000000001</v>
      </c>
      <c r="S53" s="34">
        <v>3.5999999999999997E-2</v>
      </c>
      <c r="T53" s="34">
        <v>6.0000000000000001E-3</v>
      </c>
      <c r="U53" s="34">
        <v>6.7000000000000004E-2</v>
      </c>
      <c r="V53" s="34">
        <v>7.0000000000000001E-3</v>
      </c>
      <c r="W53" s="34">
        <v>8.9999999999999993E-3</v>
      </c>
      <c r="X53" s="34">
        <v>1.7999999999999999E-2</v>
      </c>
      <c r="Y53" s="34">
        <v>0.253</v>
      </c>
      <c r="Z53" s="34">
        <v>0.11799999999999999</v>
      </c>
      <c r="AA53" s="34">
        <v>3.4000000000000002E-2</v>
      </c>
      <c r="AB53" s="34">
        <v>3.5000000000000003E-2</v>
      </c>
      <c r="AC53" s="34">
        <v>1.0999999999999999E-2</v>
      </c>
      <c r="AD53" s="34">
        <f>0.263+0.01</f>
        <v>0.27300000000000002</v>
      </c>
      <c r="AE53" s="34">
        <v>3.3000000000000002E-2</v>
      </c>
      <c r="AF53" s="34">
        <v>8.0000000000000002E-3</v>
      </c>
      <c r="AG53" s="34">
        <v>5.8000000000000003E-2</v>
      </c>
      <c r="AH53" s="34">
        <v>1.0999999999999999E-2</v>
      </c>
      <c r="AI53" s="34">
        <v>0.12</v>
      </c>
      <c r="AJ53" s="34">
        <v>2.9000000000000001E-2</v>
      </c>
      <c r="AK53" s="34">
        <v>1.6E-2</v>
      </c>
      <c r="AL53" s="34">
        <v>2.5000000000000001E-2</v>
      </c>
      <c r="AM53" s="34">
        <v>6.0000000000000001E-3</v>
      </c>
      <c r="AN53" s="34">
        <v>4.0000000000000001E-3</v>
      </c>
      <c r="AO53" s="34">
        <v>8.0000000000000002E-3</v>
      </c>
      <c r="AP53" s="54">
        <f>SUM(M53:AO53)</f>
        <v>2.9819999999999993</v>
      </c>
      <c r="AQ53" s="10">
        <f>K53+L53</f>
        <v>17.596</v>
      </c>
      <c r="AR53" s="11">
        <v>350</v>
      </c>
      <c r="AS53" s="10">
        <f>AQ53*AR53</f>
        <v>6158.6</v>
      </c>
      <c r="AT53" s="10">
        <f>AR53*(D53+1.638)</f>
        <v>2688</v>
      </c>
      <c r="AU53" s="10">
        <f>AR53*(E53+L53-1.638)</f>
        <v>3470.5999999999995</v>
      </c>
    </row>
    <row r="54" spans="1:48" s="4" customFormat="1" ht="15" customHeight="1" x14ac:dyDescent="0.25">
      <c r="A54" s="8" t="s">
        <v>65</v>
      </c>
      <c r="B54" s="80" t="s">
        <v>66</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2"/>
      <c r="AV54" s="1"/>
    </row>
    <row r="55" spans="1:48" ht="63.75" x14ac:dyDescent="0.25">
      <c r="A55" s="12" t="s">
        <v>41</v>
      </c>
      <c r="B55" s="12"/>
      <c r="C55" s="53" t="s">
        <v>129</v>
      </c>
      <c r="D55" s="31">
        <f>ROUND(1550*1.2409/167*4,3)</f>
        <v>46.069000000000003</v>
      </c>
      <c r="E55" s="31"/>
      <c r="F55" s="31"/>
      <c r="G55" s="31"/>
      <c r="H55" s="31"/>
      <c r="I55" s="31"/>
      <c r="J55" s="31"/>
      <c r="K55" s="32">
        <f t="shared" ref="K55:K59" si="53">SUM(D55:E55)</f>
        <v>46.069000000000003</v>
      </c>
      <c r="L55" s="33">
        <f>ROUND(2.93*4,3)</f>
        <v>11.72</v>
      </c>
      <c r="M55" s="34">
        <f>1.638*4</f>
        <v>6.5519999999999996</v>
      </c>
      <c r="N55" s="34"/>
      <c r="O55" s="34"/>
      <c r="P55" s="34">
        <f>0.013*4</f>
        <v>5.1999999999999998E-2</v>
      </c>
      <c r="Q55" s="34">
        <f>0.002*4</f>
        <v>8.0000000000000002E-3</v>
      </c>
      <c r="R55" s="56">
        <f>0.14*4</f>
        <v>0.56000000000000005</v>
      </c>
      <c r="S55" s="34">
        <f>0.036*4</f>
        <v>0.14399999999999999</v>
      </c>
      <c r="T55" s="34">
        <f>0.006*4</f>
        <v>2.4E-2</v>
      </c>
      <c r="U55" s="34">
        <f>0.067*4</f>
        <v>0.26800000000000002</v>
      </c>
      <c r="V55" s="34">
        <f>0.007*4</f>
        <v>2.8000000000000001E-2</v>
      </c>
      <c r="W55" s="34">
        <f>0.009*4</f>
        <v>3.5999999999999997E-2</v>
      </c>
      <c r="X55" s="34">
        <f>0.018*4</f>
        <v>7.1999999999999995E-2</v>
      </c>
      <c r="Y55" s="34">
        <f>0.253*4</f>
        <v>1.012</v>
      </c>
      <c r="Z55" s="34">
        <f>0.118*4</f>
        <v>0.47199999999999998</v>
      </c>
      <c r="AA55" s="34">
        <f>0.034*4</f>
        <v>0.13600000000000001</v>
      </c>
      <c r="AB55" s="34">
        <f>0.035*4</f>
        <v>0.14000000000000001</v>
      </c>
      <c r="AC55" s="34">
        <f>0.011*4</f>
        <v>4.3999999999999997E-2</v>
      </c>
      <c r="AD55" s="34">
        <f>(0.263+0.007)*4</f>
        <v>1.08</v>
      </c>
      <c r="AE55" s="34">
        <f>0.033*4</f>
        <v>0.13200000000000001</v>
      </c>
      <c r="AF55" s="34">
        <f>0.008*4</f>
        <v>3.2000000000000001E-2</v>
      </c>
      <c r="AG55" s="34">
        <f>0.058*4</f>
        <v>0.23200000000000001</v>
      </c>
      <c r="AH55" s="34">
        <f>0.011*4</f>
        <v>4.3999999999999997E-2</v>
      </c>
      <c r="AI55" s="34">
        <f>0.12*4</f>
        <v>0.48</v>
      </c>
      <c r="AJ55" s="34"/>
      <c r="AK55" s="34"/>
      <c r="AL55" s="34">
        <f>0.025*4</f>
        <v>0.1</v>
      </c>
      <c r="AM55" s="34">
        <f>0.006*4</f>
        <v>2.4E-2</v>
      </c>
      <c r="AN55" s="34">
        <f>0.004*4</f>
        <v>1.6E-2</v>
      </c>
      <c r="AO55" s="34">
        <f>0.008*4</f>
        <v>3.2000000000000001E-2</v>
      </c>
      <c r="AP55" s="54">
        <f t="shared" ref="AP55:AP59" si="54">SUM(M55:AO55)</f>
        <v>11.719999999999997</v>
      </c>
      <c r="AQ55" s="20">
        <f>K55+L55</f>
        <v>57.789000000000001</v>
      </c>
      <c r="AR55" s="15">
        <v>10</v>
      </c>
      <c r="AS55" s="20" t="b">
        <f>D10=AQ55*AR55</f>
        <v>0</v>
      </c>
      <c r="AT55" s="20">
        <f>AR55*(D55+1.638*4)</f>
        <v>526.21</v>
      </c>
      <c r="AU55" s="20">
        <f>AR55*(E55+L55-1.638*4)</f>
        <v>51.680000000000007</v>
      </c>
    </row>
    <row r="56" spans="1:48" ht="34.5" customHeight="1" x14ac:dyDescent="0.25">
      <c r="A56" s="12" t="s">
        <v>42</v>
      </c>
      <c r="B56" s="12"/>
      <c r="C56" s="53" t="s">
        <v>130</v>
      </c>
      <c r="D56" s="31">
        <f>ROUND(1550*1.2409/167*2.5,3)</f>
        <v>28.792999999999999</v>
      </c>
      <c r="E56" s="31"/>
      <c r="F56" s="31"/>
      <c r="G56" s="31"/>
      <c r="H56" s="31"/>
      <c r="I56" s="31"/>
      <c r="J56" s="31"/>
      <c r="K56" s="32">
        <f t="shared" ref="K56" si="55">SUM(D56:E56)</f>
        <v>28.792999999999999</v>
      </c>
      <c r="L56" s="33">
        <f>ROUND(2.93*2.5,3)</f>
        <v>7.3250000000000002</v>
      </c>
      <c r="M56" s="34">
        <f>1.638*2.5</f>
        <v>4.0949999999999998</v>
      </c>
      <c r="N56" s="33"/>
      <c r="O56" s="33"/>
      <c r="P56" s="34">
        <f>0.013*2.5</f>
        <v>3.2500000000000001E-2</v>
      </c>
      <c r="Q56" s="34">
        <f>0.002*2.5</f>
        <v>5.0000000000000001E-3</v>
      </c>
      <c r="R56" s="56">
        <f>0.14*2.5</f>
        <v>0.35000000000000003</v>
      </c>
      <c r="S56" s="34">
        <f>0.036*2.5</f>
        <v>0.09</v>
      </c>
      <c r="T56" s="34">
        <f>0.006*2.5</f>
        <v>1.4999999999999999E-2</v>
      </c>
      <c r="U56" s="34">
        <f>0.067*2.5</f>
        <v>0.16750000000000001</v>
      </c>
      <c r="V56" s="34">
        <f>0.007*2.5</f>
        <v>1.7500000000000002E-2</v>
      </c>
      <c r="W56" s="34">
        <f>0.009*2.5</f>
        <v>2.2499999999999999E-2</v>
      </c>
      <c r="X56" s="34">
        <f>0.018*2.5</f>
        <v>4.4999999999999998E-2</v>
      </c>
      <c r="Y56" s="34">
        <f>0.253*2.5</f>
        <v>0.63250000000000006</v>
      </c>
      <c r="Z56" s="34">
        <f>0.118*2.5</f>
        <v>0.29499999999999998</v>
      </c>
      <c r="AA56" s="34">
        <f>0.034*2.5</f>
        <v>8.5000000000000006E-2</v>
      </c>
      <c r="AB56" s="34">
        <f>0.035*2.5</f>
        <v>8.7500000000000008E-2</v>
      </c>
      <c r="AC56" s="34">
        <f>0.011*2.5</f>
        <v>2.7499999999999997E-2</v>
      </c>
      <c r="AD56" s="34">
        <f>(0.263+0.007)*2.5</f>
        <v>0.67500000000000004</v>
      </c>
      <c r="AE56" s="34">
        <f>0.033*2.5</f>
        <v>8.2500000000000004E-2</v>
      </c>
      <c r="AF56" s="34">
        <f>0.008*2.5</f>
        <v>0.02</v>
      </c>
      <c r="AG56" s="34">
        <f>0.058*2.5</f>
        <v>0.14500000000000002</v>
      </c>
      <c r="AH56" s="34">
        <f>0.011*2.5</f>
        <v>2.7499999999999997E-2</v>
      </c>
      <c r="AI56" s="34">
        <f>0.12*2.5</f>
        <v>0.3</v>
      </c>
      <c r="AJ56" s="34"/>
      <c r="AK56" s="34"/>
      <c r="AL56" s="34">
        <f>0.025*2.5</f>
        <v>6.25E-2</v>
      </c>
      <c r="AM56" s="34">
        <f>0.006*2.5</f>
        <v>1.4999999999999999E-2</v>
      </c>
      <c r="AN56" s="34">
        <f>0.004*2.5</f>
        <v>0.01</v>
      </c>
      <c r="AO56" s="34">
        <f>0.008*2.5</f>
        <v>0.02</v>
      </c>
      <c r="AP56" s="54">
        <f t="shared" si="54"/>
        <v>7.3249999999999975</v>
      </c>
      <c r="AQ56" s="20">
        <f>K56+L56</f>
        <v>36.118000000000002</v>
      </c>
      <c r="AR56" s="15">
        <v>8</v>
      </c>
      <c r="AS56" s="20">
        <f t="shared" ref="AS56" si="56">AQ56*AR56</f>
        <v>288.94400000000002</v>
      </c>
      <c r="AT56" s="20">
        <f>AR56*(D56+1.638*2.5)</f>
        <v>263.10399999999998</v>
      </c>
      <c r="AU56" s="20">
        <f>AR56*(E56+L56-1.638*2.5)</f>
        <v>25.840000000000003</v>
      </c>
    </row>
    <row r="57" spans="1:48" ht="38.25" x14ac:dyDescent="0.25">
      <c r="A57" s="12" t="s">
        <v>43</v>
      </c>
      <c r="B57" s="12"/>
      <c r="C57" s="30" t="s">
        <v>131</v>
      </c>
      <c r="D57" s="31">
        <v>180.07</v>
      </c>
      <c r="E57" s="31"/>
      <c r="F57" s="31"/>
      <c r="G57" s="31"/>
      <c r="H57" s="31"/>
      <c r="I57" s="31"/>
      <c r="J57" s="31"/>
      <c r="K57" s="32">
        <f>SUM(D57:E57)</f>
        <v>180.07</v>
      </c>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54">
        <f t="shared" si="54"/>
        <v>0</v>
      </c>
      <c r="AQ57" s="20">
        <f>K57+L57</f>
        <v>180.07</v>
      </c>
      <c r="AR57" s="15">
        <v>10</v>
      </c>
      <c r="AS57" s="20">
        <f t="shared" ref="AS57:AS59" si="57">AQ57*AR57</f>
        <v>1800.6999999999998</v>
      </c>
      <c r="AT57" s="20">
        <f>AR57*D57</f>
        <v>1800.6999999999998</v>
      </c>
      <c r="AU57" s="20"/>
    </row>
    <row r="58" spans="1:48" ht="25.5" x14ac:dyDescent="0.25">
      <c r="A58" s="12" t="s">
        <v>44</v>
      </c>
      <c r="B58" s="12"/>
      <c r="C58" s="30" t="s">
        <v>120</v>
      </c>
      <c r="D58" s="31">
        <f>ROUND(1550*1.2409/167*1.5,3)</f>
        <v>17.276</v>
      </c>
      <c r="E58" s="31"/>
      <c r="F58" s="31"/>
      <c r="G58" s="31"/>
      <c r="H58" s="31"/>
      <c r="I58" s="31"/>
      <c r="J58" s="31"/>
      <c r="K58" s="32">
        <f t="shared" si="53"/>
        <v>17.276</v>
      </c>
      <c r="L58" s="32">
        <f>2.93*1.5</f>
        <v>4.3950000000000005</v>
      </c>
      <c r="M58" s="34">
        <f>1.638*1.5</f>
        <v>2.4569999999999999</v>
      </c>
      <c r="N58" s="33"/>
      <c r="O58" s="33"/>
      <c r="P58" s="34">
        <f>0.013*1.5</f>
        <v>1.95E-2</v>
      </c>
      <c r="Q58" s="34">
        <f>0.002*1.5</f>
        <v>3.0000000000000001E-3</v>
      </c>
      <c r="R58" s="56">
        <f>0.14*1.5</f>
        <v>0.21000000000000002</v>
      </c>
      <c r="S58" s="34">
        <f>0.036*1.5</f>
        <v>5.3999999999999992E-2</v>
      </c>
      <c r="T58" s="34">
        <f>0.006*1.5</f>
        <v>9.0000000000000011E-3</v>
      </c>
      <c r="U58" s="34">
        <f>0.067*1.5</f>
        <v>0.10050000000000001</v>
      </c>
      <c r="V58" s="34">
        <f>0.007*1.5</f>
        <v>1.0500000000000001E-2</v>
      </c>
      <c r="W58" s="34">
        <f>0.009*1.5</f>
        <v>1.3499999999999998E-2</v>
      </c>
      <c r="X58" s="34">
        <f>0.018*1.5</f>
        <v>2.6999999999999996E-2</v>
      </c>
      <c r="Y58" s="34">
        <f>0.253*1.5</f>
        <v>0.3795</v>
      </c>
      <c r="Z58" s="34">
        <f>0.118*1.5</f>
        <v>0.17699999999999999</v>
      </c>
      <c r="AA58" s="34">
        <f>0.034*1.5</f>
        <v>5.1000000000000004E-2</v>
      </c>
      <c r="AB58" s="34">
        <f>0.035*1.5</f>
        <v>5.2500000000000005E-2</v>
      </c>
      <c r="AC58" s="34">
        <f>0.011*1.5</f>
        <v>1.6500000000000001E-2</v>
      </c>
      <c r="AD58" s="34">
        <f>(0.263+0.007)*1.5</f>
        <v>0.40500000000000003</v>
      </c>
      <c r="AE58" s="34">
        <f>0.033*1.5</f>
        <v>4.9500000000000002E-2</v>
      </c>
      <c r="AF58" s="34">
        <f>0.008*1.5</f>
        <v>1.2E-2</v>
      </c>
      <c r="AG58" s="34">
        <f>0.058*1.5</f>
        <v>8.7000000000000008E-2</v>
      </c>
      <c r="AH58" s="34">
        <f>0.011*1.5</f>
        <v>1.6500000000000001E-2</v>
      </c>
      <c r="AI58" s="34">
        <f>0.12*1.5</f>
        <v>0.18</v>
      </c>
      <c r="AJ58" s="34"/>
      <c r="AK58" s="34"/>
      <c r="AL58" s="34">
        <f>0.025*1.5</f>
        <v>3.7500000000000006E-2</v>
      </c>
      <c r="AM58" s="34">
        <f>0.006*1.5</f>
        <v>9.0000000000000011E-3</v>
      </c>
      <c r="AN58" s="34">
        <f>0.004*1.5</f>
        <v>6.0000000000000001E-3</v>
      </c>
      <c r="AO58" s="34">
        <f>0.008*1.5</f>
        <v>1.2E-2</v>
      </c>
      <c r="AP58" s="54">
        <f t="shared" si="54"/>
        <v>4.3949999999999987</v>
      </c>
      <c r="AQ58" s="20">
        <f>K58+L58</f>
        <v>21.670999999999999</v>
      </c>
      <c r="AR58" s="15">
        <v>2</v>
      </c>
      <c r="AS58" s="20">
        <f t="shared" si="57"/>
        <v>43.341999999999999</v>
      </c>
      <c r="AT58" s="20">
        <f>AR58*(D58+1.638*1.5)</f>
        <v>39.466000000000001</v>
      </c>
      <c r="AU58" s="20">
        <f>AR58*(E58+L58-1.638*1.5)</f>
        <v>3.8760000000000012</v>
      </c>
    </row>
    <row r="59" spans="1:48" ht="25.5" x14ac:dyDescent="0.25">
      <c r="A59" s="12" t="s">
        <v>112</v>
      </c>
      <c r="B59" s="12"/>
      <c r="C59" s="30" t="s">
        <v>121</v>
      </c>
      <c r="D59" s="31">
        <f>ROUND(1550*1.2409/167*2.5,3)</f>
        <v>28.792999999999999</v>
      </c>
      <c r="E59" s="31"/>
      <c r="F59" s="31"/>
      <c r="G59" s="31"/>
      <c r="H59" s="31"/>
      <c r="I59" s="31"/>
      <c r="J59" s="31"/>
      <c r="K59" s="32">
        <f t="shared" si="53"/>
        <v>28.792999999999999</v>
      </c>
      <c r="L59" s="33">
        <f>ROUND(2.93*2.5,3)</f>
        <v>7.3250000000000002</v>
      </c>
      <c r="M59" s="34">
        <f t="shared" ref="M59" si="58">1.638*2.5</f>
        <v>4.0949999999999998</v>
      </c>
      <c r="N59" s="33"/>
      <c r="O59" s="33"/>
      <c r="P59" s="34">
        <f t="shared" ref="P59" si="59">0.013*2.5</f>
        <v>3.2500000000000001E-2</v>
      </c>
      <c r="Q59" s="34">
        <f t="shared" ref="Q59" si="60">0.002*2.5</f>
        <v>5.0000000000000001E-3</v>
      </c>
      <c r="R59" s="56">
        <f t="shared" ref="R59" si="61">0.14*2.5</f>
        <v>0.35000000000000003</v>
      </c>
      <c r="S59" s="34">
        <f t="shared" ref="S59" si="62">0.036*2.5</f>
        <v>0.09</v>
      </c>
      <c r="T59" s="34">
        <f t="shared" ref="T59" si="63">0.006*2.5</f>
        <v>1.4999999999999999E-2</v>
      </c>
      <c r="U59" s="34">
        <f t="shared" ref="U59" si="64">0.067*2.5</f>
        <v>0.16750000000000001</v>
      </c>
      <c r="V59" s="34">
        <f t="shared" ref="V59" si="65">0.007*2.5</f>
        <v>1.7500000000000002E-2</v>
      </c>
      <c r="W59" s="34">
        <f t="shared" ref="W59" si="66">0.009*2.5</f>
        <v>2.2499999999999999E-2</v>
      </c>
      <c r="X59" s="34">
        <f t="shared" ref="X59" si="67">0.018*2.5</f>
        <v>4.4999999999999998E-2</v>
      </c>
      <c r="Y59" s="34">
        <f t="shared" ref="Y59" si="68">0.253*2.5</f>
        <v>0.63250000000000006</v>
      </c>
      <c r="Z59" s="34">
        <f t="shared" ref="Z59" si="69">0.118*2.5</f>
        <v>0.29499999999999998</v>
      </c>
      <c r="AA59" s="34">
        <f t="shared" ref="AA59" si="70">0.034*2.5</f>
        <v>8.5000000000000006E-2</v>
      </c>
      <c r="AB59" s="34">
        <f t="shared" ref="AB59" si="71">0.035*2.5</f>
        <v>8.7500000000000008E-2</v>
      </c>
      <c r="AC59" s="34">
        <f t="shared" ref="AC59" si="72">0.011*2.5</f>
        <v>2.7499999999999997E-2</v>
      </c>
      <c r="AD59" s="34">
        <f t="shared" ref="AD59" si="73">(0.263+0.007)*2.5</f>
        <v>0.67500000000000004</v>
      </c>
      <c r="AE59" s="34">
        <f t="shared" ref="AE59" si="74">0.033*2.5</f>
        <v>8.2500000000000004E-2</v>
      </c>
      <c r="AF59" s="34">
        <f t="shared" ref="AF59" si="75">0.008*2.5</f>
        <v>0.02</v>
      </c>
      <c r="AG59" s="34">
        <f t="shared" ref="AG59" si="76">0.058*2.5</f>
        <v>0.14500000000000002</v>
      </c>
      <c r="AH59" s="34">
        <f t="shared" ref="AH59" si="77">0.011*2.5</f>
        <v>2.7499999999999997E-2</v>
      </c>
      <c r="AI59" s="34">
        <f t="shared" ref="AI59" si="78">0.12*2.5</f>
        <v>0.3</v>
      </c>
      <c r="AJ59" s="34"/>
      <c r="AK59" s="34"/>
      <c r="AL59" s="34">
        <f t="shared" ref="AL59" si="79">0.025*2.5</f>
        <v>6.25E-2</v>
      </c>
      <c r="AM59" s="34">
        <f t="shared" ref="AM59" si="80">0.006*2.5</f>
        <v>1.4999999999999999E-2</v>
      </c>
      <c r="AN59" s="34">
        <f t="shared" ref="AN59" si="81">0.004*2.5</f>
        <v>0.01</v>
      </c>
      <c r="AO59" s="34">
        <f t="shared" ref="AO59" si="82">0.008*2.5</f>
        <v>0.02</v>
      </c>
      <c r="AP59" s="54">
        <f t="shared" si="54"/>
        <v>7.3249999999999975</v>
      </c>
      <c r="AQ59" s="20">
        <f>K59+L59</f>
        <v>36.118000000000002</v>
      </c>
      <c r="AR59" s="15">
        <v>2</v>
      </c>
      <c r="AS59" s="20">
        <f t="shared" si="57"/>
        <v>72.236000000000004</v>
      </c>
      <c r="AT59" s="20">
        <f>AR59*(D59+1.638*2.5)</f>
        <v>65.775999999999996</v>
      </c>
      <c r="AU59" s="20">
        <f>AR59*(E59+L59-1.638*2.5)</f>
        <v>6.4600000000000009</v>
      </c>
    </row>
    <row r="60" spans="1:48" x14ac:dyDescent="0.25">
      <c r="A60" s="70" t="s">
        <v>122</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2"/>
    </row>
    <row r="61" spans="1:48" x14ac:dyDescent="0.25">
      <c r="A61" s="70" t="s">
        <v>128</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2"/>
    </row>
    <row r="62" spans="1:48" x14ac:dyDescent="0.25">
      <c r="A62" s="83" t="s">
        <v>87</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5"/>
    </row>
    <row r="63" spans="1:48" ht="66.75" customHeight="1" x14ac:dyDescent="0.25">
      <c r="A63" s="12" t="s">
        <v>14</v>
      </c>
      <c r="B63" s="12" t="s">
        <v>106</v>
      </c>
      <c r="C63" s="13" t="s">
        <v>88</v>
      </c>
      <c r="D63" s="14">
        <v>6.0419999999999998</v>
      </c>
      <c r="E63" s="14">
        <f>3.532+5.04</f>
        <v>8.5719999999999992</v>
      </c>
      <c r="F63" s="55">
        <v>2.04</v>
      </c>
      <c r="G63" s="55">
        <v>9.8000000000000004E-2</v>
      </c>
      <c r="H63" s="55">
        <v>1.304</v>
      </c>
      <c r="I63" s="55">
        <v>5.04</v>
      </c>
      <c r="J63" s="55">
        <v>0.09</v>
      </c>
      <c r="K63" s="9">
        <f t="shared" ref="K63" si="83">SUM(D63:E63)</f>
        <v>14.613999999999999</v>
      </c>
      <c r="L63" s="9">
        <f t="shared" ref="L63" si="84">2.972+0.01</f>
        <v>2.9819999999999998</v>
      </c>
      <c r="M63" s="34">
        <v>1.6379999999999999</v>
      </c>
      <c r="N63" s="34">
        <v>1E-3</v>
      </c>
      <c r="O63" s="34">
        <v>3.0000000000000001E-3</v>
      </c>
      <c r="P63" s="34">
        <v>1.2999999999999999E-2</v>
      </c>
      <c r="Q63" s="34">
        <v>2E-3</v>
      </c>
      <c r="R63" s="56">
        <v>0.14000000000000001</v>
      </c>
      <c r="S63" s="34">
        <v>3.5999999999999997E-2</v>
      </c>
      <c r="T63" s="34">
        <v>6.0000000000000001E-3</v>
      </c>
      <c r="U63" s="34">
        <v>6.7000000000000004E-2</v>
      </c>
      <c r="V63" s="34">
        <v>7.0000000000000001E-3</v>
      </c>
      <c r="W63" s="34">
        <v>8.9999999999999993E-3</v>
      </c>
      <c r="X63" s="34">
        <v>1.7999999999999999E-2</v>
      </c>
      <c r="Y63" s="34">
        <v>0.253</v>
      </c>
      <c r="Z63" s="34">
        <v>0.11799999999999999</v>
      </c>
      <c r="AA63" s="34">
        <v>3.4000000000000002E-2</v>
      </c>
      <c r="AB63" s="34">
        <v>3.5000000000000003E-2</v>
      </c>
      <c r="AC63" s="34">
        <v>1.0999999999999999E-2</v>
      </c>
      <c r="AD63" s="34">
        <f>0.263+0.01</f>
        <v>0.27300000000000002</v>
      </c>
      <c r="AE63" s="34">
        <v>3.3000000000000002E-2</v>
      </c>
      <c r="AF63" s="34">
        <v>8.0000000000000002E-3</v>
      </c>
      <c r="AG63" s="34">
        <v>5.8000000000000003E-2</v>
      </c>
      <c r="AH63" s="34">
        <v>1.0999999999999999E-2</v>
      </c>
      <c r="AI63" s="34">
        <v>0.12</v>
      </c>
      <c r="AJ63" s="34">
        <v>2.9000000000000001E-2</v>
      </c>
      <c r="AK63" s="34">
        <v>1.6E-2</v>
      </c>
      <c r="AL63" s="34">
        <v>2.5000000000000001E-2</v>
      </c>
      <c r="AM63" s="34">
        <v>6.0000000000000001E-3</v>
      </c>
      <c r="AN63" s="34">
        <v>4.0000000000000001E-3</v>
      </c>
      <c r="AO63" s="34">
        <v>8.0000000000000002E-3</v>
      </c>
      <c r="AP63" s="54">
        <f>SUM(M63:AO63)</f>
        <v>2.9819999999999993</v>
      </c>
      <c r="AQ63" s="10">
        <f>K63+L63</f>
        <v>17.596</v>
      </c>
      <c r="AR63" s="11">
        <v>0</v>
      </c>
      <c r="AS63" s="10">
        <f t="shared" ref="AS63" si="85">AQ63*AR63</f>
        <v>0</v>
      </c>
      <c r="AT63" s="10">
        <f>AR63*(D63+1.638)</f>
        <v>0</v>
      </c>
      <c r="AU63" s="10">
        <f>AR63*(E63+L63-1.638)</f>
        <v>0</v>
      </c>
    </row>
    <row r="64" spans="1:48" x14ac:dyDescent="0.25">
      <c r="A64" s="83" t="s">
        <v>89</v>
      </c>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5"/>
    </row>
    <row r="65" spans="1:47" ht="25.5" x14ac:dyDescent="0.25">
      <c r="A65" s="12" t="s">
        <v>9</v>
      </c>
      <c r="B65" s="12" t="s">
        <v>9</v>
      </c>
      <c r="C65" s="26" t="s">
        <v>73</v>
      </c>
      <c r="D65" s="14">
        <v>6.0419999999999998</v>
      </c>
      <c r="E65" s="14">
        <f>3.532+5.04</f>
        <v>8.5719999999999992</v>
      </c>
      <c r="F65" s="55">
        <v>2.04</v>
      </c>
      <c r="G65" s="55">
        <v>9.8000000000000004E-2</v>
      </c>
      <c r="H65" s="55">
        <v>1.304</v>
      </c>
      <c r="I65" s="55">
        <v>5.04</v>
      </c>
      <c r="J65" s="55">
        <v>0.09</v>
      </c>
      <c r="K65" s="9">
        <f t="shared" ref="K65" si="86">SUM(D65:E65)</f>
        <v>14.613999999999999</v>
      </c>
      <c r="L65" s="9">
        <f t="shared" ref="L65" si="87">2.972+0.01</f>
        <v>2.9819999999999998</v>
      </c>
      <c r="M65" s="34">
        <v>1.6379999999999999</v>
      </c>
      <c r="N65" s="34">
        <v>1E-3</v>
      </c>
      <c r="O65" s="34">
        <v>3.0000000000000001E-3</v>
      </c>
      <c r="P65" s="34">
        <v>1.2999999999999999E-2</v>
      </c>
      <c r="Q65" s="34">
        <v>2E-3</v>
      </c>
      <c r="R65" s="56">
        <v>0.14000000000000001</v>
      </c>
      <c r="S65" s="34">
        <v>3.5999999999999997E-2</v>
      </c>
      <c r="T65" s="34">
        <v>6.0000000000000001E-3</v>
      </c>
      <c r="U65" s="34">
        <v>6.7000000000000004E-2</v>
      </c>
      <c r="V65" s="34">
        <v>7.0000000000000001E-3</v>
      </c>
      <c r="W65" s="34">
        <v>8.9999999999999993E-3</v>
      </c>
      <c r="X65" s="34">
        <v>1.7999999999999999E-2</v>
      </c>
      <c r="Y65" s="34">
        <v>0.253</v>
      </c>
      <c r="Z65" s="34">
        <v>0.11799999999999999</v>
      </c>
      <c r="AA65" s="34">
        <v>3.4000000000000002E-2</v>
      </c>
      <c r="AB65" s="34">
        <v>3.5000000000000003E-2</v>
      </c>
      <c r="AC65" s="34">
        <v>1.0999999999999999E-2</v>
      </c>
      <c r="AD65" s="34">
        <f>0.263+0.01</f>
        <v>0.27300000000000002</v>
      </c>
      <c r="AE65" s="34">
        <v>3.3000000000000002E-2</v>
      </c>
      <c r="AF65" s="34">
        <v>8.0000000000000002E-3</v>
      </c>
      <c r="AG65" s="34">
        <v>5.8000000000000003E-2</v>
      </c>
      <c r="AH65" s="34">
        <v>1.0999999999999999E-2</v>
      </c>
      <c r="AI65" s="34">
        <v>0.12</v>
      </c>
      <c r="AJ65" s="34">
        <v>2.9000000000000001E-2</v>
      </c>
      <c r="AK65" s="34">
        <v>1.6E-2</v>
      </c>
      <c r="AL65" s="34">
        <v>2.5000000000000001E-2</v>
      </c>
      <c r="AM65" s="34">
        <v>6.0000000000000001E-3</v>
      </c>
      <c r="AN65" s="34">
        <v>4.0000000000000001E-3</v>
      </c>
      <c r="AO65" s="34">
        <v>8.0000000000000002E-3</v>
      </c>
      <c r="AP65" s="54">
        <f>SUM(M65:AO65)</f>
        <v>2.9819999999999993</v>
      </c>
      <c r="AQ65" s="10">
        <f>K65+L65</f>
        <v>17.596</v>
      </c>
      <c r="AR65" s="11">
        <v>2700</v>
      </c>
      <c r="AS65" s="10">
        <f t="shared" ref="AS65" si="88">AQ65*AR65</f>
        <v>47509.2</v>
      </c>
      <c r="AT65" s="10">
        <f>AR65*(D65+1.638)</f>
        <v>20736</v>
      </c>
      <c r="AU65" s="10">
        <f>AR65*(E65+L65-1.638)</f>
        <v>26773.199999999997</v>
      </c>
    </row>
    <row r="66" spans="1:47" x14ac:dyDescent="0.25">
      <c r="A66" s="86" t="s">
        <v>92</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7"/>
    </row>
    <row r="67" spans="1:47" x14ac:dyDescent="0.25">
      <c r="A67" s="8" t="s">
        <v>81</v>
      </c>
      <c r="B67" s="8" t="s">
        <v>81</v>
      </c>
      <c r="C67" s="59" t="s">
        <v>171</v>
      </c>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row>
    <row r="68" spans="1:47" ht="25.5" x14ac:dyDescent="0.25">
      <c r="A68" s="12" t="s">
        <v>173</v>
      </c>
      <c r="B68" s="12" t="s">
        <v>196</v>
      </c>
      <c r="C68" s="60" t="s">
        <v>172</v>
      </c>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9"/>
    </row>
    <row r="69" spans="1:47" x14ac:dyDescent="0.25">
      <c r="A69" s="27" t="s">
        <v>179</v>
      </c>
      <c r="B69" s="12" t="s">
        <v>197</v>
      </c>
      <c r="C69" s="53" t="s">
        <v>174</v>
      </c>
      <c r="D69" s="116" t="s">
        <v>56</v>
      </c>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8"/>
    </row>
    <row r="70" spans="1:47" ht="25.5" x14ac:dyDescent="0.25">
      <c r="A70" s="27" t="s">
        <v>180</v>
      </c>
      <c r="B70" s="12" t="s">
        <v>198</v>
      </c>
      <c r="C70" s="53" t="s">
        <v>175</v>
      </c>
      <c r="D70" s="116" t="s">
        <v>56</v>
      </c>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8"/>
    </row>
    <row r="71" spans="1:47" ht="25.5" x14ac:dyDescent="0.25">
      <c r="A71" s="27" t="s">
        <v>181</v>
      </c>
      <c r="B71" s="12" t="s">
        <v>180</v>
      </c>
      <c r="C71" s="53" t="s">
        <v>176</v>
      </c>
      <c r="D71" s="116" t="s">
        <v>56</v>
      </c>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8"/>
    </row>
    <row r="72" spans="1:47" ht="51" x14ac:dyDescent="0.25">
      <c r="A72" s="27" t="s">
        <v>182</v>
      </c>
      <c r="B72" s="12" t="s">
        <v>181</v>
      </c>
      <c r="C72" s="53" t="s">
        <v>177</v>
      </c>
      <c r="D72" s="116" t="s">
        <v>56</v>
      </c>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8"/>
    </row>
    <row r="73" spans="1:47" ht="25.5" x14ac:dyDescent="0.25">
      <c r="A73" s="27" t="s">
        <v>183</v>
      </c>
      <c r="B73" s="12" t="s">
        <v>182</v>
      </c>
      <c r="C73" s="53" t="s">
        <v>178</v>
      </c>
      <c r="D73" s="116" t="s">
        <v>56</v>
      </c>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8"/>
    </row>
    <row r="74" spans="1:47" ht="51" x14ac:dyDescent="0.25">
      <c r="A74" s="12" t="s">
        <v>185</v>
      </c>
      <c r="B74" s="12" t="s">
        <v>185</v>
      </c>
      <c r="C74" s="60" t="s">
        <v>184</v>
      </c>
      <c r="D74" s="113"/>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5"/>
    </row>
    <row r="75" spans="1:47" x14ac:dyDescent="0.25">
      <c r="A75" s="42" t="s">
        <v>186</v>
      </c>
      <c r="B75" s="14" t="s">
        <v>186</v>
      </c>
      <c r="C75" s="61" t="s">
        <v>187</v>
      </c>
      <c r="D75" s="116" t="s">
        <v>56</v>
      </c>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8"/>
    </row>
    <row r="76" spans="1:47" x14ac:dyDescent="0.25">
      <c r="A76" s="42" t="s">
        <v>188</v>
      </c>
      <c r="B76" s="14" t="s">
        <v>199</v>
      </c>
      <c r="C76" s="61" t="s">
        <v>189</v>
      </c>
      <c r="D76" s="116" t="s">
        <v>56</v>
      </c>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8"/>
    </row>
    <row r="77" spans="1:47" x14ac:dyDescent="0.25">
      <c r="A77" s="12" t="s">
        <v>191</v>
      </c>
      <c r="B77" s="12" t="s">
        <v>191</v>
      </c>
      <c r="C77" s="60" t="s">
        <v>190</v>
      </c>
      <c r="D77" s="113"/>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5"/>
    </row>
    <row r="78" spans="1:47" ht="52.5" customHeight="1" x14ac:dyDescent="0.25">
      <c r="A78" s="27" t="s">
        <v>194</v>
      </c>
      <c r="B78" s="27" t="s">
        <v>202</v>
      </c>
      <c r="C78" s="48" t="s">
        <v>201</v>
      </c>
      <c r="D78" s="116" t="s">
        <v>56</v>
      </c>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8"/>
    </row>
    <row r="79" spans="1:47" ht="40.5" customHeight="1" x14ac:dyDescent="0.25">
      <c r="A79" s="27" t="s">
        <v>195</v>
      </c>
      <c r="B79" s="27" t="s">
        <v>200</v>
      </c>
      <c r="C79" s="48" t="s">
        <v>193</v>
      </c>
      <c r="D79" s="116" t="s">
        <v>56</v>
      </c>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8"/>
    </row>
    <row r="80" spans="1:47" ht="102" x14ac:dyDescent="0.25">
      <c r="A80" s="12" t="s">
        <v>90</v>
      </c>
      <c r="B80" s="12" t="s">
        <v>53</v>
      </c>
      <c r="C80" s="13" t="s">
        <v>192</v>
      </c>
      <c r="D80" s="14">
        <v>6.0419999999999998</v>
      </c>
      <c r="E80" s="14">
        <f>3.532+5.04</f>
        <v>8.5719999999999992</v>
      </c>
      <c r="F80" s="55">
        <v>2.04</v>
      </c>
      <c r="G80" s="55">
        <v>9.8000000000000004E-2</v>
      </c>
      <c r="H80" s="55">
        <v>1.304</v>
      </c>
      <c r="I80" s="55">
        <v>5.04</v>
      </c>
      <c r="J80" s="55">
        <v>0.09</v>
      </c>
      <c r="K80" s="9">
        <f t="shared" ref="K80" si="89">SUM(D80:E80)</f>
        <v>14.613999999999999</v>
      </c>
      <c r="L80" s="9">
        <f t="shared" ref="L80" si="90">2.972+0.01</f>
        <v>2.9819999999999998</v>
      </c>
      <c r="M80" s="34">
        <v>1.6379999999999999</v>
      </c>
      <c r="N80" s="34">
        <v>1E-3</v>
      </c>
      <c r="O80" s="34">
        <v>3.0000000000000001E-3</v>
      </c>
      <c r="P80" s="34">
        <v>1.2999999999999999E-2</v>
      </c>
      <c r="Q80" s="34">
        <v>2E-3</v>
      </c>
      <c r="R80" s="56">
        <v>0.14000000000000001</v>
      </c>
      <c r="S80" s="34">
        <v>3.5999999999999997E-2</v>
      </c>
      <c r="T80" s="34">
        <v>6.0000000000000001E-3</v>
      </c>
      <c r="U80" s="34">
        <v>6.7000000000000004E-2</v>
      </c>
      <c r="V80" s="34">
        <v>7.0000000000000001E-3</v>
      </c>
      <c r="W80" s="34">
        <v>8.9999999999999993E-3</v>
      </c>
      <c r="X80" s="34">
        <v>1.7999999999999999E-2</v>
      </c>
      <c r="Y80" s="34">
        <v>0.253</v>
      </c>
      <c r="Z80" s="34">
        <v>0.11799999999999999</v>
      </c>
      <c r="AA80" s="34">
        <v>3.4000000000000002E-2</v>
      </c>
      <c r="AB80" s="34">
        <v>3.5000000000000003E-2</v>
      </c>
      <c r="AC80" s="34">
        <v>1.0999999999999999E-2</v>
      </c>
      <c r="AD80" s="34">
        <f t="shared" ref="AD80:AD81" si="91">0.263+0.01</f>
        <v>0.27300000000000002</v>
      </c>
      <c r="AE80" s="34">
        <v>3.3000000000000002E-2</v>
      </c>
      <c r="AF80" s="34">
        <v>8.0000000000000002E-3</v>
      </c>
      <c r="AG80" s="34">
        <v>5.8000000000000003E-2</v>
      </c>
      <c r="AH80" s="34">
        <v>1.0999999999999999E-2</v>
      </c>
      <c r="AI80" s="34">
        <v>0.12</v>
      </c>
      <c r="AJ80" s="34">
        <v>2.9000000000000001E-2</v>
      </c>
      <c r="AK80" s="34">
        <v>1.6E-2</v>
      </c>
      <c r="AL80" s="34">
        <v>2.5000000000000001E-2</v>
      </c>
      <c r="AM80" s="34">
        <v>6.0000000000000001E-3</v>
      </c>
      <c r="AN80" s="34">
        <v>4.0000000000000001E-3</v>
      </c>
      <c r="AO80" s="34">
        <v>8.0000000000000002E-3</v>
      </c>
      <c r="AP80" s="54">
        <f t="shared" ref="AP80:AP81" si="92">SUM(M80:AO80)</f>
        <v>2.9819999999999993</v>
      </c>
      <c r="AQ80" s="10">
        <f>K80+L80</f>
        <v>17.596</v>
      </c>
      <c r="AR80" s="11">
        <v>0</v>
      </c>
      <c r="AS80" s="10">
        <f t="shared" ref="AS80" si="93">AQ80*AR80</f>
        <v>0</v>
      </c>
      <c r="AT80" s="10">
        <f>AR80*(D80+1.638)</f>
        <v>0</v>
      </c>
      <c r="AU80" s="10">
        <f>AR80*(E80+L80-1.638)</f>
        <v>0</v>
      </c>
    </row>
    <row r="81" spans="1:47" x14ac:dyDescent="0.25">
      <c r="A81" s="12" t="s">
        <v>54</v>
      </c>
      <c r="B81" s="12" t="s">
        <v>54</v>
      </c>
      <c r="C81" s="26" t="s">
        <v>55</v>
      </c>
      <c r="D81" s="14">
        <v>6.0419999999999998</v>
      </c>
      <c r="E81" s="14">
        <f>3.532+5.04</f>
        <v>8.5719999999999992</v>
      </c>
      <c r="F81" s="55">
        <v>2.04</v>
      </c>
      <c r="G81" s="55">
        <v>9.8000000000000004E-2</v>
      </c>
      <c r="H81" s="55">
        <v>1.304</v>
      </c>
      <c r="I81" s="55">
        <v>5.04</v>
      </c>
      <c r="J81" s="55">
        <v>0.09</v>
      </c>
      <c r="K81" s="9">
        <f t="shared" ref="K81" si="94">SUM(D81:E81)</f>
        <v>14.613999999999999</v>
      </c>
      <c r="L81" s="9">
        <f t="shared" ref="L81" si="95">2.972+0.01</f>
        <v>2.9819999999999998</v>
      </c>
      <c r="M81" s="34">
        <v>1.6379999999999999</v>
      </c>
      <c r="N81" s="34">
        <v>1E-3</v>
      </c>
      <c r="O81" s="34">
        <v>3.0000000000000001E-3</v>
      </c>
      <c r="P81" s="34">
        <v>1.2999999999999999E-2</v>
      </c>
      <c r="Q81" s="34">
        <v>2E-3</v>
      </c>
      <c r="R81" s="56">
        <v>0.14000000000000001</v>
      </c>
      <c r="S81" s="34">
        <v>3.5999999999999997E-2</v>
      </c>
      <c r="T81" s="34">
        <v>6.0000000000000001E-3</v>
      </c>
      <c r="U81" s="34">
        <v>6.7000000000000004E-2</v>
      </c>
      <c r="V81" s="34">
        <v>7.0000000000000001E-3</v>
      </c>
      <c r="W81" s="34">
        <v>8.9999999999999993E-3</v>
      </c>
      <c r="X81" s="34">
        <v>1.7999999999999999E-2</v>
      </c>
      <c r="Y81" s="34">
        <v>0.253</v>
      </c>
      <c r="Z81" s="34">
        <v>0.11799999999999999</v>
      </c>
      <c r="AA81" s="34">
        <v>3.4000000000000002E-2</v>
      </c>
      <c r="AB81" s="34">
        <v>3.5000000000000003E-2</v>
      </c>
      <c r="AC81" s="34">
        <v>1.0999999999999999E-2</v>
      </c>
      <c r="AD81" s="34">
        <f t="shared" si="91"/>
        <v>0.27300000000000002</v>
      </c>
      <c r="AE81" s="34">
        <v>3.3000000000000002E-2</v>
      </c>
      <c r="AF81" s="34">
        <v>8.0000000000000002E-3</v>
      </c>
      <c r="AG81" s="34">
        <v>5.8000000000000003E-2</v>
      </c>
      <c r="AH81" s="34">
        <v>1.0999999999999999E-2</v>
      </c>
      <c r="AI81" s="34">
        <v>0.12</v>
      </c>
      <c r="AJ81" s="34">
        <v>2.9000000000000001E-2</v>
      </c>
      <c r="AK81" s="34">
        <v>1.6E-2</v>
      </c>
      <c r="AL81" s="34">
        <v>2.5000000000000001E-2</v>
      </c>
      <c r="AM81" s="34">
        <v>6.0000000000000001E-3</v>
      </c>
      <c r="AN81" s="34">
        <v>4.0000000000000001E-3</v>
      </c>
      <c r="AO81" s="34">
        <v>8.0000000000000002E-3</v>
      </c>
      <c r="AP81" s="54">
        <f t="shared" si="92"/>
        <v>2.9819999999999993</v>
      </c>
      <c r="AQ81" s="10">
        <f>K81+L81</f>
        <v>17.596</v>
      </c>
      <c r="AR81" s="11">
        <v>0</v>
      </c>
      <c r="AS81" s="10">
        <f t="shared" ref="AS81" si="96">AQ81*AR81</f>
        <v>0</v>
      </c>
      <c r="AT81" s="10">
        <f>AR81*(D81+1.638)</f>
        <v>0</v>
      </c>
      <c r="AU81" s="10">
        <f>AR81*(E81+L81-1.638)</f>
        <v>0</v>
      </c>
    </row>
    <row r="83" spans="1:47" x14ac:dyDescent="0.25">
      <c r="A83" s="88" t="s">
        <v>93</v>
      </c>
      <c r="B83" s="88"/>
      <c r="C83" s="88"/>
    </row>
    <row r="84" spans="1:47" s="49" customFormat="1" ht="30" customHeight="1" x14ac:dyDescent="0.25">
      <c r="A84" s="89" t="s">
        <v>170</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row>
    <row r="85" spans="1:47" s="49" customFormat="1" x14ac:dyDescent="0.25">
      <c r="D85" s="50"/>
      <c r="E85" s="50"/>
      <c r="F85" s="50"/>
      <c r="G85" s="50"/>
      <c r="H85" s="50"/>
      <c r="I85" s="50"/>
      <c r="J85" s="50"/>
      <c r="AQ85" s="51"/>
      <c r="AR85" s="52"/>
    </row>
    <row r="87" spans="1:47" x14ac:dyDescent="0.25">
      <c r="A87" s="79" t="s">
        <v>126</v>
      </c>
      <c r="B87" s="79"/>
      <c r="C87" s="79"/>
      <c r="E87" s="58" t="s">
        <v>127</v>
      </c>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row>
  </sheetData>
  <mergeCells count="59">
    <mergeCell ref="D76:AU76"/>
    <mergeCell ref="D68:AU68"/>
    <mergeCell ref="D69:AU69"/>
    <mergeCell ref="D70:AU70"/>
    <mergeCell ref="D71:AU71"/>
    <mergeCell ref="AQ1:AU1"/>
    <mergeCell ref="C2:AU2"/>
    <mergeCell ref="B7:AU7"/>
    <mergeCell ref="AS3:AS5"/>
    <mergeCell ref="AT3:AT5"/>
    <mergeCell ref="AU3:AU5"/>
    <mergeCell ref="D3:K3"/>
    <mergeCell ref="A6:AU6"/>
    <mergeCell ref="C3:C5"/>
    <mergeCell ref="AQ3:AQ5"/>
    <mergeCell ref="AR3:AR5"/>
    <mergeCell ref="L3:AP3"/>
    <mergeCell ref="D4:D5"/>
    <mergeCell ref="AP4:AP5"/>
    <mergeCell ref="L4:L5"/>
    <mergeCell ref="A3:B4"/>
    <mergeCell ref="A87:C87"/>
    <mergeCell ref="B52:AU52"/>
    <mergeCell ref="B54:AU54"/>
    <mergeCell ref="A62:AU62"/>
    <mergeCell ref="A64:AU64"/>
    <mergeCell ref="A66:AU66"/>
    <mergeCell ref="A83:C83"/>
    <mergeCell ref="A84:AU84"/>
    <mergeCell ref="D77:AU77"/>
    <mergeCell ref="D78:AU78"/>
    <mergeCell ref="D67:AU67"/>
    <mergeCell ref="D79:AU79"/>
    <mergeCell ref="D72:AU72"/>
    <mergeCell ref="D73:AU73"/>
    <mergeCell ref="D74:AU74"/>
    <mergeCell ref="D75:AU75"/>
    <mergeCell ref="D51:AU51"/>
    <mergeCell ref="A60:AU60"/>
    <mergeCell ref="A61:AU61"/>
    <mergeCell ref="B27:AU27"/>
    <mergeCell ref="D46:AU46"/>
    <mergeCell ref="D48:AU48"/>
    <mergeCell ref="D49:AU49"/>
    <mergeCell ref="D28:AU28"/>
    <mergeCell ref="D29:AU29"/>
    <mergeCell ref="D30:AU30"/>
    <mergeCell ref="D31:AU31"/>
    <mergeCell ref="D39:AU39"/>
    <mergeCell ref="D40:AU40"/>
    <mergeCell ref="D42:AU42"/>
    <mergeCell ref="D44:AU44"/>
    <mergeCell ref="D43:AU43"/>
    <mergeCell ref="E4:E5"/>
    <mergeCell ref="F4:J4"/>
    <mergeCell ref="K4:K5"/>
    <mergeCell ref="M4:AO4"/>
    <mergeCell ref="D50:AU50"/>
    <mergeCell ref="B41:AU41"/>
  </mergeCells>
  <pageMargins left="0.43307086614173229" right="0.19685039370078741" top="0.9055118110236221" bottom="0.62992125984251968" header="0.15748031496062992" footer="0.15748031496062992"/>
  <pageSetup paperSize="9" fitToHeight="2" orientation="landscape" r:id="rId1"/>
  <headerFooter differentFirst="1">
    <oddHeader>&amp;C&amp;"Times New Roman,Parasts"&amp;10&amp;P</oddHeader>
    <oddFooter>&amp;L&amp;"Times New Roman,Parasts"&amp;10ZManotp_170418_PVDcenradis</oddFooter>
    <firstFooter>&amp;L&amp;"Times New Roman,Parasts"&amp;10ZManotp_170418_PVDcenradis</firstFooter>
  </headerFooter>
  <rowBreaks count="1" manualBreakCount="1">
    <brk id="6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cenu_izmaiņas</vt:lpstr>
      <vt:lpstr>cenu_izmaiņas!Drukas_apgabals</vt:lpstr>
      <vt:lpstr>cenu_izmaiņas!Drukāt_virsrakstus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Graumane</dc:creator>
  <cp:lastModifiedBy>Linda Gurecka</cp:lastModifiedBy>
  <cp:lastPrinted>2018-04-23T07:47:54Z</cp:lastPrinted>
  <dcterms:created xsi:type="dcterms:W3CDTF">2017-11-07T14:36:46Z</dcterms:created>
  <dcterms:modified xsi:type="dcterms:W3CDTF">2018-04-23T07:47:56Z</dcterms:modified>
</cp:coreProperties>
</file>