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tabRatio="753"/>
  </bookViews>
  <sheets>
    <sheet name="Pielik.1_atbalsts_audžuģim" sheetId="9" r:id="rId1"/>
    <sheet name="Pielik.2_atbalsts_spec.audžuģim" sheetId="12" r:id="rId2"/>
    <sheet name="Pielik.3_2018" sheetId="14" r:id="rId3"/>
    <sheet name="Pielik.4_2019_2020_2021" sheetId="10" r:id="rId4"/>
    <sheet name="AC prtrets" sheetId="7" r:id="rId5"/>
    <sheet name="ikmēneša atbalsta fin.aprēķināš" sheetId="13" r:id="rId6"/>
  </sheets>
  <externalReferences>
    <externalReference r:id="rId7"/>
  </externalReferences>
  <calcPr calcId="152511"/>
</workbook>
</file>

<file path=xl/calcChain.xml><?xml version="1.0" encoding="utf-8"?>
<calcChain xmlns="http://schemas.openxmlformats.org/spreadsheetml/2006/main">
  <c r="L32" i="14" l="1"/>
  <c r="L31" i="14"/>
  <c r="L29" i="14"/>
  <c r="L28" i="14"/>
  <c r="L21" i="14"/>
  <c r="L20" i="14"/>
  <c r="S45" i="14"/>
  <c r="L40" i="14"/>
  <c r="L39" i="14"/>
  <c r="L38" i="14"/>
  <c r="L37" i="14"/>
  <c r="L36" i="14"/>
  <c r="D32" i="14"/>
  <c r="M32" i="14" s="1"/>
  <c r="E31" i="14"/>
  <c r="H31" i="14" s="1"/>
  <c r="D31" i="14"/>
  <c r="M31" i="14" s="1"/>
  <c r="M29" i="14"/>
  <c r="H29" i="14"/>
  <c r="Q29" i="14" s="1"/>
  <c r="S29" i="14" s="1"/>
  <c r="M28" i="14"/>
  <c r="H28" i="14"/>
  <c r="J28" i="14" s="1"/>
  <c r="C27" i="14"/>
  <c r="J29" i="14" l="1"/>
  <c r="T29" i="14" s="1"/>
  <c r="E32" i="14"/>
  <c r="H32" i="14" s="1"/>
  <c r="H30" i="14" s="1"/>
  <c r="L30" i="14"/>
  <c r="J27" i="14"/>
  <c r="Q31" i="14"/>
  <c r="I31" i="14"/>
  <c r="Q32" i="14"/>
  <c r="I32" i="14"/>
  <c r="R32" i="14" s="1"/>
  <c r="Q28" i="14"/>
  <c r="N31" i="14"/>
  <c r="J38" i="14"/>
  <c r="S38" i="14" s="1"/>
  <c r="H27" i="14"/>
  <c r="E30" i="14"/>
  <c r="F31" i="14"/>
  <c r="F32" i="14"/>
  <c r="N32" i="14" l="1"/>
  <c r="G31" i="14"/>
  <c r="O31" i="14"/>
  <c r="P31" i="14" s="1"/>
  <c r="F30" i="14"/>
  <c r="G30" i="14" s="1"/>
  <c r="N30" i="14"/>
  <c r="S28" i="14"/>
  <c r="Q27" i="14"/>
  <c r="Q30" i="14"/>
  <c r="J39" i="14"/>
  <c r="S39" i="14" s="1"/>
  <c r="J32" i="14"/>
  <c r="I30" i="14"/>
  <c r="J30" i="14" s="1"/>
  <c r="R31" i="14"/>
  <c r="R30" i="14" s="1"/>
  <c r="G32" i="14"/>
  <c r="O32" i="14"/>
  <c r="P32" i="14" s="1"/>
  <c r="S32" i="14"/>
  <c r="J31" i="14"/>
  <c r="T32" i="14" l="1"/>
  <c r="O30" i="14"/>
  <c r="P30" i="14" s="1"/>
  <c r="S31" i="14"/>
  <c r="T31" i="14" s="1"/>
  <c r="S27" i="14"/>
  <c r="T27" i="14" s="1"/>
  <c r="T28" i="14"/>
  <c r="S30" i="14"/>
  <c r="T30" i="14" s="1"/>
  <c r="F47" i="12" l="1"/>
  <c r="E12" i="14" s="1"/>
  <c r="F37" i="9"/>
  <c r="E11" i="14" s="1"/>
  <c r="H11" i="14" l="1"/>
  <c r="H12" i="14"/>
  <c r="D13" i="9"/>
  <c r="H21" i="14" l="1"/>
  <c r="H20" i="14"/>
  <c r="D32" i="10"/>
  <c r="Q21" i="14" l="1"/>
  <c r="J37" i="14"/>
  <c r="S37" i="14" s="1"/>
  <c r="Q20" i="14"/>
  <c r="G10" i="7"/>
  <c r="D31" i="10" l="1"/>
  <c r="C10" i="7"/>
  <c r="C18" i="14" s="1"/>
  <c r="L18" i="14" l="1"/>
  <c r="D49" i="10"/>
  <c r="D50" i="10"/>
  <c r="D48" i="10"/>
  <c r="G48" i="10" l="1"/>
  <c r="B52" i="10"/>
  <c r="F50" i="10"/>
  <c r="G50" i="10" s="1"/>
  <c r="G49" i="10"/>
  <c r="L62" i="10"/>
  <c r="L61" i="10"/>
  <c r="L60" i="10"/>
  <c r="L59" i="10"/>
  <c r="L58" i="10"/>
  <c r="B49" i="10"/>
  <c r="B50" i="10"/>
  <c r="B48" i="10"/>
  <c r="E50" i="10"/>
  <c r="E49" i="10"/>
  <c r="H49" i="10" s="1"/>
  <c r="E48" i="10"/>
  <c r="H48" i="10" s="1"/>
  <c r="E19" i="7"/>
  <c r="E20" i="7"/>
  <c r="E21" i="7"/>
  <c r="S66" i="10"/>
  <c r="D20" i="9"/>
  <c r="F18" i="9"/>
  <c r="D16" i="9"/>
  <c r="D14" i="9"/>
  <c r="F14" i="9" s="1"/>
  <c r="F13" i="9"/>
  <c r="F12" i="9"/>
  <c r="D11" i="9"/>
  <c r="D10" i="9"/>
  <c r="M31" i="10"/>
  <c r="M32" i="10"/>
  <c r="H29" i="10"/>
  <c r="J29" i="10" s="1"/>
  <c r="H28" i="10"/>
  <c r="Q28" i="10" s="1"/>
  <c r="S28" i="10" s="1"/>
  <c r="M29" i="10"/>
  <c r="M28" i="10"/>
  <c r="L29" i="10"/>
  <c r="L28" i="10"/>
  <c r="L32" i="10"/>
  <c r="L31" i="10"/>
  <c r="C11" i="7"/>
  <c r="C19" i="14" s="1"/>
  <c r="G8" i="7"/>
  <c r="L19" i="14" l="1"/>
  <c r="C30" i="14" s="1"/>
  <c r="T33" i="14" s="1"/>
  <c r="J28" i="10"/>
  <c r="J27" i="10" s="1"/>
  <c r="H50" i="10"/>
  <c r="H51" i="10" s="1"/>
  <c r="G51" i="10"/>
  <c r="Q29" i="10"/>
  <c r="S29" i="10" s="1"/>
  <c r="S27" i="10" s="1"/>
  <c r="G9" i="7"/>
  <c r="C9" i="7"/>
  <c r="E31" i="10"/>
  <c r="N31" i="10" s="1"/>
  <c r="L21" i="10"/>
  <c r="L20" i="10"/>
  <c r="F45" i="12"/>
  <c r="E12" i="10" s="1"/>
  <c r="F20" i="9" l="1"/>
  <c r="D21" i="9"/>
  <c r="F21" i="9" s="1"/>
  <c r="D20" i="12"/>
  <c r="E10" i="12"/>
  <c r="E11" i="9"/>
  <c r="F11" i="9" s="1"/>
  <c r="G52" i="10"/>
  <c r="G53" i="10" s="1"/>
  <c r="H52" i="10"/>
  <c r="H53" i="10" s="1"/>
  <c r="E15" i="12"/>
  <c r="D17" i="9"/>
  <c r="F17" i="9" s="1"/>
  <c r="D19" i="9"/>
  <c r="F19" i="9" s="1"/>
  <c r="E16" i="9"/>
  <c r="F16" i="9" s="1"/>
  <c r="E9" i="12"/>
  <c r="D18" i="12"/>
  <c r="E10" i="9"/>
  <c r="F10" i="9" s="1"/>
  <c r="D16" i="12"/>
  <c r="H31" i="10"/>
  <c r="Q31" i="10" s="1"/>
  <c r="F48" i="12"/>
  <c r="F12" i="14" s="1"/>
  <c r="I12" i="14" l="1"/>
  <c r="G12" i="14"/>
  <c r="F49" i="12"/>
  <c r="F12" i="10"/>
  <c r="F9" i="9"/>
  <c r="G9" i="9" s="1"/>
  <c r="F15" i="9"/>
  <c r="F20" i="12"/>
  <c r="D19" i="12"/>
  <c r="F19" i="12" s="1"/>
  <c r="F18" i="12"/>
  <c r="F17" i="12"/>
  <c r="F16" i="12"/>
  <c r="D15" i="12"/>
  <c r="F15" i="12" s="1"/>
  <c r="D13" i="12"/>
  <c r="F13" i="12" s="1"/>
  <c r="D12" i="12"/>
  <c r="F12" i="12" s="1"/>
  <c r="F11" i="12"/>
  <c r="D10" i="12"/>
  <c r="F10" i="12" s="1"/>
  <c r="D9" i="12"/>
  <c r="F9" i="12" s="1"/>
  <c r="I21" i="14" l="1"/>
  <c r="J12" i="14"/>
  <c r="D21" i="14" s="1"/>
  <c r="M21" i="14" s="1"/>
  <c r="G15" i="9"/>
  <c r="F8" i="9"/>
  <c r="F8" i="12"/>
  <c r="G8" i="12" s="1"/>
  <c r="F14" i="12"/>
  <c r="G14" i="12" s="1"/>
  <c r="R21" i="14" l="1"/>
  <c r="S21" i="14" s="1"/>
  <c r="J21" i="14"/>
  <c r="T21" i="14" s="1"/>
  <c r="G8" i="9"/>
  <c r="E9" i="14" s="1"/>
  <c r="F22" i="9"/>
  <c r="G22" i="9" s="1"/>
  <c r="F9" i="14" s="1"/>
  <c r="F7" i="12"/>
  <c r="F21" i="12" s="1"/>
  <c r="G21" i="12" s="1"/>
  <c r="I9" i="14" l="1"/>
  <c r="F18" i="14"/>
  <c r="H9" i="14"/>
  <c r="J9" i="14" s="1"/>
  <c r="D18" i="14" s="1"/>
  <c r="M18" i="14" s="1"/>
  <c r="G9" i="14"/>
  <c r="E18" i="14"/>
  <c r="F10" i="10"/>
  <c r="F10" i="14"/>
  <c r="F23" i="9"/>
  <c r="G23" i="9" s="1"/>
  <c r="G7" i="12"/>
  <c r="F22" i="12"/>
  <c r="G22" i="12" s="1"/>
  <c r="I18" i="14" l="1"/>
  <c r="O18" i="14"/>
  <c r="R18" i="14" s="1"/>
  <c r="I10" i="14"/>
  <c r="F19" i="14"/>
  <c r="E10" i="10"/>
  <c r="E10" i="14"/>
  <c r="H18" i="14"/>
  <c r="G18" i="14"/>
  <c r="N18" i="14"/>
  <c r="G5" i="7"/>
  <c r="D6" i="7"/>
  <c r="O19" i="14" l="1"/>
  <c r="R19" i="14" s="1"/>
  <c r="I19" i="14"/>
  <c r="J10" i="14"/>
  <c r="D19" i="14" s="1"/>
  <c r="M19" i="14" s="1"/>
  <c r="J18" i="14"/>
  <c r="H10" i="14"/>
  <c r="G10" i="14"/>
  <c r="E19" i="14"/>
  <c r="P18" i="14"/>
  <c r="Q18" i="14"/>
  <c r="S18" i="14" s="1"/>
  <c r="G6" i="7"/>
  <c r="E6" i="7"/>
  <c r="F42" i="9"/>
  <c r="F41" i="9"/>
  <c r="F40" i="9"/>
  <c r="F39" i="9"/>
  <c r="F36" i="9"/>
  <c r="F35" i="9" s="1"/>
  <c r="F38" i="9" l="1"/>
  <c r="F34" i="9" s="1"/>
  <c r="G19" i="14"/>
  <c r="N19" i="14"/>
  <c r="H19" i="14"/>
  <c r="T18" i="14"/>
  <c r="C19" i="10"/>
  <c r="E11" i="10" l="1"/>
  <c r="F43" i="9"/>
  <c r="P19" i="14"/>
  <c r="Q19" i="14"/>
  <c r="S19" i="14" s="1"/>
  <c r="T19" i="14" s="1"/>
  <c r="J19" i="14"/>
  <c r="J36" i="14"/>
  <c r="F44" i="9"/>
  <c r="L19" i="10"/>
  <c r="F19" i="10"/>
  <c r="E19" i="10"/>
  <c r="F31" i="10"/>
  <c r="O31" i="10" s="1"/>
  <c r="L36" i="10"/>
  <c r="L37" i="10"/>
  <c r="L38" i="10"/>
  <c r="L39" i="10"/>
  <c r="L40" i="10"/>
  <c r="E32" i="10"/>
  <c r="C27" i="10"/>
  <c r="I12" i="10"/>
  <c r="I21" i="10" s="1"/>
  <c r="R21" i="10" s="1"/>
  <c r="H12" i="10"/>
  <c r="H21" i="10" s="1"/>
  <c r="S36" i="14" l="1"/>
  <c r="F11" i="10"/>
  <c r="F11" i="14"/>
  <c r="H32" i="10"/>
  <c r="Q32" i="10" s="1"/>
  <c r="Q30" i="10" s="1"/>
  <c r="N32" i="10"/>
  <c r="Q21" i="10"/>
  <c r="S21" i="10" s="1"/>
  <c r="J21" i="10"/>
  <c r="O19" i="10"/>
  <c r="R19" i="10" s="1"/>
  <c r="I19" i="10"/>
  <c r="H19" i="10"/>
  <c r="N19" i="10"/>
  <c r="Q19" i="10" s="1"/>
  <c r="C30" i="10"/>
  <c r="T33" i="10" s="1"/>
  <c r="L10" i="10"/>
  <c r="P31" i="10"/>
  <c r="F32" i="10"/>
  <c r="O32" i="10" s="1"/>
  <c r="T29" i="10"/>
  <c r="H27" i="10"/>
  <c r="J38" i="10"/>
  <c r="L30" i="10"/>
  <c r="I31" i="10"/>
  <c r="R31" i="10" s="1"/>
  <c r="E30" i="10"/>
  <c r="J12" i="10"/>
  <c r="D21" i="10" s="1"/>
  <c r="M21" i="10" s="1"/>
  <c r="G12" i="10"/>
  <c r="I11" i="14" l="1"/>
  <c r="G11" i="14"/>
  <c r="S31" i="10"/>
  <c r="S38" i="10"/>
  <c r="J60" i="10"/>
  <c r="S60" i="10" s="1"/>
  <c r="T21" i="10"/>
  <c r="J19" i="10"/>
  <c r="G32" i="10"/>
  <c r="P32" i="10"/>
  <c r="H30" i="10"/>
  <c r="J39" i="10" s="1"/>
  <c r="S39" i="10" s="1"/>
  <c r="I32" i="10"/>
  <c r="R32" i="10" s="1"/>
  <c r="R30" i="10" s="1"/>
  <c r="S30" i="10" s="1"/>
  <c r="Q27" i="10"/>
  <c r="T27" i="10" s="1"/>
  <c r="T28" i="10"/>
  <c r="J31" i="10"/>
  <c r="G31" i="10"/>
  <c r="F30" i="10"/>
  <c r="G30" i="10" s="1"/>
  <c r="O30" i="10"/>
  <c r="N30" i="10"/>
  <c r="I20" i="14" l="1"/>
  <c r="J11" i="14"/>
  <c r="D20" i="14" s="1"/>
  <c r="M20" i="14" s="1"/>
  <c r="J61" i="10"/>
  <c r="S61" i="10" s="1"/>
  <c r="T31" i="10"/>
  <c r="S32" i="10"/>
  <c r="I30" i="10"/>
  <c r="J30" i="10" s="1"/>
  <c r="J32" i="10"/>
  <c r="P30" i="10"/>
  <c r="R20" i="14" l="1"/>
  <c r="S20" i="14" s="1"/>
  <c r="J20" i="14"/>
  <c r="T20" i="14" s="1"/>
  <c r="J40" i="14"/>
  <c r="T30" i="10"/>
  <c r="T32" i="10"/>
  <c r="H10" i="10"/>
  <c r="G10" i="10"/>
  <c r="I10" i="10"/>
  <c r="S40" i="14" l="1"/>
  <c r="S35" i="14" s="1"/>
  <c r="J35" i="14"/>
  <c r="C18" i="10"/>
  <c r="J10" i="10"/>
  <c r="D19" i="10" s="1"/>
  <c r="M19" i="10" s="1"/>
  <c r="G19" i="10"/>
  <c r="C4" i="7"/>
  <c r="G4" i="7" s="1"/>
  <c r="S41" i="14" l="1"/>
  <c r="S49" i="14"/>
  <c r="L18" i="10"/>
  <c r="S19" i="10"/>
  <c r="T19" i="10" s="1"/>
  <c r="P19" i="10"/>
  <c r="E9" i="10" l="1"/>
  <c r="F9" i="10"/>
  <c r="F18" i="10" s="1"/>
  <c r="I18" i="10" l="1"/>
  <c r="O18" i="10"/>
  <c r="R18" i="10" s="1"/>
  <c r="L9" i="10"/>
  <c r="L11" i="10" s="1"/>
  <c r="E18" i="10"/>
  <c r="H9" i="10"/>
  <c r="G9" i="10"/>
  <c r="I9" i="10"/>
  <c r="N18" i="10" l="1"/>
  <c r="Q18" i="10" s="1"/>
  <c r="H18" i="10"/>
  <c r="J18" i="10" s="1"/>
  <c r="G18" i="10"/>
  <c r="J9" i="10"/>
  <c r="D18" i="10" s="1"/>
  <c r="M18" i="10" s="1"/>
  <c r="S18" i="10" l="1"/>
  <c r="T18" i="10" s="1"/>
  <c r="P18" i="10"/>
  <c r="J36" i="10"/>
  <c r="J58" i="10" s="1"/>
  <c r="S58" i="10" s="1"/>
  <c r="S36" i="10" l="1"/>
  <c r="M11" i="10" s="1"/>
  <c r="H11" i="10"/>
  <c r="H20" i="10" s="1"/>
  <c r="I11" i="10"/>
  <c r="I20" i="10" s="1"/>
  <c r="R20" i="10" l="1"/>
  <c r="J40" i="10"/>
  <c r="Q20" i="10"/>
  <c r="J20" i="10"/>
  <c r="G11" i="10"/>
  <c r="J11" i="10"/>
  <c r="D20" i="10" s="1"/>
  <c r="M20" i="10" s="1"/>
  <c r="J62" i="10" l="1"/>
  <c r="S62" i="10" s="1"/>
  <c r="S40" i="10"/>
  <c r="S20" i="10"/>
  <c r="T20" i="10" s="1"/>
  <c r="J37" i="10"/>
  <c r="J59" i="10" s="1"/>
  <c r="S37" i="10" l="1"/>
  <c r="S35" i="10" s="1"/>
  <c r="S41" i="10" s="1"/>
  <c r="S59" i="10"/>
  <c r="J35" i="10"/>
  <c r="J57" i="10" l="1"/>
  <c r="S57" i="10" l="1"/>
  <c r="S70" i="10" s="1"/>
</calcChain>
</file>

<file path=xl/comments1.xml><?xml version="1.0" encoding="utf-8"?>
<comments xmlns="http://schemas.openxmlformats.org/spreadsheetml/2006/main">
  <authors>
    <author>Author</author>
  </authors>
  <commentList>
    <comment ref="E19" authorId="0" shapeId="0">
      <text>
        <r>
          <rPr>
            <b/>
            <sz val="9"/>
            <color indexed="81"/>
            <rFont val="Tahoma"/>
            <family val="2"/>
            <charset val="186"/>
          </rPr>
          <t>Author:</t>
        </r>
        <r>
          <rPr>
            <sz val="9"/>
            <color indexed="81"/>
            <rFont val="Tahoma"/>
            <family val="2"/>
            <charset val="186"/>
          </rPr>
          <t xml:space="preserve">
5 speciālisti + operatora telefons</t>
        </r>
      </text>
    </comment>
    <comment ref="E20" authorId="0" shapeId="0">
      <text>
        <r>
          <rPr>
            <b/>
            <sz val="9"/>
            <color indexed="81"/>
            <rFont val="Tahoma"/>
            <family val="2"/>
            <charset val="186"/>
          </rPr>
          <t>Author:</t>
        </r>
        <r>
          <rPr>
            <sz val="9"/>
            <color indexed="81"/>
            <rFont val="Tahoma"/>
            <family val="2"/>
            <charset val="186"/>
          </rPr>
          <t xml:space="preserve">
uz 1 AC plānots 1 operatora "punkts"</t>
        </r>
      </text>
    </comment>
  </commentList>
</comments>
</file>

<file path=xl/comments2.xml><?xml version="1.0" encoding="utf-8"?>
<comments xmlns="http://schemas.openxmlformats.org/spreadsheetml/2006/main">
  <authors>
    <author>Author</author>
  </authors>
  <commentList>
    <comment ref="E18" authorId="0" shapeId="0">
      <text>
        <r>
          <rPr>
            <b/>
            <sz val="9"/>
            <color indexed="81"/>
            <rFont val="Tahoma"/>
            <family val="2"/>
            <charset val="186"/>
          </rPr>
          <t>Author:</t>
        </r>
        <r>
          <rPr>
            <sz val="9"/>
            <color indexed="81"/>
            <rFont val="Tahoma"/>
            <family val="2"/>
            <charset val="186"/>
          </rPr>
          <t xml:space="preserve">
5 speciālisti + operatora telefons</t>
        </r>
      </text>
    </comment>
    <comment ref="E19" authorId="0" shapeId="0">
      <text>
        <r>
          <rPr>
            <b/>
            <sz val="9"/>
            <color indexed="81"/>
            <rFont val="Tahoma"/>
            <family val="2"/>
            <charset val="186"/>
          </rPr>
          <t>Author:</t>
        </r>
        <r>
          <rPr>
            <sz val="9"/>
            <color indexed="81"/>
            <rFont val="Tahoma"/>
            <family val="2"/>
            <charset val="186"/>
          </rPr>
          <t xml:space="preserve">
uz 1 AC plānots 1 operatora "punkts"</t>
        </r>
      </text>
    </comment>
  </commentList>
</comments>
</file>

<file path=xl/comments3.xml><?xml version="1.0" encoding="utf-8"?>
<comments xmlns="http://schemas.openxmlformats.org/spreadsheetml/2006/main">
  <authors>
    <author>Author</author>
  </authors>
  <commentList>
    <comment ref="C20" authorId="0" shapeId="0">
      <text>
        <r>
          <rPr>
            <b/>
            <sz val="9"/>
            <color indexed="81"/>
            <rFont val="Tahoma"/>
            <charset val="1"/>
          </rPr>
          <t>Author:</t>
        </r>
        <r>
          <rPr>
            <sz val="9"/>
            <color indexed="81"/>
            <rFont val="Tahoma"/>
            <charset val="1"/>
          </rPr>
          <t xml:space="preserve">
vidēji 10 ģimenes
</t>
        </r>
      </text>
    </comment>
    <comment ref="L20" authorId="0" shapeId="0">
      <text>
        <r>
          <rPr>
            <b/>
            <sz val="9"/>
            <color indexed="81"/>
            <rFont val="Tahoma"/>
            <charset val="1"/>
          </rPr>
          <t>Author:</t>
        </r>
        <r>
          <rPr>
            <sz val="9"/>
            <color indexed="81"/>
            <rFont val="Tahoma"/>
            <charset val="1"/>
          </rPr>
          <t xml:space="preserve">
60 ģimenes</t>
        </r>
      </text>
    </comment>
    <comment ref="C21" authorId="0" shapeId="0">
      <text>
        <r>
          <rPr>
            <b/>
            <sz val="9"/>
            <color indexed="81"/>
            <rFont val="Tahoma"/>
            <charset val="1"/>
          </rPr>
          <t>Author:</t>
        </r>
        <r>
          <rPr>
            <sz val="9"/>
            <color indexed="81"/>
            <rFont val="Tahoma"/>
            <charset val="1"/>
          </rPr>
          <t xml:space="preserve">
15 ģimenes</t>
        </r>
      </text>
    </comment>
    <comment ref="L21" authorId="0" shapeId="0">
      <text>
        <r>
          <rPr>
            <b/>
            <sz val="9"/>
            <color indexed="81"/>
            <rFont val="Tahoma"/>
            <charset val="1"/>
          </rPr>
          <t>Author:</t>
        </r>
        <r>
          <rPr>
            <sz val="9"/>
            <color indexed="81"/>
            <rFont val="Tahoma"/>
            <charset val="1"/>
          </rPr>
          <t xml:space="preserve">
90 ģimenes</t>
        </r>
      </text>
    </comment>
  </commentList>
</comments>
</file>

<file path=xl/comments4.xml><?xml version="1.0" encoding="utf-8"?>
<comments xmlns="http://schemas.openxmlformats.org/spreadsheetml/2006/main">
  <authors>
    <author>Author</author>
  </authors>
  <commentList>
    <comment ref="H17" authorId="0" shapeId="0">
      <text>
        <r>
          <rPr>
            <b/>
            <sz val="9"/>
            <color indexed="81"/>
            <rFont val="Tahoma"/>
            <family val="2"/>
            <charset val="186"/>
          </rPr>
          <t>Author:</t>
        </r>
        <r>
          <rPr>
            <sz val="9"/>
            <color indexed="81"/>
            <rFont val="Tahoma"/>
            <family val="2"/>
            <charset val="186"/>
          </rPr>
          <t xml:space="preserve">
Vidēji plānots, ka AC atbalsta finansējumu par katru ģimeni saņem vidēji 11 mēnešus gadā.</t>
        </r>
      </text>
    </comment>
    <comment ref="Q17" authorId="0" shapeId="0">
      <text>
        <r>
          <rPr>
            <b/>
            <sz val="9"/>
            <color indexed="81"/>
            <rFont val="Tahoma"/>
            <family val="2"/>
            <charset val="186"/>
          </rPr>
          <t>Author:</t>
        </r>
        <r>
          <rPr>
            <sz val="9"/>
            <color indexed="81"/>
            <rFont val="Tahoma"/>
            <family val="2"/>
            <charset val="186"/>
          </rPr>
          <t xml:space="preserve">
Vidēji plānots, ka AC atbalsta finansējumu par katru ģimeni saņem vidēji 11 mēnešus gadā.</t>
        </r>
      </text>
    </comment>
    <comment ref="C20" authorId="0" shapeId="0">
      <text>
        <r>
          <rPr>
            <b/>
            <sz val="9"/>
            <color indexed="81"/>
            <rFont val="Tahoma"/>
            <charset val="1"/>
          </rPr>
          <t>Author:</t>
        </r>
        <r>
          <rPr>
            <sz val="9"/>
            <color indexed="81"/>
            <rFont val="Tahoma"/>
            <charset val="1"/>
          </rPr>
          <t xml:space="preserve">
5 ģimenes</t>
        </r>
      </text>
    </comment>
    <comment ref="L20" authorId="0" shapeId="0">
      <text>
        <r>
          <rPr>
            <b/>
            <sz val="9"/>
            <color indexed="81"/>
            <rFont val="Tahoma"/>
            <charset val="1"/>
          </rPr>
          <t>Author:</t>
        </r>
        <r>
          <rPr>
            <sz val="9"/>
            <color indexed="81"/>
            <rFont val="Tahoma"/>
            <charset val="1"/>
          </rPr>
          <t xml:space="preserve">
30 ģimenes</t>
        </r>
      </text>
    </comment>
    <comment ref="C21" authorId="0" shapeId="0">
      <text>
        <r>
          <rPr>
            <b/>
            <sz val="9"/>
            <color indexed="81"/>
            <rFont val="Tahoma"/>
            <charset val="1"/>
          </rPr>
          <t>Author:</t>
        </r>
        <r>
          <rPr>
            <sz val="9"/>
            <color indexed="81"/>
            <rFont val="Tahoma"/>
            <charset val="1"/>
          </rPr>
          <t xml:space="preserve">
3 ģimenes
</t>
        </r>
      </text>
    </comment>
    <comment ref="L21" authorId="0" shapeId="0">
      <text>
        <r>
          <rPr>
            <b/>
            <sz val="9"/>
            <color indexed="81"/>
            <rFont val="Tahoma"/>
            <charset val="1"/>
          </rPr>
          <t>Author:</t>
        </r>
        <r>
          <rPr>
            <sz val="9"/>
            <color indexed="81"/>
            <rFont val="Tahoma"/>
            <charset val="1"/>
          </rPr>
          <t xml:space="preserve">
18 ģimenes</t>
        </r>
      </text>
    </comment>
  </commentList>
</comments>
</file>

<file path=xl/comments5.xml><?xml version="1.0" encoding="utf-8"?>
<comments xmlns="http://schemas.openxmlformats.org/spreadsheetml/2006/main">
  <authors>
    <author>Author</author>
  </authors>
  <commentList>
    <comment ref="E6" authorId="0" shapeId="0">
      <text>
        <r>
          <rPr>
            <b/>
            <sz val="9"/>
            <color indexed="81"/>
            <rFont val="Tahoma"/>
            <family val="2"/>
            <charset val="186"/>
          </rPr>
          <t>Author:</t>
        </r>
        <r>
          <rPr>
            <sz val="9"/>
            <color indexed="81"/>
            <rFont val="Tahoma"/>
            <family val="2"/>
            <charset val="186"/>
          </rPr>
          <t xml:space="preserve">
Ģimeņu skaits vidēji uz 1 slodzi psihologs/soc.darbinieks.</t>
        </r>
      </text>
    </comment>
    <comment ref="G10" authorId="0" shapeId="0">
      <text>
        <r>
          <rPr>
            <b/>
            <sz val="9"/>
            <color indexed="81"/>
            <rFont val="Tahoma"/>
            <family val="2"/>
            <charset val="186"/>
          </rPr>
          <t>Author:</t>
        </r>
        <r>
          <rPr>
            <sz val="9"/>
            <color indexed="81"/>
            <rFont val="Tahoma"/>
            <family val="2"/>
            <charset val="186"/>
          </rPr>
          <t xml:space="preserve">
Atlīdzība par audžuģimenes pienākumu pildīšanu saņēmēju skaits vidēji mēnesī - plānotais RR 2018. gadam 468 2018.gadā, turpmākajos gados 463. Plānots, ka AC darbības rezultātā audžuģimeņu skaits palielināsies līdz 570.</t>
        </r>
      </text>
    </comment>
  </commentList>
</comments>
</file>

<file path=xl/comments6.xml><?xml version="1.0" encoding="utf-8"?>
<comments xmlns="http://schemas.openxmlformats.org/spreadsheetml/2006/main">
  <authors>
    <author>Author</author>
  </authors>
  <commentList>
    <comment ref="J7" authorId="0" shapeId="0">
      <text>
        <r>
          <rPr>
            <b/>
            <sz val="9"/>
            <color indexed="81"/>
            <rFont val="Tahoma"/>
            <family val="2"/>
            <charset val="186"/>
          </rPr>
          <t>Author:</t>
        </r>
        <r>
          <rPr>
            <sz val="9"/>
            <color indexed="81"/>
            <rFont val="Tahoma"/>
            <family val="2"/>
            <charset val="186"/>
          </rPr>
          <t xml:space="preserve">
Pārtraukums no bērna ievietošanas vai statusa piešķiršanas bez bērna ilgāks kā trīs sekojošie mēneši!!!</t>
        </r>
      </text>
    </comment>
    <comment ref="G13" authorId="0" shapeId="0">
      <text>
        <r>
          <rPr>
            <b/>
            <sz val="9"/>
            <color indexed="81"/>
            <rFont val="Tahoma"/>
            <family val="2"/>
            <charset val="186"/>
          </rPr>
          <t>Author:</t>
        </r>
        <r>
          <rPr>
            <sz val="9"/>
            <color indexed="81"/>
            <rFont val="Tahoma"/>
            <family val="2"/>
            <charset val="186"/>
          </rPr>
          <t xml:space="preserve">
Pārtraukums no bērna ievietošanas vai statusa piešķiršanas bez bērna ilgāks kā trīs sekojošie mēneši!!!</t>
        </r>
      </text>
    </comment>
  </commentList>
</comments>
</file>

<file path=xl/sharedStrings.xml><?xml version="1.0" encoding="utf-8"?>
<sst xmlns="http://schemas.openxmlformats.org/spreadsheetml/2006/main" count="574" uniqueCount="210">
  <si>
    <t>Nr. p. k.</t>
  </si>
  <si>
    <t>vienas vienības cena EURO, mēn</t>
  </si>
  <si>
    <t>Aprēķina paskaidrojums</t>
  </si>
  <si>
    <t>1.1.</t>
  </si>
  <si>
    <t>1.2.</t>
  </si>
  <si>
    <t xml:space="preserve">Administrēšanas izmaksas </t>
  </si>
  <si>
    <t>Izdevumi</t>
  </si>
  <si>
    <t>Psihologs</t>
  </si>
  <si>
    <t>mērvienība</t>
  </si>
  <si>
    <t>stundas</t>
  </si>
  <si>
    <t>Sociālais darbinieks</t>
  </si>
  <si>
    <t>piezīmes</t>
  </si>
  <si>
    <t>Finansējuma apjoms 10% apmērā no tiešajiem pakalpojuma izdevumiem.                                                                                                                                                                                                                                          Mērķa grupas  un sadarbības partneru informēšana par atbalsta centra darbību un pieejamajiem pakalpojumiem. Ievērot atbalsta centru komunikācijas vadlīnijas. Iesaistīties kopīgajās komunikācijas kampaņās, ar mērķi piesaistīt jaunas ģimenes un veicināt uzņemošo ģimeņu skaita pieaugumu, kā arī prestižu sabiedrībā.  Informēt sabiedrību par uzņemošo ģimeņu darba specifiku un grūtībām;
Uzņemošo ģimeņu izvērtēšanas nodrošināšana, t.sk., veikt uzņemošo ģimeņu psiholoģisko izvērtēšanu un atzinuma sagatavošanu bāriņtiesai lēmuma pieņemšanai par konkrēta statusa piešķiršanu uzņemošajai ģimenei (var tikt pieaicināti pie SD ģimenes dzīvesvietas apsekošanas laikā);
Nepieciešamos resursu piesaiste atbalsta un konsultatīvās palīdzības sniegšanai, t.sk., piesaistot finansējumu no sadarbības partneriem un projektiem;
u.c. izdevumi.</t>
  </si>
  <si>
    <t>Pasākums "Atbalsts ārpusģimenes aprūpes pakalpojumu sniegšanai"</t>
  </si>
  <si>
    <t>slodze</t>
  </si>
  <si>
    <t>Psihologs/ AC darbinieks</t>
  </si>
  <si>
    <t>Atbalsta grupas</t>
  </si>
  <si>
    <t>nodarbība</t>
  </si>
  <si>
    <t>Finansējuma apjoms 10% apmērā no tiešajiem pakalpojuma izdevumiem.                                                                                                                                                                                                                                          Mērķa grupas  un sadarbības partneru informēšana par atbalsta centra darbību un pieejamajiem pakalpojumiem. Ievērot atbalsta centru komunikācijas vadlīnijas. Iesaistīties kopīgajās komunikācijas kampaņās, ar mērķi piesaistīt jaunas ģimenes un veicināt uzņemošo ģimeņu skaita pieaugumu, kā arī prestižu sabiedrībā.  Informēt sabiedrību par uzņemošo ģimeņu darba specifiku un grūtībām;
Nepieciešamos resursu piesaiste atbalsta un konsultatīvās palīdzības sniegšanai, t.sk., piesaistot finansējumu no sadarbības partneriem un projektiem;                                                                                                                                                                                                         Darbs ar vienotu datu bāzi par uzņemošajām ģimenēm (par specializācijām, ģimenes kapacitāti utt.), mērķa grupām, pieejamiem un nepieciešamiem pakalpojumiem;
u.c. izdevumi.</t>
  </si>
  <si>
    <t>finansējuma apmērs uz vienu ģimeni* mēnesī</t>
  </si>
  <si>
    <t>x</t>
  </si>
  <si>
    <t>Apmācība, supervīzija speciālistiem</t>
  </si>
  <si>
    <t>apmācība/ supervizija</t>
  </si>
  <si>
    <r>
      <t>vienību skaits (</t>
    </r>
    <r>
      <rPr>
        <i/>
        <sz val="12"/>
        <rFont val="Times New Roman"/>
        <family val="1"/>
        <charset val="186"/>
      </rPr>
      <t>vidēji uz vienu ģimeni gadā</t>
    </r>
    <r>
      <rPr>
        <sz val="12"/>
        <rFont val="Times New Roman"/>
        <family val="1"/>
        <charset val="186"/>
      </rPr>
      <t>)</t>
    </r>
  </si>
  <si>
    <r>
      <t xml:space="preserve">finansējuma apmērs uz vienu ģimeni* </t>
    </r>
    <r>
      <rPr>
        <u/>
        <sz val="12"/>
        <rFont val="Times New Roman"/>
        <family val="1"/>
        <charset val="186"/>
      </rPr>
      <t>gadā</t>
    </r>
  </si>
  <si>
    <t xml:space="preserve">Atbalsta sniegšana ģimenei, psiholaga atzinuma sagatavošana BT lēmuma pieņemšanai.                                                                                                                                                                                                                                              Nostrādāto stundu skaits normālā darba laika gadījumā 2018. gadā 1 996, vidēji mēnesī 166.33.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slodze/vidēji 166.33h/mēnesī.                                                                                                                                                                                                                       </t>
  </si>
  <si>
    <t>Transporta noma</t>
  </si>
  <si>
    <t>Degvielas izdevumi</t>
  </si>
  <si>
    <t>km</t>
  </si>
  <si>
    <t>gads</t>
  </si>
  <si>
    <t>Aprēķinos pieņemts, ka viens atbalsta centrs sniedz atbalstu vidēji gadā 100 audžuģimenēm un 20 specializētajām audžuģimenēm. Papildu gadā strādā ar 10 jaunām uzņemošajām ģimenēm. Atomašīnas nomas izdevumi pielīdzināti citos valsts sociālās rehabilitācijas pakalpojumu finansējuma grozos iekļautajām izmaksām, t.i. 1 automašīnas noma mēnesī ir 353.82 euro. Izdevumi vidēji uz 1 ģimeni sagatavošanas/apmācību posmā kļūšanai par audžuģimeni aprēķins: 353.82 euro: 130 ģimenes = 2.72 euro/ mēnesī x  12 mēneši = 32.66 euro gadā.</t>
  </si>
  <si>
    <t>Aprēķinos pieņemts, ka viens atbalsta centrs sniedz atbalstu vidēji gadā 100 audžuģimenēm un 20 specializētajām audžuģimenēm. Papildu gadā strādā ar 10 jaunām uzņemošajām ģimenēm. Uz vienu ģimeni plānotais nobraukto km skaits gadā ir 50 km, gadā 600 km. Viena km izdevumi pielīdzināti citos valsts sociālās rehabilitācijas pakalpojumu finansējuma grozos iekļautajām izmaksām, t.i., 0.09 euro/km. Aprēķins: 600km x 0.09 euro = 54 euro/gadā uz vienu ģimeni.</t>
  </si>
  <si>
    <t>Sakaru nodrošināšana komunikācijai ar ģimeni (pieslēgums)</t>
  </si>
  <si>
    <t xml:space="preserve">Aprēķinos pieņemts, ka viens atbalsta centrs sniedz atbalstu vidēji gadā 100 audžuģimenēm un 20 specializētajām audžuģimenēm. Atbalsta centrā plānotie speciālisti: psihologs, sociālais darbinieks. Lai nodrošinātu 2 speciālistus ar sakaru pakalpojumu (telefonsarunas neierobežotā daudzumā Latvijas teritorijā) nepieciešams 10.00 euro mēnesī, 120 euro gadā (vidējā tirgus cena 5.00 euro mēnesī par pieslēgumu, cena atbilstoši citos valsts apmaksātajos sociālās rehabilitācijas pakalpojumiem plānotajos izdevumos). Aprēķins: 120 euro: 130 ģimenes = 0.92 euro gadā/1 ģimene/2 pieslēgumi.   Aprēķins: 60 euro: 130 ģimenes = 0.46 euro gadā/1 ģimene/1 pieslēgums.     </t>
  </si>
  <si>
    <t>Atbilstoši MK 13.06.2017. not. Nr.338 "Prasības sociālo pakalpojumu sniedzējiem" sociālo pakalpojumu sniedzējs nodrošina darbiniekiem regulāru profesionālās kompetences pilnveidi, t.i. apmācība un supervizija. Atbalsta centra vadītājs, sociālais darbinieks un psihologs gadā saņem ne mazāk kā 21 h supervīziju un 24 h apmācību.                                                                                                                                                                                                                                                                                                                                                                                                                                                                                                                                                                                                             2015.gada 14.aprīla Ministru kabineta noteikumi Nr.193 Darbības programmas "Izaugsme un nodarbinātība" 9.2.1.specifiskā atbalsta mērķa "Paaugstināt sociālo dienestu darba efektivitāti un darbinieku profesionalitāti darbam ar riska situācijās esošām personām" 9.2.1.1.pasākuma "Profesionāla sociālā darba attīstība pašvaldībās" īstenošanas noteikumi 
18.1 6. supervīzijas pakalpojuma nodrošināšanai šo noteikumu 16.1. apakšpunktā minētās atbalstāmās darbības ietvaros vienam sociālā darba speciālistam par dalību vienā:
18.1 6.1. klātienes individuālajā supervīzijas sesijā – 30 euro (bez pievienotās vērtības nodokļa);
18.1 6.2. attālinātā individuālajā supervīzijas sesijā – 25 euro (bez pievienotās vērtības nodokļa);
18.1 6.3. grupas (grupas, komandas vai organizācijas) supervīzijas sesijā – 22 euro (bez pievienotās vērtības nodokļa).                                                                                                                                                                                                                       25.1 1.1.5. tas var nodrošināt vienas individuālās supervīzijas sesijas ilgumu – viena stunda un grupas, komandas vai organizācijas supervīzijas sesijas ilgumu – trīs stundas;                                                                                                                                                                                                                                                                Vidēja cena par 1 supervizijas sesiju (30 +25 +22):3 = 25.67 euro + PVN = 31.05 euro/3h = 10.35euro/1h.
Vienas personas vidējās apmācību izmaksas projektā ir aptuveni: 8 st. programma - 36.00 euro, 16 st. programma -72.00 euro un 24. st. programma -108 euro.                                                                                                                                                                                                                                                                                                                                         Atbalsta centrā 3 speciālisti - centra vadītājs/koordinatros, sociālais darbinieks un psihologs. Katram darbiniekiem gadā ne mazāk kā 21 h supervīzija, 24 h apmācība.                                                                                                                                                                             Aprēķins izdevumiem Atbalsta centram gadā: 1)Supervīzija: 3 darbinieki x 10.35 euro/h x 21 h = 652.19 euro 2) Apmācība:  3 darbinieki x 108 euro = 324.00 euro. KOPĀ AC 976.19 euro/gadā.  Aprēķinos pieņemts, ka viens atbalsta centrs sniedz atbalstu vidēji gadā 100 audžuģimenēm un 20 specializētajām audžuģimenēm. Papildu gadā strādā ar 10 jaunām uzņemošajām ģimenēm. 976.19 euro : 130 ģimenes = 7.51 euro/gadā uz 1 ģimeni par 3 speciālistu apmačības un supervīzijas izdevumiem.</t>
  </si>
  <si>
    <t>Atbalsta centrs</t>
  </si>
  <si>
    <t>ģim.</t>
  </si>
  <si>
    <t>1) koordinators/centra vadītājs</t>
  </si>
  <si>
    <t>2) psihologs</t>
  </si>
  <si>
    <t>3) sociālais darbinieks</t>
  </si>
  <si>
    <t>1.1.2.</t>
  </si>
  <si>
    <t>1.1.1.</t>
  </si>
  <si>
    <t>1.1.3.</t>
  </si>
  <si>
    <t>1.2.1.</t>
  </si>
  <si>
    <t>1.2.2.</t>
  </si>
  <si>
    <t>1.2.3.</t>
  </si>
  <si>
    <t>1.2.4.</t>
  </si>
  <si>
    <t>Pakalpojuma nodrošināšanas izmaksas KOPĀ:</t>
  </si>
  <si>
    <t>Tiešās pakalpojuma izmaksas KOPĀ:</t>
  </si>
  <si>
    <t>Ar pakalpojuma organizēšanu saistītās izmaksas KOPĀ:</t>
  </si>
  <si>
    <t>Pakalpojuma  izmaksas KOPĀ:</t>
  </si>
  <si>
    <t>Ikgadējā zināšanu pilnveidošana (8h)</t>
  </si>
  <si>
    <t>zināšanu pilnveide</t>
  </si>
  <si>
    <t>1.1.4.</t>
  </si>
  <si>
    <t>1.1.5.</t>
  </si>
  <si>
    <t>mēnesī</t>
  </si>
  <si>
    <t>Administrēšana</t>
  </si>
  <si>
    <t>ģimene</t>
  </si>
  <si>
    <t>1.2.5.</t>
  </si>
  <si>
    <t>Koordinators un/vai centra vadītājs</t>
  </si>
  <si>
    <t>1) audžuģimenes</t>
  </si>
  <si>
    <t>2) spec.audžuģimenes,t.sk.krīzes</t>
  </si>
  <si>
    <t>gadā</t>
  </si>
  <si>
    <t>1 ģimene</t>
  </si>
  <si>
    <t>izdevumi, euro</t>
  </si>
  <si>
    <t xml:space="preserve">Pakalpojuma nodrošināšanas </t>
  </si>
  <si>
    <t>KOPĀ</t>
  </si>
  <si>
    <r>
      <t xml:space="preserve">Atbalsts </t>
    </r>
    <r>
      <rPr>
        <b/>
        <sz val="11"/>
        <color theme="1"/>
        <rFont val="Times New Roman"/>
        <family val="1"/>
        <charset val="186"/>
      </rPr>
      <t>audžuģimenēm</t>
    </r>
    <r>
      <rPr>
        <sz val="11"/>
        <color theme="1"/>
        <rFont val="Times New Roman"/>
        <family val="1"/>
        <charset val="186"/>
      </rPr>
      <t>, t.sk. ikgadējā zināšanu pilnveide</t>
    </r>
  </si>
  <si>
    <r>
      <t xml:space="preserve">Atbalsts  </t>
    </r>
    <r>
      <rPr>
        <b/>
        <sz val="11"/>
        <color theme="1"/>
        <rFont val="Times New Roman"/>
        <family val="1"/>
        <charset val="186"/>
      </rPr>
      <t>specializētām</t>
    </r>
    <r>
      <rPr>
        <sz val="11"/>
        <color theme="1"/>
        <rFont val="Times New Roman"/>
        <family val="1"/>
        <charset val="186"/>
      </rPr>
      <t xml:space="preserve"> </t>
    </r>
    <r>
      <rPr>
        <b/>
        <sz val="11"/>
        <color theme="1"/>
        <rFont val="Times New Roman"/>
        <family val="1"/>
        <charset val="186"/>
      </rPr>
      <t>audžuģimenēm</t>
    </r>
    <r>
      <rPr>
        <sz val="11"/>
        <color theme="1"/>
        <rFont val="Times New Roman"/>
        <family val="1"/>
        <charset val="186"/>
      </rPr>
      <t>, t.sk. ikgadējā zināšanu pilnveide</t>
    </r>
  </si>
  <si>
    <t>Apmācība ģimenei audžuģimenes statusa iegūšanai</t>
  </si>
  <si>
    <t>Apmācība audžuģimenei specializētās audžuģimenes statusa iegūšanai</t>
  </si>
  <si>
    <t>1 AC</t>
  </si>
  <si>
    <t>Plānotais skaits gadā uz 1 AC</t>
  </si>
  <si>
    <t>Papildu valsts budžeta izdevumi:</t>
  </si>
  <si>
    <t>Krīzes audžuģimene</t>
  </si>
  <si>
    <t>Specializētā audžuģimene</t>
  </si>
  <si>
    <t>Izdevumi uz 1 ģimeni</t>
  </si>
  <si>
    <t>Skaits</t>
  </si>
  <si>
    <t>Specializētajām audžuģimenēm izmaksātā atlīdzība</t>
  </si>
  <si>
    <t>Izdevumi uz 1 ģimeni/atlīdzības summa vidēji mēnesī</t>
  </si>
  <si>
    <t>vidēji/mēnesī</t>
  </si>
  <si>
    <t>Specializētajām audžuģimenēm izmaksātā mājokļa iekārtošanas kompensācija:</t>
  </si>
  <si>
    <t>Izmaksātā mājokļa iekārtošanas kompensācija:</t>
  </si>
  <si>
    <t>Atlīdzības izdevumi spec.audžuģimenēm</t>
  </si>
  <si>
    <t>AC administrēšanas izdevumiem</t>
  </si>
  <si>
    <t>Plānotais amata vietu skaits:</t>
  </si>
  <si>
    <t>AC KOPĀ:</t>
  </si>
  <si>
    <t>pakalpojumu vidēji gadā sniedz:</t>
  </si>
  <si>
    <r>
      <t xml:space="preserve">AC kopējais/ </t>
    </r>
    <r>
      <rPr>
        <b/>
        <i/>
        <sz val="16"/>
        <color theme="1"/>
        <rFont val="Times New Roman"/>
        <family val="1"/>
        <charset val="186"/>
      </rPr>
      <t xml:space="preserve">vidējais </t>
    </r>
    <r>
      <rPr>
        <b/>
        <sz val="16"/>
        <color theme="1"/>
        <rFont val="Times New Roman"/>
        <family val="1"/>
        <charset val="186"/>
      </rPr>
      <t>portrets</t>
    </r>
  </si>
  <si>
    <r>
      <rPr>
        <b/>
        <i/>
        <sz val="8"/>
        <color theme="1"/>
        <rFont val="Times New Roman"/>
        <family val="1"/>
        <charset val="186"/>
      </rPr>
      <t>Plānotais ģim.skaits/ 1.00 amata v.</t>
    </r>
    <r>
      <rPr>
        <i/>
        <sz val="8"/>
        <color theme="1"/>
        <rFont val="Times New Roman"/>
        <family val="1"/>
        <charset val="186"/>
      </rPr>
      <t xml:space="preserve"> (psihologs un soc.darbinieks kopā):</t>
    </r>
  </si>
  <si>
    <t xml:space="preserve">Uz vienu ģimeni plānotais nobraukto km skaits mēnesī ir 25 km, gadā 300 km. Viena km izdevumi pielīdzināti citos valsts sociālās rehabilitācijas pakalpojumu finansējuma grozos iekļautajām izmaksām, t.i., 0.09 euro/km. Aprēķins: 300km x 0.09 euro = 27 euro/gadā uz vienu ģimeni. Audžuģimeņu atbalsta grozā plānojot km skaitu uz vienu ģimeni iekļauts arī km skaits, kas nepieciešams arī jaunu audžuģimeņu piesaistei, veicinot audžuģimeņu un specializēto audžuģimeņu skaita pieaugumu. Nepieciešamības gadījumā Atbalsts centrs var nodrošināt ģimenes nokļūšanu pie speciālista. </t>
  </si>
  <si>
    <t>1.2.6.</t>
  </si>
  <si>
    <t>24/7 pieejamības nodrošināšana. Operators 16h/diennaktī</t>
  </si>
  <si>
    <t xml:space="preserve">Ģimenei 1 gadījuma risināšanai plānotas 10 konsultācijas. Gadā 3 gadījumu risināšana. Kopā 30 psihologa konsultācijas. Aprēķinos pieņemts, ka vidēji ģimene 10 konsultācijas saņems pie sevis izvēlēta psihologa (psihologs, kas nav Atbalsta centra amatu sarakstā).                                                                                                                                                                                                                                             Atbilstoši valsts finansētajos pakalpojumu grozos  - vienas psihologa konsultācijas (45 min konsultācija + 15 min sagatavošanās) izmaksas plānotas 23.40 euro.                                                                                                                                                                                                                                                                                                                                                                   </t>
  </si>
  <si>
    <t>Finansējuma apmērs faktiski uz vienu specializēto audžuģimeni var būt mazāks vai lielāks, atbilstoši katras ģimenes individuālajām atbalsta plānam,  bet valsts finansējums nepārsniedz vidējo apmēru, kas plānots uz vienu ģimeni, maksājot noteikto finansējuma apmēru par vienai ģimeni sniegto atbalstu (gadā plānotā summa : 12 mēn = mēnesī plānotais finansējums Atbalsta centram izdevumu segšanai par sniegto atbalstu vienai audžuģimenei). Valsts atbalsta finansējums, izvērtējot katru gadījumu atsevišķi, var tikt novirzīts citu speciālistu/konsultāciju/semināru   u.t.t. , kas nav iekļauts grozā, apmaksai audžuvecākiem un/vai bērnam.</t>
  </si>
  <si>
    <t>Vidēji gadā 8h. Vienas audžuģimenes zināšanu pilnveidošanas izmaksas veidotas balstoties uz Valsts programmā bērnu un ģimenes stāvokļa uzlabošanai apmācību izdevumiem audžuģimenēm (izmaksas 45.05euro uz personu par 24h apmācību  (cena atbilstoši VBTI 21.02.2018. līgumam Nr.1-16/11). Aprēķinā stundu skaits gadā uz ģimeni  - 8h, katrā piektajā audžuģimenē audžuvecāks ir 1 (5 audžuģimenes = 9 audžuvecāki). Aprēķins vidējiem izdevumiem vienas audžuģimenes zināšanu pilnveidei gadā =(45.05euro:24hx8h x 2 pers.) + (45.05euro:24hx8h  x2 pers.)+(45.05euro :24hx8h  x2 pers.)+(45.05euro :24hx8h  x2 pers.)+ (45.05euro:24hx8h x 1 pers.)):5 ģimenes vai 45.05 euro : 24h x8h x 1.8 pers (t.i. 9 pers.:5 ģimenes = 1.8 pers./ģim.). = 27.03 euro/gadā uz 1 ģimeni.</t>
  </si>
  <si>
    <t xml:space="preserve">*AC 24/7 pieejamības nodrošināšanai. Operators, kurš atbild uz telefona zvaniem, piem., naktī, t.i. ārpus normālā darba laikā, kad nav sazvanāmi AC speciālisti. </t>
  </si>
  <si>
    <t>Finansējuma apmērs faktiski uz vienu audžuģimeni var būt mazāks vai lielāks, atbilstoši katras ģimenes individuālajām atbalsta plānam,  bet valsts finansējums nepārsniedz vidējo apmēru, kas plānots uz vienu ģimeni, maksājot noteikto finansējuma apmēru par vienai ģimeni sniegto atbalstu (gadā plānotā summa : 12 mēn = mēnesī plānotais finansējums Atbalsta centram izdevumu segšanai par sniegto atbalstu vienai audžuģimenei). Valsts atbalsta finansējums, izvērtējot katru gadījumu atsevišķi, var tikt novirzīts citu speciālistu/konsultāciju/semināru   u.t.t. , kas nav iekļauts grozā, apmaksai audžuvecākiem un/vai bērnam.</t>
  </si>
  <si>
    <t>Apmācības ģimenēm statusa (gan audžuģim., gan spec.audžuģim.) iegūšanai:</t>
  </si>
  <si>
    <t>6 AC</t>
  </si>
  <si>
    <r>
      <t xml:space="preserve">Izdevumi uz 1 ģimeni/atlīdzības summa </t>
    </r>
    <r>
      <rPr>
        <u/>
        <sz val="9"/>
        <color theme="1"/>
        <rFont val="Times New Roman"/>
        <family val="1"/>
        <charset val="186"/>
      </rPr>
      <t>vidēji mēnesī</t>
    </r>
  </si>
  <si>
    <t>Ģimene apmeklē vienu atbalsta grupas nodarbību mēnesī, 12 nodarbības gadā, vienas nodarbības ilgums 3h, gadā 36h (3h x 12 mēn).  Vienas audžuģimenes apmācību izmaksas veidotas balstoties uz Valsts programmā bērnu un ģimenes stāvokļa uzlabošanai atbalsta grupu izdevumiem audžuģimenēm (VBTI 21.02.2018. līgumam Nr.1-16/9). Viena ikmēneša atbalsta grupas izmaksas gadā 175.00 euro (dalībnieku skaits max 15). Vidēji uz 1 personu: 175 :15 = 11.67 euro gadā.  Aprēķinā pieņemts, ka katrā piektajā audžuģimenē audžuvecāks ir 1 (5 audžuģimenes = 9 audžuvecāki). Aprēķins vidējam personu skaitam atbalsta grupās no vienas audžuģimenes ir (2 +2+2+2+1):5 = 1.8 Aprēķins izdevumiem vienas audžuģimenes atbalsta grupu nodarbībām = 11.67 euro x 1.8 pers  = 21.00 euro/ģimene nodarbība mēnesī. Izdevumos iekļauta bērnu paskatīšana, speciālistu atalgojums, nodokļi, telpu noma u.c. izdevumi atbalsta grupu nodrošināšanai. Plānošanā pieņem, ka viens audžuvecāks apmeklēs vidēji 6 atbalsta grupas gadā.</t>
  </si>
  <si>
    <t xml:space="preserve">Ģimenei 1 gadījuma risināšanai plānotas 10 konsultācijas. Gadā 3 gadījumu risināšana. Kopā 30 psihologa konsultācijas. Aprēķinos pieņemts, ka vidēji ģimene 3 konsultācijas saņems pie sevis izvēlēta psihologa (psihologs, kas nav Atbalsta centra amatu sarakstā).                                                                                                                                                                                                                                             Atbilstoši valsts finansētajos pakalpojumu grozos  - vienas psihologa konsultācijas (45 min konsultācija + 15 min sagatavošanās) izmaksas plānotas 23.40 euro.                                                                                                                                                                                                                                                                                                                                                                   </t>
  </si>
  <si>
    <t>Piešķirts papildu AC pakalpojumam un spec.audžuģim.atlīdzībai</t>
  </si>
  <si>
    <t>VBTAI finansējums</t>
  </si>
  <si>
    <t>Pieejamais finansējums:</t>
  </si>
  <si>
    <r>
      <t>Atbalsts</t>
    </r>
    <r>
      <rPr>
        <sz val="11"/>
        <color rgb="FFFF0000"/>
        <rFont val="Times New Roman"/>
        <family val="1"/>
        <charset val="186"/>
      </rPr>
      <t xml:space="preserve"> </t>
    </r>
    <r>
      <rPr>
        <b/>
        <sz val="11"/>
        <color rgb="FFFF0000"/>
        <rFont val="Times New Roman"/>
        <family val="1"/>
        <charset val="186"/>
      </rPr>
      <t>audžuģimenēm</t>
    </r>
    <r>
      <rPr>
        <sz val="11"/>
        <color rgb="FFFF0000"/>
        <rFont val="Times New Roman"/>
        <family val="1"/>
        <charset val="186"/>
      </rPr>
      <t>,</t>
    </r>
    <r>
      <rPr>
        <sz val="11"/>
        <color theme="1"/>
        <rFont val="Times New Roman"/>
        <family val="1"/>
        <charset val="186"/>
      </rPr>
      <t xml:space="preserve"> t.sk. ikgadējā zināšanu pilnveide</t>
    </r>
  </si>
  <si>
    <r>
      <t xml:space="preserve">Atbalsts  </t>
    </r>
    <r>
      <rPr>
        <b/>
        <sz val="11"/>
        <color rgb="FFFF0000"/>
        <rFont val="Times New Roman"/>
        <family val="1"/>
        <charset val="186"/>
      </rPr>
      <t>specializētām</t>
    </r>
    <r>
      <rPr>
        <sz val="11"/>
        <color rgb="FFFF0000"/>
        <rFont val="Times New Roman"/>
        <family val="1"/>
        <charset val="186"/>
      </rPr>
      <t xml:space="preserve"> </t>
    </r>
    <r>
      <rPr>
        <b/>
        <sz val="11"/>
        <color rgb="FFFF0000"/>
        <rFont val="Times New Roman"/>
        <family val="1"/>
        <charset val="186"/>
      </rPr>
      <t>audžuģimenēm</t>
    </r>
    <r>
      <rPr>
        <sz val="11"/>
        <color theme="1"/>
        <rFont val="Times New Roman"/>
        <family val="1"/>
        <charset val="186"/>
      </rPr>
      <t>, t.sk. ikgadējā zināšanu pilnveide</t>
    </r>
  </si>
  <si>
    <t>1. Atbalsts audžuģimenēm un specializētajām audžuģimenēm</t>
  </si>
  <si>
    <t>1. KOPĀ AC</t>
  </si>
  <si>
    <t>kopā</t>
  </si>
  <si>
    <t>vidēji 1 AC</t>
  </si>
  <si>
    <t>Atbalsta grupas 1.punktā minētajām personām</t>
  </si>
  <si>
    <t>konsultācija</t>
  </si>
  <si>
    <t>grupa</t>
  </si>
  <si>
    <t>potenciālo adoptētāju apmācība</t>
  </si>
  <si>
    <t>persona</t>
  </si>
  <si>
    <t>kopā, euro</t>
  </si>
  <si>
    <t>vidēji 1 AC, euro</t>
  </si>
  <si>
    <t>pasākums/atbalsts</t>
  </si>
  <si>
    <t>Vienas vienības kopējās izmaksas, euro</t>
  </si>
  <si>
    <t>Plānotie pasākumi, apjoms un izdevumi gadā:</t>
  </si>
  <si>
    <t>KOPĀ valsta budžeta izdevumi par atbalstu audžu ģim. un spec.audžu ģim. , atlīdzību spec.audžu ģim.</t>
  </si>
  <si>
    <t>KOPĀ valsta budžeta izdevumi (6 AC)</t>
  </si>
  <si>
    <t>STARPĪBA</t>
  </si>
  <si>
    <t>S.Strēle</t>
  </si>
  <si>
    <t>Atbilstoši valsts finansētajos pakalpojumu grozos  - vienas psihologa konsultācijas (45 min konsultācija + 15 min sagatavošanās) izmaksas plānotas 23.40 euro.</t>
  </si>
  <si>
    <t xml:space="preserve"> Vienas apmācību izmaksas veidotas balstoties uz Valsts programmā bērnu un ģimenes stāvokļa uzlabošanai atbalsta grupu izdevumiem audžuģimenēm (VBTI 21.02.2018. līgumam Nr.1-16/9). Viena ikmēneša atbalsta grupas izmaksas gadā 175.00 euro (dalībnieku skaits max 15). </t>
  </si>
  <si>
    <t>IZDEVUMU KOPASAVILKUMS</t>
  </si>
  <si>
    <t>Izdevumi atbilstoši faktiski plānotajiem izdevumiem par viena potenciālā adoptētāja apmācību.</t>
  </si>
  <si>
    <t>KOPĀ  (1AC)</t>
  </si>
  <si>
    <t xml:space="preserve">Plānotais AC skaits - 6. Kopā 24.00 amata vietas, t.sk. 6 AC vadītāji/koordinatori, 18.00 psihologa un sociālā darbinieka amata vietas kopā.   Plānotais audžuģimeņu skaits, kas saņem AC pakalpojumus - 553 , specializēto audžuģimeņu skaits 90.                                                                                                                                                                                                                  </t>
  </si>
  <si>
    <t>Vidēji viens AC sniedz pakalpojumu 92 ģimenēm (77 audžuģimenes, 15 specializētās audžuģimenes). AC plānotais amata vietu skaits  - 4.00, t.sk. 1.00  AC vadītājs/koordinators (psihologa un/vai sociālā darbinieka izglītība), 3.00  psihologs/sociālais darbinieks. AC atbilstoši nepieciešamībai veido psihologa un sociālā darbinieka slodžu proporciju.  Plānotais ģimeņu skaits uz vienu slodzi personālam, kas nodrošina tiešos pakalpojumus ir 31 ģimene (92 ģimenes : 3.00 amata vietas).</t>
  </si>
  <si>
    <t xml:space="preserve">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t.sk. nepieciešamo psihologa atzinu BT lēmuma pieņemšanai. Speciālista slodzes apjoma nepieciešamību Atbalsta centrā izvērtē individuāli, ņemot vērā ģimeņu aktivitāti/nepieciešamību problēmjautājumu risināšanā.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Psihologa atlīdzības izdevumi mēnesī 1356.30  x 1 slodze = 1356.30 euro : 92 ģimenes = 14.74 eiro/mēnesī/1 ģimene. 14.74 eiro x 12 mēn = 176.91 eiro gadā/1 ģimene.</t>
  </si>
  <si>
    <t>Izstrādā un vada ģimenes atbalsta plānu (kas ir sadalīts bērna individuālās attīstības plānā un ģimenes attīstības plānā).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Sociālā darbinieka atlīdzības izdevumi mēnesī 1356.30  x 2 slodzes = 2 712.60 euro : 92 ģimenes = 29.48 eiro/mēnesī/1 ģimene. 29.48 eiro x 12 mēn = 353.82 eiro gadā/1 ģimene.</t>
  </si>
  <si>
    <t>Izstrādā un vada ģimenes atbalsta plānu (kas ir sadalīts bērna individuālās attīstības plānā un ģimenes attīstības plānā).                                                                                                                                                                                                                                                                                                                                                                                                                                                                                                                                                                                                                                                                                                                                                                                                                          Atalgojums pielīdzināts 30.11.2010. MK noteikumos Nr.1075 "Valsts un pašvaldību institūciju amatu katalogs",  noteiktai amatu saimei - 39. "Sociālais darbs", III A līmenim, saskaņā ar "Valsts un pašvaldību institūciju amatpersonu un darbinieku atlīdzības likumā" noteiktajai maksimālajai 8. mēnešalgu grupai EUR 1 093 apmērā.  Aprēķins: mēnešalga 1 093 + VSAOI 24.09% = 1 356.30 mēn/1 slodze. Speciālists, nepieciešamības gadījumā nodrošina atbalstu ģimenēm un audžuģimenēm apmācību laikā līdz BT lēmuma pieņemšanai par audžuģimenes vai specializētās audžuģimenes statusu.   Aprēķinos pieņemts, ka viens Atbalsta centrs sniedz atbalstu gadā vidēji 77 audžuģimenēm un 15 specializētajām audžuģimenēm, kopā 92 ģimenēm. Atbalsta centrā tiešo pakalpojumu nodrošināšanai plānotas 3 amata vietas (2 sociālie darbinieki un 1 psihologs, bet AC atbilstoši faktiskajai nepieciešamībai var vērtēt katra speciālista noslodzi un skaitu). Aprēķins: Sociālā darbinieka atlīdzības izdevumi mēnesī 1356.30  x 2 slodzes = 2 712.60 euro : 92 ģimenes = 29.48 eiro/mēnesī/1 ģimene. 29.48 eiro x 12 mēn = 353.82 eiro gadā/1 ģimene.</t>
  </si>
  <si>
    <t>Mērķa grupas  un sadarbības partneru informēšana par atbalsta centra darbību un pieejamajiem pakalpojumiem. Ievērot atbalsta centru komunikācijas vadlīnijas. Iesaistīties kopīgajās komunikācijas kampaņās, ar mērķi piesaistīt jaunas ģimenes un veicināt uzņemošo ģimeņu skaita pieaugumu, kā arī prestižu sabiedrībā.  Informēt sabiedrību par uzņemošo ģimeņu darba specifiku un grūtībām;
Uzņemošo ģimeņu izvērtēšanas nodrošināšana, t.sk., veikt uzņemošo ģimeņu psiholoģisko izvērtēšanu un atzinuma sagatavošanu bāriņtiesai lēmuma pieņemšanai par konkrēta statusa piešķiršanu uzņemošajai ģimenei (var tikt pieaicināti pie SD ģimenes dzīvesvietas apsekošanas laikā);
Nepieciešamos resursu piesaiste atbalsta un konsultatīvās palīdzības sniegšanai, t.sk., piesaistot finansējumu no sadarbības partneriem un projektiem;
u.c. pienākumu veikšana.                                                                                                                                                                                                                                                                                                                                                                                                                                    Saskaņā ar MK 29.01.2013. noteikumiem Nr.66  atbilstoši 10 mēnešalgu grupai 3 kategorijas max ministriju padotībā esošajās iestādēs  noteiktā alga 1 287 EUR mēnesī. Aprēķins: mēnešalga 1 287 + VSAOI 24.09% = 1 597.04mēn/1 slodze. Aprēķinos pieņemts, ka viens Atbalsta centrs sniedz atbalstu gadā vidēji 92 ģimenēm. Aprēķins: atlīdzības izdevumi mēnesī 1597.04 euro : 92 ģimenes = 17.36 eiro/mēnesī/1 ģimene. 17.36 eiro x 12 mēn = 208.31 eiro gadā/1 ģimene.</t>
  </si>
  <si>
    <t xml:space="preserve">Aprēķinos pieņemts, ka viens Atbalsta centrs sniedz atbalstu gadā vidēji 77 audžuģimenēm un 15 specializētajām audžuģimenēm, kopā 92 ģimenēm. Automašīnas nomas izdevumi pielīdzināti citos valsts sociālās rehabilitācijas pakalpojumu finansējuma grozos iekļautajām izmaksām, t.i. 1 automašīnas noma mēnesī ir 353.82 euro. Izdevumi vidēji uz 1 ģimeni sagatavošanas/apmācību posmā kļūšanai par audžuģimeni aprēķins: 353.82 euro x 2a/m : 92 ģimenes  x  12 mēneši = 92.30 euro gadā. Audžuģimeņu atbalsta grozā iekļautie izdevumi par automašīnas nomas izdevumiem ietver arī jaunu audžuģimeņu piesaisti, veicinot audžuģimeņu un specializēto audžuģimeņu skaita pieaugumu. Nepieciešamības gadījumā Atbalsts centrs var nodrošināt ģimenes nokļūšanu pie speciālista. </t>
  </si>
  <si>
    <r>
      <t>Lai nodrošinātu Atbalsta centra 24/7 pieejamību gadījumos, kad bērns no bioloģiskās ģimenes jānošķir ārpus normālā darba laika (AC speciālistu darba laiks) nepieciešams operators, kas ir sazvanāms. Operatoram ir visaktuālākā informācija par AC atbalstā esošajām ģimenēm. Operators saņemot zvanu no Valsts policijas darbinieka, operators sazinās ar krīzes ģimeni un tālāk nodod visu nepieciešamo informāciju Valsts policijas darbiniekam (adresi, telefona Nr., uzvārdu u.c.). Operatora darba samaksa pielīdzināta minimālajai darba samaksai, t.i. 430 euro mēnesī + darba devēja VSAOI 24.09% = 533.59 euro/mēn/1 slodze. 21 130.05 eiro/ gadā/3.3 slodzes. Lai nodrošinātu operatoru 16 h diennaktī nepieciešamas 3.3 amata vietas (128h/nedēļā x 52 nedēļas : 1996h (nostrādāto stundu skaits normālā darba laika gadījumā) = 3.3 amata vietas). Svētku dienas: viens speciālists: Gadā 15 svētku dienas, t.i. 360h/gadā (15 svētku dienas x 24h). Darba samaksa par darbu svētku dienās noteikta 100% apmērā no darbiniekam noteiktās stundas likmes, t.i. 3.18 euro/h (533.59euro :168 (vidējais darba h skaits mēn)).  Vidēji papildu izdevumi 1 143.40 euro/gadā. Nakts darbs:  No 22</t>
    </r>
    <r>
      <rPr>
        <i/>
        <vertAlign val="superscript"/>
        <sz val="14"/>
        <rFont val="Times New Roman"/>
        <family val="1"/>
        <charset val="186"/>
      </rPr>
      <t>00</t>
    </r>
    <r>
      <rPr>
        <i/>
        <sz val="14"/>
        <rFont val="Times New Roman"/>
        <family val="1"/>
        <charset val="186"/>
      </rPr>
      <t xml:space="preserve"> līdz 6</t>
    </r>
    <r>
      <rPr>
        <i/>
        <vertAlign val="superscript"/>
        <sz val="14"/>
        <rFont val="Times New Roman"/>
        <family val="1"/>
        <charset val="186"/>
      </rPr>
      <t>00</t>
    </r>
    <r>
      <rPr>
        <i/>
        <sz val="14"/>
        <rFont val="Times New Roman"/>
        <family val="1"/>
        <charset val="186"/>
      </rPr>
      <t>. 8h/diennaktī x 365 dienas = 2 920 h gadā. Darbinieka darba samaksa 1.59 euro/h (3.18 x 50%) x 2 920h = 4 637.16 euro/gadā.  Izdevumi kopā gadā = 21 130.05 + 1 143.40 + 4 637.16 = 26 910.57 euro/gadā/92 ģimenes. 292.51 euro/1 ģimene.</t>
    </r>
  </si>
  <si>
    <t xml:space="preserve">Atbilstoši MK 13.06.2017. not. Nr.338 "Prasības sociālo pakalpojumu sniedzējiem" sociālo pakalpojumu sniedzējs nodrošina darbiniekiem apmācība un supervizija. Atbalsta centra vadītājs, sociālais darbinieks un psihologs gadā saņem ne mazāk kā 21 h supervīziju un 24 h apmācību.                                                                                                                                                                                                                                                                                                                                                                                                                                                                                                                                                                                                             2015.gada 14.aprīla Ministru kabineta noteikumi Nr.193 Darbības programmas "Izaugsme un nodarbinātība" 9.2.1.specifiskā atbalsta mērķa "Paaugstināt sociālo dienestu darba efektivitāti un darbinieku profesionalitāti darbam ar riska situācijās esošām personām" 9.2.1.1.pasākuma "Profesionāla sociālā darba attīstība pašvaldībās" īstenošanas noteikumi 
18.1 6. supervīzijas pakalpojuma nodrošināšanai šo noteikumu 16.1. apakšpunktā minētās atbalstāmās darbības ietvaros vienam sociālā darba speciālistam par dalību vienā:
18.1 6.1. klātienes individuālajā supervīzijas sesijā – 30 euro (bez pievienotās vērtības nodokļa);
18.1 6.2. attālinātā individuālajā supervīzijas sesijā – 25 euro (bez pievienotās vērtības nodokļa);
18.1 6.3. grupas (grupas, komandas vai organizācijas) supervīzijas sesijā – 22 euro (bez pievienotās vērtības nodokļa).                                                                                                                                                                                                                       25.1 1.1.5. tas var nodrošināt vienas individuālās supervīzijas sesijas ilgumu – viena stunda un grupas, komandas vai organizācijas supervīzijas sesijas ilgumu – trīs stundas;                                                                                                                                                                                                                                                                Vidēja cena par 1 supervizijas sesiju (30 +25 +22):3 = 25.67 euro + PVN = 31.05 euro/3h = 10.35euro/1h.
Vienas personas vidējās apmācību izmaksas projektā ir aptuveni: 8 st. programma - 36.00 euro, 16 st. programma -72.00 euro un 24. st. programma -108 euro.                                                                                                                                                                                                                                                                                                                                         Atbalsta centrā plānoti vidēji 4 speciālisti - 1 centra vadītājs/koordinators, 3 sociālie darbinieki un/vai psihologi. Katram darbiniekiem gadā ne mazāk kā 21 h supervīzija, 24 h apmācība.                                                                                                                                                                                                                                                                                                                                       Aprēķins izdevumiem Atbalsta centram gadā: 1)Supervīzija: 4 darbinieki x 10.35 euro/h x 21 h = 869.40 euro 2) Apmācība:  4 darbinieki x 108 euro = 432.00 euro. KOPĀ AC 1 301.40 euro/gadā.  Aprēķinos pieņemts, ka viens Atbalsta centrs sniedz atbalstu gadā vidēji 77 audžuģimenēm un 15 specializētajām audžuģimenēm, kopā 92 ģimenēm (izdevumos neizdala ģimeņu apmācību audžuģimeņu vai specializētās audžuģimenes statusa iegūšanai). Aprēķins: 1 301.40 euro : 4 speciālisti  = 325.35 euro 1 speciālists : 92 ģimenes = 3.54 euro/gadā uz 1 ģimeni/ 1 speciālists x 4 speciālisti = 14.15 euro gadā/ 1 ģimene/4 speciālisti. </t>
  </si>
  <si>
    <t>BT lēmums par statusa piešķiršanu</t>
  </si>
  <si>
    <t>oktobris</t>
  </si>
  <si>
    <t>novembris</t>
  </si>
  <si>
    <t>decembris</t>
  </si>
  <si>
    <t>janvāris</t>
  </si>
  <si>
    <t>bērns ģimenē netiek ievietots</t>
  </si>
  <si>
    <t>februāris</t>
  </si>
  <si>
    <t>bērns ievietots ģimenē uz 1 dienu</t>
  </si>
  <si>
    <t>marts</t>
  </si>
  <si>
    <t>aprīlis</t>
  </si>
  <si>
    <t>maijs</t>
  </si>
  <si>
    <t>jūnijs</t>
  </si>
  <si>
    <t>10.okt.</t>
  </si>
  <si>
    <t>12.okt.</t>
  </si>
  <si>
    <t>5.janv.</t>
  </si>
  <si>
    <t>20.jūn.</t>
  </si>
  <si>
    <t>Piemērs Nr.1.</t>
  </si>
  <si>
    <t>Piemērs Nr.2.</t>
  </si>
  <si>
    <t>u.t.t.</t>
  </si>
  <si>
    <r>
      <t xml:space="preserve">AC vienošanās ar ģimeni par atbalsta sniegšanu </t>
    </r>
    <r>
      <rPr>
        <sz val="6"/>
        <color theme="1"/>
        <rFont val="Calibri"/>
        <family val="2"/>
        <charset val="186"/>
        <scheme val="minor"/>
      </rPr>
      <t>(spec.audžu ģim. bērniem ar VDEAK atzinumu papildu līgums par atlīdzības un mājokļa kompensācijas izmaksu)</t>
    </r>
  </si>
  <si>
    <t>ģiemene maina AC 15.decembrī</t>
  </si>
  <si>
    <t>AC X</t>
  </si>
  <si>
    <t>AC Y</t>
  </si>
  <si>
    <t>Piemērs Nr.3. Ģimene maina AC</t>
  </si>
  <si>
    <t>Psihologa konsultācijas adoptētājiem, aizbildņiem, viesģimenēm, atzinuma sagatavošana BT.</t>
  </si>
  <si>
    <r>
      <t xml:space="preserve">! Papildu </t>
    </r>
    <r>
      <rPr>
        <b/>
        <sz val="12"/>
        <rFont val="Times New Roman"/>
        <family val="1"/>
        <charset val="186"/>
      </rPr>
      <t>AC nodrošina atbalstu adoptētājiem, aizbildņiem, viesģimenēm, t.sk. potenciālo adoptētāju apmācību un atzinuma sagatavošanu bāriņtiesai</t>
    </r>
  </si>
  <si>
    <t>2. Atbalsts adoptētājiem, aizbildņiem, viesģimenēm</t>
  </si>
  <si>
    <t>Pakalpojuma nodrošināšana</t>
  </si>
  <si>
    <t>Tiešās pakalpojuma izmaksas (ATBALSTS):</t>
  </si>
  <si>
    <t>AC izveidošanas izdevumu kompensācija</t>
  </si>
  <si>
    <t xml:space="preserve"> </t>
  </si>
  <si>
    <t>*Ja audžuģimenes statuss piešķirts pirms 01.07.2018., tad atskaites punkts ir 01.07.2018., t.i. par audžuģimenēm, kas audžuģimenes statusu ieguvušas pirms 01.07.2018., sniegto atbalstu AC saņem valsts finansējumu par 2018.gada jūliju, augustu, septembri un oktobri, ja bērns audžuģimenē šājā periodā vai novembrī netiek ievietots, tad finansējumu AC novembri vairs nesaņem. Ģimenei noslēgtā vienošanās par atbalsta saņemšanu turpina būt spēkā, līdz statusa izbeigšanai vai ģimenes lēmumam par AC maiņu.</t>
  </si>
  <si>
    <r>
      <t xml:space="preserve">Atbalsta centrs valsts finansējumu par ikmēneša atbalsta nodrošināšanu </t>
    </r>
    <r>
      <rPr>
        <b/>
        <sz val="11"/>
        <rFont val="Calibri"/>
        <family val="2"/>
        <charset val="186"/>
        <scheme val="minor"/>
      </rPr>
      <t xml:space="preserve">saņem par sniegto atbalstu aktīvām audžuģimenēm un specializētām audžuģimenēm:                                                                                                                                                                                                                                                                                                                                                                    1) nav pagājuši vairāk kā 3 sekojošie mēneši pēc 01.07.2018. vai mēneša, kad BT pieņēmusi  lēmumu par statusa piešķiršanu*                                                                                                                                                                                                           vai                                                                                                                                                                                                                                                                                                                                                                                                                  2)nav pagājuši vairāk kā 3 mēneši no pēdējās dienas, kad ģimenē ir bijis ievietots bērns . </t>
    </r>
  </si>
  <si>
    <t>Tiešās pakalpojumaizmaksas (ATBALSTS audžuģim., aizbildņiem, adoptētājiem, viesģim., t.sk. atzinums BT):</t>
  </si>
  <si>
    <t>Apmācības ģimenēm statusa (gan audžuģim., gan spec.audžuģim.) iegūšanai un potenciālo adoptētāju apmācība:</t>
  </si>
  <si>
    <t>Pielikums Nr.1</t>
  </si>
  <si>
    <t>Ministru kabineta noteikumu projektu “Audžuģimenes noteikumi” un “Ārpusģimenes aprūpes atbalsta centra noteikumi” 
sākotnējās ietekmes novērtējuma ziņojums (anotācija)</t>
  </si>
  <si>
    <t>Pielikums Nr.2</t>
  </si>
  <si>
    <t>Pielikums Nr.4</t>
  </si>
  <si>
    <t>Vienas ģimenes apmācību izmaksas veidotas balstoties uz Valsts programmā bērnu un ģimenes stāvokļa uzlabošanai apmācību izdevumiem audžuģimenēm. Ģimenēm nepieciešams iziet pamatapmācības (98 h, izmaksas 175.00 euro uz personu, cena atbilstoši VBTI 21.02.2018. līgumama Nr.1-16/10) .</t>
  </si>
  <si>
    <r>
      <t>vienību skaits (</t>
    </r>
    <r>
      <rPr>
        <i/>
        <sz val="12"/>
        <rFont val="Times New Roman"/>
        <family val="1"/>
        <charset val="186"/>
      </rPr>
      <t>vidēji uz vienu pers.</t>
    </r>
    <r>
      <rPr>
        <sz val="12"/>
        <rFont val="Times New Roman"/>
        <family val="1"/>
        <charset val="186"/>
      </rPr>
      <t>)</t>
    </r>
  </si>
  <si>
    <t>finansējuma apmērs uz vienu pers.*</t>
  </si>
  <si>
    <t xml:space="preserve">Vienas audžuģimenes apmācību izmaksas veidotas balstoties uz Valsts programmā bērnu un ģimenes stāvokļa uzlabošanai apmācību izdevumiem audžuģimenēm. Audžuģimenēm nepieciešams iziet apmācības papildapmācības atbilstoši attiecīgajai specializācijai (kopā 24 stundas, izmaksas 45.05euro uz personu (cena atbilstoši VBTI 21.02.2018. līgumam Nr.1-16/11)). </t>
  </si>
  <si>
    <t>finansējuma apmērs uz vienu pers.</t>
  </si>
  <si>
    <t>tabula 1.</t>
  </si>
  <si>
    <t>tabula 2.</t>
  </si>
  <si>
    <t>Sandra.Strele@lm.gov.lv</t>
  </si>
  <si>
    <r>
      <t xml:space="preserve">Finansējuma groza aprēķins Atbalsta centram par sniegto atbalstu </t>
    </r>
    <r>
      <rPr>
        <b/>
        <u/>
        <sz val="18"/>
        <rFont val="Times New Roman"/>
        <family val="1"/>
        <charset val="186"/>
      </rPr>
      <t>specializētai audžuģimenei</t>
    </r>
    <r>
      <rPr>
        <b/>
        <sz val="18"/>
        <rFont val="Times New Roman"/>
        <family val="1"/>
        <charset val="186"/>
      </rPr>
      <t xml:space="preserve"> gadā/mēnesī</t>
    </r>
  </si>
  <si>
    <r>
      <t xml:space="preserve">Audžuģimeņu apmācības izdevumi līdz bāriņtiesas lēmumam par </t>
    </r>
    <r>
      <rPr>
        <b/>
        <u/>
        <sz val="18"/>
        <rFont val="Times New Roman"/>
        <family val="1"/>
        <charset val="186"/>
      </rPr>
      <t>specializētas audžuģimenes statusu (vienai personai)</t>
    </r>
  </si>
  <si>
    <r>
      <t xml:space="preserve">Finansējuma groza aprēķins Atbalsta centram par sniegto atbalstu </t>
    </r>
    <r>
      <rPr>
        <b/>
        <u/>
        <sz val="18"/>
        <rFont val="Times New Roman"/>
        <family val="1"/>
        <charset val="186"/>
      </rPr>
      <t xml:space="preserve">audžuģimenei </t>
    </r>
    <r>
      <rPr>
        <b/>
        <sz val="18"/>
        <rFont val="Times New Roman"/>
        <family val="1"/>
        <charset val="186"/>
      </rPr>
      <t>gadā/mēnesī</t>
    </r>
  </si>
  <si>
    <r>
      <t xml:space="preserve">Ģimeņu apmācības izdevumi līdz bāriņtiesas lēmumam par </t>
    </r>
    <r>
      <rPr>
        <b/>
        <u/>
        <sz val="18"/>
        <rFont val="Times New Roman"/>
        <family val="1"/>
        <charset val="186"/>
      </rPr>
      <t>audžuģimenes statusu (vienai personai)</t>
    </r>
  </si>
  <si>
    <t>Pielikums Nr.3</t>
  </si>
  <si>
    <t>2018.gadā</t>
  </si>
  <si>
    <t>Apmācība ģimenei audžuģimenes statusa iegūšanai (personu skaits)</t>
  </si>
  <si>
    <t>Apmācības ģimenēm audžuģimenes vai specializētās audžuģimenes statusa iegūšanai:</t>
  </si>
  <si>
    <t>Izmaksātā vienreizējā mājokļa iekārtošanas izdevumu kompensācija:</t>
  </si>
  <si>
    <t>Atlīdzības izdevumi specializētām audžuģimenēm</t>
  </si>
  <si>
    <t>Atbalsta centru administrēšanas izdevumi</t>
  </si>
  <si>
    <t>Pakalpojuma ieviešanas nodrošināšanas izdevumi</t>
  </si>
  <si>
    <r>
      <rPr>
        <b/>
        <i/>
        <sz val="18"/>
        <rFont val="Times New Roman"/>
        <family val="1"/>
        <charset val="186"/>
      </rPr>
      <t xml:space="preserve">! Papildus </t>
    </r>
    <r>
      <rPr>
        <b/>
        <i/>
        <sz val="14"/>
        <rFont val="Times New Roman"/>
        <family val="1"/>
        <charset val="186"/>
      </rPr>
      <t>plānotajiem pakalpojumiem audžuģimenēm un specializētajām audžuģimenēm  AC nodrošina atbalstu adoptētājiem, aizbildņiem, viesģimenēm, t.sk. potenciālo adoptētāju apmācību un atzinuma sagatavošanu bāriņtiesai</t>
    </r>
  </si>
  <si>
    <t>Pasākuma "Atbalsts ārpusģimenes aprūpes pakalpojumu sniegšanai" izdevumu kopsavilkums 2018.gadam</t>
  </si>
  <si>
    <t>Apmācība, sagatvošana statusam</t>
  </si>
  <si>
    <t>apmācība</t>
  </si>
  <si>
    <t>\</t>
  </si>
  <si>
    <t xml:space="preserve">Finansējuma apmērs faktiski uz vienu personu var būt mazāks vai lielāks,atbilstoši katras personas individuālajām vajadzībām,  bet valsts finansējums nepārsniedz vidējo apmēru, kas plānots uz vienu personu, maksājot noteikto finansējuma apmēru par vienu personu. Finansējumu var novirzīt auddžuģimeņu supervīziju nodrošināšanai, primāri nodrošinot MK noteikumos noteikto apmācību programmu statusa iegūšanai.. </t>
  </si>
  <si>
    <t>Finansējuma apmērs faktiski uz vienu personu var būt mazāks vai lielāks,atbilstoši katras personas individuālajām vajadzībām,  bet valsts finansējums nepārsniedz vidējo apmēru, kas plānots uz vienu personu, maksājot noteikto finansējuma apmēru par vienu personu. Finansējumu var novirzīt auddžuģimeņu supervīziju nodrošināšanai, primāri nodrošinot MK noteikumos noteikto apmācību programmu stusa iegūšanai.</t>
  </si>
  <si>
    <t>Pasākuma "Atbalsts ārpusģimenes aprūpes pakalpojumu sniegšanai" izdevumu kopsavilkums 2019.,2020. un 2021.gadam</t>
  </si>
  <si>
    <t>Aprēķinos pieņemts, ka viens Atbalsta centrs sniedz atbalstu gadā vidēji 92 ģimenēm.  Atbalsta centrā plānotie speciālisti: 1 centra koordinators, 3 psihologi/sociālie darbinieki. Lai nodrošinātu 4 speciālistus un 1 operatora posteni ar sakaru pakalpojumu (telefonsarunas neierobežotā daudzumā Latvijas teritorijā) nepieciešams 25.00 euro mēnesī, 300 euro gadā (vidējā tirgus cena 5.00 euro mēnesī par pieslēgumu, cena atbilstoši citos valsts apmaksātajos sociālās rehabilitācijas pakalpojumiem plānotajos izdevumos). Aprēķins: 60 euro/gadā: 92 ģimenes = 0.65 euro gadā/1 ģimene/1 pieslēgums x5 pieslēgumi = 3.26 euro/gadā/1 ģim./6 pieslēgumi. Ar grozā iekļautajiem sakaru izdevumiem tiek nodrošināta arī nepieciešamā komunikācija ar ģimenēm un audžuģimenēm sagatavošanas apmācību laikā kļūšanai par audžuģimeni vai specializēto audžuģimeni.</t>
  </si>
  <si>
    <t>4) 24/7 "operators"*</t>
  </si>
  <si>
    <t>22.06.2018.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</si>
</sst>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8" x14ac:knownFonts="1">
    <font>
      <sz val="11"/>
      <color theme="1"/>
      <name val="Calibri"/>
      <family val="2"/>
      <scheme val="minor"/>
    </font>
    <font>
      <sz val="14"/>
      <color rgb="FFFF0000"/>
      <name val="Times New Roman"/>
      <family val="1"/>
      <charset val="186"/>
    </font>
    <font>
      <b/>
      <sz val="14"/>
      <color rgb="FFFF0000"/>
      <name val="Times New Roman"/>
      <family val="1"/>
      <charset val="186"/>
    </font>
    <font>
      <b/>
      <sz val="18"/>
      <name val="Times New Roman"/>
      <family val="1"/>
      <charset val="186"/>
    </font>
    <font>
      <sz val="14"/>
      <name val="Times New Roman"/>
      <family val="1"/>
      <charset val="186"/>
    </font>
    <font>
      <b/>
      <sz val="16"/>
      <name val="Times New Roman"/>
      <family val="1"/>
      <charset val="186"/>
    </font>
    <font>
      <sz val="12"/>
      <name val="Times New Roman"/>
      <family val="1"/>
      <charset val="186"/>
    </font>
    <font>
      <i/>
      <sz val="12"/>
      <name val="Times New Roman"/>
      <family val="1"/>
      <charset val="186"/>
    </font>
    <font>
      <b/>
      <sz val="14"/>
      <name val="Times New Roman"/>
      <family val="1"/>
      <charset val="186"/>
    </font>
    <font>
      <i/>
      <sz val="14"/>
      <name val="Times New Roman"/>
      <family val="1"/>
      <charset val="186"/>
    </font>
    <font>
      <b/>
      <u/>
      <sz val="12"/>
      <name val="Times New Roman"/>
      <family val="1"/>
      <charset val="186"/>
    </font>
    <font>
      <u/>
      <sz val="12"/>
      <name val="Times New Roman"/>
      <family val="1"/>
      <charset val="186"/>
    </font>
    <font>
      <sz val="10"/>
      <name val="Times New Roman"/>
      <family val="1"/>
      <charset val="186"/>
    </font>
    <font>
      <b/>
      <u/>
      <sz val="18"/>
      <name val="Times New Roman"/>
      <family val="1"/>
      <charset val="186"/>
    </font>
    <font>
      <sz val="18"/>
      <name val="Times New Roman"/>
      <family val="1"/>
      <charset val="186"/>
    </font>
    <font>
      <b/>
      <u/>
      <sz val="14"/>
      <name val="Times New Roman"/>
      <family val="1"/>
      <charset val="186"/>
    </font>
    <font>
      <i/>
      <sz val="16"/>
      <name val="Times New Roman"/>
      <family val="1"/>
      <charset val="186"/>
    </font>
    <font>
      <b/>
      <u/>
      <sz val="16"/>
      <name val="Times New Roman"/>
      <family val="1"/>
      <charset val="186"/>
    </font>
    <font>
      <sz val="11"/>
      <color theme="1"/>
      <name val="Times New Roman"/>
      <family val="1"/>
      <charset val="186"/>
    </font>
    <font>
      <sz val="8"/>
      <color theme="1"/>
      <name val="Times New Roman"/>
      <family val="1"/>
      <charset val="186"/>
    </font>
    <font>
      <b/>
      <sz val="8"/>
      <color theme="1"/>
      <name val="Times New Roman"/>
      <family val="1"/>
      <charset val="186"/>
    </font>
    <font>
      <b/>
      <sz val="11"/>
      <color theme="1"/>
      <name val="Times New Roman"/>
      <family val="1"/>
      <charset val="186"/>
    </font>
    <font>
      <i/>
      <sz val="11"/>
      <color theme="1"/>
      <name val="Times New Roman"/>
      <family val="1"/>
      <charset val="186"/>
    </font>
    <font>
      <b/>
      <sz val="14"/>
      <color theme="1"/>
      <name val="Times New Roman"/>
      <family val="1"/>
      <charset val="186"/>
    </font>
    <font>
      <i/>
      <sz val="9"/>
      <color theme="1"/>
      <name val="Times New Roman"/>
      <family val="1"/>
      <charset val="186"/>
    </font>
    <font>
      <sz val="9"/>
      <color theme="1"/>
      <name val="Times New Roman"/>
      <family val="1"/>
      <charset val="186"/>
    </font>
    <font>
      <b/>
      <sz val="16"/>
      <color theme="1"/>
      <name val="Times New Roman"/>
      <family val="1"/>
      <charset val="186"/>
    </font>
    <font>
      <sz val="11"/>
      <color rgb="FFFF0000"/>
      <name val="Times New Roman"/>
      <family val="1"/>
      <charset val="186"/>
    </font>
    <font>
      <b/>
      <sz val="11"/>
      <name val="Times New Roman"/>
      <family val="1"/>
      <charset val="186"/>
    </font>
    <font>
      <sz val="12"/>
      <color theme="1"/>
      <name val="Times New Roman"/>
      <family val="1"/>
      <charset val="186"/>
    </font>
    <font>
      <sz val="14"/>
      <color theme="1"/>
      <name val="Times New Roman"/>
      <family val="1"/>
      <charset val="186"/>
    </font>
    <font>
      <b/>
      <sz val="12"/>
      <color theme="1"/>
      <name val="Times New Roman"/>
      <family val="1"/>
      <charset val="186"/>
    </font>
    <font>
      <b/>
      <u/>
      <sz val="12"/>
      <color theme="1"/>
      <name val="Times New Roman"/>
      <family val="1"/>
      <charset val="186"/>
    </font>
    <font>
      <b/>
      <i/>
      <sz val="16"/>
      <color theme="1"/>
      <name val="Times New Roman"/>
      <family val="1"/>
      <charset val="186"/>
    </font>
    <font>
      <sz val="10"/>
      <color theme="1"/>
      <name val="Times New Roman"/>
      <family val="1"/>
      <charset val="186"/>
    </font>
    <font>
      <sz val="9"/>
      <color indexed="81"/>
      <name val="Tahoma"/>
      <family val="2"/>
      <charset val="186"/>
    </font>
    <font>
      <b/>
      <sz val="9"/>
      <color indexed="81"/>
      <name val="Tahoma"/>
      <family val="2"/>
      <charset val="186"/>
    </font>
    <font>
      <i/>
      <sz val="8"/>
      <color theme="1"/>
      <name val="Times New Roman"/>
      <family val="1"/>
      <charset val="186"/>
    </font>
    <font>
      <b/>
      <i/>
      <sz val="8"/>
      <color theme="1"/>
      <name val="Times New Roman"/>
      <family val="1"/>
      <charset val="186"/>
    </font>
    <font>
      <i/>
      <sz val="10"/>
      <color theme="1"/>
      <name val="Times New Roman"/>
      <family val="1"/>
      <charset val="186"/>
    </font>
    <font>
      <i/>
      <u/>
      <sz val="10"/>
      <color theme="1"/>
      <name val="Times New Roman"/>
      <family val="1"/>
      <charset val="186"/>
    </font>
    <font>
      <sz val="10"/>
      <color rgb="FFFF0000"/>
      <name val="Times New Roman"/>
      <family val="1"/>
      <charset val="186"/>
    </font>
    <font>
      <i/>
      <vertAlign val="superscript"/>
      <sz val="14"/>
      <name val="Times New Roman"/>
      <family val="1"/>
      <charset val="186"/>
    </font>
    <font>
      <b/>
      <sz val="11"/>
      <color rgb="FFFF0000"/>
      <name val="Times New Roman"/>
      <family val="1"/>
      <charset val="186"/>
    </font>
    <font>
      <u/>
      <sz val="9"/>
      <color theme="1"/>
      <name val="Times New Roman"/>
      <family val="1"/>
      <charset val="186"/>
    </font>
    <font>
      <sz val="12"/>
      <color rgb="FFFF0000"/>
      <name val="Times New Roman"/>
      <family val="1"/>
      <charset val="186"/>
    </font>
    <font>
      <sz val="11"/>
      <color theme="0"/>
      <name val="Times New Roman"/>
      <family val="1"/>
      <charset val="186"/>
    </font>
    <font>
      <b/>
      <sz val="12"/>
      <name val="Times New Roman"/>
      <family val="1"/>
      <charset val="186"/>
    </font>
    <font>
      <b/>
      <i/>
      <sz val="14"/>
      <color theme="1"/>
      <name val="Times New Roman"/>
      <family val="1"/>
      <charset val="186"/>
    </font>
    <font>
      <b/>
      <sz val="50"/>
      <color rgb="FFFF0000"/>
      <name val="Times New Roman"/>
      <family val="1"/>
      <charset val="186"/>
    </font>
    <font>
      <b/>
      <sz val="9"/>
      <color theme="1"/>
      <name val="Times New Roman"/>
      <family val="1"/>
      <charset val="186"/>
    </font>
    <font>
      <b/>
      <sz val="10"/>
      <color theme="1"/>
      <name val="Times New Roman"/>
      <family val="1"/>
      <charset val="186"/>
    </font>
    <font>
      <b/>
      <sz val="12"/>
      <color rgb="FFFF0000"/>
      <name val="Times New Roman"/>
      <family val="1"/>
      <charset val="186"/>
    </font>
    <font>
      <b/>
      <sz val="8"/>
      <color rgb="FFFF0000"/>
      <name val="Times New Roman"/>
      <family val="1"/>
      <charset val="186"/>
    </font>
    <font>
      <b/>
      <sz val="8"/>
      <name val="Times New Roman"/>
      <family val="1"/>
      <charset val="186"/>
    </font>
    <font>
      <i/>
      <sz val="12"/>
      <color theme="1"/>
      <name val="Times New Roman"/>
      <family val="1"/>
      <charset val="186"/>
    </font>
    <font>
      <b/>
      <sz val="10"/>
      <color rgb="FFFF0000"/>
      <name val="Times New Roman"/>
      <family val="1"/>
      <charset val="186"/>
    </font>
    <font>
      <sz val="8"/>
      <color theme="1"/>
      <name val="Calibri"/>
      <family val="2"/>
      <scheme val="minor"/>
    </font>
    <font>
      <sz val="9"/>
      <color theme="1"/>
      <name val="Calibri"/>
      <family val="2"/>
      <scheme val="minor"/>
    </font>
    <font>
      <b/>
      <sz val="11"/>
      <color rgb="FFFF0000"/>
      <name val="Calibri"/>
      <family val="2"/>
      <charset val="186"/>
      <scheme val="minor"/>
    </font>
    <font>
      <i/>
      <sz val="9"/>
      <color theme="1"/>
      <name val="Calibri"/>
      <family val="2"/>
      <charset val="186"/>
      <scheme val="minor"/>
    </font>
    <font>
      <sz val="9"/>
      <color rgb="FFFF0000"/>
      <name val="Calibri"/>
      <family val="2"/>
      <scheme val="minor"/>
    </font>
    <font>
      <i/>
      <sz val="8"/>
      <color theme="1"/>
      <name val="Calibri"/>
      <family val="2"/>
      <charset val="186"/>
      <scheme val="minor"/>
    </font>
    <font>
      <b/>
      <sz val="14"/>
      <color rgb="FFFF0000"/>
      <name val="Calibri"/>
      <family val="2"/>
      <charset val="186"/>
      <scheme val="minor"/>
    </font>
    <font>
      <i/>
      <sz val="12"/>
      <name val="Calibri"/>
      <family val="2"/>
      <charset val="186"/>
      <scheme val="minor"/>
    </font>
    <font>
      <sz val="12"/>
      <color theme="1"/>
      <name val="Calibri"/>
      <family val="2"/>
      <charset val="186"/>
      <scheme val="minor"/>
    </font>
    <font>
      <sz val="9"/>
      <name val="Calibri"/>
      <family val="2"/>
      <scheme val="minor"/>
    </font>
    <font>
      <sz val="6"/>
      <color theme="1"/>
      <name val="Calibri"/>
      <family val="2"/>
      <charset val="186"/>
      <scheme val="minor"/>
    </font>
    <font>
      <i/>
      <sz val="9"/>
      <color rgb="FFFF0000"/>
      <name val="Calibri"/>
      <family val="2"/>
      <charset val="186"/>
      <scheme val="minor"/>
    </font>
    <font>
      <b/>
      <sz val="11"/>
      <name val="Calibri"/>
      <family val="2"/>
      <charset val="186"/>
      <scheme val="minor"/>
    </font>
    <font>
      <sz val="11"/>
      <name val="Times New Roman"/>
      <family val="1"/>
      <charset val="186"/>
    </font>
    <font>
      <sz val="9"/>
      <color indexed="81"/>
      <name val="Tahoma"/>
      <charset val="1"/>
    </font>
    <font>
      <b/>
      <sz val="9"/>
      <color indexed="81"/>
      <name val="Tahoma"/>
      <charset val="1"/>
    </font>
    <font>
      <u/>
      <sz val="11"/>
      <color theme="10"/>
      <name val="Calibri"/>
      <family val="2"/>
      <scheme val="minor"/>
    </font>
    <font>
      <u/>
      <sz val="14"/>
      <name val="Calibri"/>
      <family val="2"/>
      <scheme val="minor"/>
    </font>
    <font>
      <i/>
      <sz val="18"/>
      <name val="Times New Roman"/>
      <family val="1"/>
      <charset val="186"/>
    </font>
    <font>
      <b/>
      <i/>
      <sz val="14"/>
      <name val="Times New Roman"/>
      <family val="1"/>
      <charset val="186"/>
    </font>
    <font>
      <b/>
      <i/>
      <sz val="18"/>
      <name val="Times New Roman"/>
      <family val="1"/>
      <charset val="186"/>
    </font>
  </fonts>
  <fills count="1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s>
  <borders count="9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bottom style="dotted">
        <color auto="1"/>
      </bottom>
      <diagonal/>
    </border>
    <border>
      <left/>
      <right/>
      <top style="dotted">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style="thick">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top style="medium">
        <color indexed="64"/>
      </top>
      <bottom/>
      <diagonal/>
    </border>
    <border>
      <left style="dotted">
        <color auto="1"/>
      </left>
      <right/>
      <top/>
      <bottom/>
      <diagonal/>
    </border>
  </borders>
  <cellStyleXfs count="2">
    <xf numFmtId="0" fontId="0" fillId="0" borderId="0"/>
    <xf numFmtId="0" fontId="73" fillId="0" borderId="0" applyNumberFormat="0" applyFill="0" applyBorder="0" applyAlignment="0" applyProtection="0"/>
  </cellStyleXfs>
  <cellXfs count="462">
    <xf numFmtId="0" fontId="0" fillId="0" borderId="0" xfId="0"/>
    <xf numFmtId="0" fontId="4" fillId="0" borderId="0" xfId="0" applyFont="1" applyAlignment="1">
      <alignment horizontal="center"/>
    </xf>
    <xf numFmtId="0" fontId="8" fillId="0" borderId="0" xfId="0" applyFont="1"/>
    <xf numFmtId="4" fontId="4" fillId="0" borderId="13" xfId="0" applyNumberFormat="1" applyFont="1" applyFill="1" applyBorder="1" applyAlignment="1">
      <alignment horizontal="center" vertical="center"/>
    </xf>
    <xf numFmtId="4" fontId="9" fillId="0" borderId="23" xfId="0" applyNumberFormat="1" applyFont="1" applyBorder="1" applyAlignment="1">
      <alignment horizontal="left" vertical="center" wrapText="1"/>
    </xf>
    <xf numFmtId="4" fontId="4" fillId="0" borderId="23" xfId="0" applyNumberFormat="1" applyFont="1" applyFill="1" applyBorder="1" applyAlignment="1">
      <alignment horizontal="right" vertical="center"/>
    </xf>
    <xf numFmtId="0" fontId="1" fillId="0" borderId="0" xfId="0" applyFont="1" applyAlignment="1">
      <alignment vertical="center" wrapText="1"/>
    </xf>
    <xf numFmtId="0" fontId="4" fillId="0" borderId="0" xfId="0" applyFont="1"/>
    <xf numFmtId="0" fontId="4" fillId="0" borderId="0" xfId="0" applyFont="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1" fillId="0" borderId="0" xfId="0" applyFont="1" applyAlignment="1">
      <alignment horizontal="center"/>
    </xf>
    <xf numFmtId="0" fontId="1" fillId="0" borderId="0" xfId="0" applyFont="1"/>
    <xf numFmtId="0" fontId="2" fillId="0" borderId="0" xfId="0" applyFont="1"/>
    <xf numFmtId="4" fontId="4" fillId="0" borderId="6"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Alignment="1"/>
    <xf numFmtId="3" fontId="4" fillId="0" borderId="17"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4" fontId="9" fillId="0" borderId="22" xfId="0" applyNumberFormat="1" applyFont="1" applyBorder="1" applyAlignment="1">
      <alignment horizontal="left" vertical="center" wrapText="1"/>
    </xf>
    <xf numFmtId="0" fontId="1" fillId="0" borderId="0" xfId="0" applyFont="1" applyAlignment="1">
      <alignment horizontal="left" vertical="center"/>
    </xf>
    <xf numFmtId="4" fontId="4" fillId="0" borderId="21" xfId="0" applyNumberFormat="1" applyFont="1" applyFill="1" applyBorder="1" applyAlignment="1">
      <alignment horizontal="right" vertical="center"/>
    </xf>
    <xf numFmtId="3" fontId="4" fillId="0" borderId="14" xfId="0" applyNumberFormat="1" applyFont="1" applyFill="1" applyBorder="1" applyAlignment="1">
      <alignment horizontal="center" vertical="center"/>
    </xf>
    <xf numFmtId="4" fontId="9" fillId="0" borderId="24" xfId="0" applyNumberFormat="1" applyFont="1" applyBorder="1" applyAlignment="1">
      <alignment horizontal="left" vertical="center" wrapText="1"/>
    </xf>
    <xf numFmtId="0" fontId="4" fillId="0" borderId="0" xfId="0" applyFont="1" applyAlignment="1">
      <alignment vertical="center" wrapText="1"/>
    </xf>
    <xf numFmtId="4" fontId="10" fillId="4" borderId="25" xfId="0" applyNumberFormat="1" applyFont="1" applyFill="1" applyBorder="1" applyAlignment="1">
      <alignment horizontal="right" vertical="center"/>
    </xf>
    <xf numFmtId="4" fontId="8" fillId="5" borderId="21" xfId="0" applyNumberFormat="1" applyFont="1" applyFill="1" applyBorder="1" applyAlignment="1">
      <alignment horizontal="right" vertical="center"/>
    </xf>
    <xf numFmtId="4" fontId="4" fillId="0" borderId="28" xfId="0" applyNumberFormat="1" applyFont="1" applyFill="1" applyBorder="1" applyAlignment="1">
      <alignment horizontal="right" vertical="center"/>
    </xf>
    <xf numFmtId="4" fontId="4" fillId="0" borderId="13" xfId="0" applyNumberFormat="1" applyFont="1" applyFill="1" applyBorder="1" applyAlignment="1">
      <alignment horizontal="right" vertical="center"/>
    </xf>
    <xf numFmtId="4" fontId="4" fillId="0" borderId="22" xfId="0" applyNumberFormat="1" applyFont="1" applyFill="1" applyBorder="1" applyAlignment="1">
      <alignment horizontal="right" vertical="center"/>
    </xf>
    <xf numFmtId="4" fontId="4" fillId="0" borderId="24" xfId="0" applyNumberFormat="1" applyFont="1" applyFill="1" applyBorder="1" applyAlignment="1">
      <alignment horizontal="right" vertical="center"/>
    </xf>
    <xf numFmtId="3" fontId="4" fillId="0" borderId="29" xfId="0" applyNumberFormat="1" applyFont="1" applyFill="1" applyBorder="1" applyAlignment="1">
      <alignment horizontal="center" vertical="center"/>
    </xf>
    <xf numFmtId="4" fontId="9" fillId="0" borderId="30" xfId="0" applyNumberFormat="1" applyFont="1" applyBorder="1" applyAlignment="1">
      <alignment horizontal="left" vertical="center" wrapText="1"/>
    </xf>
    <xf numFmtId="0" fontId="8" fillId="0" borderId="0" xfId="0" applyFont="1" applyAlignment="1">
      <alignment horizontal="left" vertical="center"/>
    </xf>
    <xf numFmtId="2" fontId="4" fillId="0" borderId="0" xfId="0" applyNumberFormat="1" applyFont="1" applyAlignment="1">
      <alignment vertical="center" wrapText="1"/>
    </xf>
    <xf numFmtId="0" fontId="12" fillId="0" borderId="0" xfId="0" applyFont="1" applyAlignment="1"/>
    <xf numFmtId="0" fontId="8" fillId="2" borderId="11" xfId="0" applyFont="1" applyFill="1" applyBorder="1" applyAlignment="1">
      <alignment vertical="center" wrapText="1"/>
    </xf>
    <xf numFmtId="14" fontId="4" fillId="0" borderId="15" xfId="0" applyNumberFormat="1" applyFont="1" applyBorder="1" applyAlignment="1">
      <alignment horizontal="left" vertical="center"/>
    </xf>
    <xf numFmtId="4" fontId="8" fillId="2" borderId="25" xfId="0" applyNumberFormat="1" applyFont="1" applyFill="1" applyBorder="1" applyAlignment="1">
      <alignment vertical="center" wrapText="1"/>
    </xf>
    <xf numFmtId="4" fontId="8" fillId="4" borderId="25" xfId="0" applyNumberFormat="1" applyFont="1" applyFill="1" applyBorder="1" applyAlignment="1">
      <alignment vertical="center" wrapText="1"/>
    </xf>
    <xf numFmtId="0" fontId="4" fillId="5" borderId="9" xfId="0" applyFont="1" applyFill="1" applyBorder="1" applyAlignment="1">
      <alignment horizontal="center"/>
    </xf>
    <xf numFmtId="4" fontId="8" fillId="5" borderId="25" xfId="0" applyNumberFormat="1" applyFont="1" applyFill="1" applyBorder="1" applyAlignment="1">
      <alignment wrapText="1"/>
    </xf>
    <xf numFmtId="0" fontId="8" fillId="4" borderId="26" xfId="0" applyFont="1" applyFill="1" applyBorder="1" applyAlignment="1">
      <alignment horizontal="center" vertical="center"/>
    </xf>
    <xf numFmtId="0" fontId="8" fillId="5" borderId="5" xfId="0" applyFont="1" applyFill="1" applyBorder="1" applyAlignment="1">
      <alignment horizontal="left" vertical="center"/>
    </xf>
    <xf numFmtId="0" fontId="8" fillId="4" borderId="9" xfId="0" applyFont="1" applyFill="1" applyBorder="1" applyAlignment="1">
      <alignment horizontal="left" vertical="center"/>
    </xf>
    <xf numFmtId="0" fontId="8" fillId="6" borderId="9" xfId="0" applyFont="1" applyFill="1" applyBorder="1" applyAlignment="1">
      <alignment horizontal="left" vertical="center"/>
    </xf>
    <xf numFmtId="4" fontId="15" fillId="6" borderId="25" xfId="0" applyNumberFormat="1" applyFont="1" applyFill="1" applyBorder="1" applyAlignment="1">
      <alignment horizontal="right" vertical="center"/>
    </xf>
    <xf numFmtId="0" fontId="4" fillId="0" borderId="17" xfId="0" applyFont="1" applyBorder="1" applyAlignment="1">
      <alignment horizontal="left" vertical="center" wrapText="1"/>
    </xf>
    <xf numFmtId="4" fontId="4" fillId="0" borderId="16" xfId="0" applyNumberFormat="1" applyFont="1" applyFill="1" applyBorder="1" applyAlignment="1">
      <alignment horizontal="right" vertical="center"/>
    </xf>
    <xf numFmtId="3" fontId="4" fillId="0" borderId="36" xfId="0" applyNumberFormat="1" applyFont="1" applyFill="1" applyBorder="1" applyAlignment="1">
      <alignment horizontal="center" vertical="center"/>
    </xf>
    <xf numFmtId="0" fontId="8" fillId="4" borderId="5" xfId="0" applyFont="1" applyFill="1" applyBorder="1" applyAlignment="1">
      <alignment horizontal="center" vertical="center" wrapText="1"/>
    </xf>
    <xf numFmtId="4" fontId="5" fillId="4" borderId="21" xfId="0" applyNumberFormat="1" applyFont="1" applyFill="1" applyBorder="1" applyAlignment="1">
      <alignment horizontal="right" vertical="center" wrapText="1"/>
    </xf>
    <xf numFmtId="2" fontId="5" fillId="4" borderId="21" xfId="0" applyNumberFormat="1" applyFont="1" applyFill="1" applyBorder="1" applyAlignment="1">
      <alignment horizontal="right" vertical="center" wrapText="1"/>
    </xf>
    <xf numFmtId="0" fontId="16" fillId="4" borderId="8" xfId="0" applyFont="1" applyFill="1" applyBorder="1" applyAlignment="1">
      <alignment horizontal="left" vertical="center" wrapText="1"/>
    </xf>
    <xf numFmtId="0" fontId="17" fillId="6" borderId="5" xfId="0" applyFont="1" applyFill="1" applyBorder="1" applyAlignment="1">
      <alignment horizontal="left" vertical="center"/>
    </xf>
    <xf numFmtId="4" fontId="17" fillId="6" borderId="21" xfId="0" applyNumberFormat="1" applyFont="1" applyFill="1" applyBorder="1" applyAlignment="1">
      <alignment horizontal="right" vertical="center"/>
    </xf>
    <xf numFmtId="4" fontId="17" fillId="6" borderId="8" xfId="0" applyNumberFormat="1" applyFont="1" applyFill="1" applyBorder="1" applyAlignment="1">
      <alignment horizontal="right" vertical="center" wrapText="1"/>
    </xf>
    <xf numFmtId="0" fontId="8" fillId="2" borderId="9" xfId="0" applyFont="1" applyFill="1" applyBorder="1" applyAlignment="1">
      <alignment horizontal="center" vertical="center"/>
    </xf>
    <xf numFmtId="2" fontId="8" fillId="2" borderId="25" xfId="0" applyNumberFormat="1" applyFont="1" applyFill="1" applyBorder="1" applyAlignment="1">
      <alignment vertical="center" wrapText="1"/>
    </xf>
    <xf numFmtId="0" fontId="9" fillId="4" borderId="8" xfId="0" applyFont="1" applyFill="1" applyBorder="1" applyAlignment="1">
      <alignment horizontal="left" vertical="center" wrapText="1"/>
    </xf>
    <xf numFmtId="4" fontId="4" fillId="0" borderId="34" xfId="0" applyNumberFormat="1" applyFont="1" applyFill="1" applyBorder="1" applyAlignment="1">
      <alignment horizontal="center" vertical="center"/>
    </xf>
    <xf numFmtId="4" fontId="4" fillId="0" borderId="42" xfId="0" applyNumberFormat="1" applyFont="1" applyFill="1" applyBorder="1" applyAlignment="1">
      <alignment horizontal="right" vertical="center"/>
    </xf>
    <xf numFmtId="4" fontId="4" fillId="0" borderId="43" xfId="0" applyNumberFormat="1" applyFont="1" applyFill="1" applyBorder="1" applyAlignment="1">
      <alignment horizontal="center" vertical="center"/>
    </xf>
    <xf numFmtId="4" fontId="4" fillId="0" borderId="44" xfId="0" applyNumberFormat="1" applyFont="1" applyFill="1" applyBorder="1" applyAlignment="1">
      <alignment horizontal="right" vertical="center"/>
    </xf>
    <xf numFmtId="0" fontId="4" fillId="0" borderId="46" xfId="0" applyFont="1" applyBorder="1" applyAlignment="1">
      <alignment horizontal="left" vertical="center"/>
    </xf>
    <xf numFmtId="0" fontId="4" fillId="0" borderId="42" xfId="0" applyFont="1" applyBorder="1" applyAlignment="1">
      <alignment horizontal="left" vertical="center" wrapText="1"/>
    </xf>
    <xf numFmtId="4" fontId="4" fillId="0" borderId="42"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4" fontId="4" fillId="0" borderId="33" xfId="0" applyNumberFormat="1" applyFont="1" applyFill="1" applyBorder="1" applyAlignment="1">
      <alignment horizontal="right" vertical="center"/>
    </xf>
    <xf numFmtId="0" fontId="4" fillId="0" borderId="45" xfId="0" applyFont="1" applyBorder="1" applyAlignment="1">
      <alignment horizontal="left" vertical="center" wrapText="1"/>
    </xf>
    <xf numFmtId="4" fontId="4" fillId="0" borderId="45" xfId="0" applyNumberFormat="1" applyFont="1" applyFill="1" applyBorder="1" applyAlignment="1">
      <alignment horizontal="center" vertical="center"/>
    </xf>
    <xf numFmtId="4" fontId="9" fillId="0" borderId="44" xfId="0" applyNumberFormat="1" applyFont="1" applyBorder="1" applyAlignment="1">
      <alignment horizontal="left" vertical="center" wrapText="1"/>
    </xf>
    <xf numFmtId="0" fontId="18" fillId="0" borderId="0" xfId="0" applyFont="1" applyAlignment="1">
      <alignment wrapText="1"/>
    </xf>
    <xf numFmtId="0" fontId="19" fillId="0" borderId="13" xfId="0" applyFont="1" applyBorder="1" applyAlignment="1">
      <alignment horizontal="center" wrapText="1"/>
    </xf>
    <xf numFmtId="0" fontId="20" fillId="5" borderId="13" xfId="0" applyFont="1" applyFill="1" applyBorder="1" applyAlignment="1">
      <alignment horizontal="center" wrapText="1"/>
    </xf>
    <xf numFmtId="4" fontId="18" fillId="0" borderId="13" xfId="0" applyNumberFormat="1" applyFont="1" applyBorder="1" applyAlignment="1">
      <alignment wrapText="1"/>
    </xf>
    <xf numFmtId="4" fontId="18" fillId="5" borderId="13" xfId="0" applyNumberFormat="1" applyFont="1" applyFill="1" applyBorder="1" applyAlignment="1">
      <alignment wrapText="1"/>
    </xf>
    <xf numFmtId="4" fontId="21" fillId="5" borderId="13" xfId="0" applyNumberFormat="1" applyFont="1" applyFill="1" applyBorder="1" applyAlignment="1">
      <alignment wrapText="1"/>
    </xf>
    <xf numFmtId="4" fontId="21" fillId="5" borderId="53" xfId="0" applyNumberFormat="1" applyFont="1" applyFill="1" applyBorder="1" applyAlignment="1">
      <alignment wrapText="1"/>
    </xf>
    <xf numFmtId="2" fontId="18" fillId="0" borderId="52" xfId="0" applyNumberFormat="1" applyFont="1" applyBorder="1" applyAlignment="1">
      <alignment wrapText="1"/>
    </xf>
    <xf numFmtId="4" fontId="21" fillId="5" borderId="52" xfId="0" applyNumberFormat="1" applyFont="1" applyFill="1" applyBorder="1" applyAlignment="1">
      <alignment wrapText="1"/>
    </xf>
    <xf numFmtId="4" fontId="18" fillId="0" borderId="53" xfId="0" applyNumberFormat="1" applyFont="1" applyBorder="1" applyAlignment="1">
      <alignment wrapText="1"/>
    </xf>
    <xf numFmtId="0" fontId="20" fillId="5" borderId="54" xfId="0" applyFont="1" applyFill="1" applyBorder="1" applyAlignment="1">
      <alignment horizontal="center" wrapText="1"/>
    </xf>
    <xf numFmtId="4" fontId="21" fillId="5" borderId="16" xfId="0" applyNumberFormat="1" applyFont="1" applyFill="1" applyBorder="1" applyAlignment="1">
      <alignment wrapText="1"/>
    </xf>
    <xf numFmtId="0" fontId="18" fillId="5" borderId="12" xfId="0" applyFont="1" applyFill="1" applyBorder="1" applyAlignment="1">
      <alignment wrapText="1"/>
    </xf>
    <xf numFmtId="0" fontId="18" fillId="5" borderId="55" xfId="0" applyFont="1" applyFill="1" applyBorder="1" applyAlignment="1">
      <alignment wrapText="1"/>
    </xf>
    <xf numFmtId="0" fontId="18" fillId="5" borderId="46" xfId="0" applyFont="1" applyFill="1" applyBorder="1" applyAlignment="1">
      <alignment wrapText="1"/>
    </xf>
    <xf numFmtId="0" fontId="18" fillId="5" borderId="15" xfId="0" applyFont="1" applyFill="1" applyBorder="1" applyAlignment="1">
      <alignment wrapText="1"/>
    </xf>
    <xf numFmtId="0" fontId="18" fillId="5" borderId="12" xfId="0" applyFont="1" applyFill="1" applyBorder="1" applyAlignment="1">
      <alignment horizontal="center" wrapText="1"/>
    </xf>
    <xf numFmtId="0" fontId="18" fillId="5" borderId="51" xfId="0" applyFont="1" applyFill="1" applyBorder="1" applyAlignment="1">
      <alignment horizontal="center" wrapText="1"/>
    </xf>
    <xf numFmtId="0" fontId="18" fillId="5" borderId="46" xfId="0" applyFont="1" applyFill="1" applyBorder="1" applyAlignment="1">
      <alignment horizontal="center" wrapText="1"/>
    </xf>
    <xf numFmtId="0" fontId="18" fillId="5" borderId="49" xfId="0" applyFont="1" applyFill="1" applyBorder="1" applyAlignment="1">
      <alignment horizontal="center" wrapText="1"/>
    </xf>
    <xf numFmtId="0" fontId="18" fillId="5" borderId="15" xfId="0" applyFont="1" applyFill="1" applyBorder="1" applyAlignment="1">
      <alignment horizontal="center" wrapText="1"/>
    </xf>
    <xf numFmtId="0" fontId="18" fillId="5" borderId="60" xfId="0" applyFont="1" applyFill="1" applyBorder="1" applyAlignment="1">
      <alignment horizontal="center" wrapText="1"/>
    </xf>
    <xf numFmtId="4" fontId="21" fillId="5" borderId="54" xfId="0" applyNumberFormat="1" applyFont="1" applyFill="1" applyBorder="1" applyAlignment="1">
      <alignment wrapText="1"/>
    </xf>
    <xf numFmtId="4" fontId="18" fillId="0" borderId="52" xfId="0" applyNumberFormat="1" applyFont="1" applyBorder="1" applyAlignment="1">
      <alignment wrapText="1"/>
    </xf>
    <xf numFmtId="4" fontId="21" fillId="5" borderId="56" xfId="0" applyNumberFormat="1" applyFont="1" applyFill="1" applyBorder="1" applyAlignment="1">
      <alignment wrapText="1"/>
    </xf>
    <xf numFmtId="4" fontId="21" fillId="5" borderId="57" xfId="0" applyNumberFormat="1" applyFont="1" applyFill="1" applyBorder="1" applyAlignment="1">
      <alignment wrapText="1"/>
    </xf>
    <xf numFmtId="4" fontId="18" fillId="0" borderId="16" xfId="0" applyNumberFormat="1" applyFont="1" applyBorder="1" applyAlignment="1">
      <alignment wrapText="1"/>
    </xf>
    <xf numFmtId="4" fontId="21" fillId="5" borderId="58" xfId="0" applyNumberFormat="1" applyFont="1" applyFill="1" applyBorder="1" applyAlignment="1">
      <alignment wrapText="1"/>
    </xf>
    <xf numFmtId="0" fontId="18" fillId="5" borderId="37" xfId="0" applyFont="1" applyFill="1" applyBorder="1" applyAlignment="1">
      <alignment wrapText="1"/>
    </xf>
    <xf numFmtId="0" fontId="18" fillId="5" borderId="0" xfId="0" applyFont="1" applyFill="1" applyBorder="1" applyAlignment="1">
      <alignment wrapText="1"/>
    </xf>
    <xf numFmtId="0" fontId="18" fillId="5" borderId="38" xfId="0" applyFont="1" applyFill="1" applyBorder="1" applyAlignment="1">
      <alignment wrapText="1"/>
    </xf>
    <xf numFmtId="4" fontId="18" fillId="5" borderId="51" xfId="0" applyNumberFormat="1" applyFont="1" applyFill="1" applyBorder="1" applyAlignment="1">
      <alignment horizontal="right" wrapText="1"/>
    </xf>
    <xf numFmtId="4" fontId="18" fillId="5" borderId="59" xfId="0" applyNumberFormat="1" applyFont="1" applyFill="1" applyBorder="1" applyAlignment="1">
      <alignment horizontal="right" wrapText="1"/>
    </xf>
    <xf numFmtId="4" fontId="18" fillId="5" borderId="49" xfId="0" applyNumberFormat="1" applyFont="1" applyFill="1" applyBorder="1" applyAlignment="1">
      <alignment horizontal="right" wrapText="1"/>
    </xf>
    <xf numFmtId="4" fontId="18" fillId="5" borderId="60" xfId="0" applyNumberFormat="1" applyFont="1" applyFill="1" applyBorder="1" applyAlignment="1">
      <alignment horizontal="right" wrapText="1"/>
    </xf>
    <xf numFmtId="0" fontId="18" fillId="5" borderId="19" xfId="0" applyFont="1" applyFill="1" applyBorder="1" applyAlignment="1">
      <alignment wrapText="1"/>
    </xf>
    <xf numFmtId="0" fontId="18" fillId="5" borderId="45" xfId="0" applyFont="1" applyFill="1" applyBorder="1" applyAlignment="1">
      <alignment horizontal="center" wrapText="1"/>
    </xf>
    <xf numFmtId="0" fontId="18" fillId="5" borderId="12" xfId="0" applyFont="1" applyFill="1" applyBorder="1" applyAlignment="1">
      <alignment horizontal="right" wrapText="1"/>
    </xf>
    <xf numFmtId="0" fontId="18" fillId="5" borderId="13" xfId="0" applyFont="1" applyFill="1" applyBorder="1" applyAlignment="1">
      <alignment horizontal="center" wrapText="1"/>
    </xf>
    <xf numFmtId="4" fontId="18" fillId="5" borderId="13" xfId="0" applyNumberFormat="1" applyFont="1" applyFill="1" applyBorder="1" applyAlignment="1">
      <alignment horizontal="right" wrapText="1"/>
    </xf>
    <xf numFmtId="0" fontId="18" fillId="5" borderId="15" xfId="0" applyFont="1" applyFill="1" applyBorder="1" applyAlignment="1">
      <alignment horizontal="right" wrapText="1"/>
    </xf>
    <xf numFmtId="0" fontId="18" fillId="5" borderId="16" xfId="0" applyFont="1" applyFill="1" applyBorder="1" applyAlignment="1">
      <alignment horizontal="center" wrapText="1"/>
    </xf>
    <xf numFmtId="4" fontId="18" fillId="5" borderId="16" xfId="0" applyNumberFormat="1" applyFont="1" applyFill="1" applyBorder="1" applyAlignment="1">
      <alignment horizontal="right" wrapText="1"/>
    </xf>
    <xf numFmtId="0" fontId="18" fillId="5" borderId="53" xfId="0" applyFont="1" applyFill="1" applyBorder="1" applyAlignment="1">
      <alignment horizontal="center" wrapText="1"/>
    </xf>
    <xf numFmtId="4" fontId="18" fillId="0" borderId="53" xfId="0" applyNumberFormat="1" applyFont="1" applyBorder="1" applyAlignment="1">
      <alignment horizontal="center" wrapText="1"/>
    </xf>
    <xf numFmtId="4" fontId="18" fillId="0" borderId="16" xfId="0" applyNumberFormat="1" applyFont="1" applyBorder="1" applyAlignment="1">
      <alignment horizontal="center" wrapText="1"/>
    </xf>
    <xf numFmtId="4" fontId="21" fillId="5" borderId="41" xfId="0" applyNumberFormat="1" applyFont="1" applyFill="1" applyBorder="1" applyAlignment="1">
      <alignment wrapText="1"/>
    </xf>
    <xf numFmtId="4" fontId="21" fillId="5" borderId="45" xfId="0" applyNumberFormat="1" applyFont="1" applyFill="1" applyBorder="1" applyAlignment="1">
      <alignment wrapText="1"/>
    </xf>
    <xf numFmtId="4" fontId="18" fillId="0" borderId="13" xfId="0" applyNumberFormat="1" applyFont="1" applyBorder="1" applyAlignment="1">
      <alignment horizontal="center" wrapText="1"/>
    </xf>
    <xf numFmtId="0" fontId="18" fillId="5" borderId="19" xfId="0" applyFont="1" applyFill="1" applyBorder="1" applyAlignment="1">
      <alignment horizontal="center" wrapText="1"/>
    </xf>
    <xf numFmtId="2" fontId="18" fillId="5" borderId="13" xfId="0" applyNumberFormat="1" applyFont="1" applyFill="1" applyBorder="1" applyAlignment="1">
      <alignment horizontal="right" wrapText="1"/>
    </xf>
    <xf numFmtId="2" fontId="18" fillId="5" borderId="16" xfId="0" applyNumberFormat="1" applyFont="1" applyFill="1" applyBorder="1" applyAlignment="1">
      <alignment horizontal="right" wrapText="1"/>
    </xf>
    <xf numFmtId="4" fontId="18" fillId="5" borderId="45" xfId="0" applyNumberFormat="1" applyFont="1" applyFill="1" applyBorder="1" applyAlignment="1">
      <alignment horizontal="center" wrapText="1"/>
    </xf>
    <xf numFmtId="4" fontId="18" fillId="5" borderId="54" xfId="0" applyNumberFormat="1" applyFont="1" applyFill="1" applyBorder="1" applyAlignment="1">
      <alignment wrapText="1"/>
    </xf>
    <xf numFmtId="4" fontId="18" fillId="5" borderId="16" xfId="0" applyNumberFormat="1" applyFont="1" applyFill="1" applyBorder="1" applyAlignment="1">
      <alignment wrapText="1"/>
    </xf>
    <xf numFmtId="4" fontId="18" fillId="5" borderId="58" xfId="0" applyNumberFormat="1" applyFont="1" applyFill="1" applyBorder="1" applyAlignment="1">
      <alignment wrapText="1"/>
    </xf>
    <xf numFmtId="3" fontId="21" fillId="0" borderId="0" xfId="0" applyNumberFormat="1" applyFont="1" applyAlignment="1">
      <alignment wrapText="1"/>
    </xf>
    <xf numFmtId="3" fontId="18" fillId="0" borderId="0" xfId="0" applyNumberFormat="1" applyFont="1" applyAlignment="1">
      <alignment wrapText="1"/>
    </xf>
    <xf numFmtId="3" fontId="21" fillId="3" borderId="0" xfId="0" applyNumberFormat="1" applyFont="1" applyFill="1" applyAlignment="1">
      <alignment wrapText="1"/>
    </xf>
    <xf numFmtId="4" fontId="18" fillId="0" borderId="0" xfId="0" applyNumberFormat="1" applyFont="1" applyAlignment="1">
      <alignment wrapText="1"/>
    </xf>
    <xf numFmtId="0" fontId="18" fillId="5" borderId="27" xfId="0" applyFont="1" applyFill="1" applyBorder="1" applyAlignment="1">
      <alignment horizontal="center" wrapText="1"/>
    </xf>
    <xf numFmtId="4" fontId="18" fillId="5" borderId="28" xfId="0" applyNumberFormat="1" applyFont="1" applyFill="1" applyBorder="1" applyAlignment="1">
      <alignment horizontal="right" wrapText="1"/>
    </xf>
    <xf numFmtId="4" fontId="18" fillId="0" borderId="28" xfId="0" applyNumberFormat="1" applyFont="1" applyBorder="1" applyAlignment="1">
      <alignment horizontal="center" wrapText="1"/>
    </xf>
    <xf numFmtId="4" fontId="18" fillId="5" borderId="28" xfId="0" applyNumberFormat="1" applyFont="1" applyFill="1" applyBorder="1" applyAlignment="1">
      <alignment wrapText="1"/>
    </xf>
    <xf numFmtId="4" fontId="18" fillId="0" borderId="28" xfId="0" applyNumberFormat="1" applyFont="1" applyBorder="1" applyAlignment="1">
      <alignment wrapText="1"/>
    </xf>
    <xf numFmtId="4" fontId="18" fillId="5" borderId="66" xfId="0" applyNumberFormat="1" applyFont="1" applyFill="1" applyBorder="1" applyAlignment="1">
      <alignment wrapText="1"/>
    </xf>
    <xf numFmtId="4" fontId="28" fillId="5" borderId="54" xfId="0" applyNumberFormat="1" applyFont="1" applyFill="1" applyBorder="1" applyAlignment="1">
      <alignment wrapText="1"/>
    </xf>
    <xf numFmtId="4" fontId="28" fillId="5" borderId="56" xfId="0" applyNumberFormat="1" applyFont="1" applyFill="1" applyBorder="1" applyAlignment="1">
      <alignment wrapText="1"/>
    </xf>
    <xf numFmtId="4" fontId="28" fillId="5" borderId="57" xfId="0" applyNumberFormat="1" applyFont="1" applyFill="1" applyBorder="1" applyAlignment="1">
      <alignment wrapText="1"/>
    </xf>
    <xf numFmtId="4" fontId="28" fillId="5" borderId="58" xfId="0" applyNumberFormat="1" applyFont="1" applyFill="1" applyBorder="1" applyAlignment="1">
      <alignment wrapText="1"/>
    </xf>
    <xf numFmtId="0" fontId="29" fillId="0" borderId="0" xfId="0" applyFont="1"/>
    <xf numFmtId="0" fontId="31" fillId="0" borderId="0" xfId="0" applyFont="1" applyAlignment="1">
      <alignment horizontal="center"/>
    </xf>
    <xf numFmtId="0" fontId="29" fillId="0" borderId="0" xfId="0" applyFont="1" applyAlignment="1"/>
    <xf numFmtId="0" fontId="29" fillId="9" borderId="35" xfId="0" applyFont="1" applyFill="1" applyBorder="1" applyAlignment="1">
      <alignment horizontal="right" vertical="center"/>
    </xf>
    <xf numFmtId="0" fontId="29" fillId="9" borderId="35" xfId="0" applyFont="1" applyFill="1" applyBorder="1" applyAlignment="1">
      <alignment horizontal="center" vertical="center"/>
    </xf>
    <xf numFmtId="2" fontId="32" fillId="9" borderId="35" xfId="0" applyNumberFormat="1" applyFont="1" applyFill="1" applyBorder="1" applyAlignment="1">
      <alignment horizontal="center"/>
    </xf>
    <xf numFmtId="0" fontId="29" fillId="0" borderId="0" xfId="0" applyFont="1" applyBorder="1"/>
    <xf numFmtId="2" fontId="29" fillId="8" borderId="0" xfId="0" applyNumberFormat="1" applyFont="1" applyFill="1" applyBorder="1" applyAlignment="1">
      <alignment horizontal="center"/>
    </xf>
    <xf numFmtId="0" fontId="29" fillId="9" borderId="0" xfId="0" applyFont="1" applyFill="1" applyBorder="1" applyAlignment="1">
      <alignment horizontal="right" vertical="center"/>
    </xf>
    <xf numFmtId="0" fontId="29" fillId="9" borderId="0" xfId="0" applyFont="1" applyFill="1" applyAlignment="1">
      <alignment horizontal="center" vertical="center"/>
    </xf>
    <xf numFmtId="2" fontId="32" fillId="9" borderId="0" xfId="0" applyNumberFormat="1" applyFont="1" applyFill="1" applyAlignment="1">
      <alignment horizontal="center" vertical="center"/>
    </xf>
    <xf numFmtId="0" fontId="32" fillId="9" borderId="0" xfId="0" applyFont="1" applyFill="1" applyAlignment="1">
      <alignment horizontal="right"/>
    </xf>
    <xf numFmtId="1" fontId="32" fillId="9" borderId="0" xfId="0" applyNumberFormat="1" applyFont="1" applyFill="1" applyAlignment="1">
      <alignment horizontal="center"/>
    </xf>
    <xf numFmtId="0" fontId="32" fillId="9" borderId="0" xfId="0" applyFont="1" applyFill="1"/>
    <xf numFmtId="0" fontId="32" fillId="8" borderId="0" xfId="0" applyFont="1" applyFill="1" applyAlignment="1">
      <alignment horizontal="center"/>
    </xf>
    <xf numFmtId="0" fontId="29" fillId="9" borderId="0" xfId="0" applyFont="1" applyFill="1" applyAlignment="1">
      <alignment horizontal="right"/>
    </xf>
    <xf numFmtId="0" fontId="29" fillId="9" borderId="0" xfId="0" applyFont="1" applyFill="1"/>
    <xf numFmtId="0" fontId="29" fillId="8" borderId="0" xfId="0" applyFont="1" applyFill="1" applyAlignment="1">
      <alignment horizontal="center"/>
    </xf>
    <xf numFmtId="0" fontId="31" fillId="8" borderId="67" xfId="0" applyFont="1" applyFill="1" applyBorder="1" applyAlignment="1">
      <alignment horizontal="center" vertical="center"/>
    </xf>
    <xf numFmtId="0" fontId="31" fillId="9" borderId="0" xfId="0" applyFont="1" applyFill="1" applyAlignment="1">
      <alignment horizontal="center" vertical="center"/>
    </xf>
    <xf numFmtId="0" fontId="30" fillId="0" borderId="0" xfId="0" applyFont="1" applyAlignment="1"/>
    <xf numFmtId="0" fontId="23" fillId="3" borderId="26" xfId="0" applyFont="1" applyFill="1" applyBorder="1" applyAlignment="1">
      <alignment horizontal="right" vertical="center"/>
    </xf>
    <xf numFmtId="0" fontId="23" fillId="7" borderId="25" xfId="0" applyFont="1" applyFill="1" applyBorder="1" applyAlignment="1">
      <alignment horizontal="center" vertical="center"/>
    </xf>
    <xf numFmtId="2" fontId="31" fillId="8" borderId="21" xfId="0" applyNumberFormat="1" applyFont="1" applyFill="1" applyBorder="1" applyAlignment="1">
      <alignment horizontal="center" vertical="center"/>
    </xf>
    <xf numFmtId="0" fontId="31" fillId="9" borderId="32" xfId="0" applyFont="1" applyFill="1" applyBorder="1" applyAlignment="1">
      <alignment horizontal="right" vertical="center"/>
    </xf>
    <xf numFmtId="0" fontId="34" fillId="0" borderId="0" xfId="0" applyFont="1"/>
    <xf numFmtId="0" fontId="34" fillId="0" borderId="0" xfId="0" applyFont="1" applyFill="1" applyBorder="1"/>
    <xf numFmtId="1" fontId="39" fillId="0" borderId="0" xfId="0" applyNumberFormat="1" applyFont="1" applyFill="1" applyBorder="1" applyAlignment="1">
      <alignment horizontal="right" vertical="top"/>
    </xf>
    <xf numFmtId="0" fontId="40" fillId="0" borderId="0" xfId="0" applyFont="1" applyFill="1" applyBorder="1"/>
    <xf numFmtId="0" fontId="25" fillId="9" borderId="0" xfId="0" applyFont="1" applyFill="1" applyAlignment="1">
      <alignment horizontal="center" vertical="center"/>
    </xf>
    <xf numFmtId="2" fontId="24" fillId="8" borderId="0" xfId="0" applyNumberFormat="1" applyFont="1" applyFill="1" applyAlignment="1">
      <alignment horizontal="center" vertical="center"/>
    </xf>
    <xf numFmtId="0" fontId="41" fillId="0" borderId="0" xfId="0" applyFont="1" applyAlignment="1"/>
    <xf numFmtId="0" fontId="4" fillId="0" borderId="53" xfId="0" applyFont="1" applyBorder="1" applyAlignment="1">
      <alignment horizontal="left" vertical="center" wrapText="1"/>
    </xf>
    <xf numFmtId="0" fontId="4" fillId="0" borderId="70" xfId="0" applyFont="1" applyBorder="1" applyAlignment="1">
      <alignment horizontal="left" vertical="center"/>
    </xf>
    <xf numFmtId="0" fontId="4" fillId="0" borderId="71" xfId="0" applyFont="1" applyBorder="1" applyAlignment="1">
      <alignment horizontal="left" vertical="center" wrapText="1"/>
    </xf>
    <xf numFmtId="4" fontId="4" fillId="0" borderId="72" xfId="0" applyNumberFormat="1" applyFont="1" applyFill="1" applyBorder="1" applyAlignment="1">
      <alignment horizontal="right" vertical="center"/>
    </xf>
    <xf numFmtId="4" fontId="4" fillId="0" borderId="73" xfId="0" applyNumberFormat="1" applyFont="1" applyFill="1" applyBorder="1" applyAlignment="1">
      <alignment horizontal="center" vertical="center"/>
    </xf>
    <xf numFmtId="4" fontId="4" fillId="0" borderId="69" xfId="0" applyNumberFormat="1" applyFont="1" applyFill="1" applyBorder="1" applyAlignment="1">
      <alignment horizontal="right" vertical="center"/>
    </xf>
    <xf numFmtId="4" fontId="9" fillId="0" borderId="69" xfId="0" applyNumberFormat="1" applyFont="1" applyBorder="1" applyAlignment="1">
      <alignment horizontal="left" vertical="center" wrapText="1"/>
    </xf>
    <xf numFmtId="164" fontId="4" fillId="0" borderId="13" xfId="0" applyNumberFormat="1" applyFont="1" applyFill="1" applyBorder="1" applyAlignment="1">
      <alignment horizontal="center" vertical="center"/>
    </xf>
    <xf numFmtId="1" fontId="18" fillId="5" borderId="59" xfId="0" applyNumberFormat="1" applyFont="1" applyFill="1" applyBorder="1" applyAlignment="1">
      <alignment horizontal="center" wrapText="1"/>
    </xf>
    <xf numFmtId="3" fontId="27" fillId="0" borderId="0" xfId="0" applyNumberFormat="1" applyFont="1" applyAlignment="1">
      <alignment wrapText="1"/>
    </xf>
    <xf numFmtId="0" fontId="27" fillId="0" borderId="0" xfId="0" applyFont="1" applyAlignment="1">
      <alignment wrapText="1"/>
    </xf>
    <xf numFmtId="0" fontId="21" fillId="0" borderId="0" xfId="0" applyFont="1" applyAlignment="1">
      <alignment wrapText="1"/>
    </xf>
    <xf numFmtId="0" fontId="20" fillId="5" borderId="80" xfId="0" applyFont="1" applyFill="1" applyBorder="1" applyAlignment="1">
      <alignment horizontal="center" wrapText="1"/>
    </xf>
    <xf numFmtId="2" fontId="18" fillId="0" borderId="90" xfId="0" applyNumberFormat="1" applyFont="1" applyBorder="1" applyAlignment="1">
      <alignment wrapText="1"/>
    </xf>
    <xf numFmtId="4" fontId="21" fillId="5" borderId="90" xfId="0" applyNumberFormat="1" applyFont="1" applyFill="1" applyBorder="1" applyAlignment="1">
      <alignment wrapText="1"/>
    </xf>
    <xf numFmtId="4" fontId="21" fillId="5" borderId="86" xfId="0" applyNumberFormat="1" applyFont="1" applyFill="1" applyBorder="1" applyAlignment="1">
      <alignment wrapText="1"/>
    </xf>
    <xf numFmtId="4" fontId="18" fillId="0" borderId="90" xfId="0" applyNumberFormat="1" applyFont="1" applyBorder="1" applyAlignment="1">
      <alignment wrapText="1"/>
    </xf>
    <xf numFmtId="4" fontId="21" fillId="5" borderId="91" xfId="0" applyNumberFormat="1" applyFont="1" applyFill="1" applyBorder="1" applyAlignment="1">
      <alignment wrapText="1"/>
    </xf>
    <xf numFmtId="4" fontId="43" fillId="5" borderId="80" xfId="0" applyNumberFormat="1" applyFont="1" applyFill="1" applyBorder="1" applyAlignment="1">
      <alignment wrapText="1"/>
    </xf>
    <xf numFmtId="4" fontId="43" fillId="5" borderId="84" xfId="0" applyNumberFormat="1" applyFont="1" applyFill="1" applyBorder="1" applyAlignment="1">
      <alignment wrapText="1"/>
    </xf>
    <xf numFmtId="0" fontId="46" fillId="0" borderId="0" xfId="0" applyFont="1" applyAlignment="1">
      <alignment wrapText="1"/>
    </xf>
    <xf numFmtId="3" fontId="18" fillId="0" borderId="0" xfId="0" applyNumberFormat="1" applyFont="1" applyAlignment="1">
      <alignment horizontal="center" wrapText="1"/>
    </xf>
    <xf numFmtId="0" fontId="26" fillId="0" borderId="0" xfId="0" applyFont="1" applyAlignment="1">
      <alignment horizontal="left" vertical="top" wrapText="1"/>
    </xf>
    <xf numFmtId="0" fontId="31" fillId="0" borderId="0" xfId="0" applyFont="1" applyAlignment="1">
      <alignment horizontal="left" vertical="top" wrapText="1"/>
    </xf>
    <xf numFmtId="3" fontId="29" fillId="0" borderId="0" xfId="0" applyNumberFormat="1" applyFont="1" applyAlignment="1">
      <alignment horizontal="center"/>
    </xf>
    <xf numFmtId="4" fontId="29" fillId="0" borderId="0" xfId="0" applyNumberFormat="1" applyFont="1" applyAlignment="1">
      <alignment horizontal="right"/>
    </xf>
    <xf numFmtId="3" fontId="47" fillId="0" borderId="0" xfId="0" applyNumberFormat="1" applyFont="1" applyAlignment="1">
      <alignment horizontal="right" vertical="top" wrapText="1"/>
    </xf>
    <xf numFmtId="3" fontId="6" fillId="0" borderId="0" xfId="0" applyNumberFormat="1" applyFont="1" applyAlignment="1">
      <alignment horizontal="right"/>
    </xf>
    <xf numFmtId="0" fontId="48" fillId="0" borderId="0" xfId="0" applyFont="1" applyAlignment="1">
      <alignment horizontal="left" vertical="top" wrapText="1"/>
    </xf>
    <xf numFmtId="0" fontId="23" fillId="2" borderId="0" xfId="0" applyFont="1" applyFill="1" applyAlignment="1">
      <alignment horizontal="left" wrapText="1"/>
    </xf>
    <xf numFmtId="3" fontId="29" fillId="2" borderId="0" xfId="0" applyNumberFormat="1" applyFont="1" applyFill="1" applyAlignment="1">
      <alignment horizontal="right"/>
    </xf>
    <xf numFmtId="3" fontId="31" fillId="2" borderId="0" xfId="0" applyNumberFormat="1" applyFont="1" applyFill="1" applyAlignment="1">
      <alignment horizontal="right" vertical="top" wrapText="1"/>
    </xf>
    <xf numFmtId="0" fontId="18" fillId="0" borderId="0" xfId="0" applyFont="1" applyFill="1" applyAlignment="1">
      <alignment wrapText="1"/>
    </xf>
    <xf numFmtId="0" fontId="26" fillId="0" borderId="0" xfId="0" applyFont="1" applyFill="1" applyAlignment="1">
      <alignment horizontal="left" vertical="top" wrapText="1"/>
    </xf>
    <xf numFmtId="3" fontId="31" fillId="0" borderId="0" xfId="0" applyNumberFormat="1" applyFont="1" applyFill="1" applyAlignment="1">
      <alignment horizontal="right" vertical="top" wrapText="1"/>
    </xf>
    <xf numFmtId="3" fontId="47" fillId="0" borderId="0" xfId="0" applyNumberFormat="1" applyFont="1" applyFill="1" applyAlignment="1">
      <alignment horizontal="right" vertical="top" wrapText="1"/>
    </xf>
    <xf numFmtId="3" fontId="45" fillId="0" borderId="0" xfId="0" applyNumberFormat="1" applyFont="1" applyFill="1" applyAlignment="1">
      <alignment horizontal="right" vertical="top" wrapText="1"/>
    </xf>
    <xf numFmtId="0" fontId="27" fillId="0" borderId="0" xfId="0" applyFont="1" applyFill="1" applyAlignment="1">
      <alignment horizontal="right" vertical="top" wrapText="1"/>
    </xf>
    <xf numFmtId="3" fontId="45" fillId="2" borderId="0" xfId="0" applyNumberFormat="1" applyFont="1" applyFill="1" applyAlignment="1">
      <alignment horizontal="right" vertical="top" wrapText="1"/>
    </xf>
    <xf numFmtId="3" fontId="8" fillId="2" borderId="0" xfId="0" applyNumberFormat="1" applyFont="1" applyFill="1" applyAlignment="1">
      <alignment horizontal="right" vertical="top" wrapText="1"/>
    </xf>
    <xf numFmtId="3" fontId="8" fillId="0" borderId="0" xfId="0" applyNumberFormat="1" applyFont="1" applyFill="1" applyAlignment="1">
      <alignment horizontal="right" vertical="top" wrapText="1"/>
    </xf>
    <xf numFmtId="0" fontId="26" fillId="0" borderId="92" xfId="0" applyFont="1" applyFill="1" applyBorder="1" applyAlignment="1">
      <alignment horizontal="left" vertical="top" wrapText="1"/>
    </xf>
    <xf numFmtId="0" fontId="26" fillId="0" borderId="35" xfId="0" applyFont="1" applyFill="1" applyBorder="1" applyAlignment="1">
      <alignment horizontal="left" vertical="top" wrapText="1"/>
    </xf>
    <xf numFmtId="0" fontId="18" fillId="0" borderId="31" xfId="0" applyFont="1" applyFill="1" applyBorder="1" applyAlignment="1">
      <alignment wrapText="1"/>
    </xf>
    <xf numFmtId="3" fontId="8" fillId="0" borderId="0" xfId="0" applyNumberFormat="1" applyFont="1" applyBorder="1" applyAlignment="1">
      <alignment wrapText="1"/>
    </xf>
    <xf numFmtId="3" fontId="4" fillId="0" borderId="0" xfId="0" applyNumberFormat="1" applyFont="1" applyBorder="1" applyAlignment="1">
      <alignment wrapText="1"/>
    </xf>
    <xf numFmtId="0" fontId="30" fillId="0" borderId="37" xfId="0" applyFont="1" applyBorder="1" applyAlignment="1">
      <alignment wrapText="1"/>
    </xf>
    <xf numFmtId="0" fontId="30" fillId="0" borderId="0" xfId="0" applyFont="1" applyBorder="1" applyAlignment="1">
      <alignment wrapText="1"/>
    </xf>
    <xf numFmtId="3" fontId="30" fillId="0" borderId="0" xfId="0" applyNumberFormat="1" applyFont="1" applyBorder="1" applyAlignment="1">
      <alignment wrapText="1"/>
    </xf>
    <xf numFmtId="3" fontId="2" fillId="0" borderId="0" xfId="0" applyNumberFormat="1" applyFont="1" applyBorder="1" applyAlignment="1">
      <alignment wrapText="1"/>
    </xf>
    <xf numFmtId="0" fontId="18" fillId="0" borderId="32" xfId="0" applyFont="1" applyBorder="1" applyAlignment="1">
      <alignment wrapText="1"/>
    </xf>
    <xf numFmtId="0" fontId="18" fillId="0" borderId="1" xfId="0" applyFont="1" applyBorder="1" applyAlignment="1">
      <alignment wrapText="1"/>
    </xf>
    <xf numFmtId="0" fontId="18" fillId="0" borderId="8" xfId="0" applyFont="1" applyBorder="1" applyAlignment="1">
      <alignment wrapText="1"/>
    </xf>
    <xf numFmtId="0" fontId="51" fillId="0" borderId="0" xfId="0" applyFont="1" applyAlignment="1">
      <alignment horizontal="right"/>
    </xf>
    <xf numFmtId="0" fontId="50" fillId="0" borderId="0" xfId="0" applyFont="1" applyAlignment="1">
      <alignment horizontal="right"/>
    </xf>
    <xf numFmtId="0" fontId="52" fillId="0" borderId="0" xfId="0" applyFont="1" applyAlignment="1">
      <alignment horizontal="left" vertical="top" wrapText="1"/>
    </xf>
    <xf numFmtId="0" fontId="45" fillId="0" borderId="0" xfId="0" applyFont="1"/>
    <xf numFmtId="0" fontId="53" fillId="0" borderId="0" xfId="0" applyFont="1" applyAlignment="1">
      <alignment horizontal="center" wrapText="1"/>
    </xf>
    <xf numFmtId="4" fontId="45" fillId="0" borderId="0" xfId="0" applyNumberFormat="1" applyFont="1" applyAlignment="1">
      <alignment horizontal="right"/>
    </xf>
    <xf numFmtId="0" fontId="6" fillId="0" borderId="0" xfId="0" applyFont="1" applyAlignment="1">
      <alignment vertical="center"/>
    </xf>
    <xf numFmtId="0" fontId="6" fillId="0" borderId="0" xfId="0" applyFont="1" applyAlignment="1">
      <alignment vertical="center" wrapText="1"/>
    </xf>
    <xf numFmtId="0" fontId="54" fillId="0" borderId="0" xfId="0" applyFont="1" applyAlignment="1">
      <alignment horizontal="right"/>
    </xf>
    <xf numFmtId="3" fontId="6" fillId="9" borderId="0" xfId="0" applyNumberFormat="1" applyFont="1" applyFill="1" applyAlignment="1">
      <alignment horizontal="center"/>
    </xf>
    <xf numFmtId="3" fontId="6" fillId="8" borderId="0" xfId="0" applyNumberFormat="1" applyFont="1" applyFill="1" applyAlignment="1">
      <alignment horizontal="center"/>
    </xf>
    <xf numFmtId="0" fontId="47" fillId="9" borderId="0" xfId="0" applyFont="1" applyFill="1" applyAlignment="1">
      <alignment horizontal="center" wrapText="1"/>
    </xf>
    <xf numFmtId="0" fontId="47" fillId="8" borderId="0" xfId="0" applyFont="1" applyFill="1" applyAlignment="1">
      <alignment horizontal="center" wrapText="1"/>
    </xf>
    <xf numFmtId="0" fontId="52" fillId="0" borderId="0" xfId="0" applyFont="1" applyAlignment="1">
      <alignment vertical="top" wrapText="1"/>
    </xf>
    <xf numFmtId="0" fontId="26" fillId="0" borderId="0" xfId="0" applyFont="1" applyAlignment="1">
      <alignment vertical="center"/>
    </xf>
    <xf numFmtId="0" fontId="29" fillId="0" borderId="0" xfId="0" applyFont="1" applyAlignment="1">
      <alignment wrapText="1"/>
    </xf>
    <xf numFmtId="0" fontId="51" fillId="0" borderId="0" xfId="0" applyFont="1" applyAlignment="1">
      <alignment horizontal="center" wrapText="1"/>
    </xf>
    <xf numFmtId="0" fontId="51" fillId="2" borderId="0" xfId="0" applyFont="1" applyFill="1" applyAlignment="1">
      <alignment horizontal="center" wrapText="1"/>
    </xf>
    <xf numFmtId="0" fontId="56" fillId="0" borderId="0" xfId="0" applyFont="1" applyAlignment="1">
      <alignment horizontal="center" wrapText="1"/>
    </xf>
    <xf numFmtId="3" fontId="21" fillId="9" borderId="0" xfId="0" applyNumberFormat="1" applyFont="1" applyFill="1" applyAlignment="1">
      <alignment wrapText="1"/>
    </xf>
    <xf numFmtId="0" fontId="21" fillId="9" borderId="12" xfId="0" applyFont="1" applyFill="1" applyBorder="1" applyAlignment="1">
      <alignment horizontal="center" wrapText="1"/>
    </xf>
    <xf numFmtId="0" fontId="21" fillId="9" borderId="55" xfId="0" applyFont="1" applyFill="1" applyBorder="1" applyAlignment="1">
      <alignment horizontal="center" wrapText="1"/>
    </xf>
    <xf numFmtId="0" fontId="21" fillId="9" borderId="19" xfId="0" applyFont="1" applyFill="1" applyBorder="1" applyAlignment="1">
      <alignment horizontal="center" wrapText="1"/>
    </xf>
    <xf numFmtId="1" fontId="29" fillId="9" borderId="0" xfId="0" applyNumberFormat="1" applyFont="1" applyFill="1" applyAlignment="1">
      <alignment horizontal="center"/>
    </xf>
    <xf numFmtId="0" fontId="57" fillId="0" borderId="0" xfId="0" applyFont="1" applyAlignment="1">
      <alignment horizontal="center" wrapText="1"/>
    </xf>
    <xf numFmtId="0" fontId="0" fillId="0" borderId="0" xfId="0" applyAlignment="1">
      <alignment horizontal="center"/>
    </xf>
    <xf numFmtId="0" fontId="0" fillId="0" borderId="0" xfId="0" applyAlignment="1">
      <alignment horizontal="center"/>
    </xf>
    <xf numFmtId="0" fontId="58" fillId="0" borderId="0" xfId="0" applyFont="1" applyAlignment="1">
      <alignment horizontal="center"/>
    </xf>
    <xf numFmtId="0" fontId="0" fillId="0" borderId="0" xfId="0" applyAlignment="1">
      <alignment horizontal="center"/>
    </xf>
    <xf numFmtId="0" fontId="61" fillId="0" borderId="0" xfId="0" applyFont="1" applyAlignment="1">
      <alignment horizontal="center"/>
    </xf>
    <xf numFmtId="0" fontId="62" fillId="0" borderId="0" xfId="0" applyFont="1" applyAlignment="1">
      <alignment horizontal="center" wrapText="1"/>
    </xf>
    <xf numFmtId="0" fontId="59" fillId="0" borderId="0" xfId="0" applyFont="1"/>
    <xf numFmtId="0" fontId="65" fillId="0" borderId="0" xfId="0" applyFont="1"/>
    <xf numFmtId="0" fontId="65" fillId="0" borderId="0" xfId="0" applyFont="1" applyAlignment="1">
      <alignment horizontal="center"/>
    </xf>
    <xf numFmtId="0" fontId="66" fillId="0" borderId="0" xfId="0" applyFont="1" applyAlignment="1">
      <alignment horizontal="center"/>
    </xf>
    <xf numFmtId="0" fontId="0" fillId="0" borderId="0" xfId="0" applyAlignment="1">
      <alignment vertical="top"/>
    </xf>
    <xf numFmtId="0" fontId="59" fillId="0" borderId="0" xfId="0" applyFont="1" applyAlignment="1">
      <alignment horizontal="center" vertical="top"/>
    </xf>
    <xf numFmtId="0" fontId="63" fillId="5" borderId="0" xfId="0" applyFont="1" applyFill="1" applyAlignment="1">
      <alignment horizontal="center" vertical="top"/>
    </xf>
    <xf numFmtId="0" fontId="64" fillId="0" borderId="0" xfId="0" applyFont="1" applyAlignment="1">
      <alignment horizontal="center" vertical="top"/>
    </xf>
    <xf numFmtId="0" fontId="60" fillId="0" borderId="0" xfId="0" applyFont="1" applyAlignment="1">
      <alignment wrapText="1"/>
    </xf>
    <xf numFmtId="0" fontId="0" fillId="0" borderId="0" xfId="0" applyAlignment="1">
      <alignment horizontal="right"/>
    </xf>
    <xf numFmtId="0" fontId="0" fillId="0" borderId="93" xfId="0" applyBorder="1"/>
    <xf numFmtId="0" fontId="68" fillId="3" borderId="93" xfId="0" applyFont="1" applyFill="1" applyBorder="1" applyAlignment="1">
      <alignment horizontal="center" wrapText="1"/>
    </xf>
    <xf numFmtId="0" fontId="59" fillId="0" borderId="93" xfId="0" applyFont="1" applyBorder="1" applyAlignment="1">
      <alignment horizontal="center" vertical="top"/>
    </xf>
    <xf numFmtId="0" fontId="29" fillId="0" borderId="0" xfId="0" applyFont="1" applyFill="1" applyAlignment="1"/>
    <xf numFmtId="0" fontId="29" fillId="0" borderId="0" xfId="0" applyFont="1" applyFill="1" applyAlignment="1">
      <alignment wrapText="1"/>
    </xf>
    <xf numFmtId="0" fontId="51" fillId="0" borderId="0" xfId="0" applyFont="1" applyFill="1" applyAlignment="1">
      <alignment horizontal="right"/>
    </xf>
    <xf numFmtId="3" fontId="29" fillId="0" borderId="0" xfId="0" applyNumberFormat="1" applyFont="1" applyFill="1" applyAlignment="1">
      <alignment horizontal="center"/>
    </xf>
    <xf numFmtId="4" fontId="29" fillId="0" borderId="0" xfId="0" applyNumberFormat="1" applyFont="1" applyFill="1" applyAlignment="1">
      <alignment horizontal="right"/>
    </xf>
    <xf numFmtId="3" fontId="29" fillId="0" borderId="0" xfId="0" applyNumberFormat="1" applyFont="1" applyFill="1" applyAlignment="1">
      <alignment horizontal="right"/>
    </xf>
    <xf numFmtId="3" fontId="6" fillId="0" borderId="0" xfId="0" applyNumberFormat="1" applyFont="1" applyFill="1" applyAlignment="1">
      <alignment horizontal="right"/>
    </xf>
    <xf numFmtId="0" fontId="29" fillId="0" borderId="0" xfId="0" applyFont="1" applyFill="1"/>
    <xf numFmtId="14" fontId="4" fillId="0" borderId="27" xfId="0" applyNumberFormat="1" applyFont="1" applyFill="1" applyBorder="1" applyAlignment="1">
      <alignment horizontal="left" vertical="center"/>
    </xf>
    <xf numFmtId="0" fontId="4" fillId="0" borderId="28" xfId="0" applyFont="1" applyFill="1" applyBorder="1" applyAlignment="1">
      <alignment horizontal="left" vertical="center" wrapText="1"/>
    </xf>
    <xf numFmtId="4" fontId="9" fillId="0" borderId="30" xfId="0" applyNumberFormat="1"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2" fontId="29" fillId="0" borderId="0" xfId="0" applyNumberFormat="1" applyFont="1"/>
    <xf numFmtId="0" fontId="70" fillId="0" borderId="0" xfId="0" applyFont="1" applyFill="1" applyAlignment="1">
      <alignment wrapText="1"/>
    </xf>
    <xf numFmtId="0" fontId="70" fillId="0" borderId="0" xfId="0" applyFont="1" applyFill="1" applyAlignment="1">
      <alignment vertical="top"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wrapText="1"/>
    </xf>
    <xf numFmtId="0" fontId="70" fillId="0" borderId="0" xfId="0" applyFont="1" applyFill="1" applyAlignment="1">
      <alignment horizontal="right" vertical="top"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4" fillId="0" borderId="0" xfId="0" applyFont="1" applyAlignment="1">
      <alignment horizontal="left"/>
    </xf>
    <xf numFmtId="0" fontId="74" fillId="0" borderId="0" xfId="1" applyFont="1" applyAlignment="1">
      <alignment horizontal="left"/>
    </xf>
    <xf numFmtId="0" fontId="75" fillId="0" borderId="0" xfId="0" applyFont="1" applyAlignment="1">
      <alignment horizontal="right" vertical="center" wrapText="1"/>
    </xf>
    <xf numFmtId="0" fontId="75" fillId="0" borderId="0" xfId="0" applyFont="1" applyAlignment="1">
      <alignment horizontal="right" wrapText="1"/>
    </xf>
    <xf numFmtId="0" fontId="73" fillId="0" borderId="0" xfId="1" applyAlignment="1">
      <alignment wrapText="1"/>
    </xf>
    <xf numFmtId="1" fontId="18" fillId="5" borderId="51" xfId="0" applyNumberFormat="1" applyFont="1" applyFill="1" applyBorder="1" applyAlignment="1">
      <alignment horizontal="center" wrapText="1"/>
    </xf>
    <xf numFmtId="0" fontId="4" fillId="0" borderId="0" xfId="0" applyFont="1" applyAlignment="1">
      <alignment horizontal="left"/>
    </xf>
    <xf numFmtId="4" fontId="9" fillId="0" borderId="26" xfId="0" applyNumberFormat="1" applyFont="1" applyBorder="1" applyAlignment="1">
      <alignment horizontal="left" vertical="center" wrapText="1"/>
    </xf>
    <xf numFmtId="4" fontId="9" fillId="0" borderId="11" xfId="0" applyNumberFormat="1" applyFont="1" applyBorder="1" applyAlignment="1">
      <alignment horizontal="left" vertical="center" wrapText="1"/>
    </xf>
    <xf numFmtId="0" fontId="8" fillId="4" borderId="18"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8" fillId="6" borderId="18" xfId="0" applyFont="1" applyFill="1" applyBorder="1" applyAlignment="1">
      <alignment horizontal="right" vertical="center" wrapText="1"/>
    </xf>
    <xf numFmtId="0" fontId="8" fillId="6" borderId="10" xfId="0" applyFont="1" applyFill="1" applyBorder="1" applyAlignment="1">
      <alignment horizontal="right" vertical="center" wrapText="1"/>
    </xf>
    <xf numFmtId="0" fontId="8" fillId="6" borderId="11" xfId="0" applyFont="1" applyFill="1" applyBorder="1" applyAlignment="1">
      <alignment horizontal="right" vertical="center" wrapText="1"/>
    </xf>
    <xf numFmtId="4" fontId="8" fillId="6" borderId="26" xfId="0" applyNumberFormat="1" applyFont="1" applyFill="1" applyBorder="1" applyAlignment="1">
      <alignment horizontal="center" vertical="center"/>
    </xf>
    <xf numFmtId="4" fontId="8" fillId="6" borderId="11" xfId="0" applyNumberFormat="1" applyFont="1" applyFill="1" applyBorder="1" applyAlignment="1">
      <alignment horizontal="center" vertical="center"/>
    </xf>
    <xf numFmtId="4" fontId="9" fillId="0" borderId="10" xfId="0" applyNumberFormat="1" applyFont="1" applyFill="1" applyBorder="1" applyAlignment="1">
      <alignment horizontal="left" vertical="center" wrapText="1"/>
    </xf>
    <xf numFmtId="4" fontId="9" fillId="0" borderId="11" xfId="0" applyNumberFormat="1" applyFont="1" applyFill="1" applyBorder="1" applyAlignment="1">
      <alignment horizontal="left" vertical="center" wrapText="1"/>
    </xf>
    <xf numFmtId="0" fontId="8" fillId="5" borderId="18" xfId="0" applyFont="1" applyFill="1" applyBorder="1" applyAlignment="1">
      <alignment horizontal="left" wrapText="1"/>
    </xf>
    <xf numFmtId="0" fontId="8" fillId="5" borderId="10" xfId="0" applyFont="1" applyFill="1" applyBorder="1" applyAlignment="1">
      <alignment horizontal="left" wrapText="1"/>
    </xf>
    <xf numFmtId="0" fontId="8" fillId="5" borderId="10" xfId="0" applyFont="1" applyFill="1" applyBorder="1" applyAlignment="1">
      <alignment horizontal="center" wrapText="1"/>
    </xf>
    <xf numFmtId="0" fontId="8" fillId="5" borderId="11" xfId="0" applyFont="1" applyFill="1" applyBorder="1" applyAlignment="1">
      <alignment horizontal="center" wrapText="1"/>
    </xf>
    <xf numFmtId="0" fontId="9" fillId="4" borderId="26" xfId="0" applyFont="1" applyFill="1" applyBorder="1" applyAlignment="1">
      <alignment horizontal="left" vertical="center" wrapText="1"/>
    </xf>
    <xf numFmtId="4" fontId="9" fillId="0" borderId="10" xfId="0" applyNumberFormat="1" applyFont="1" applyBorder="1" applyAlignment="1">
      <alignment horizontal="left" vertical="center" wrapText="1"/>
    </xf>
    <xf numFmtId="0" fontId="8" fillId="0" borderId="0" xfId="0" applyFont="1" applyFill="1" applyAlignment="1">
      <alignment horizontal="right"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3" xfId="0" applyFont="1" applyFill="1" applyBorder="1" applyAlignment="1">
      <alignment horizontal="center" wrapText="1"/>
    </xf>
    <xf numFmtId="0" fontId="6" fillId="0" borderId="6" xfId="0" applyFont="1" applyFill="1" applyBorder="1" applyAlignment="1">
      <alignment horizontal="center" wrapText="1"/>
    </xf>
    <xf numFmtId="0" fontId="6" fillId="0" borderId="4" xfId="0" applyFont="1" applyFill="1" applyBorder="1" applyAlignment="1">
      <alignment horizontal="center" wrapText="1"/>
    </xf>
    <xf numFmtId="0" fontId="6" fillId="0" borderId="7" xfId="0" applyFont="1" applyFill="1" applyBorder="1" applyAlignment="1">
      <alignment horizontal="center" wrapText="1"/>
    </xf>
    <xf numFmtId="0" fontId="6" fillId="0" borderId="20" xfId="0" applyFont="1" applyFill="1" applyBorder="1" applyAlignment="1">
      <alignment horizontal="center" wrapText="1"/>
    </xf>
    <xf numFmtId="0" fontId="6" fillId="0" borderId="21" xfId="0" applyFont="1" applyFill="1" applyBorder="1" applyAlignment="1">
      <alignment horizontal="center" wrapText="1"/>
    </xf>
    <xf numFmtId="0" fontId="7" fillId="0" borderId="35" xfId="0" applyFont="1" applyBorder="1" applyAlignment="1">
      <alignment horizontal="center" wrapText="1"/>
    </xf>
    <xf numFmtId="0" fontId="7" fillId="0" borderId="31" xfId="0" applyFont="1" applyBorder="1" applyAlignment="1">
      <alignment horizontal="center" wrapText="1"/>
    </xf>
    <xf numFmtId="0" fontId="7" fillId="0" borderId="1" xfId="0" applyFont="1" applyBorder="1" applyAlignment="1">
      <alignment horizontal="center" wrapText="1"/>
    </xf>
    <xf numFmtId="0" fontId="7" fillId="0" borderId="8" xfId="0" applyFont="1" applyBorder="1" applyAlignment="1">
      <alignment horizontal="center" wrapText="1"/>
    </xf>
    <xf numFmtId="0" fontId="17" fillId="6" borderId="18" xfId="0" applyFont="1" applyFill="1" applyBorder="1" applyAlignment="1">
      <alignment horizontal="right" vertical="center" wrapText="1"/>
    </xf>
    <xf numFmtId="0" fontId="17" fillId="6" borderId="10" xfId="0" applyFont="1" applyFill="1" applyBorder="1" applyAlignment="1">
      <alignment horizontal="right" vertical="center" wrapText="1"/>
    </xf>
    <xf numFmtId="0" fontId="17" fillId="6" borderId="11" xfId="0" applyFont="1" applyFill="1" applyBorder="1" applyAlignment="1">
      <alignment horizontal="right" vertical="center" wrapText="1"/>
    </xf>
    <xf numFmtId="0" fontId="8" fillId="4" borderId="18"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0" xfId="0" applyFont="1" applyFill="1" applyBorder="1" applyAlignment="1">
      <alignment horizontal="left" vertical="center" wrapText="1"/>
    </xf>
    <xf numFmtId="4" fontId="4" fillId="0" borderId="20" xfId="0" applyNumberFormat="1" applyFont="1" applyFill="1" applyBorder="1" applyAlignment="1">
      <alignment horizontal="center" vertical="center"/>
    </xf>
    <xf numFmtId="4" fontId="4" fillId="0" borderId="33"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0" xfId="0" applyFont="1" applyFill="1" applyAlignment="1">
      <alignment horizontal="right" vertical="top"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center" wrapText="1"/>
    </xf>
    <xf numFmtId="0" fontId="6" fillId="0" borderId="7" xfId="0" applyFont="1" applyBorder="1" applyAlignment="1">
      <alignment horizontal="center" wrapText="1"/>
    </xf>
    <xf numFmtId="0" fontId="6" fillId="0" borderId="40" xfId="0" applyFont="1" applyBorder="1" applyAlignment="1">
      <alignment horizontal="center" wrapText="1"/>
    </xf>
    <xf numFmtId="0" fontId="8" fillId="4" borderId="18" xfId="0" applyFont="1" applyFill="1" applyBorder="1" applyAlignment="1">
      <alignment horizontal="right" vertical="center" wrapText="1"/>
    </xf>
    <xf numFmtId="0" fontId="8" fillId="4" borderId="10" xfId="0" applyFont="1" applyFill="1" applyBorder="1" applyAlignment="1">
      <alignment horizontal="right" vertical="center" wrapText="1"/>
    </xf>
    <xf numFmtId="0" fontId="8" fillId="4" borderId="11" xfId="0" applyFont="1" applyFill="1" applyBorder="1" applyAlignment="1">
      <alignment horizontal="right" vertical="center" wrapText="1"/>
    </xf>
    <xf numFmtId="4" fontId="8" fillId="4" borderId="26" xfId="0" applyNumberFormat="1" applyFont="1" applyFill="1" applyBorder="1" applyAlignment="1">
      <alignment horizontal="center" vertical="center"/>
    </xf>
    <xf numFmtId="4" fontId="8" fillId="4" borderId="11" xfId="0" applyNumberFormat="1" applyFont="1" applyFill="1" applyBorder="1" applyAlignment="1">
      <alignment horizontal="center" vertical="center"/>
    </xf>
    <xf numFmtId="4" fontId="9" fillId="5" borderId="26" xfId="0" applyNumberFormat="1" applyFont="1" applyFill="1" applyBorder="1" applyAlignment="1">
      <alignment horizontal="left" vertical="center" wrapText="1"/>
    </xf>
    <xf numFmtId="4" fontId="9" fillId="5" borderId="11" xfId="0" applyNumberFormat="1"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18" fillId="0" borderId="0" xfId="0" applyFont="1" applyAlignment="1">
      <alignment horizontal="right" wrapText="1"/>
    </xf>
    <xf numFmtId="0" fontId="18" fillId="0" borderId="0" xfId="0" applyFont="1" applyAlignment="1">
      <alignment horizontal="center" wrapText="1"/>
    </xf>
    <xf numFmtId="0" fontId="8" fillId="0" borderId="37" xfId="0" applyFont="1" applyBorder="1" applyAlignment="1">
      <alignment horizontal="right" wrapText="1"/>
    </xf>
    <xf numFmtId="0" fontId="8" fillId="0" borderId="0" xfId="0" applyFont="1" applyBorder="1" applyAlignment="1">
      <alignment horizontal="right" wrapText="1"/>
    </xf>
    <xf numFmtId="4" fontId="49" fillId="0" borderId="38" xfId="0" applyNumberFormat="1" applyFont="1" applyBorder="1" applyAlignment="1">
      <alignment horizontal="left" wrapText="1"/>
    </xf>
    <xf numFmtId="0" fontId="4" fillId="0" borderId="37" xfId="0" applyFont="1" applyBorder="1" applyAlignment="1">
      <alignment horizontal="right" wrapText="1"/>
    </xf>
    <xf numFmtId="0" fontId="4" fillId="0" borderId="0" xfId="0" applyFont="1" applyBorder="1" applyAlignment="1">
      <alignment horizontal="right" wrapText="1"/>
    </xf>
    <xf numFmtId="0" fontId="2" fillId="0" borderId="0" xfId="0" applyFont="1" applyBorder="1" applyAlignment="1">
      <alignment horizontal="right" wrapText="1"/>
    </xf>
    <xf numFmtId="0" fontId="27" fillId="0" borderId="0" xfId="0" applyFont="1" applyAlignment="1">
      <alignment horizontal="right" wrapText="1"/>
    </xf>
    <xf numFmtId="0" fontId="21" fillId="0" borderId="0" xfId="0" applyFont="1" applyAlignment="1">
      <alignment horizontal="right" wrapText="1"/>
    </xf>
    <xf numFmtId="0" fontId="21" fillId="9" borderId="0" xfId="0" applyFont="1" applyFill="1" applyAlignment="1">
      <alignment horizontal="right" wrapText="1"/>
    </xf>
    <xf numFmtId="0" fontId="2" fillId="5" borderId="45" xfId="0" applyFont="1" applyFill="1" applyBorder="1" applyAlignment="1">
      <alignment horizontal="center" wrapText="1"/>
    </xf>
    <xf numFmtId="0" fontId="2" fillId="5" borderId="41" xfId="0" applyFont="1" applyFill="1" applyBorder="1" applyAlignment="1">
      <alignment horizontal="center" wrapText="1"/>
    </xf>
    <xf numFmtId="0" fontId="21" fillId="5" borderId="13" xfId="0" applyFont="1" applyFill="1" applyBorder="1" applyAlignment="1">
      <alignment horizontal="center" wrapText="1"/>
    </xf>
    <xf numFmtId="0" fontId="21" fillId="5" borderId="54" xfId="0" applyFont="1" applyFill="1" applyBorder="1" applyAlignment="1">
      <alignment horizontal="center" wrapText="1"/>
    </xf>
    <xf numFmtId="0" fontId="21" fillId="5" borderId="14" xfId="0" applyFont="1" applyFill="1" applyBorder="1" applyAlignment="1">
      <alignment horizontal="center" wrapText="1"/>
    </xf>
    <xf numFmtId="0" fontId="21" fillId="5" borderId="50" xfId="0" applyFont="1" applyFill="1" applyBorder="1" applyAlignment="1">
      <alignment horizontal="center" wrapText="1"/>
    </xf>
    <xf numFmtId="0" fontId="21" fillId="5" borderId="51" xfId="0" applyFont="1" applyFill="1" applyBorder="1" applyAlignment="1">
      <alignment horizontal="center" wrapText="1"/>
    </xf>
    <xf numFmtId="0" fontId="25" fillId="5" borderId="3" xfId="0" applyFont="1" applyFill="1" applyBorder="1" applyAlignment="1">
      <alignment horizontal="center" wrapText="1"/>
    </xf>
    <xf numFmtId="0" fontId="25" fillId="5" borderId="42" xfId="0" applyFont="1" applyFill="1" applyBorder="1" applyAlignment="1">
      <alignment horizontal="center" wrapText="1"/>
    </xf>
    <xf numFmtId="0" fontId="25" fillId="5" borderId="6" xfId="0" applyFont="1" applyFill="1" applyBorder="1" applyAlignment="1">
      <alignment horizontal="center" wrapText="1"/>
    </xf>
    <xf numFmtId="0" fontId="22" fillId="5" borderId="2" xfId="0" applyFont="1" applyFill="1" applyBorder="1" applyAlignment="1">
      <alignment horizontal="center" wrapText="1"/>
    </xf>
    <xf numFmtId="0" fontId="22" fillId="5" borderId="65" xfId="0" applyFont="1" applyFill="1" applyBorder="1" applyAlignment="1">
      <alignment horizontal="center" wrapText="1"/>
    </xf>
    <xf numFmtId="0" fontId="22" fillId="5" borderId="5" xfId="0" applyFont="1" applyFill="1" applyBorder="1" applyAlignment="1">
      <alignment horizontal="center" wrapText="1"/>
    </xf>
    <xf numFmtId="0" fontId="25" fillId="5" borderId="2" xfId="0" applyFont="1" applyFill="1" applyBorder="1" applyAlignment="1">
      <alignment horizontal="center" wrapText="1"/>
    </xf>
    <xf numFmtId="0" fontId="25" fillId="5" borderId="65" xfId="0" applyFont="1" applyFill="1" applyBorder="1" applyAlignment="1">
      <alignment horizontal="center" wrapText="1"/>
    </xf>
    <xf numFmtId="0" fontId="25" fillId="5" borderId="5" xfId="0" applyFont="1" applyFill="1" applyBorder="1" applyAlignment="1">
      <alignment horizontal="center" wrapText="1"/>
    </xf>
    <xf numFmtId="0" fontId="24" fillId="5" borderId="2" xfId="0" applyFont="1" applyFill="1" applyBorder="1" applyAlignment="1">
      <alignment horizontal="center" wrapText="1"/>
    </xf>
    <xf numFmtId="0" fontId="24" fillId="5" borderId="65" xfId="0" applyFont="1" applyFill="1" applyBorder="1" applyAlignment="1">
      <alignment horizontal="center" wrapText="1"/>
    </xf>
    <xf numFmtId="0" fontId="24" fillId="5" borderId="46" xfId="0" applyFont="1" applyFill="1" applyBorder="1" applyAlignment="1">
      <alignment horizontal="center" wrapText="1"/>
    </xf>
    <xf numFmtId="0" fontId="24" fillId="5" borderId="3" xfId="0" applyFont="1" applyFill="1" applyBorder="1" applyAlignment="1">
      <alignment horizontal="center" wrapText="1"/>
    </xf>
    <xf numFmtId="0" fontId="24" fillId="5" borderId="42" xfId="0" applyFont="1" applyFill="1" applyBorder="1" applyAlignment="1">
      <alignment horizontal="center" wrapText="1"/>
    </xf>
    <xf numFmtId="0" fontId="24" fillId="5" borderId="53" xfId="0" applyFont="1" applyFill="1" applyBorder="1" applyAlignment="1">
      <alignment horizontal="center" wrapText="1"/>
    </xf>
    <xf numFmtId="0" fontId="18" fillId="5" borderId="82" xfId="0" applyFont="1" applyFill="1" applyBorder="1" applyAlignment="1">
      <alignment horizontal="left" wrapText="1"/>
    </xf>
    <xf numFmtId="0" fontId="18" fillId="5" borderId="50" xfId="0" applyFont="1" applyFill="1" applyBorder="1" applyAlignment="1">
      <alignment horizontal="left" wrapText="1"/>
    </xf>
    <xf numFmtId="0" fontId="18" fillId="5" borderId="51" xfId="0" applyFont="1" applyFill="1" applyBorder="1" applyAlignment="1">
      <alignment horizontal="left" wrapText="1"/>
    </xf>
    <xf numFmtId="0" fontId="18" fillId="5" borderId="83" xfId="0" applyFont="1" applyFill="1" applyBorder="1" applyAlignment="1">
      <alignment horizontal="left" wrapText="1"/>
    </xf>
    <xf numFmtId="0" fontId="18" fillId="5" borderId="63" xfId="0" applyFont="1" applyFill="1" applyBorder="1" applyAlignment="1">
      <alignment horizontal="left" wrapText="1"/>
    </xf>
    <xf numFmtId="0" fontId="18" fillId="5" borderId="59" xfId="0" applyFont="1" applyFill="1" applyBorder="1" applyAlignment="1">
      <alignment horizontal="left" wrapText="1"/>
    </xf>
    <xf numFmtId="0" fontId="18" fillId="5" borderId="85" xfId="0" applyFont="1" applyFill="1" applyBorder="1" applyAlignment="1">
      <alignment horizontal="left" wrapText="1"/>
    </xf>
    <xf numFmtId="0" fontId="18" fillId="5" borderId="64" xfId="0" applyFont="1" applyFill="1" applyBorder="1" applyAlignment="1">
      <alignment horizontal="left" wrapText="1"/>
    </xf>
    <xf numFmtId="0" fontId="18" fillId="5" borderId="61" xfId="0" applyFont="1" applyFill="1" applyBorder="1" applyAlignment="1">
      <alignment horizontal="left" wrapText="1"/>
    </xf>
    <xf numFmtId="0" fontId="18" fillId="5" borderId="87" xfId="0" applyFont="1" applyFill="1" applyBorder="1" applyAlignment="1">
      <alignment horizontal="left" wrapText="1"/>
    </xf>
    <xf numFmtId="0" fontId="18" fillId="5" borderId="88" xfId="0" applyFont="1" applyFill="1" applyBorder="1" applyAlignment="1">
      <alignment horizontal="left" wrapText="1"/>
    </xf>
    <xf numFmtId="0" fontId="18" fillId="5" borderId="89" xfId="0" applyFont="1" applyFill="1" applyBorder="1" applyAlignment="1">
      <alignment horizontal="left" wrapText="1"/>
    </xf>
    <xf numFmtId="0" fontId="22" fillId="5" borderId="19" xfId="0" applyFont="1" applyFill="1" applyBorder="1" applyAlignment="1">
      <alignment horizontal="center" wrapText="1"/>
    </xf>
    <xf numFmtId="0" fontId="22" fillId="5" borderId="12" xfId="0" applyFont="1" applyFill="1" applyBorder="1" applyAlignment="1">
      <alignment horizontal="center" wrapText="1"/>
    </xf>
    <xf numFmtId="0" fontId="26" fillId="0" borderId="0" xfId="0" applyFont="1" applyAlignment="1">
      <alignment horizontal="center" vertical="center" wrapText="1"/>
    </xf>
    <xf numFmtId="0" fontId="26" fillId="10" borderId="0" xfId="0" applyFont="1" applyFill="1" applyAlignment="1">
      <alignment horizontal="left" vertical="top" wrapText="1"/>
    </xf>
    <xf numFmtId="0" fontId="22" fillId="5" borderId="74" xfId="0" applyFont="1" applyFill="1" applyBorder="1" applyAlignment="1">
      <alignment horizontal="center" wrapText="1"/>
    </xf>
    <xf numFmtId="0" fontId="22" fillId="5" borderId="75" xfId="0" applyFont="1" applyFill="1" applyBorder="1" applyAlignment="1">
      <alignment horizontal="center" wrapText="1"/>
    </xf>
    <xf numFmtId="0" fontId="22" fillId="5" borderId="76" xfId="0" applyFont="1" applyFill="1" applyBorder="1" applyAlignment="1">
      <alignment horizontal="center" wrapText="1"/>
    </xf>
    <xf numFmtId="0" fontId="22" fillId="5" borderId="79" xfId="0" applyFont="1" applyFill="1" applyBorder="1" applyAlignment="1">
      <alignment horizontal="center" wrapText="1"/>
    </xf>
    <xf numFmtId="0" fontId="22" fillId="5" borderId="0" xfId="0" applyFont="1" applyFill="1" applyBorder="1" applyAlignment="1">
      <alignment horizontal="center" wrapText="1"/>
    </xf>
    <xf numFmtId="0" fontId="22" fillId="5" borderId="48" xfId="0" applyFont="1" applyFill="1" applyBorder="1" applyAlignment="1">
      <alignment horizontal="center" wrapText="1"/>
    </xf>
    <xf numFmtId="0" fontId="22" fillId="5" borderId="81" xfId="0" applyFont="1" applyFill="1" applyBorder="1" applyAlignment="1">
      <alignment horizontal="center" wrapText="1"/>
    </xf>
    <xf numFmtId="0" fontId="22" fillId="5" borderId="62" xfId="0" applyFont="1" applyFill="1" applyBorder="1" applyAlignment="1">
      <alignment horizontal="center" wrapText="1"/>
    </xf>
    <xf numFmtId="0" fontId="22" fillId="5" borderId="49" xfId="0" applyFont="1" applyFill="1" applyBorder="1" applyAlignment="1">
      <alignment horizontal="center" wrapText="1"/>
    </xf>
    <xf numFmtId="0" fontId="2" fillId="5" borderId="77" xfId="0" applyFont="1" applyFill="1" applyBorder="1" applyAlignment="1">
      <alignment horizontal="center" wrapText="1"/>
    </xf>
    <xf numFmtId="0" fontId="2" fillId="5" borderId="78" xfId="0" applyFont="1" applyFill="1" applyBorder="1" applyAlignment="1">
      <alignment horizontal="center" wrapText="1"/>
    </xf>
    <xf numFmtId="0" fontId="21" fillId="5" borderId="80" xfId="0" applyFont="1" applyFill="1" applyBorder="1" applyAlignment="1">
      <alignment horizontal="center" wrapText="1"/>
    </xf>
    <xf numFmtId="0" fontId="43" fillId="5" borderId="13" xfId="0" applyFont="1" applyFill="1" applyBorder="1" applyAlignment="1">
      <alignment horizontal="center" wrapText="1"/>
    </xf>
    <xf numFmtId="0" fontId="43" fillId="5" borderId="80" xfId="0" applyFont="1" applyFill="1" applyBorder="1" applyAlignment="1">
      <alignment horizontal="center" wrapText="1"/>
    </xf>
    <xf numFmtId="0" fontId="18" fillId="0" borderId="0" xfId="0" applyFont="1" applyFill="1" applyAlignment="1">
      <alignment horizontal="right" vertical="top" wrapText="1"/>
    </xf>
    <xf numFmtId="0" fontId="21" fillId="3" borderId="0" xfId="0" applyFont="1" applyFill="1" applyAlignment="1">
      <alignment horizontal="right" wrapText="1"/>
    </xf>
    <xf numFmtId="0" fontId="27" fillId="0" borderId="0" xfId="0" applyFont="1" applyFill="1" applyAlignment="1">
      <alignment horizontal="right" vertical="top" wrapText="1"/>
    </xf>
    <xf numFmtId="0" fontId="26" fillId="10" borderId="0" xfId="0" applyFont="1" applyFill="1" applyAlignment="1">
      <alignment horizontal="center" vertical="top" wrapText="1"/>
    </xf>
    <xf numFmtId="0" fontId="55" fillId="0" borderId="0" xfId="0" applyFont="1" applyAlignment="1">
      <alignment horizontal="center"/>
    </xf>
    <xf numFmtId="0" fontId="29" fillId="0" borderId="0" xfId="0" applyFont="1" applyAlignment="1">
      <alignment horizontal="center"/>
    </xf>
    <xf numFmtId="0" fontId="55" fillId="0" borderId="0" xfId="0" applyFont="1" applyAlignment="1">
      <alignment horizontal="left" wrapText="1"/>
    </xf>
    <xf numFmtId="0" fontId="55" fillId="0" borderId="0" xfId="0" applyFont="1" applyFill="1" applyAlignment="1">
      <alignment horizontal="left" wrapText="1"/>
    </xf>
    <xf numFmtId="0" fontId="55" fillId="0" borderId="0" xfId="0" applyFont="1" applyAlignment="1">
      <alignment horizontal="left"/>
    </xf>
    <xf numFmtId="0" fontId="76" fillId="0" borderId="0" xfId="0" applyFont="1" applyAlignment="1">
      <alignment horizontal="left" vertical="top" wrapText="1"/>
    </xf>
    <xf numFmtId="0" fontId="52" fillId="0" borderId="0" xfId="0" applyFont="1" applyAlignment="1">
      <alignment horizontal="left" vertical="top" wrapText="1"/>
    </xf>
    <xf numFmtId="0" fontId="26" fillId="0" borderId="0" xfId="0" applyFont="1" applyAlignment="1">
      <alignment horizontal="center" vertical="center"/>
    </xf>
    <xf numFmtId="0" fontId="6" fillId="8" borderId="67" xfId="0" applyFont="1" applyFill="1" applyBorder="1" applyAlignment="1">
      <alignment vertical="center" wrapText="1"/>
    </xf>
    <xf numFmtId="0" fontId="6" fillId="9" borderId="0" xfId="0" applyFont="1" applyFill="1" applyAlignment="1">
      <alignment vertical="center" wrapText="1"/>
    </xf>
    <xf numFmtId="0" fontId="23" fillId="3" borderId="10" xfId="0" applyFont="1" applyFill="1" applyBorder="1" applyAlignment="1">
      <alignment horizontal="center" vertical="center"/>
    </xf>
    <xf numFmtId="0" fontId="23" fillId="3" borderId="11" xfId="0" applyFont="1" applyFill="1" applyBorder="1" applyAlignment="1">
      <alignment horizontal="center" vertical="center"/>
    </xf>
    <xf numFmtId="1" fontId="39" fillId="0" borderId="0" xfId="0" applyNumberFormat="1" applyFont="1" applyFill="1" applyBorder="1" applyAlignment="1">
      <alignment horizontal="right" vertical="top"/>
    </xf>
    <xf numFmtId="0" fontId="37" fillId="0" borderId="68" xfId="0" applyFont="1" applyFill="1" applyBorder="1" applyAlignment="1">
      <alignment horizontal="right" wrapText="1"/>
    </xf>
    <xf numFmtId="0" fontId="37" fillId="0" borderId="0" xfId="0" applyFont="1" applyFill="1" applyBorder="1" applyAlignment="1">
      <alignment horizontal="right" wrapText="1"/>
    </xf>
    <xf numFmtId="2" fontId="32" fillId="9" borderId="0" xfId="0" applyNumberFormat="1" applyFont="1" applyFill="1" applyAlignment="1">
      <alignment horizontal="center" vertical="center"/>
    </xf>
    <xf numFmtId="2" fontId="31" fillId="9" borderId="1" xfId="0" applyNumberFormat="1" applyFont="1" applyFill="1" applyBorder="1" applyAlignment="1">
      <alignment horizontal="center" vertical="center"/>
    </xf>
    <xf numFmtId="2" fontId="31" fillId="9" borderId="8" xfId="0" applyNumberFormat="1" applyFont="1" applyFill="1" applyBorder="1" applyAlignment="1">
      <alignment horizontal="center" vertical="center"/>
    </xf>
    <xf numFmtId="2" fontId="29" fillId="8" borderId="0" xfId="0" applyNumberFormat="1" applyFont="1" applyFill="1" applyAlignment="1">
      <alignment horizontal="center" vertical="center"/>
    </xf>
    <xf numFmtId="0" fontId="19" fillId="0" borderId="0" xfId="0" applyFont="1" applyAlignment="1">
      <alignment horizontal="left" vertical="top" wrapText="1"/>
    </xf>
    <xf numFmtId="0" fontId="0" fillId="0" borderId="0" xfId="0" applyAlignment="1">
      <alignment horizontal="center"/>
    </xf>
    <xf numFmtId="0" fontId="59" fillId="0" borderId="0" xfId="0" applyFont="1" applyAlignment="1">
      <alignment horizontal="center" vertical="top"/>
    </xf>
    <xf numFmtId="0" fontId="60" fillId="0" borderId="0" xfId="0" applyFont="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top" wrapText="1"/>
    </xf>
    <xf numFmtId="0" fontId="0" fillId="3" borderId="93" xfId="0" applyFill="1" applyBorder="1" applyAlignment="1">
      <alignment horizontal="center"/>
    </xf>
    <xf numFmtId="14" fontId="34" fillId="0" borderId="0" xfId="0" applyNumberFormat="1" applyFont="1"/>
  </cellXfs>
  <cellStyles count="2">
    <cellStyle name="Hyperlink" xfId="1" builtinId="8"/>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209555</xdr:colOff>
      <xdr:row>19</xdr:row>
      <xdr:rowOff>85724</xdr:rowOff>
    </xdr:from>
    <xdr:to>
      <xdr:col>3</xdr:col>
      <xdr:colOff>838206</xdr:colOff>
      <xdr:row>21</xdr:row>
      <xdr:rowOff>176212</xdr:rowOff>
    </xdr:to>
    <xdr:sp macro="" textlink="">
      <xdr:nvSpPr>
        <xdr:cNvPr id="3" name="Left Brace 2">
          <a:extLst>
            <a:ext uri="{FF2B5EF4-FFF2-40B4-BE49-F238E27FC236}">
              <a16:creationId xmlns="" xmlns:a16="http://schemas.microsoft.com/office/drawing/2014/main" id="{00000000-0008-0000-0500-000003000000}"/>
            </a:ext>
          </a:extLst>
        </xdr:cNvPr>
        <xdr:cNvSpPr/>
      </xdr:nvSpPr>
      <xdr:spPr>
        <a:xfrm rot="16200000">
          <a:off x="1150149" y="7889080"/>
          <a:ext cx="519113" cy="240030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lv-LV" sz="1100"/>
        </a:p>
      </xdr:txBody>
    </xdr:sp>
    <xdr:clientData/>
  </xdr:twoCellAnchor>
  <xdr:twoCellAnchor>
    <xdr:from>
      <xdr:col>4</xdr:col>
      <xdr:colOff>19051</xdr:colOff>
      <xdr:row>19</xdr:row>
      <xdr:rowOff>104772</xdr:rowOff>
    </xdr:from>
    <xdr:to>
      <xdr:col>9</xdr:col>
      <xdr:colOff>809626</xdr:colOff>
      <xdr:row>22</xdr:row>
      <xdr:rowOff>4760</xdr:rowOff>
    </xdr:to>
    <xdr:sp macro="" textlink="">
      <xdr:nvSpPr>
        <xdr:cNvPr id="5" name="Left Brace 4">
          <a:extLst>
            <a:ext uri="{FF2B5EF4-FFF2-40B4-BE49-F238E27FC236}">
              <a16:creationId xmlns="" xmlns:a16="http://schemas.microsoft.com/office/drawing/2014/main" id="{00000000-0008-0000-0500-000005000000}"/>
            </a:ext>
          </a:extLst>
        </xdr:cNvPr>
        <xdr:cNvSpPr/>
      </xdr:nvSpPr>
      <xdr:spPr>
        <a:xfrm rot="16200000">
          <a:off x="5074444" y="6460329"/>
          <a:ext cx="519113" cy="529590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lv-LV"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skol-01.lm.local\LMHomeFolders\Sandra.Strele\Sandra\2018\8_Normat&#299;vie_akti_un_groz_\3_&#256;&#290;AC\13_\Anot_pielikums_2018_270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sējums_2018"/>
      <sheetName val="1_atbalsts_audžuģim"/>
      <sheetName val="2_atbalsts_spec.audžuģim"/>
      <sheetName val="AC prtrets"/>
      <sheetName val="ikmēneša atbalsta fin.aprēķināš"/>
    </sheetNames>
    <sheetDataSet>
      <sheetData sheetId="0"/>
      <sheetData sheetId="1"/>
      <sheetData sheetId="2"/>
      <sheetData sheetId="3">
        <row r="3">
          <cell r="G3">
            <v>6</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andra.Strele@lm.gov.lv"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andra.Strele@lm.gov.l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Sandra.Strele@lm.gov.lv"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Sandra.Strele@lm.gov.lv"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S50"/>
  <sheetViews>
    <sheetView tabSelected="1" zoomScale="57" zoomScaleNormal="57" workbookViewId="0">
      <pane ySplit="1" topLeftCell="A43" activePane="bottomLeft" state="frozen"/>
      <selection pane="bottomLeft" activeCell="L61" sqref="L61"/>
    </sheetView>
  </sheetViews>
  <sheetFormatPr defaultRowHeight="18.75" x14ac:dyDescent="0.3"/>
  <cols>
    <col min="1" max="1" width="7" style="11" customWidth="1"/>
    <col min="2" max="2" width="15.140625" style="12" customWidth="1"/>
    <col min="3" max="3" width="14.85546875" style="12" customWidth="1"/>
    <col min="4" max="4" width="11.85546875" style="13" customWidth="1"/>
    <col min="5" max="5" width="10.140625" style="13" customWidth="1"/>
    <col min="6" max="6" width="12" style="13" customWidth="1"/>
    <col min="7" max="7" width="11.7109375" style="13" customWidth="1"/>
    <col min="8" max="8" width="92.28515625" style="13" customWidth="1"/>
    <col min="9" max="10" width="9.140625" style="12"/>
    <col min="11" max="11" width="17.7109375" style="12" bestFit="1" customWidth="1"/>
    <col min="12" max="12" width="16.85546875" style="12" bestFit="1" customWidth="1"/>
    <col min="13" max="86" width="9.140625" style="12"/>
    <col min="87" max="87" width="24.7109375" style="12" customWidth="1"/>
    <col min="88" max="88" width="12" style="12" customWidth="1"/>
    <col min="89" max="89" width="9" style="12" customWidth="1"/>
    <col min="90" max="93" width="8.7109375" style="12" customWidth="1"/>
    <col min="94" max="94" width="8.5703125" style="12" customWidth="1"/>
    <col min="95" max="95" width="8.85546875" style="12" customWidth="1"/>
    <col min="96" max="97" width="11.5703125" style="12" customWidth="1"/>
    <col min="98" max="98" width="9.28515625" style="12" customWidth="1"/>
    <col min="99" max="99" width="40.42578125" style="12" customWidth="1"/>
    <col min="100" max="100" width="51.28515625" style="12" customWidth="1"/>
    <col min="101" max="102" width="9.140625" style="12" customWidth="1"/>
    <col min="103" max="342" width="9.140625" style="12"/>
    <col min="343" max="343" width="24.7109375" style="12" customWidth="1"/>
    <col min="344" max="344" width="12" style="12" customWidth="1"/>
    <col min="345" max="345" width="9" style="12" customWidth="1"/>
    <col min="346" max="349" width="8.7109375" style="12" customWidth="1"/>
    <col min="350" max="350" width="8.5703125" style="12" customWidth="1"/>
    <col min="351" max="351" width="8.85546875" style="12" customWidth="1"/>
    <col min="352" max="353" width="11.5703125" style="12" customWidth="1"/>
    <col min="354" max="354" width="9.28515625" style="12" customWidth="1"/>
    <col min="355" max="355" width="40.42578125" style="12" customWidth="1"/>
    <col min="356" max="356" width="51.28515625" style="12" customWidth="1"/>
    <col min="357" max="358" width="9.140625" style="12" customWidth="1"/>
    <col min="359" max="598" width="9.140625" style="12"/>
    <col min="599" max="599" width="24.7109375" style="12" customWidth="1"/>
    <col min="600" max="600" width="12" style="12" customWidth="1"/>
    <col min="601" max="601" width="9" style="12" customWidth="1"/>
    <col min="602" max="605" width="8.7109375" style="12" customWidth="1"/>
    <col min="606" max="606" width="8.5703125" style="12" customWidth="1"/>
    <col min="607" max="607" width="8.85546875" style="12" customWidth="1"/>
    <col min="608" max="609" width="11.5703125" style="12" customWidth="1"/>
    <col min="610" max="610" width="9.28515625" style="12" customWidth="1"/>
    <col min="611" max="611" width="40.42578125" style="12" customWidth="1"/>
    <col min="612" max="612" width="51.28515625" style="12" customWidth="1"/>
    <col min="613" max="614" width="9.140625" style="12" customWidth="1"/>
    <col min="615" max="854" width="9.140625" style="12"/>
    <col min="855" max="855" width="24.7109375" style="12" customWidth="1"/>
    <col min="856" max="856" width="12" style="12" customWidth="1"/>
    <col min="857" max="857" width="9" style="12" customWidth="1"/>
    <col min="858" max="861" width="8.7109375" style="12" customWidth="1"/>
    <col min="862" max="862" width="8.5703125" style="12" customWidth="1"/>
    <col min="863" max="863" width="8.85546875" style="12" customWidth="1"/>
    <col min="864" max="865" width="11.5703125" style="12" customWidth="1"/>
    <col min="866" max="866" width="9.28515625" style="12" customWidth="1"/>
    <col min="867" max="867" width="40.42578125" style="12" customWidth="1"/>
    <col min="868" max="868" width="51.28515625" style="12" customWidth="1"/>
    <col min="869" max="870" width="9.140625" style="12" customWidth="1"/>
    <col min="871" max="1110" width="9.140625" style="12"/>
    <col min="1111" max="1111" width="24.7109375" style="12" customWidth="1"/>
    <col min="1112" max="1112" width="12" style="12" customWidth="1"/>
    <col min="1113" max="1113" width="9" style="12" customWidth="1"/>
    <col min="1114" max="1117" width="8.7109375" style="12" customWidth="1"/>
    <col min="1118" max="1118" width="8.5703125" style="12" customWidth="1"/>
    <col min="1119" max="1119" width="8.85546875" style="12" customWidth="1"/>
    <col min="1120" max="1121" width="11.5703125" style="12" customWidth="1"/>
    <col min="1122" max="1122" width="9.28515625" style="12" customWidth="1"/>
    <col min="1123" max="1123" width="40.42578125" style="12" customWidth="1"/>
    <col min="1124" max="1124" width="51.28515625" style="12" customWidth="1"/>
    <col min="1125" max="1126" width="9.140625" style="12" customWidth="1"/>
    <col min="1127" max="1366" width="9.140625" style="12"/>
    <col min="1367" max="1367" width="24.7109375" style="12" customWidth="1"/>
    <col min="1368" max="1368" width="12" style="12" customWidth="1"/>
    <col min="1369" max="1369" width="9" style="12" customWidth="1"/>
    <col min="1370" max="1373" width="8.7109375" style="12" customWidth="1"/>
    <col min="1374" max="1374" width="8.5703125" style="12" customWidth="1"/>
    <col min="1375" max="1375" width="8.85546875" style="12" customWidth="1"/>
    <col min="1376" max="1377" width="11.5703125" style="12" customWidth="1"/>
    <col min="1378" max="1378" width="9.28515625" style="12" customWidth="1"/>
    <col min="1379" max="1379" width="40.42578125" style="12" customWidth="1"/>
    <col min="1380" max="1380" width="51.28515625" style="12" customWidth="1"/>
    <col min="1381" max="1382" width="9.140625" style="12" customWidth="1"/>
    <col min="1383" max="1622" width="9.140625" style="12"/>
    <col min="1623" max="1623" width="24.7109375" style="12" customWidth="1"/>
    <col min="1624" max="1624" width="12" style="12" customWidth="1"/>
    <col min="1625" max="1625" width="9" style="12" customWidth="1"/>
    <col min="1626" max="1629" width="8.7109375" style="12" customWidth="1"/>
    <col min="1630" max="1630" width="8.5703125" style="12" customWidth="1"/>
    <col min="1631" max="1631" width="8.85546875" style="12" customWidth="1"/>
    <col min="1632" max="1633" width="11.5703125" style="12" customWidth="1"/>
    <col min="1634" max="1634" width="9.28515625" style="12" customWidth="1"/>
    <col min="1635" max="1635" width="40.42578125" style="12" customWidth="1"/>
    <col min="1636" max="1636" width="51.28515625" style="12" customWidth="1"/>
    <col min="1637" max="1638" width="9.140625" style="12" customWidth="1"/>
    <col min="1639" max="1878" width="9.140625" style="12"/>
    <col min="1879" max="1879" width="24.7109375" style="12" customWidth="1"/>
    <col min="1880" max="1880" width="12" style="12" customWidth="1"/>
    <col min="1881" max="1881" width="9" style="12" customWidth="1"/>
    <col min="1882" max="1885" width="8.7109375" style="12" customWidth="1"/>
    <col min="1886" max="1886" width="8.5703125" style="12" customWidth="1"/>
    <col min="1887" max="1887" width="8.85546875" style="12" customWidth="1"/>
    <col min="1888" max="1889" width="11.5703125" style="12" customWidth="1"/>
    <col min="1890" max="1890" width="9.28515625" style="12" customWidth="1"/>
    <col min="1891" max="1891" width="40.42578125" style="12" customWidth="1"/>
    <col min="1892" max="1892" width="51.28515625" style="12" customWidth="1"/>
    <col min="1893" max="1894" width="9.140625" style="12" customWidth="1"/>
    <col min="1895" max="2134" width="9.140625" style="12"/>
    <col min="2135" max="2135" width="24.7109375" style="12" customWidth="1"/>
    <col min="2136" max="2136" width="12" style="12" customWidth="1"/>
    <col min="2137" max="2137" width="9" style="12" customWidth="1"/>
    <col min="2138" max="2141" width="8.7109375" style="12" customWidth="1"/>
    <col min="2142" max="2142" width="8.5703125" style="12" customWidth="1"/>
    <col min="2143" max="2143" width="8.85546875" style="12" customWidth="1"/>
    <col min="2144" max="2145" width="11.5703125" style="12" customWidth="1"/>
    <col min="2146" max="2146" width="9.28515625" style="12" customWidth="1"/>
    <col min="2147" max="2147" width="40.42578125" style="12" customWidth="1"/>
    <col min="2148" max="2148" width="51.28515625" style="12" customWidth="1"/>
    <col min="2149" max="2150" width="9.140625" style="12" customWidth="1"/>
    <col min="2151" max="2390" width="9.140625" style="12"/>
    <col min="2391" max="2391" width="24.7109375" style="12" customWidth="1"/>
    <col min="2392" max="2392" width="12" style="12" customWidth="1"/>
    <col min="2393" max="2393" width="9" style="12" customWidth="1"/>
    <col min="2394" max="2397" width="8.7109375" style="12" customWidth="1"/>
    <col min="2398" max="2398" width="8.5703125" style="12" customWidth="1"/>
    <col min="2399" max="2399" width="8.85546875" style="12" customWidth="1"/>
    <col min="2400" max="2401" width="11.5703125" style="12" customWidth="1"/>
    <col min="2402" max="2402" width="9.28515625" style="12" customWidth="1"/>
    <col min="2403" max="2403" width="40.42578125" style="12" customWidth="1"/>
    <col min="2404" max="2404" width="51.28515625" style="12" customWidth="1"/>
    <col min="2405" max="2406" width="9.140625" style="12" customWidth="1"/>
    <col min="2407" max="2646" width="9.140625" style="12"/>
    <col min="2647" max="2647" width="24.7109375" style="12" customWidth="1"/>
    <col min="2648" max="2648" width="12" style="12" customWidth="1"/>
    <col min="2649" max="2649" width="9" style="12" customWidth="1"/>
    <col min="2650" max="2653" width="8.7109375" style="12" customWidth="1"/>
    <col min="2654" max="2654" width="8.5703125" style="12" customWidth="1"/>
    <col min="2655" max="2655" width="8.85546875" style="12" customWidth="1"/>
    <col min="2656" max="2657" width="11.5703125" style="12" customWidth="1"/>
    <col min="2658" max="2658" width="9.28515625" style="12" customWidth="1"/>
    <col min="2659" max="2659" width="40.42578125" style="12" customWidth="1"/>
    <col min="2660" max="2660" width="51.28515625" style="12" customWidth="1"/>
    <col min="2661" max="2662" width="9.140625" style="12" customWidth="1"/>
    <col min="2663" max="2902" width="9.140625" style="12"/>
    <col min="2903" max="2903" width="24.7109375" style="12" customWidth="1"/>
    <col min="2904" max="2904" width="12" style="12" customWidth="1"/>
    <col min="2905" max="2905" width="9" style="12" customWidth="1"/>
    <col min="2906" max="2909" width="8.7109375" style="12" customWidth="1"/>
    <col min="2910" max="2910" width="8.5703125" style="12" customWidth="1"/>
    <col min="2911" max="2911" width="8.85546875" style="12" customWidth="1"/>
    <col min="2912" max="2913" width="11.5703125" style="12" customWidth="1"/>
    <col min="2914" max="2914" width="9.28515625" style="12" customWidth="1"/>
    <col min="2915" max="2915" width="40.42578125" style="12" customWidth="1"/>
    <col min="2916" max="2916" width="51.28515625" style="12" customWidth="1"/>
    <col min="2917" max="2918" width="9.140625" style="12" customWidth="1"/>
    <col min="2919" max="3158" width="9.140625" style="12"/>
    <col min="3159" max="3159" width="24.7109375" style="12" customWidth="1"/>
    <col min="3160" max="3160" width="12" style="12" customWidth="1"/>
    <col min="3161" max="3161" width="9" style="12" customWidth="1"/>
    <col min="3162" max="3165" width="8.7109375" style="12" customWidth="1"/>
    <col min="3166" max="3166" width="8.5703125" style="12" customWidth="1"/>
    <col min="3167" max="3167" width="8.85546875" style="12" customWidth="1"/>
    <col min="3168" max="3169" width="11.5703125" style="12" customWidth="1"/>
    <col min="3170" max="3170" width="9.28515625" style="12" customWidth="1"/>
    <col min="3171" max="3171" width="40.42578125" style="12" customWidth="1"/>
    <col min="3172" max="3172" width="51.28515625" style="12" customWidth="1"/>
    <col min="3173" max="3174" width="9.140625" style="12" customWidth="1"/>
    <col min="3175" max="3414" width="9.140625" style="12"/>
    <col min="3415" max="3415" width="24.7109375" style="12" customWidth="1"/>
    <col min="3416" max="3416" width="12" style="12" customWidth="1"/>
    <col min="3417" max="3417" width="9" style="12" customWidth="1"/>
    <col min="3418" max="3421" width="8.7109375" style="12" customWidth="1"/>
    <col min="3422" max="3422" width="8.5703125" style="12" customWidth="1"/>
    <col min="3423" max="3423" width="8.85546875" style="12" customWidth="1"/>
    <col min="3424" max="3425" width="11.5703125" style="12" customWidth="1"/>
    <col min="3426" max="3426" width="9.28515625" style="12" customWidth="1"/>
    <col min="3427" max="3427" width="40.42578125" style="12" customWidth="1"/>
    <col min="3428" max="3428" width="51.28515625" style="12" customWidth="1"/>
    <col min="3429" max="3430" width="9.140625" style="12" customWidth="1"/>
    <col min="3431" max="3670" width="9.140625" style="12"/>
    <col min="3671" max="3671" width="24.7109375" style="12" customWidth="1"/>
    <col min="3672" max="3672" width="12" style="12" customWidth="1"/>
    <col min="3673" max="3673" width="9" style="12" customWidth="1"/>
    <col min="3674" max="3677" width="8.7109375" style="12" customWidth="1"/>
    <col min="3678" max="3678" width="8.5703125" style="12" customWidth="1"/>
    <col min="3679" max="3679" width="8.85546875" style="12" customWidth="1"/>
    <col min="3680" max="3681" width="11.5703125" style="12" customWidth="1"/>
    <col min="3682" max="3682" width="9.28515625" style="12" customWidth="1"/>
    <col min="3683" max="3683" width="40.42578125" style="12" customWidth="1"/>
    <col min="3684" max="3684" width="51.28515625" style="12" customWidth="1"/>
    <col min="3685" max="3686" width="9.140625" style="12" customWidth="1"/>
    <col min="3687" max="3926" width="9.140625" style="12"/>
    <col min="3927" max="3927" width="24.7109375" style="12" customWidth="1"/>
    <col min="3928" max="3928" width="12" style="12" customWidth="1"/>
    <col min="3929" max="3929" width="9" style="12" customWidth="1"/>
    <col min="3930" max="3933" width="8.7109375" style="12" customWidth="1"/>
    <col min="3934" max="3934" width="8.5703125" style="12" customWidth="1"/>
    <col min="3935" max="3935" width="8.85546875" style="12" customWidth="1"/>
    <col min="3936" max="3937" width="11.5703125" style="12" customWidth="1"/>
    <col min="3938" max="3938" width="9.28515625" style="12" customWidth="1"/>
    <col min="3939" max="3939" width="40.42578125" style="12" customWidth="1"/>
    <col min="3940" max="3940" width="51.28515625" style="12" customWidth="1"/>
    <col min="3941" max="3942" width="9.140625" style="12" customWidth="1"/>
    <col min="3943" max="4182" width="9.140625" style="12"/>
    <col min="4183" max="4183" width="24.7109375" style="12" customWidth="1"/>
    <col min="4184" max="4184" width="12" style="12" customWidth="1"/>
    <col min="4185" max="4185" width="9" style="12" customWidth="1"/>
    <col min="4186" max="4189" width="8.7109375" style="12" customWidth="1"/>
    <col min="4190" max="4190" width="8.5703125" style="12" customWidth="1"/>
    <col min="4191" max="4191" width="8.85546875" style="12" customWidth="1"/>
    <col min="4192" max="4193" width="11.5703125" style="12" customWidth="1"/>
    <col min="4194" max="4194" width="9.28515625" style="12" customWidth="1"/>
    <col min="4195" max="4195" width="40.42578125" style="12" customWidth="1"/>
    <col min="4196" max="4196" width="51.28515625" style="12" customWidth="1"/>
    <col min="4197" max="4198" width="9.140625" style="12" customWidth="1"/>
    <col min="4199" max="4438" width="9.140625" style="12"/>
    <col min="4439" max="4439" width="24.7109375" style="12" customWidth="1"/>
    <col min="4440" max="4440" width="12" style="12" customWidth="1"/>
    <col min="4441" max="4441" width="9" style="12" customWidth="1"/>
    <col min="4442" max="4445" width="8.7109375" style="12" customWidth="1"/>
    <col min="4446" max="4446" width="8.5703125" style="12" customWidth="1"/>
    <col min="4447" max="4447" width="8.85546875" style="12" customWidth="1"/>
    <col min="4448" max="4449" width="11.5703125" style="12" customWidth="1"/>
    <col min="4450" max="4450" width="9.28515625" style="12" customWidth="1"/>
    <col min="4451" max="4451" width="40.42578125" style="12" customWidth="1"/>
    <col min="4452" max="4452" width="51.28515625" style="12" customWidth="1"/>
    <col min="4453" max="4454" width="9.140625" style="12" customWidth="1"/>
    <col min="4455" max="4694" width="9.140625" style="12"/>
    <col min="4695" max="4695" width="24.7109375" style="12" customWidth="1"/>
    <col min="4696" max="4696" width="12" style="12" customWidth="1"/>
    <col min="4697" max="4697" width="9" style="12" customWidth="1"/>
    <col min="4698" max="4701" width="8.7109375" style="12" customWidth="1"/>
    <col min="4702" max="4702" width="8.5703125" style="12" customWidth="1"/>
    <col min="4703" max="4703" width="8.85546875" style="12" customWidth="1"/>
    <col min="4704" max="4705" width="11.5703125" style="12" customWidth="1"/>
    <col min="4706" max="4706" width="9.28515625" style="12" customWidth="1"/>
    <col min="4707" max="4707" width="40.42578125" style="12" customWidth="1"/>
    <col min="4708" max="4708" width="51.28515625" style="12" customWidth="1"/>
    <col min="4709" max="4710" width="9.140625" style="12" customWidth="1"/>
    <col min="4711" max="4950" width="9.140625" style="12"/>
    <col min="4951" max="4951" width="24.7109375" style="12" customWidth="1"/>
    <col min="4952" max="4952" width="12" style="12" customWidth="1"/>
    <col min="4953" max="4953" width="9" style="12" customWidth="1"/>
    <col min="4954" max="4957" width="8.7109375" style="12" customWidth="1"/>
    <col min="4958" max="4958" width="8.5703125" style="12" customWidth="1"/>
    <col min="4959" max="4959" width="8.85546875" style="12" customWidth="1"/>
    <col min="4960" max="4961" width="11.5703125" style="12" customWidth="1"/>
    <col min="4962" max="4962" width="9.28515625" style="12" customWidth="1"/>
    <col min="4963" max="4963" width="40.42578125" style="12" customWidth="1"/>
    <col min="4964" max="4964" width="51.28515625" style="12" customWidth="1"/>
    <col min="4965" max="4966" width="9.140625" style="12" customWidth="1"/>
    <col min="4967" max="5206" width="9.140625" style="12"/>
    <col min="5207" max="5207" width="24.7109375" style="12" customWidth="1"/>
    <col min="5208" max="5208" width="12" style="12" customWidth="1"/>
    <col min="5209" max="5209" width="9" style="12" customWidth="1"/>
    <col min="5210" max="5213" width="8.7109375" style="12" customWidth="1"/>
    <col min="5214" max="5214" width="8.5703125" style="12" customWidth="1"/>
    <col min="5215" max="5215" width="8.85546875" style="12" customWidth="1"/>
    <col min="5216" max="5217" width="11.5703125" style="12" customWidth="1"/>
    <col min="5218" max="5218" width="9.28515625" style="12" customWidth="1"/>
    <col min="5219" max="5219" width="40.42578125" style="12" customWidth="1"/>
    <col min="5220" max="5220" width="51.28515625" style="12" customWidth="1"/>
    <col min="5221" max="5222" width="9.140625" style="12" customWidth="1"/>
    <col min="5223" max="5462" width="9.140625" style="12"/>
    <col min="5463" max="5463" width="24.7109375" style="12" customWidth="1"/>
    <col min="5464" max="5464" width="12" style="12" customWidth="1"/>
    <col min="5465" max="5465" width="9" style="12" customWidth="1"/>
    <col min="5466" max="5469" width="8.7109375" style="12" customWidth="1"/>
    <col min="5470" max="5470" width="8.5703125" style="12" customWidth="1"/>
    <col min="5471" max="5471" width="8.85546875" style="12" customWidth="1"/>
    <col min="5472" max="5473" width="11.5703125" style="12" customWidth="1"/>
    <col min="5474" max="5474" width="9.28515625" style="12" customWidth="1"/>
    <col min="5475" max="5475" width="40.42578125" style="12" customWidth="1"/>
    <col min="5476" max="5476" width="51.28515625" style="12" customWidth="1"/>
    <col min="5477" max="5478" width="9.140625" style="12" customWidth="1"/>
    <col min="5479" max="5718" width="9.140625" style="12"/>
    <col min="5719" max="5719" width="24.7109375" style="12" customWidth="1"/>
    <col min="5720" max="5720" width="12" style="12" customWidth="1"/>
    <col min="5721" max="5721" width="9" style="12" customWidth="1"/>
    <col min="5722" max="5725" width="8.7109375" style="12" customWidth="1"/>
    <col min="5726" max="5726" width="8.5703125" style="12" customWidth="1"/>
    <col min="5727" max="5727" width="8.85546875" style="12" customWidth="1"/>
    <col min="5728" max="5729" width="11.5703125" style="12" customWidth="1"/>
    <col min="5730" max="5730" width="9.28515625" style="12" customWidth="1"/>
    <col min="5731" max="5731" width="40.42578125" style="12" customWidth="1"/>
    <col min="5732" max="5732" width="51.28515625" style="12" customWidth="1"/>
    <col min="5733" max="5734" width="9.140625" style="12" customWidth="1"/>
    <col min="5735" max="5974" width="9.140625" style="12"/>
    <col min="5975" max="5975" width="24.7109375" style="12" customWidth="1"/>
    <col min="5976" max="5976" width="12" style="12" customWidth="1"/>
    <col min="5977" max="5977" width="9" style="12" customWidth="1"/>
    <col min="5978" max="5981" width="8.7109375" style="12" customWidth="1"/>
    <col min="5982" max="5982" width="8.5703125" style="12" customWidth="1"/>
    <col min="5983" max="5983" width="8.85546875" style="12" customWidth="1"/>
    <col min="5984" max="5985" width="11.5703125" style="12" customWidth="1"/>
    <col min="5986" max="5986" width="9.28515625" style="12" customWidth="1"/>
    <col min="5987" max="5987" width="40.42578125" style="12" customWidth="1"/>
    <col min="5988" max="5988" width="51.28515625" style="12" customWidth="1"/>
    <col min="5989" max="5990" width="9.140625" style="12" customWidth="1"/>
    <col min="5991" max="6230" width="9.140625" style="12"/>
    <col min="6231" max="6231" width="24.7109375" style="12" customWidth="1"/>
    <col min="6232" max="6232" width="12" style="12" customWidth="1"/>
    <col min="6233" max="6233" width="9" style="12" customWidth="1"/>
    <col min="6234" max="6237" width="8.7109375" style="12" customWidth="1"/>
    <col min="6238" max="6238" width="8.5703125" style="12" customWidth="1"/>
    <col min="6239" max="6239" width="8.85546875" style="12" customWidth="1"/>
    <col min="6240" max="6241" width="11.5703125" style="12" customWidth="1"/>
    <col min="6242" max="6242" width="9.28515625" style="12" customWidth="1"/>
    <col min="6243" max="6243" width="40.42578125" style="12" customWidth="1"/>
    <col min="6244" max="6244" width="51.28515625" style="12" customWidth="1"/>
    <col min="6245" max="6246" width="9.140625" style="12" customWidth="1"/>
    <col min="6247" max="6486" width="9.140625" style="12"/>
    <col min="6487" max="6487" width="24.7109375" style="12" customWidth="1"/>
    <col min="6488" max="6488" width="12" style="12" customWidth="1"/>
    <col min="6489" max="6489" width="9" style="12" customWidth="1"/>
    <col min="6490" max="6493" width="8.7109375" style="12" customWidth="1"/>
    <col min="6494" max="6494" width="8.5703125" style="12" customWidth="1"/>
    <col min="6495" max="6495" width="8.85546875" style="12" customWidth="1"/>
    <col min="6496" max="6497" width="11.5703125" style="12" customWidth="1"/>
    <col min="6498" max="6498" width="9.28515625" style="12" customWidth="1"/>
    <col min="6499" max="6499" width="40.42578125" style="12" customWidth="1"/>
    <col min="6500" max="6500" width="51.28515625" style="12" customWidth="1"/>
    <col min="6501" max="6502" width="9.140625" style="12" customWidth="1"/>
    <col min="6503" max="6742" width="9.140625" style="12"/>
    <col min="6743" max="6743" width="24.7109375" style="12" customWidth="1"/>
    <col min="6744" max="6744" width="12" style="12" customWidth="1"/>
    <col min="6745" max="6745" width="9" style="12" customWidth="1"/>
    <col min="6746" max="6749" width="8.7109375" style="12" customWidth="1"/>
    <col min="6750" max="6750" width="8.5703125" style="12" customWidth="1"/>
    <col min="6751" max="6751" width="8.85546875" style="12" customWidth="1"/>
    <col min="6752" max="6753" width="11.5703125" style="12" customWidth="1"/>
    <col min="6754" max="6754" width="9.28515625" style="12" customWidth="1"/>
    <col min="6755" max="6755" width="40.42578125" style="12" customWidth="1"/>
    <col min="6756" max="6756" width="51.28515625" style="12" customWidth="1"/>
    <col min="6757" max="6758" width="9.140625" style="12" customWidth="1"/>
    <col min="6759" max="6998" width="9.140625" style="12"/>
    <col min="6999" max="6999" width="24.7109375" style="12" customWidth="1"/>
    <col min="7000" max="7000" width="12" style="12" customWidth="1"/>
    <col min="7001" max="7001" width="9" style="12" customWidth="1"/>
    <col min="7002" max="7005" width="8.7109375" style="12" customWidth="1"/>
    <col min="7006" max="7006" width="8.5703125" style="12" customWidth="1"/>
    <col min="7007" max="7007" width="8.85546875" style="12" customWidth="1"/>
    <col min="7008" max="7009" width="11.5703125" style="12" customWidth="1"/>
    <col min="7010" max="7010" width="9.28515625" style="12" customWidth="1"/>
    <col min="7011" max="7011" width="40.42578125" style="12" customWidth="1"/>
    <col min="7012" max="7012" width="51.28515625" style="12" customWidth="1"/>
    <col min="7013" max="7014" width="9.140625" style="12" customWidth="1"/>
    <col min="7015" max="7254" width="9.140625" style="12"/>
    <col min="7255" max="7255" width="24.7109375" style="12" customWidth="1"/>
    <col min="7256" max="7256" width="12" style="12" customWidth="1"/>
    <col min="7257" max="7257" width="9" style="12" customWidth="1"/>
    <col min="7258" max="7261" width="8.7109375" style="12" customWidth="1"/>
    <col min="7262" max="7262" width="8.5703125" style="12" customWidth="1"/>
    <col min="7263" max="7263" width="8.85546875" style="12" customWidth="1"/>
    <col min="7264" max="7265" width="11.5703125" style="12" customWidth="1"/>
    <col min="7266" max="7266" width="9.28515625" style="12" customWidth="1"/>
    <col min="7267" max="7267" width="40.42578125" style="12" customWidth="1"/>
    <col min="7268" max="7268" width="51.28515625" style="12" customWidth="1"/>
    <col min="7269" max="7270" width="9.140625" style="12" customWidth="1"/>
    <col min="7271" max="7510" width="9.140625" style="12"/>
    <col min="7511" max="7511" width="24.7109375" style="12" customWidth="1"/>
    <col min="7512" max="7512" width="12" style="12" customWidth="1"/>
    <col min="7513" max="7513" width="9" style="12" customWidth="1"/>
    <col min="7514" max="7517" width="8.7109375" style="12" customWidth="1"/>
    <col min="7518" max="7518" width="8.5703125" style="12" customWidth="1"/>
    <col min="7519" max="7519" width="8.85546875" style="12" customWidth="1"/>
    <col min="7520" max="7521" width="11.5703125" style="12" customWidth="1"/>
    <col min="7522" max="7522" width="9.28515625" style="12" customWidth="1"/>
    <col min="7523" max="7523" width="40.42578125" style="12" customWidth="1"/>
    <col min="7524" max="7524" width="51.28515625" style="12" customWidth="1"/>
    <col min="7525" max="7526" width="9.140625" style="12" customWidth="1"/>
    <col min="7527" max="7766" width="9.140625" style="12"/>
    <col min="7767" max="7767" width="24.7109375" style="12" customWidth="1"/>
    <col min="7768" max="7768" width="12" style="12" customWidth="1"/>
    <col min="7769" max="7769" width="9" style="12" customWidth="1"/>
    <col min="7770" max="7773" width="8.7109375" style="12" customWidth="1"/>
    <col min="7774" max="7774" width="8.5703125" style="12" customWidth="1"/>
    <col min="7775" max="7775" width="8.85546875" style="12" customWidth="1"/>
    <col min="7776" max="7777" width="11.5703125" style="12" customWidth="1"/>
    <col min="7778" max="7778" width="9.28515625" style="12" customWidth="1"/>
    <col min="7779" max="7779" width="40.42578125" style="12" customWidth="1"/>
    <col min="7780" max="7780" width="51.28515625" style="12" customWidth="1"/>
    <col min="7781" max="7782" width="9.140625" style="12" customWidth="1"/>
    <col min="7783" max="8022" width="9.140625" style="12"/>
    <col min="8023" max="8023" width="24.7109375" style="12" customWidth="1"/>
    <col min="8024" max="8024" width="12" style="12" customWidth="1"/>
    <col min="8025" max="8025" width="9" style="12" customWidth="1"/>
    <col min="8026" max="8029" width="8.7109375" style="12" customWidth="1"/>
    <col min="8030" max="8030" width="8.5703125" style="12" customWidth="1"/>
    <col min="8031" max="8031" width="8.85546875" style="12" customWidth="1"/>
    <col min="8032" max="8033" width="11.5703125" style="12" customWidth="1"/>
    <col min="8034" max="8034" width="9.28515625" style="12" customWidth="1"/>
    <col min="8035" max="8035" width="40.42578125" style="12" customWidth="1"/>
    <col min="8036" max="8036" width="51.28515625" style="12" customWidth="1"/>
    <col min="8037" max="8038" width="9.140625" style="12" customWidth="1"/>
    <col min="8039" max="8278" width="9.140625" style="12"/>
    <col min="8279" max="8279" width="24.7109375" style="12" customWidth="1"/>
    <col min="8280" max="8280" width="12" style="12" customWidth="1"/>
    <col min="8281" max="8281" width="9" style="12" customWidth="1"/>
    <col min="8282" max="8285" width="8.7109375" style="12" customWidth="1"/>
    <col min="8286" max="8286" width="8.5703125" style="12" customWidth="1"/>
    <col min="8287" max="8287" width="8.85546875" style="12" customWidth="1"/>
    <col min="8288" max="8289" width="11.5703125" style="12" customWidth="1"/>
    <col min="8290" max="8290" width="9.28515625" style="12" customWidth="1"/>
    <col min="8291" max="8291" width="40.42578125" style="12" customWidth="1"/>
    <col min="8292" max="8292" width="51.28515625" style="12" customWidth="1"/>
    <col min="8293" max="8294" width="9.140625" style="12" customWidth="1"/>
    <col min="8295" max="8534" width="9.140625" style="12"/>
    <col min="8535" max="8535" width="24.7109375" style="12" customWidth="1"/>
    <col min="8536" max="8536" width="12" style="12" customWidth="1"/>
    <col min="8537" max="8537" width="9" style="12" customWidth="1"/>
    <col min="8538" max="8541" width="8.7109375" style="12" customWidth="1"/>
    <col min="8542" max="8542" width="8.5703125" style="12" customWidth="1"/>
    <col min="8543" max="8543" width="8.85546875" style="12" customWidth="1"/>
    <col min="8544" max="8545" width="11.5703125" style="12" customWidth="1"/>
    <col min="8546" max="8546" width="9.28515625" style="12" customWidth="1"/>
    <col min="8547" max="8547" width="40.42578125" style="12" customWidth="1"/>
    <col min="8548" max="8548" width="51.28515625" style="12" customWidth="1"/>
    <col min="8549" max="8550" width="9.140625" style="12" customWidth="1"/>
    <col min="8551" max="8790" width="9.140625" style="12"/>
    <col min="8791" max="8791" width="24.7109375" style="12" customWidth="1"/>
    <col min="8792" max="8792" width="12" style="12" customWidth="1"/>
    <col min="8793" max="8793" width="9" style="12" customWidth="1"/>
    <col min="8794" max="8797" width="8.7109375" style="12" customWidth="1"/>
    <col min="8798" max="8798" width="8.5703125" style="12" customWidth="1"/>
    <col min="8799" max="8799" width="8.85546875" style="12" customWidth="1"/>
    <col min="8800" max="8801" width="11.5703125" style="12" customWidth="1"/>
    <col min="8802" max="8802" width="9.28515625" style="12" customWidth="1"/>
    <col min="8803" max="8803" width="40.42578125" style="12" customWidth="1"/>
    <col min="8804" max="8804" width="51.28515625" style="12" customWidth="1"/>
    <col min="8805" max="8806" width="9.140625" style="12" customWidth="1"/>
    <col min="8807" max="9046" width="9.140625" style="12"/>
    <col min="9047" max="9047" width="24.7109375" style="12" customWidth="1"/>
    <col min="9048" max="9048" width="12" style="12" customWidth="1"/>
    <col min="9049" max="9049" width="9" style="12" customWidth="1"/>
    <col min="9050" max="9053" width="8.7109375" style="12" customWidth="1"/>
    <col min="9054" max="9054" width="8.5703125" style="12" customWidth="1"/>
    <col min="9055" max="9055" width="8.85546875" style="12" customWidth="1"/>
    <col min="9056" max="9057" width="11.5703125" style="12" customWidth="1"/>
    <col min="9058" max="9058" width="9.28515625" style="12" customWidth="1"/>
    <col min="9059" max="9059" width="40.42578125" style="12" customWidth="1"/>
    <col min="9060" max="9060" width="51.28515625" style="12" customWidth="1"/>
    <col min="9061" max="9062" width="9.140625" style="12" customWidth="1"/>
    <col min="9063" max="9302" width="9.140625" style="12"/>
    <col min="9303" max="9303" width="24.7109375" style="12" customWidth="1"/>
    <col min="9304" max="9304" width="12" style="12" customWidth="1"/>
    <col min="9305" max="9305" width="9" style="12" customWidth="1"/>
    <col min="9306" max="9309" width="8.7109375" style="12" customWidth="1"/>
    <col min="9310" max="9310" width="8.5703125" style="12" customWidth="1"/>
    <col min="9311" max="9311" width="8.85546875" style="12" customWidth="1"/>
    <col min="9312" max="9313" width="11.5703125" style="12" customWidth="1"/>
    <col min="9314" max="9314" width="9.28515625" style="12" customWidth="1"/>
    <col min="9315" max="9315" width="40.42578125" style="12" customWidth="1"/>
    <col min="9316" max="9316" width="51.28515625" style="12" customWidth="1"/>
    <col min="9317" max="9318" width="9.140625" style="12" customWidth="1"/>
    <col min="9319" max="9558" width="9.140625" style="12"/>
    <col min="9559" max="9559" width="24.7109375" style="12" customWidth="1"/>
    <col min="9560" max="9560" width="12" style="12" customWidth="1"/>
    <col min="9561" max="9561" width="9" style="12" customWidth="1"/>
    <col min="9562" max="9565" width="8.7109375" style="12" customWidth="1"/>
    <col min="9566" max="9566" width="8.5703125" style="12" customWidth="1"/>
    <col min="9567" max="9567" width="8.85546875" style="12" customWidth="1"/>
    <col min="9568" max="9569" width="11.5703125" style="12" customWidth="1"/>
    <col min="9570" max="9570" width="9.28515625" style="12" customWidth="1"/>
    <col min="9571" max="9571" width="40.42578125" style="12" customWidth="1"/>
    <col min="9572" max="9572" width="51.28515625" style="12" customWidth="1"/>
    <col min="9573" max="9574" width="9.140625" style="12" customWidth="1"/>
    <col min="9575" max="9814" width="9.140625" style="12"/>
    <col min="9815" max="9815" width="24.7109375" style="12" customWidth="1"/>
    <col min="9816" max="9816" width="12" style="12" customWidth="1"/>
    <col min="9817" max="9817" width="9" style="12" customWidth="1"/>
    <col min="9818" max="9821" width="8.7109375" style="12" customWidth="1"/>
    <col min="9822" max="9822" width="8.5703125" style="12" customWidth="1"/>
    <col min="9823" max="9823" width="8.85546875" style="12" customWidth="1"/>
    <col min="9824" max="9825" width="11.5703125" style="12" customWidth="1"/>
    <col min="9826" max="9826" width="9.28515625" style="12" customWidth="1"/>
    <col min="9827" max="9827" width="40.42578125" style="12" customWidth="1"/>
    <col min="9828" max="9828" width="51.28515625" style="12" customWidth="1"/>
    <col min="9829" max="9830" width="9.140625" style="12" customWidth="1"/>
    <col min="9831" max="10070" width="9.140625" style="12"/>
    <col min="10071" max="10071" width="24.7109375" style="12" customWidth="1"/>
    <col min="10072" max="10072" width="12" style="12" customWidth="1"/>
    <col min="10073" max="10073" width="9" style="12" customWidth="1"/>
    <col min="10074" max="10077" width="8.7109375" style="12" customWidth="1"/>
    <col min="10078" max="10078" width="8.5703125" style="12" customWidth="1"/>
    <col min="10079" max="10079" width="8.85546875" style="12" customWidth="1"/>
    <col min="10080" max="10081" width="11.5703125" style="12" customWidth="1"/>
    <col min="10082" max="10082" width="9.28515625" style="12" customWidth="1"/>
    <col min="10083" max="10083" width="40.42578125" style="12" customWidth="1"/>
    <col min="10084" max="10084" width="51.28515625" style="12" customWidth="1"/>
    <col min="10085" max="10086" width="9.140625" style="12" customWidth="1"/>
    <col min="10087" max="10326" width="9.140625" style="12"/>
    <col min="10327" max="10327" width="24.7109375" style="12" customWidth="1"/>
    <col min="10328" max="10328" width="12" style="12" customWidth="1"/>
    <col min="10329" max="10329" width="9" style="12" customWidth="1"/>
    <col min="10330" max="10333" width="8.7109375" style="12" customWidth="1"/>
    <col min="10334" max="10334" width="8.5703125" style="12" customWidth="1"/>
    <col min="10335" max="10335" width="8.85546875" style="12" customWidth="1"/>
    <col min="10336" max="10337" width="11.5703125" style="12" customWidth="1"/>
    <col min="10338" max="10338" width="9.28515625" style="12" customWidth="1"/>
    <col min="10339" max="10339" width="40.42578125" style="12" customWidth="1"/>
    <col min="10340" max="10340" width="51.28515625" style="12" customWidth="1"/>
    <col min="10341" max="10342" width="9.140625" style="12" customWidth="1"/>
    <col min="10343" max="10582" width="9.140625" style="12"/>
    <col min="10583" max="10583" width="24.7109375" style="12" customWidth="1"/>
    <col min="10584" max="10584" width="12" style="12" customWidth="1"/>
    <col min="10585" max="10585" width="9" style="12" customWidth="1"/>
    <col min="10586" max="10589" width="8.7109375" style="12" customWidth="1"/>
    <col min="10590" max="10590" width="8.5703125" style="12" customWidth="1"/>
    <col min="10591" max="10591" width="8.85546875" style="12" customWidth="1"/>
    <col min="10592" max="10593" width="11.5703125" style="12" customWidth="1"/>
    <col min="10594" max="10594" width="9.28515625" style="12" customWidth="1"/>
    <col min="10595" max="10595" width="40.42578125" style="12" customWidth="1"/>
    <col min="10596" max="10596" width="51.28515625" style="12" customWidth="1"/>
    <col min="10597" max="10598" width="9.140625" style="12" customWidth="1"/>
    <col min="10599" max="10838" width="9.140625" style="12"/>
    <col min="10839" max="10839" width="24.7109375" style="12" customWidth="1"/>
    <col min="10840" max="10840" width="12" style="12" customWidth="1"/>
    <col min="10841" max="10841" width="9" style="12" customWidth="1"/>
    <col min="10842" max="10845" width="8.7109375" style="12" customWidth="1"/>
    <col min="10846" max="10846" width="8.5703125" style="12" customWidth="1"/>
    <col min="10847" max="10847" width="8.85546875" style="12" customWidth="1"/>
    <col min="10848" max="10849" width="11.5703125" style="12" customWidth="1"/>
    <col min="10850" max="10850" width="9.28515625" style="12" customWidth="1"/>
    <col min="10851" max="10851" width="40.42578125" style="12" customWidth="1"/>
    <col min="10852" max="10852" width="51.28515625" style="12" customWidth="1"/>
    <col min="10853" max="10854" width="9.140625" style="12" customWidth="1"/>
    <col min="10855" max="11094" width="9.140625" style="12"/>
    <col min="11095" max="11095" width="24.7109375" style="12" customWidth="1"/>
    <col min="11096" max="11096" width="12" style="12" customWidth="1"/>
    <col min="11097" max="11097" width="9" style="12" customWidth="1"/>
    <col min="11098" max="11101" width="8.7109375" style="12" customWidth="1"/>
    <col min="11102" max="11102" width="8.5703125" style="12" customWidth="1"/>
    <col min="11103" max="11103" width="8.85546875" style="12" customWidth="1"/>
    <col min="11104" max="11105" width="11.5703125" style="12" customWidth="1"/>
    <col min="11106" max="11106" width="9.28515625" style="12" customWidth="1"/>
    <col min="11107" max="11107" width="40.42578125" style="12" customWidth="1"/>
    <col min="11108" max="11108" width="51.28515625" style="12" customWidth="1"/>
    <col min="11109" max="11110" width="9.140625" style="12" customWidth="1"/>
    <col min="11111" max="11350" width="9.140625" style="12"/>
    <col min="11351" max="11351" width="24.7109375" style="12" customWidth="1"/>
    <col min="11352" max="11352" width="12" style="12" customWidth="1"/>
    <col min="11353" max="11353" width="9" style="12" customWidth="1"/>
    <col min="11354" max="11357" width="8.7109375" style="12" customWidth="1"/>
    <col min="11358" max="11358" width="8.5703125" style="12" customWidth="1"/>
    <col min="11359" max="11359" width="8.85546875" style="12" customWidth="1"/>
    <col min="11360" max="11361" width="11.5703125" style="12" customWidth="1"/>
    <col min="11362" max="11362" width="9.28515625" style="12" customWidth="1"/>
    <col min="11363" max="11363" width="40.42578125" style="12" customWidth="1"/>
    <col min="11364" max="11364" width="51.28515625" style="12" customWidth="1"/>
    <col min="11365" max="11366" width="9.140625" style="12" customWidth="1"/>
    <col min="11367" max="11606" width="9.140625" style="12"/>
    <col min="11607" max="11607" width="24.7109375" style="12" customWidth="1"/>
    <col min="11608" max="11608" width="12" style="12" customWidth="1"/>
    <col min="11609" max="11609" width="9" style="12" customWidth="1"/>
    <col min="11610" max="11613" width="8.7109375" style="12" customWidth="1"/>
    <col min="11614" max="11614" width="8.5703125" style="12" customWidth="1"/>
    <col min="11615" max="11615" width="8.85546875" style="12" customWidth="1"/>
    <col min="11616" max="11617" width="11.5703125" style="12" customWidth="1"/>
    <col min="11618" max="11618" width="9.28515625" style="12" customWidth="1"/>
    <col min="11619" max="11619" width="40.42578125" style="12" customWidth="1"/>
    <col min="11620" max="11620" width="51.28515625" style="12" customWidth="1"/>
    <col min="11621" max="11622" width="9.140625" style="12" customWidth="1"/>
    <col min="11623" max="11862" width="9.140625" style="12"/>
    <col min="11863" max="11863" width="24.7109375" style="12" customWidth="1"/>
    <col min="11864" max="11864" width="12" style="12" customWidth="1"/>
    <col min="11865" max="11865" width="9" style="12" customWidth="1"/>
    <col min="11866" max="11869" width="8.7109375" style="12" customWidth="1"/>
    <col min="11870" max="11870" width="8.5703125" style="12" customWidth="1"/>
    <col min="11871" max="11871" width="8.85546875" style="12" customWidth="1"/>
    <col min="11872" max="11873" width="11.5703125" style="12" customWidth="1"/>
    <col min="11874" max="11874" width="9.28515625" style="12" customWidth="1"/>
    <col min="11875" max="11875" width="40.42578125" style="12" customWidth="1"/>
    <col min="11876" max="11876" width="51.28515625" style="12" customWidth="1"/>
    <col min="11877" max="11878" width="9.140625" style="12" customWidth="1"/>
    <col min="11879" max="12118" width="9.140625" style="12"/>
    <col min="12119" max="12119" width="24.7109375" style="12" customWidth="1"/>
    <col min="12120" max="12120" width="12" style="12" customWidth="1"/>
    <col min="12121" max="12121" width="9" style="12" customWidth="1"/>
    <col min="12122" max="12125" width="8.7109375" style="12" customWidth="1"/>
    <col min="12126" max="12126" width="8.5703125" style="12" customWidth="1"/>
    <col min="12127" max="12127" width="8.85546875" style="12" customWidth="1"/>
    <col min="12128" max="12129" width="11.5703125" style="12" customWidth="1"/>
    <col min="12130" max="12130" width="9.28515625" style="12" customWidth="1"/>
    <col min="12131" max="12131" width="40.42578125" style="12" customWidth="1"/>
    <col min="12132" max="12132" width="51.28515625" style="12" customWidth="1"/>
    <col min="12133" max="12134" width="9.140625" style="12" customWidth="1"/>
    <col min="12135" max="12374" width="9.140625" style="12"/>
    <col min="12375" max="12375" width="24.7109375" style="12" customWidth="1"/>
    <col min="12376" max="12376" width="12" style="12" customWidth="1"/>
    <col min="12377" max="12377" width="9" style="12" customWidth="1"/>
    <col min="12378" max="12381" width="8.7109375" style="12" customWidth="1"/>
    <col min="12382" max="12382" width="8.5703125" style="12" customWidth="1"/>
    <col min="12383" max="12383" width="8.85546875" style="12" customWidth="1"/>
    <col min="12384" max="12385" width="11.5703125" style="12" customWidth="1"/>
    <col min="12386" max="12386" width="9.28515625" style="12" customWidth="1"/>
    <col min="12387" max="12387" width="40.42578125" style="12" customWidth="1"/>
    <col min="12388" max="12388" width="51.28515625" style="12" customWidth="1"/>
    <col min="12389" max="12390" width="9.140625" style="12" customWidth="1"/>
    <col min="12391" max="12630" width="9.140625" style="12"/>
    <col min="12631" max="12631" width="24.7109375" style="12" customWidth="1"/>
    <col min="12632" max="12632" width="12" style="12" customWidth="1"/>
    <col min="12633" max="12633" width="9" style="12" customWidth="1"/>
    <col min="12634" max="12637" width="8.7109375" style="12" customWidth="1"/>
    <col min="12638" max="12638" width="8.5703125" style="12" customWidth="1"/>
    <col min="12639" max="12639" width="8.85546875" style="12" customWidth="1"/>
    <col min="12640" max="12641" width="11.5703125" style="12" customWidth="1"/>
    <col min="12642" max="12642" width="9.28515625" style="12" customWidth="1"/>
    <col min="12643" max="12643" width="40.42578125" style="12" customWidth="1"/>
    <col min="12644" max="12644" width="51.28515625" style="12" customWidth="1"/>
    <col min="12645" max="12646" width="9.140625" style="12" customWidth="1"/>
    <col min="12647" max="12886" width="9.140625" style="12"/>
    <col min="12887" max="12887" width="24.7109375" style="12" customWidth="1"/>
    <col min="12888" max="12888" width="12" style="12" customWidth="1"/>
    <col min="12889" max="12889" width="9" style="12" customWidth="1"/>
    <col min="12890" max="12893" width="8.7109375" style="12" customWidth="1"/>
    <col min="12894" max="12894" width="8.5703125" style="12" customWidth="1"/>
    <col min="12895" max="12895" width="8.85546875" style="12" customWidth="1"/>
    <col min="12896" max="12897" width="11.5703125" style="12" customWidth="1"/>
    <col min="12898" max="12898" width="9.28515625" style="12" customWidth="1"/>
    <col min="12899" max="12899" width="40.42578125" style="12" customWidth="1"/>
    <col min="12900" max="12900" width="51.28515625" style="12" customWidth="1"/>
    <col min="12901" max="12902" width="9.140625" style="12" customWidth="1"/>
    <col min="12903" max="13142" width="9.140625" style="12"/>
    <col min="13143" max="13143" width="24.7109375" style="12" customWidth="1"/>
    <col min="13144" max="13144" width="12" style="12" customWidth="1"/>
    <col min="13145" max="13145" width="9" style="12" customWidth="1"/>
    <col min="13146" max="13149" width="8.7109375" style="12" customWidth="1"/>
    <col min="13150" max="13150" width="8.5703125" style="12" customWidth="1"/>
    <col min="13151" max="13151" width="8.85546875" style="12" customWidth="1"/>
    <col min="13152" max="13153" width="11.5703125" style="12" customWidth="1"/>
    <col min="13154" max="13154" width="9.28515625" style="12" customWidth="1"/>
    <col min="13155" max="13155" width="40.42578125" style="12" customWidth="1"/>
    <col min="13156" max="13156" width="51.28515625" style="12" customWidth="1"/>
    <col min="13157" max="13158" width="9.140625" style="12" customWidth="1"/>
    <col min="13159" max="13398" width="9.140625" style="12"/>
    <col min="13399" max="13399" width="24.7109375" style="12" customWidth="1"/>
    <col min="13400" max="13400" width="12" style="12" customWidth="1"/>
    <col min="13401" max="13401" width="9" style="12" customWidth="1"/>
    <col min="13402" max="13405" width="8.7109375" style="12" customWidth="1"/>
    <col min="13406" max="13406" width="8.5703125" style="12" customWidth="1"/>
    <col min="13407" max="13407" width="8.85546875" style="12" customWidth="1"/>
    <col min="13408" max="13409" width="11.5703125" style="12" customWidth="1"/>
    <col min="13410" max="13410" width="9.28515625" style="12" customWidth="1"/>
    <col min="13411" max="13411" width="40.42578125" style="12" customWidth="1"/>
    <col min="13412" max="13412" width="51.28515625" style="12" customWidth="1"/>
    <col min="13413" max="13414" width="9.140625" style="12" customWidth="1"/>
    <col min="13415" max="13654" width="9.140625" style="12"/>
    <col min="13655" max="13655" width="24.7109375" style="12" customWidth="1"/>
    <col min="13656" max="13656" width="12" style="12" customWidth="1"/>
    <col min="13657" max="13657" width="9" style="12" customWidth="1"/>
    <col min="13658" max="13661" width="8.7109375" style="12" customWidth="1"/>
    <col min="13662" max="13662" width="8.5703125" style="12" customWidth="1"/>
    <col min="13663" max="13663" width="8.85546875" style="12" customWidth="1"/>
    <col min="13664" max="13665" width="11.5703125" style="12" customWidth="1"/>
    <col min="13666" max="13666" width="9.28515625" style="12" customWidth="1"/>
    <col min="13667" max="13667" width="40.42578125" style="12" customWidth="1"/>
    <col min="13668" max="13668" width="51.28515625" style="12" customWidth="1"/>
    <col min="13669" max="13670" width="9.140625" style="12" customWidth="1"/>
    <col min="13671" max="13910" width="9.140625" style="12"/>
    <col min="13911" max="13911" width="24.7109375" style="12" customWidth="1"/>
    <col min="13912" max="13912" width="12" style="12" customWidth="1"/>
    <col min="13913" max="13913" width="9" style="12" customWidth="1"/>
    <col min="13914" max="13917" width="8.7109375" style="12" customWidth="1"/>
    <col min="13918" max="13918" width="8.5703125" style="12" customWidth="1"/>
    <col min="13919" max="13919" width="8.85546875" style="12" customWidth="1"/>
    <col min="13920" max="13921" width="11.5703125" style="12" customWidth="1"/>
    <col min="13922" max="13922" width="9.28515625" style="12" customWidth="1"/>
    <col min="13923" max="13923" width="40.42578125" style="12" customWidth="1"/>
    <col min="13924" max="13924" width="51.28515625" style="12" customWidth="1"/>
    <col min="13925" max="13926" width="9.140625" style="12" customWidth="1"/>
    <col min="13927" max="14166" width="9.140625" style="12"/>
    <col min="14167" max="14167" width="24.7109375" style="12" customWidth="1"/>
    <col min="14168" max="14168" width="12" style="12" customWidth="1"/>
    <col min="14169" max="14169" width="9" style="12" customWidth="1"/>
    <col min="14170" max="14173" width="8.7109375" style="12" customWidth="1"/>
    <col min="14174" max="14174" width="8.5703125" style="12" customWidth="1"/>
    <col min="14175" max="14175" width="8.85546875" style="12" customWidth="1"/>
    <col min="14176" max="14177" width="11.5703125" style="12" customWidth="1"/>
    <col min="14178" max="14178" width="9.28515625" style="12" customWidth="1"/>
    <col min="14179" max="14179" width="40.42578125" style="12" customWidth="1"/>
    <col min="14180" max="14180" width="51.28515625" style="12" customWidth="1"/>
    <col min="14181" max="14182" width="9.140625" style="12" customWidth="1"/>
    <col min="14183" max="14422" width="9.140625" style="12"/>
    <col min="14423" max="14423" width="24.7109375" style="12" customWidth="1"/>
    <col min="14424" max="14424" width="12" style="12" customWidth="1"/>
    <col min="14425" max="14425" width="9" style="12" customWidth="1"/>
    <col min="14426" max="14429" width="8.7109375" style="12" customWidth="1"/>
    <col min="14430" max="14430" width="8.5703125" style="12" customWidth="1"/>
    <col min="14431" max="14431" width="8.85546875" style="12" customWidth="1"/>
    <col min="14432" max="14433" width="11.5703125" style="12" customWidth="1"/>
    <col min="14434" max="14434" width="9.28515625" style="12" customWidth="1"/>
    <col min="14435" max="14435" width="40.42578125" style="12" customWidth="1"/>
    <col min="14436" max="14436" width="51.28515625" style="12" customWidth="1"/>
    <col min="14437" max="14438" width="9.140625" style="12" customWidth="1"/>
    <col min="14439" max="14678" width="9.140625" style="12"/>
    <col min="14679" max="14679" width="24.7109375" style="12" customWidth="1"/>
    <col min="14680" max="14680" width="12" style="12" customWidth="1"/>
    <col min="14681" max="14681" width="9" style="12" customWidth="1"/>
    <col min="14682" max="14685" width="8.7109375" style="12" customWidth="1"/>
    <col min="14686" max="14686" width="8.5703125" style="12" customWidth="1"/>
    <col min="14687" max="14687" width="8.85546875" style="12" customWidth="1"/>
    <col min="14688" max="14689" width="11.5703125" style="12" customWidth="1"/>
    <col min="14690" max="14690" width="9.28515625" style="12" customWidth="1"/>
    <col min="14691" max="14691" width="40.42578125" style="12" customWidth="1"/>
    <col min="14692" max="14692" width="51.28515625" style="12" customWidth="1"/>
    <col min="14693" max="14694" width="9.140625" style="12" customWidth="1"/>
    <col min="14695" max="14934" width="9.140625" style="12"/>
    <col min="14935" max="14935" width="24.7109375" style="12" customWidth="1"/>
    <col min="14936" max="14936" width="12" style="12" customWidth="1"/>
    <col min="14937" max="14937" width="9" style="12" customWidth="1"/>
    <col min="14938" max="14941" width="8.7109375" style="12" customWidth="1"/>
    <col min="14942" max="14942" width="8.5703125" style="12" customWidth="1"/>
    <col min="14943" max="14943" width="8.85546875" style="12" customWidth="1"/>
    <col min="14944" max="14945" width="11.5703125" style="12" customWidth="1"/>
    <col min="14946" max="14946" width="9.28515625" style="12" customWidth="1"/>
    <col min="14947" max="14947" width="40.42578125" style="12" customWidth="1"/>
    <col min="14948" max="14948" width="51.28515625" style="12" customWidth="1"/>
    <col min="14949" max="14950" width="9.140625" style="12" customWidth="1"/>
    <col min="14951" max="15190" width="9.140625" style="12"/>
    <col min="15191" max="15191" width="24.7109375" style="12" customWidth="1"/>
    <col min="15192" max="15192" width="12" style="12" customWidth="1"/>
    <col min="15193" max="15193" width="9" style="12" customWidth="1"/>
    <col min="15194" max="15197" width="8.7109375" style="12" customWidth="1"/>
    <col min="15198" max="15198" width="8.5703125" style="12" customWidth="1"/>
    <col min="15199" max="15199" width="8.85546875" style="12" customWidth="1"/>
    <col min="15200" max="15201" width="11.5703125" style="12" customWidth="1"/>
    <col min="15202" max="15202" width="9.28515625" style="12" customWidth="1"/>
    <col min="15203" max="15203" width="40.42578125" style="12" customWidth="1"/>
    <col min="15204" max="15204" width="51.28515625" style="12" customWidth="1"/>
    <col min="15205" max="15206" width="9.140625" style="12" customWidth="1"/>
    <col min="15207" max="15446" width="9.140625" style="12"/>
    <col min="15447" max="15447" width="24.7109375" style="12" customWidth="1"/>
    <col min="15448" max="15448" width="12" style="12" customWidth="1"/>
    <col min="15449" max="15449" width="9" style="12" customWidth="1"/>
    <col min="15450" max="15453" width="8.7109375" style="12" customWidth="1"/>
    <col min="15454" max="15454" width="8.5703125" style="12" customWidth="1"/>
    <col min="15455" max="15455" width="8.85546875" style="12" customWidth="1"/>
    <col min="15456" max="15457" width="11.5703125" style="12" customWidth="1"/>
    <col min="15458" max="15458" width="9.28515625" style="12" customWidth="1"/>
    <col min="15459" max="15459" width="40.42578125" style="12" customWidth="1"/>
    <col min="15460" max="15460" width="51.28515625" style="12" customWidth="1"/>
    <col min="15461" max="15462" width="9.140625" style="12" customWidth="1"/>
    <col min="15463" max="15702" width="9.140625" style="12"/>
    <col min="15703" max="15703" width="24.7109375" style="12" customWidth="1"/>
    <col min="15704" max="15704" width="12" style="12" customWidth="1"/>
    <col min="15705" max="15705" width="9" style="12" customWidth="1"/>
    <col min="15706" max="15709" width="8.7109375" style="12" customWidth="1"/>
    <col min="15710" max="15710" width="8.5703125" style="12" customWidth="1"/>
    <col min="15711" max="15711" width="8.85546875" style="12" customWidth="1"/>
    <col min="15712" max="15713" width="11.5703125" style="12" customWidth="1"/>
    <col min="15714" max="15714" width="9.28515625" style="12" customWidth="1"/>
    <col min="15715" max="15715" width="40.42578125" style="12" customWidth="1"/>
    <col min="15716" max="15716" width="51.28515625" style="12" customWidth="1"/>
    <col min="15717" max="15718" width="9.140625" style="12" customWidth="1"/>
    <col min="15719" max="15958" width="9.140625" style="12"/>
    <col min="15959" max="15959" width="24.7109375" style="12" customWidth="1"/>
    <col min="15960" max="15960" width="12" style="12" customWidth="1"/>
    <col min="15961" max="15961" width="9" style="12" customWidth="1"/>
    <col min="15962" max="15965" width="8.7109375" style="12" customWidth="1"/>
    <col min="15966" max="15966" width="8.5703125" style="12" customWidth="1"/>
    <col min="15967" max="15967" width="8.85546875" style="12" customWidth="1"/>
    <col min="15968" max="15969" width="11.5703125" style="12" customWidth="1"/>
    <col min="15970" max="15970" width="9.28515625" style="12" customWidth="1"/>
    <col min="15971" max="15971" width="40.42578125" style="12" customWidth="1"/>
    <col min="15972" max="15972" width="51.28515625" style="12" customWidth="1"/>
    <col min="15973" max="15974" width="9.140625" style="12" customWidth="1"/>
    <col min="15975" max="16384" width="9.140625" style="12"/>
  </cols>
  <sheetData>
    <row r="1" spans="1:19" ht="18.75" customHeight="1" x14ac:dyDescent="0.3">
      <c r="A1" s="323" t="s">
        <v>175</v>
      </c>
      <c r="B1" s="323"/>
      <c r="C1" s="323"/>
      <c r="D1" s="323"/>
      <c r="E1" s="323"/>
      <c r="F1" s="323"/>
      <c r="G1" s="323"/>
      <c r="H1" s="323"/>
      <c r="I1" s="290"/>
      <c r="J1" s="290"/>
      <c r="K1" s="290"/>
      <c r="L1" s="290"/>
      <c r="M1" s="290"/>
      <c r="N1" s="290"/>
      <c r="O1" s="290"/>
      <c r="P1" s="290"/>
      <c r="Q1" s="290"/>
      <c r="R1" s="290"/>
      <c r="S1" s="290"/>
    </row>
    <row r="2" spans="1:19" ht="50.25" customHeight="1" x14ac:dyDescent="0.3">
      <c r="A2" s="351" t="s">
        <v>176</v>
      </c>
      <c r="B2" s="351"/>
      <c r="C2" s="351"/>
      <c r="D2" s="351"/>
      <c r="E2" s="351"/>
      <c r="F2" s="351"/>
      <c r="G2" s="351"/>
      <c r="H2" s="351"/>
      <c r="I2" s="291"/>
      <c r="J2" s="291"/>
      <c r="K2" s="291"/>
      <c r="L2" s="291"/>
      <c r="M2" s="291"/>
      <c r="N2" s="291"/>
      <c r="O2" s="291"/>
      <c r="P2" s="291"/>
      <c r="Q2" s="291"/>
      <c r="R2" s="291"/>
      <c r="S2" s="291"/>
    </row>
    <row r="3" spans="1:19" s="7" customFormat="1" ht="26.25" customHeight="1" x14ac:dyDescent="0.3">
      <c r="A3" s="324" t="s">
        <v>13</v>
      </c>
      <c r="B3" s="324"/>
      <c r="C3" s="324"/>
      <c r="D3" s="324"/>
      <c r="E3" s="324"/>
      <c r="F3" s="324"/>
      <c r="G3" s="324"/>
      <c r="H3" s="324"/>
    </row>
    <row r="4" spans="1:19" s="7" customFormat="1" ht="26.25" customHeight="1" x14ac:dyDescent="0.3">
      <c r="A4" s="295"/>
      <c r="B4" s="295"/>
      <c r="C4" s="295"/>
      <c r="D4" s="295"/>
      <c r="E4" s="295"/>
      <c r="F4" s="295"/>
      <c r="G4" s="295"/>
      <c r="H4" s="299" t="s">
        <v>184</v>
      </c>
    </row>
    <row r="5" spans="1:19" s="7" customFormat="1" ht="26.25" customHeight="1" thickBot="1" x14ac:dyDescent="0.35">
      <c r="A5" s="325" t="s">
        <v>189</v>
      </c>
      <c r="B5" s="325"/>
      <c r="C5" s="325"/>
      <c r="D5" s="325"/>
      <c r="E5" s="325"/>
      <c r="F5" s="325"/>
      <c r="G5" s="325"/>
      <c r="H5" s="325"/>
    </row>
    <row r="6" spans="1:19" s="7" customFormat="1" ht="86.25" customHeight="1" x14ac:dyDescent="0.3">
      <c r="A6" s="326" t="s">
        <v>0</v>
      </c>
      <c r="B6" s="354" t="s">
        <v>6</v>
      </c>
      <c r="C6" s="355"/>
      <c r="D6" s="330" t="s">
        <v>1</v>
      </c>
      <c r="E6" s="332" t="s">
        <v>23</v>
      </c>
      <c r="F6" s="334" t="s">
        <v>24</v>
      </c>
      <c r="G6" s="334" t="s">
        <v>19</v>
      </c>
      <c r="H6" s="352" t="s">
        <v>2</v>
      </c>
    </row>
    <row r="7" spans="1:19" s="7" customFormat="1" ht="24" customHeight="1" thickBot="1" x14ac:dyDescent="0.35">
      <c r="A7" s="327"/>
      <c r="B7" s="356"/>
      <c r="C7" s="357"/>
      <c r="D7" s="331"/>
      <c r="E7" s="333"/>
      <c r="F7" s="335"/>
      <c r="G7" s="335"/>
      <c r="H7" s="353"/>
    </row>
    <row r="8" spans="1:19" s="7" customFormat="1" ht="208.5" customHeight="1" thickBot="1" x14ac:dyDescent="0.35">
      <c r="A8" s="55">
        <v>1</v>
      </c>
      <c r="B8" s="343" t="s">
        <v>47</v>
      </c>
      <c r="C8" s="344"/>
      <c r="D8" s="344"/>
      <c r="E8" s="345"/>
      <c r="F8" s="56">
        <f>F9+F15</f>
        <v>1391.4790286231882</v>
      </c>
      <c r="G8" s="57">
        <f>F8/12</f>
        <v>115.95658571859902</v>
      </c>
      <c r="H8" s="64" t="s">
        <v>97</v>
      </c>
    </row>
    <row r="9" spans="1:19" s="21" customFormat="1" ht="45" customHeight="1" thickBot="1" x14ac:dyDescent="0.35">
      <c r="A9" s="62" t="s">
        <v>3</v>
      </c>
      <c r="B9" s="346" t="s">
        <v>48</v>
      </c>
      <c r="C9" s="347"/>
      <c r="D9" s="347"/>
      <c r="E9" s="347"/>
      <c r="F9" s="43">
        <f>SUM(F10:F14)</f>
        <v>753.95608695652163</v>
      </c>
      <c r="G9" s="63">
        <f>F9/12</f>
        <v>62.829673913043472</v>
      </c>
      <c r="H9" s="41"/>
    </row>
    <row r="10" spans="1:19" s="25" customFormat="1" ht="384" customHeight="1" x14ac:dyDescent="0.25">
      <c r="A10" s="180" t="s">
        <v>41</v>
      </c>
      <c r="B10" s="181" t="s">
        <v>10</v>
      </c>
      <c r="C10" s="181" t="s">
        <v>14</v>
      </c>
      <c r="D10" s="182">
        <f>1356.3</f>
        <v>1356.3</v>
      </c>
      <c r="E10" s="183">
        <f>2/'AC prtrets'!C9</f>
        <v>2.1739130434782608E-2</v>
      </c>
      <c r="F10" s="184">
        <f>D10*E10*12</f>
        <v>353.81739130434778</v>
      </c>
      <c r="G10" s="348" t="s">
        <v>20</v>
      </c>
      <c r="H10" s="185" t="s">
        <v>135</v>
      </c>
      <c r="K10" s="6"/>
      <c r="L10" s="6"/>
      <c r="M10" s="6"/>
      <c r="N10" s="6"/>
      <c r="O10" s="6"/>
      <c r="P10" s="6"/>
      <c r="Q10" s="6"/>
      <c r="R10" s="6"/>
    </row>
    <row r="11" spans="1:19" s="25" customFormat="1" ht="396" customHeight="1" x14ac:dyDescent="0.25">
      <c r="A11" s="69" t="s">
        <v>40</v>
      </c>
      <c r="B11" s="179" t="s">
        <v>15</v>
      </c>
      <c r="C11" s="179" t="s">
        <v>14</v>
      </c>
      <c r="D11" s="66">
        <f>1356.3</f>
        <v>1356.3</v>
      </c>
      <c r="E11" s="67">
        <f>1/'AC prtrets'!C9</f>
        <v>1.0869565217391304E-2</v>
      </c>
      <c r="F11" s="68">
        <f>D11*E11*12</f>
        <v>176.90869565217389</v>
      </c>
      <c r="G11" s="349"/>
      <c r="H11" s="76" t="s">
        <v>133</v>
      </c>
      <c r="K11" s="6"/>
      <c r="L11" s="6"/>
      <c r="M11" s="6"/>
      <c r="N11" s="6"/>
      <c r="O11" s="6"/>
      <c r="P11" s="6"/>
      <c r="Q11" s="6"/>
      <c r="R11" s="6"/>
    </row>
    <row r="12" spans="1:19" s="8" customFormat="1" ht="151.5" customHeight="1" x14ac:dyDescent="0.25">
      <c r="A12" s="9" t="s">
        <v>42</v>
      </c>
      <c r="B12" s="18" t="s">
        <v>7</v>
      </c>
      <c r="C12" s="18" t="s">
        <v>9</v>
      </c>
      <c r="D12" s="33">
        <v>23.4</v>
      </c>
      <c r="E12" s="27">
        <v>3</v>
      </c>
      <c r="F12" s="35">
        <f>ROUND(D12*E12,2)</f>
        <v>70.2</v>
      </c>
      <c r="G12" s="349"/>
      <c r="H12" s="28" t="s">
        <v>102</v>
      </c>
      <c r="K12" s="29"/>
      <c r="L12" s="39"/>
      <c r="M12" s="29"/>
      <c r="N12" s="29"/>
      <c r="O12" s="29"/>
      <c r="P12" s="29"/>
      <c r="Q12" s="29"/>
      <c r="R12" s="29"/>
    </row>
    <row r="13" spans="1:19" s="287" customFormat="1" ht="317.25" customHeight="1" x14ac:dyDescent="0.25">
      <c r="A13" s="284" t="s">
        <v>53</v>
      </c>
      <c r="B13" s="285" t="s">
        <v>16</v>
      </c>
      <c r="C13" s="285" t="s">
        <v>17</v>
      </c>
      <c r="D13" s="32">
        <f>175/15*((2+2+2+2+1)/5)</f>
        <v>21</v>
      </c>
      <c r="E13" s="36">
        <v>12</v>
      </c>
      <c r="F13" s="35">
        <f>ROUND(D13*E13,2)/2</f>
        <v>126</v>
      </c>
      <c r="G13" s="349"/>
      <c r="H13" s="286" t="s">
        <v>101</v>
      </c>
      <c r="K13" s="288"/>
      <c r="L13" s="288"/>
      <c r="M13" s="288"/>
      <c r="N13" s="288"/>
      <c r="O13" s="288"/>
      <c r="P13" s="288"/>
      <c r="Q13" s="288"/>
      <c r="R13" s="288"/>
    </row>
    <row r="14" spans="1:19" s="8" customFormat="1" ht="245.25" customHeight="1" thickBot="1" x14ac:dyDescent="0.3">
      <c r="A14" s="10" t="s">
        <v>54</v>
      </c>
      <c r="B14" s="20" t="s">
        <v>51</v>
      </c>
      <c r="C14" s="52" t="s">
        <v>52</v>
      </c>
      <c r="D14" s="53">
        <f>((45.05/3*2)+(45.05/3*2)+(45.05/3*2)+(45.05/3*2)+(45.05/3*1))/5</f>
        <v>27.029999999999994</v>
      </c>
      <c r="E14" s="54">
        <v>1</v>
      </c>
      <c r="F14" s="5">
        <f>D14</f>
        <v>27.029999999999994</v>
      </c>
      <c r="G14" s="350"/>
      <c r="H14" s="4" t="s">
        <v>95</v>
      </c>
      <c r="K14" s="29"/>
      <c r="L14" s="29"/>
      <c r="M14" s="29"/>
      <c r="N14" s="29"/>
      <c r="O14" s="29"/>
      <c r="P14" s="29"/>
      <c r="Q14" s="29"/>
      <c r="R14" s="29"/>
    </row>
    <row r="15" spans="1:19" s="21" customFormat="1" ht="48.75" customHeight="1" thickBot="1" x14ac:dyDescent="0.35">
      <c r="A15" s="62" t="s">
        <v>4</v>
      </c>
      <c r="B15" s="346" t="s">
        <v>49</v>
      </c>
      <c r="C15" s="347"/>
      <c r="D15" s="347"/>
      <c r="E15" s="347"/>
      <c r="F15" s="43">
        <f>SUM(F16:F21)</f>
        <v>637.52294166666661</v>
      </c>
      <c r="G15" s="63">
        <f>F15/12</f>
        <v>53.126911805555551</v>
      </c>
      <c r="H15" s="41"/>
    </row>
    <row r="16" spans="1:19" s="21" customFormat="1" ht="408.75" customHeight="1" x14ac:dyDescent="0.3">
      <c r="A16" s="17" t="s">
        <v>43</v>
      </c>
      <c r="B16" s="74" t="s">
        <v>59</v>
      </c>
      <c r="C16" s="74" t="s">
        <v>14</v>
      </c>
      <c r="D16" s="75">
        <f>1287*1.2409</f>
        <v>1597.0382999999999</v>
      </c>
      <c r="E16" s="65">
        <f>1/'AC prtrets'!C9</f>
        <v>1.0869565217391304E-2</v>
      </c>
      <c r="F16" s="34">
        <f>D16*E16*12</f>
        <v>208.30934347826084</v>
      </c>
      <c r="G16" s="348" t="s">
        <v>20</v>
      </c>
      <c r="H16" s="24" t="s">
        <v>136</v>
      </c>
    </row>
    <row r="17" spans="1:18" s="8" customFormat="1" ht="220.5" customHeight="1" x14ac:dyDescent="0.25">
      <c r="A17" s="69" t="s">
        <v>44</v>
      </c>
      <c r="B17" s="70" t="s">
        <v>26</v>
      </c>
      <c r="C17" s="70" t="s">
        <v>29</v>
      </c>
      <c r="D17" s="71">
        <f>353.82/'AC prtrets'!C9*12</f>
        <v>46.150434782608691</v>
      </c>
      <c r="E17" s="72">
        <v>2</v>
      </c>
      <c r="F17" s="73">
        <f>D17*E17</f>
        <v>92.300869565217383</v>
      </c>
      <c r="G17" s="349"/>
      <c r="H17" s="76" t="s">
        <v>137</v>
      </c>
      <c r="K17" s="29"/>
      <c r="L17" s="29"/>
      <c r="M17" s="29"/>
      <c r="N17" s="29"/>
      <c r="O17" s="29"/>
      <c r="P17" s="29"/>
      <c r="Q17" s="29"/>
      <c r="R17" s="29"/>
    </row>
    <row r="18" spans="1:18" s="8" customFormat="1" ht="186.75" customHeight="1" x14ac:dyDescent="0.25">
      <c r="A18" s="9" t="s">
        <v>45</v>
      </c>
      <c r="B18" s="18" t="s">
        <v>27</v>
      </c>
      <c r="C18" s="18" t="s">
        <v>28</v>
      </c>
      <c r="D18" s="3">
        <v>0.09</v>
      </c>
      <c r="E18" s="27">
        <v>300</v>
      </c>
      <c r="F18" s="35">
        <f t="shared" ref="F18:F21" si="0">D18*E18</f>
        <v>27</v>
      </c>
      <c r="G18" s="349"/>
      <c r="H18" s="28" t="s">
        <v>90</v>
      </c>
      <c r="K18" s="29"/>
      <c r="L18" s="29"/>
      <c r="M18" s="29"/>
      <c r="N18" s="29"/>
      <c r="O18" s="29"/>
      <c r="P18" s="29"/>
      <c r="Q18" s="29"/>
      <c r="R18" s="29"/>
    </row>
    <row r="19" spans="1:18" s="8" customFormat="1" ht="254.25" customHeight="1" x14ac:dyDescent="0.25">
      <c r="A19" s="9" t="s">
        <v>46</v>
      </c>
      <c r="B19" s="18" t="s">
        <v>32</v>
      </c>
      <c r="C19" s="18" t="s">
        <v>29</v>
      </c>
      <c r="D19" s="3">
        <f>E19*12/'AC prtrets'!C9</f>
        <v>0.65217391304347827</v>
      </c>
      <c r="E19" s="27">
        <v>5</v>
      </c>
      <c r="F19" s="35">
        <f>D19*E19</f>
        <v>3.2608695652173916</v>
      </c>
      <c r="G19" s="349"/>
      <c r="H19" s="28" t="s">
        <v>207</v>
      </c>
      <c r="K19" s="29"/>
      <c r="L19" s="39"/>
      <c r="M19" s="29"/>
      <c r="N19" s="29"/>
      <c r="O19" s="29"/>
      <c r="P19" s="29"/>
      <c r="Q19" s="29"/>
      <c r="R19" s="29"/>
    </row>
    <row r="20" spans="1:18" s="8" customFormat="1" ht="384.75" customHeight="1" x14ac:dyDescent="0.25">
      <c r="A20" s="9" t="s">
        <v>58</v>
      </c>
      <c r="B20" s="18" t="s">
        <v>92</v>
      </c>
      <c r="C20" s="18" t="s">
        <v>29</v>
      </c>
      <c r="D20" s="186">
        <f>(430*1.2409*12*3.3)+(430*1.2409/168*360)+(430*1.2409/168*0.5*2920)</f>
        <v>26910.57103333333</v>
      </c>
      <c r="E20" s="27">
        <v>1</v>
      </c>
      <c r="F20" s="35">
        <f>D20*E20/'AC prtrets'!C9</f>
        <v>292.50620688405792</v>
      </c>
      <c r="G20" s="349"/>
      <c r="H20" s="37" t="s">
        <v>138</v>
      </c>
      <c r="K20" s="29"/>
      <c r="L20" s="29"/>
      <c r="M20" s="29"/>
      <c r="N20" s="29"/>
      <c r="O20" s="29"/>
      <c r="P20" s="29"/>
      <c r="Q20" s="29"/>
      <c r="R20" s="29"/>
    </row>
    <row r="21" spans="1:18" s="25" customFormat="1" ht="408.75" customHeight="1" thickBot="1" x14ac:dyDescent="0.3">
      <c r="A21" s="16" t="s">
        <v>91</v>
      </c>
      <c r="B21" s="19" t="s">
        <v>21</v>
      </c>
      <c r="C21" s="19" t="s">
        <v>22</v>
      </c>
      <c r="D21" s="14">
        <f>1301.4/E21/'AC prtrets'!C9</f>
        <v>3.536413043478261</v>
      </c>
      <c r="E21" s="23">
        <v>4</v>
      </c>
      <c r="F21" s="26">
        <f t="shared" si="0"/>
        <v>14.145652173913044</v>
      </c>
      <c r="G21" s="350"/>
      <c r="H21" s="4" t="s">
        <v>139</v>
      </c>
      <c r="K21" s="6"/>
      <c r="L21" s="6"/>
      <c r="M21" s="6"/>
      <c r="N21" s="6"/>
      <c r="O21" s="6"/>
      <c r="P21" s="6"/>
      <c r="Q21" s="6"/>
      <c r="R21" s="6"/>
    </row>
    <row r="22" spans="1:18" s="8" customFormat="1" ht="332.25" customHeight="1" thickBot="1" x14ac:dyDescent="0.3">
      <c r="A22" s="55">
        <v>2</v>
      </c>
      <c r="B22" s="343" t="s">
        <v>5</v>
      </c>
      <c r="C22" s="344"/>
      <c r="D22" s="344"/>
      <c r="E22" s="345"/>
      <c r="F22" s="56">
        <f>F8*0.1</f>
        <v>139.14790286231883</v>
      </c>
      <c r="G22" s="57">
        <f>F22/12</f>
        <v>11.595658571859902</v>
      </c>
      <c r="H22" s="58" t="s">
        <v>18</v>
      </c>
      <c r="K22" s="29"/>
      <c r="L22" s="29"/>
      <c r="M22" s="29"/>
      <c r="N22" s="29"/>
      <c r="O22" s="29"/>
      <c r="P22" s="29"/>
      <c r="Q22" s="29"/>
      <c r="R22" s="29"/>
    </row>
    <row r="23" spans="1:18" s="38" customFormat="1" ht="39.75" customHeight="1" thickBot="1" x14ac:dyDescent="0.3">
      <c r="A23" s="59">
        <v>3</v>
      </c>
      <c r="B23" s="340" t="s">
        <v>50</v>
      </c>
      <c r="C23" s="341"/>
      <c r="D23" s="341"/>
      <c r="E23" s="342"/>
      <c r="F23" s="60">
        <f>F8+F22</f>
        <v>1530.6269314855072</v>
      </c>
      <c r="G23" s="60">
        <f>F23/12</f>
        <v>127.55224429045893</v>
      </c>
      <c r="H23" s="61"/>
      <c r="K23" s="29"/>
      <c r="L23" s="29"/>
      <c r="M23" s="29"/>
      <c r="N23" s="29"/>
      <c r="O23" s="29"/>
      <c r="P23" s="29"/>
      <c r="Q23" s="29"/>
      <c r="R23" s="29"/>
    </row>
    <row r="25" spans="1:18" ht="15" customHeight="1" x14ac:dyDescent="0.3">
      <c r="A25" s="178"/>
    </row>
    <row r="26" spans="1:18" ht="17.25" customHeight="1" x14ac:dyDescent="0.3">
      <c r="A26" s="178"/>
    </row>
    <row r="27" spans="1:18" ht="15" customHeight="1" x14ac:dyDescent="0.3">
      <c r="A27" s="178"/>
    </row>
    <row r="28" spans="1:18" ht="15" customHeight="1" x14ac:dyDescent="0.3">
      <c r="A28" s="178"/>
    </row>
    <row r="29" spans="1:18" ht="32.25" customHeight="1" x14ac:dyDescent="0.3">
      <c r="A29" s="178"/>
      <c r="H29" s="299" t="s">
        <v>185</v>
      </c>
    </row>
    <row r="30" spans="1:18" s="7" customFormat="1" ht="26.25" customHeight="1" x14ac:dyDescent="0.3">
      <c r="A30" s="324" t="s">
        <v>13</v>
      </c>
      <c r="B30" s="324"/>
      <c r="C30" s="324"/>
      <c r="D30" s="324"/>
      <c r="E30" s="324"/>
      <c r="F30" s="324"/>
      <c r="G30" s="324"/>
      <c r="H30" s="324"/>
    </row>
    <row r="31" spans="1:18" s="7" customFormat="1" ht="42" customHeight="1" thickBot="1" x14ac:dyDescent="0.35">
      <c r="A31" s="325" t="s">
        <v>190</v>
      </c>
      <c r="B31" s="325"/>
      <c r="C31" s="325"/>
      <c r="D31" s="325"/>
      <c r="E31" s="325"/>
      <c r="F31" s="325"/>
      <c r="G31" s="325"/>
      <c r="H31" s="325"/>
    </row>
    <row r="32" spans="1:18" s="7" customFormat="1" ht="67.5" customHeight="1" x14ac:dyDescent="0.3">
      <c r="A32" s="326" t="s">
        <v>0</v>
      </c>
      <c r="B32" s="328" t="s">
        <v>6</v>
      </c>
      <c r="C32" s="328" t="s">
        <v>8</v>
      </c>
      <c r="D32" s="330" t="s">
        <v>1</v>
      </c>
      <c r="E32" s="332" t="s">
        <v>180</v>
      </c>
      <c r="F32" s="334" t="s">
        <v>181</v>
      </c>
      <c r="G32" s="336" t="s">
        <v>11</v>
      </c>
      <c r="H32" s="337"/>
    </row>
    <row r="33" spans="1:8" s="7" customFormat="1" ht="24" customHeight="1" thickBot="1" x14ac:dyDescent="0.35">
      <c r="A33" s="327"/>
      <c r="B33" s="329"/>
      <c r="C33" s="329"/>
      <c r="D33" s="331"/>
      <c r="E33" s="333"/>
      <c r="F33" s="335"/>
      <c r="G33" s="338"/>
      <c r="H33" s="339"/>
    </row>
    <row r="34" spans="1:8" s="21" customFormat="1" ht="139.5" customHeight="1" thickBot="1" x14ac:dyDescent="0.35">
      <c r="A34" s="47">
        <v>1</v>
      </c>
      <c r="B34" s="306" t="s">
        <v>47</v>
      </c>
      <c r="C34" s="307"/>
      <c r="D34" s="307"/>
      <c r="E34" s="307"/>
      <c r="F34" s="44">
        <f>F35+F38</f>
        <v>175</v>
      </c>
      <c r="G34" s="321" t="s">
        <v>204</v>
      </c>
      <c r="H34" s="309"/>
    </row>
    <row r="35" spans="1:8" s="21" customFormat="1" ht="48.75" customHeight="1" thickBot="1" x14ac:dyDescent="0.35">
      <c r="A35" s="45" t="s">
        <v>3</v>
      </c>
      <c r="B35" s="317" t="s">
        <v>48</v>
      </c>
      <c r="C35" s="318"/>
      <c r="D35" s="318"/>
      <c r="E35" s="318"/>
      <c r="F35" s="46">
        <f>SUM(F36:F37)</f>
        <v>175</v>
      </c>
      <c r="G35" s="319"/>
      <c r="H35" s="320"/>
    </row>
    <row r="36" spans="1:8" s="8" customFormat="1" ht="104.25" hidden="1" customHeight="1" x14ac:dyDescent="0.25">
      <c r="A36" s="42" t="s">
        <v>41</v>
      </c>
      <c r="B36" s="20" t="s">
        <v>7</v>
      </c>
      <c r="C36" s="20" t="s">
        <v>57</v>
      </c>
      <c r="D36" s="15"/>
      <c r="E36" s="22">
        <v>1</v>
      </c>
      <c r="F36" s="26">
        <f>D36*E36</f>
        <v>0</v>
      </c>
      <c r="G36" s="322" t="s">
        <v>25</v>
      </c>
      <c r="H36" s="305"/>
    </row>
    <row r="37" spans="1:8" s="8" customFormat="1" ht="117" customHeight="1" thickBot="1" x14ac:dyDescent="0.3">
      <c r="A37" s="292" t="s">
        <v>41</v>
      </c>
      <c r="B37" s="293" t="s">
        <v>201</v>
      </c>
      <c r="C37" s="293" t="s">
        <v>202</v>
      </c>
      <c r="D37" s="14">
        <v>175</v>
      </c>
      <c r="E37" s="23">
        <v>1</v>
      </c>
      <c r="F37" s="26">
        <f>D37*E37</f>
        <v>175</v>
      </c>
      <c r="G37" s="315" t="s">
        <v>179</v>
      </c>
      <c r="H37" s="316"/>
    </row>
    <row r="38" spans="1:8" s="21" customFormat="1" ht="23.25" hidden="1" customHeight="1" x14ac:dyDescent="0.3">
      <c r="A38" s="45" t="s">
        <v>4</v>
      </c>
      <c r="B38" s="317" t="s">
        <v>49</v>
      </c>
      <c r="C38" s="318"/>
      <c r="D38" s="318"/>
      <c r="E38" s="318"/>
      <c r="F38" s="46">
        <f>SUM(F39:F42)</f>
        <v>0</v>
      </c>
      <c r="G38" s="319"/>
      <c r="H38" s="320"/>
    </row>
    <row r="39" spans="1:8" s="8" customFormat="1" ht="93.75" hidden="1" customHeight="1" x14ac:dyDescent="0.25">
      <c r="A39" s="16" t="s">
        <v>43</v>
      </c>
      <c r="B39" s="19" t="s">
        <v>26</v>
      </c>
      <c r="C39" s="19" t="s">
        <v>29</v>
      </c>
      <c r="D39" s="14"/>
      <c r="E39" s="23">
        <v>1</v>
      </c>
      <c r="F39" s="26">
        <f>D39*E39</f>
        <v>0</v>
      </c>
      <c r="G39" s="304" t="s">
        <v>30</v>
      </c>
      <c r="H39" s="305"/>
    </row>
    <row r="40" spans="1:8" s="8" customFormat="1" ht="71.25" hidden="1" customHeight="1" x14ac:dyDescent="0.25">
      <c r="A40" s="16" t="s">
        <v>44</v>
      </c>
      <c r="B40" s="19" t="s">
        <v>27</v>
      </c>
      <c r="C40" s="19" t="s">
        <v>28</v>
      </c>
      <c r="D40" s="14"/>
      <c r="E40" s="23">
        <v>600</v>
      </c>
      <c r="F40" s="26">
        <f t="shared" ref="F40:F42" si="1">D40*E40</f>
        <v>0</v>
      </c>
      <c r="G40" s="304" t="s">
        <v>31</v>
      </c>
      <c r="H40" s="305"/>
    </row>
    <row r="41" spans="1:8" s="8" customFormat="1" ht="84.75" hidden="1" customHeight="1" x14ac:dyDescent="0.25">
      <c r="A41" s="16" t="s">
        <v>45</v>
      </c>
      <c r="B41" s="19" t="s">
        <v>32</v>
      </c>
      <c r="C41" s="19" t="s">
        <v>29</v>
      </c>
      <c r="D41" s="14"/>
      <c r="E41" s="23">
        <v>2</v>
      </c>
      <c r="F41" s="26">
        <f t="shared" si="1"/>
        <v>0</v>
      </c>
      <c r="G41" s="304" t="s">
        <v>33</v>
      </c>
      <c r="H41" s="305"/>
    </row>
    <row r="42" spans="1:8" s="8" customFormat="1" ht="315" hidden="1" customHeight="1" x14ac:dyDescent="0.25">
      <c r="A42" s="16" t="s">
        <v>46</v>
      </c>
      <c r="B42" s="19" t="s">
        <v>21</v>
      </c>
      <c r="C42" s="19" t="s">
        <v>22</v>
      </c>
      <c r="D42" s="14"/>
      <c r="E42" s="23">
        <v>3</v>
      </c>
      <c r="F42" s="26">
        <f t="shared" si="1"/>
        <v>0</v>
      </c>
      <c r="G42" s="304" t="s">
        <v>34</v>
      </c>
      <c r="H42" s="305"/>
    </row>
    <row r="43" spans="1:8" s="8" customFormat="1" ht="270.75" customHeight="1" thickBot="1" x14ac:dyDescent="0.3">
      <c r="A43" s="47">
        <v>2</v>
      </c>
      <c r="B43" s="306" t="s">
        <v>203</v>
      </c>
      <c r="C43" s="307"/>
      <c r="D43" s="307"/>
      <c r="E43" s="307"/>
      <c r="F43" s="44">
        <f>F34*0.1</f>
        <v>17.5</v>
      </c>
      <c r="G43" s="308" t="s">
        <v>12</v>
      </c>
      <c r="H43" s="309"/>
    </row>
    <row r="44" spans="1:8" s="38" customFormat="1" ht="42.75" customHeight="1" thickBot="1" x14ac:dyDescent="0.3">
      <c r="A44" s="50">
        <v>3</v>
      </c>
      <c r="B44" s="310" t="s">
        <v>50</v>
      </c>
      <c r="C44" s="311"/>
      <c r="D44" s="311"/>
      <c r="E44" s="312"/>
      <c r="F44" s="51">
        <f>F34+F43</f>
        <v>192.5</v>
      </c>
      <c r="G44" s="313"/>
      <c r="H44" s="314"/>
    </row>
    <row r="47" spans="1:8" s="7" customFormat="1" x14ac:dyDescent="0.3">
      <c r="A47" s="1"/>
      <c r="D47" s="2"/>
      <c r="E47" s="2"/>
      <c r="F47" s="2"/>
      <c r="G47" s="2"/>
      <c r="H47" s="2"/>
    </row>
    <row r="48" spans="1:8" s="7" customFormat="1" x14ac:dyDescent="0.3">
      <c r="A48" s="297" t="s">
        <v>125</v>
      </c>
      <c r="D48" s="2"/>
      <c r="E48" s="2"/>
      <c r="F48" s="2"/>
      <c r="G48" s="2"/>
      <c r="H48" s="2"/>
    </row>
    <row r="49" spans="1:8" s="7" customFormat="1" x14ac:dyDescent="0.3">
      <c r="A49" s="298" t="s">
        <v>186</v>
      </c>
      <c r="D49" s="2"/>
      <c r="E49" s="2"/>
      <c r="F49" s="2"/>
      <c r="G49" s="2"/>
      <c r="H49" s="2"/>
    </row>
    <row r="50" spans="1:8" s="7" customFormat="1" x14ac:dyDescent="0.3">
      <c r="A50" s="303">
        <v>64331831</v>
      </c>
      <c r="B50" s="303"/>
      <c r="D50" s="2"/>
      <c r="E50" s="2"/>
      <c r="F50" s="2"/>
      <c r="G50" s="2"/>
      <c r="H50" s="2"/>
    </row>
  </sheetData>
  <mergeCells count="44">
    <mergeCell ref="A2:H2"/>
    <mergeCell ref="G16:G21"/>
    <mergeCell ref="A3:H3"/>
    <mergeCell ref="A5:H5"/>
    <mergeCell ref="A6:A7"/>
    <mergeCell ref="D6:D7"/>
    <mergeCell ref="E6:E7"/>
    <mergeCell ref="F6:F7"/>
    <mergeCell ref="G6:G7"/>
    <mergeCell ref="H6:H7"/>
    <mergeCell ref="B6:C7"/>
    <mergeCell ref="A1:H1"/>
    <mergeCell ref="A30:H30"/>
    <mergeCell ref="A31:H31"/>
    <mergeCell ref="A32:A33"/>
    <mergeCell ref="B32:B33"/>
    <mergeCell ref="C32:C33"/>
    <mergeCell ref="D32:D33"/>
    <mergeCell ref="E32:E33"/>
    <mergeCell ref="F32:F33"/>
    <mergeCell ref="G32:H33"/>
    <mergeCell ref="B23:E23"/>
    <mergeCell ref="B8:E8"/>
    <mergeCell ref="B9:E9"/>
    <mergeCell ref="G10:G14"/>
    <mergeCell ref="B15:E15"/>
    <mergeCell ref="B22:E22"/>
    <mergeCell ref="B34:E34"/>
    <mergeCell ref="G34:H34"/>
    <mergeCell ref="B35:E35"/>
    <mergeCell ref="G35:H35"/>
    <mergeCell ref="G36:H36"/>
    <mergeCell ref="G37:H37"/>
    <mergeCell ref="B38:E38"/>
    <mergeCell ref="G38:H38"/>
    <mergeCell ref="G39:H39"/>
    <mergeCell ref="G40:H40"/>
    <mergeCell ref="A50:B50"/>
    <mergeCell ref="G41:H41"/>
    <mergeCell ref="G42:H42"/>
    <mergeCell ref="B43:E43"/>
    <mergeCell ref="G43:H43"/>
    <mergeCell ref="B44:E44"/>
    <mergeCell ref="G44:H44"/>
  </mergeCells>
  <hyperlinks>
    <hyperlink ref="A49" r:id="rId1"/>
  </hyperlinks>
  <pageMargins left="1.1023622047244095" right="0.31496062992125984" top="0.74803149606299213" bottom="0.74803149606299213" header="0.31496062992125984" footer="0.31496062992125984"/>
  <pageSetup paperSize="9" scale="49" fitToHeight="0" orientation="portrait"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54"/>
  <sheetViews>
    <sheetView zoomScale="60" zoomScaleNormal="60" workbookViewId="0">
      <pane ySplit="1" topLeftCell="A47" activePane="bottomLeft" state="frozen"/>
      <selection pane="bottomLeft" activeCell="N9" sqref="N9"/>
    </sheetView>
  </sheetViews>
  <sheetFormatPr defaultRowHeight="18.75" x14ac:dyDescent="0.3"/>
  <cols>
    <col min="1" max="1" width="7.7109375" style="1" customWidth="1"/>
    <col min="2" max="2" width="14.7109375" style="7" customWidth="1"/>
    <col min="3" max="3" width="10.140625" style="7" customWidth="1"/>
    <col min="4" max="4" width="11.85546875" style="2" customWidth="1"/>
    <col min="5" max="5" width="10.140625" style="2" customWidth="1"/>
    <col min="6" max="6" width="12.85546875" style="2" customWidth="1"/>
    <col min="7" max="7" width="11.7109375" style="2" customWidth="1"/>
    <col min="8" max="8" width="97.7109375" style="13" customWidth="1"/>
    <col min="9" max="10" width="9.140625" style="12"/>
    <col min="11" max="11" width="15.140625" style="12" bestFit="1" customWidth="1"/>
    <col min="12" max="12" width="16.85546875" style="12" bestFit="1" customWidth="1"/>
    <col min="13" max="86" width="9.140625" style="12"/>
    <col min="87" max="87" width="24.7109375" style="12" customWidth="1"/>
    <col min="88" max="88" width="12" style="12" customWidth="1"/>
    <col min="89" max="89" width="9" style="12" customWidth="1"/>
    <col min="90" max="93" width="8.7109375" style="12" customWidth="1"/>
    <col min="94" max="94" width="8.5703125" style="12" customWidth="1"/>
    <col min="95" max="95" width="8.85546875" style="12" customWidth="1"/>
    <col min="96" max="97" width="11.5703125" style="12" customWidth="1"/>
    <col min="98" max="98" width="9.28515625" style="12" customWidth="1"/>
    <col min="99" max="99" width="40.42578125" style="12" customWidth="1"/>
    <col min="100" max="100" width="51.28515625" style="12" customWidth="1"/>
    <col min="101" max="102" width="9.140625" style="12" customWidth="1"/>
    <col min="103" max="342" width="9.140625" style="12"/>
    <col min="343" max="343" width="24.7109375" style="12" customWidth="1"/>
    <col min="344" max="344" width="12" style="12" customWidth="1"/>
    <col min="345" max="345" width="9" style="12" customWidth="1"/>
    <col min="346" max="349" width="8.7109375" style="12" customWidth="1"/>
    <col min="350" max="350" width="8.5703125" style="12" customWidth="1"/>
    <col min="351" max="351" width="8.85546875" style="12" customWidth="1"/>
    <col min="352" max="353" width="11.5703125" style="12" customWidth="1"/>
    <col min="354" max="354" width="9.28515625" style="12" customWidth="1"/>
    <col min="355" max="355" width="40.42578125" style="12" customWidth="1"/>
    <col min="356" max="356" width="51.28515625" style="12" customWidth="1"/>
    <col min="357" max="358" width="9.140625" style="12" customWidth="1"/>
    <col min="359" max="598" width="9.140625" style="12"/>
    <col min="599" max="599" width="24.7109375" style="12" customWidth="1"/>
    <col min="600" max="600" width="12" style="12" customWidth="1"/>
    <col min="601" max="601" width="9" style="12" customWidth="1"/>
    <col min="602" max="605" width="8.7109375" style="12" customWidth="1"/>
    <col min="606" max="606" width="8.5703125" style="12" customWidth="1"/>
    <col min="607" max="607" width="8.85546875" style="12" customWidth="1"/>
    <col min="608" max="609" width="11.5703125" style="12" customWidth="1"/>
    <col min="610" max="610" width="9.28515625" style="12" customWidth="1"/>
    <col min="611" max="611" width="40.42578125" style="12" customWidth="1"/>
    <col min="612" max="612" width="51.28515625" style="12" customWidth="1"/>
    <col min="613" max="614" width="9.140625" style="12" customWidth="1"/>
    <col min="615" max="854" width="9.140625" style="12"/>
    <col min="855" max="855" width="24.7109375" style="12" customWidth="1"/>
    <col min="856" max="856" width="12" style="12" customWidth="1"/>
    <col min="857" max="857" width="9" style="12" customWidth="1"/>
    <col min="858" max="861" width="8.7109375" style="12" customWidth="1"/>
    <col min="862" max="862" width="8.5703125" style="12" customWidth="1"/>
    <col min="863" max="863" width="8.85546875" style="12" customWidth="1"/>
    <col min="864" max="865" width="11.5703125" style="12" customWidth="1"/>
    <col min="866" max="866" width="9.28515625" style="12" customWidth="1"/>
    <col min="867" max="867" width="40.42578125" style="12" customWidth="1"/>
    <col min="868" max="868" width="51.28515625" style="12" customWidth="1"/>
    <col min="869" max="870" width="9.140625" style="12" customWidth="1"/>
    <col min="871" max="1110" width="9.140625" style="12"/>
    <col min="1111" max="1111" width="24.7109375" style="12" customWidth="1"/>
    <col min="1112" max="1112" width="12" style="12" customWidth="1"/>
    <col min="1113" max="1113" width="9" style="12" customWidth="1"/>
    <col min="1114" max="1117" width="8.7109375" style="12" customWidth="1"/>
    <col min="1118" max="1118" width="8.5703125" style="12" customWidth="1"/>
    <col min="1119" max="1119" width="8.85546875" style="12" customWidth="1"/>
    <col min="1120" max="1121" width="11.5703125" style="12" customWidth="1"/>
    <col min="1122" max="1122" width="9.28515625" style="12" customWidth="1"/>
    <col min="1123" max="1123" width="40.42578125" style="12" customWidth="1"/>
    <col min="1124" max="1124" width="51.28515625" style="12" customWidth="1"/>
    <col min="1125" max="1126" width="9.140625" style="12" customWidth="1"/>
    <col min="1127" max="1366" width="9.140625" style="12"/>
    <col min="1367" max="1367" width="24.7109375" style="12" customWidth="1"/>
    <col min="1368" max="1368" width="12" style="12" customWidth="1"/>
    <col min="1369" max="1369" width="9" style="12" customWidth="1"/>
    <col min="1370" max="1373" width="8.7109375" style="12" customWidth="1"/>
    <col min="1374" max="1374" width="8.5703125" style="12" customWidth="1"/>
    <col min="1375" max="1375" width="8.85546875" style="12" customWidth="1"/>
    <col min="1376" max="1377" width="11.5703125" style="12" customWidth="1"/>
    <col min="1378" max="1378" width="9.28515625" style="12" customWidth="1"/>
    <col min="1379" max="1379" width="40.42578125" style="12" customWidth="1"/>
    <col min="1380" max="1380" width="51.28515625" style="12" customWidth="1"/>
    <col min="1381" max="1382" width="9.140625" style="12" customWidth="1"/>
    <col min="1383" max="1622" width="9.140625" style="12"/>
    <col min="1623" max="1623" width="24.7109375" style="12" customWidth="1"/>
    <col min="1624" max="1624" width="12" style="12" customWidth="1"/>
    <col min="1625" max="1625" width="9" style="12" customWidth="1"/>
    <col min="1626" max="1629" width="8.7109375" style="12" customWidth="1"/>
    <col min="1630" max="1630" width="8.5703125" style="12" customWidth="1"/>
    <col min="1631" max="1631" width="8.85546875" style="12" customWidth="1"/>
    <col min="1632" max="1633" width="11.5703125" style="12" customWidth="1"/>
    <col min="1634" max="1634" width="9.28515625" style="12" customWidth="1"/>
    <col min="1635" max="1635" width="40.42578125" style="12" customWidth="1"/>
    <col min="1636" max="1636" width="51.28515625" style="12" customWidth="1"/>
    <col min="1637" max="1638" width="9.140625" style="12" customWidth="1"/>
    <col min="1639" max="1878" width="9.140625" style="12"/>
    <col min="1879" max="1879" width="24.7109375" style="12" customWidth="1"/>
    <col min="1880" max="1880" width="12" style="12" customWidth="1"/>
    <col min="1881" max="1881" width="9" style="12" customWidth="1"/>
    <col min="1882" max="1885" width="8.7109375" style="12" customWidth="1"/>
    <col min="1886" max="1886" width="8.5703125" style="12" customWidth="1"/>
    <col min="1887" max="1887" width="8.85546875" style="12" customWidth="1"/>
    <col min="1888" max="1889" width="11.5703125" style="12" customWidth="1"/>
    <col min="1890" max="1890" width="9.28515625" style="12" customWidth="1"/>
    <col min="1891" max="1891" width="40.42578125" style="12" customWidth="1"/>
    <col min="1892" max="1892" width="51.28515625" style="12" customWidth="1"/>
    <col min="1893" max="1894" width="9.140625" style="12" customWidth="1"/>
    <col min="1895" max="2134" width="9.140625" style="12"/>
    <col min="2135" max="2135" width="24.7109375" style="12" customWidth="1"/>
    <col min="2136" max="2136" width="12" style="12" customWidth="1"/>
    <col min="2137" max="2137" width="9" style="12" customWidth="1"/>
    <col min="2138" max="2141" width="8.7109375" style="12" customWidth="1"/>
    <col min="2142" max="2142" width="8.5703125" style="12" customWidth="1"/>
    <col min="2143" max="2143" width="8.85546875" style="12" customWidth="1"/>
    <col min="2144" max="2145" width="11.5703125" style="12" customWidth="1"/>
    <col min="2146" max="2146" width="9.28515625" style="12" customWidth="1"/>
    <col min="2147" max="2147" width="40.42578125" style="12" customWidth="1"/>
    <col min="2148" max="2148" width="51.28515625" style="12" customWidth="1"/>
    <col min="2149" max="2150" width="9.140625" style="12" customWidth="1"/>
    <col min="2151" max="2390" width="9.140625" style="12"/>
    <col min="2391" max="2391" width="24.7109375" style="12" customWidth="1"/>
    <col min="2392" max="2392" width="12" style="12" customWidth="1"/>
    <col min="2393" max="2393" width="9" style="12" customWidth="1"/>
    <col min="2394" max="2397" width="8.7109375" style="12" customWidth="1"/>
    <col min="2398" max="2398" width="8.5703125" style="12" customWidth="1"/>
    <col min="2399" max="2399" width="8.85546875" style="12" customWidth="1"/>
    <col min="2400" max="2401" width="11.5703125" style="12" customWidth="1"/>
    <col min="2402" max="2402" width="9.28515625" style="12" customWidth="1"/>
    <col min="2403" max="2403" width="40.42578125" style="12" customWidth="1"/>
    <col min="2404" max="2404" width="51.28515625" style="12" customWidth="1"/>
    <col min="2405" max="2406" width="9.140625" style="12" customWidth="1"/>
    <col min="2407" max="2646" width="9.140625" style="12"/>
    <col min="2647" max="2647" width="24.7109375" style="12" customWidth="1"/>
    <col min="2648" max="2648" width="12" style="12" customWidth="1"/>
    <col min="2649" max="2649" width="9" style="12" customWidth="1"/>
    <col min="2650" max="2653" width="8.7109375" style="12" customWidth="1"/>
    <col min="2654" max="2654" width="8.5703125" style="12" customWidth="1"/>
    <col min="2655" max="2655" width="8.85546875" style="12" customWidth="1"/>
    <col min="2656" max="2657" width="11.5703125" style="12" customWidth="1"/>
    <col min="2658" max="2658" width="9.28515625" style="12" customWidth="1"/>
    <col min="2659" max="2659" width="40.42578125" style="12" customWidth="1"/>
    <col min="2660" max="2660" width="51.28515625" style="12" customWidth="1"/>
    <col min="2661" max="2662" width="9.140625" style="12" customWidth="1"/>
    <col min="2663" max="2902" width="9.140625" style="12"/>
    <col min="2903" max="2903" width="24.7109375" style="12" customWidth="1"/>
    <col min="2904" max="2904" width="12" style="12" customWidth="1"/>
    <col min="2905" max="2905" width="9" style="12" customWidth="1"/>
    <col min="2906" max="2909" width="8.7109375" style="12" customWidth="1"/>
    <col min="2910" max="2910" width="8.5703125" style="12" customWidth="1"/>
    <col min="2911" max="2911" width="8.85546875" style="12" customWidth="1"/>
    <col min="2912" max="2913" width="11.5703125" style="12" customWidth="1"/>
    <col min="2914" max="2914" width="9.28515625" style="12" customWidth="1"/>
    <col min="2915" max="2915" width="40.42578125" style="12" customWidth="1"/>
    <col min="2916" max="2916" width="51.28515625" style="12" customWidth="1"/>
    <col min="2917" max="2918" width="9.140625" style="12" customWidth="1"/>
    <col min="2919" max="3158" width="9.140625" style="12"/>
    <col min="3159" max="3159" width="24.7109375" style="12" customWidth="1"/>
    <col min="3160" max="3160" width="12" style="12" customWidth="1"/>
    <col min="3161" max="3161" width="9" style="12" customWidth="1"/>
    <col min="3162" max="3165" width="8.7109375" style="12" customWidth="1"/>
    <col min="3166" max="3166" width="8.5703125" style="12" customWidth="1"/>
    <col min="3167" max="3167" width="8.85546875" style="12" customWidth="1"/>
    <col min="3168" max="3169" width="11.5703125" style="12" customWidth="1"/>
    <col min="3170" max="3170" width="9.28515625" style="12" customWidth="1"/>
    <col min="3171" max="3171" width="40.42578125" style="12" customWidth="1"/>
    <col min="3172" max="3172" width="51.28515625" style="12" customWidth="1"/>
    <col min="3173" max="3174" width="9.140625" style="12" customWidth="1"/>
    <col min="3175" max="3414" width="9.140625" style="12"/>
    <col min="3415" max="3415" width="24.7109375" style="12" customWidth="1"/>
    <col min="3416" max="3416" width="12" style="12" customWidth="1"/>
    <col min="3417" max="3417" width="9" style="12" customWidth="1"/>
    <col min="3418" max="3421" width="8.7109375" style="12" customWidth="1"/>
    <col min="3422" max="3422" width="8.5703125" style="12" customWidth="1"/>
    <col min="3423" max="3423" width="8.85546875" style="12" customWidth="1"/>
    <col min="3424" max="3425" width="11.5703125" style="12" customWidth="1"/>
    <col min="3426" max="3426" width="9.28515625" style="12" customWidth="1"/>
    <col min="3427" max="3427" width="40.42578125" style="12" customWidth="1"/>
    <col min="3428" max="3428" width="51.28515625" style="12" customWidth="1"/>
    <col min="3429" max="3430" width="9.140625" style="12" customWidth="1"/>
    <col min="3431" max="3670" width="9.140625" style="12"/>
    <col min="3671" max="3671" width="24.7109375" style="12" customWidth="1"/>
    <col min="3672" max="3672" width="12" style="12" customWidth="1"/>
    <col min="3673" max="3673" width="9" style="12" customWidth="1"/>
    <col min="3674" max="3677" width="8.7109375" style="12" customWidth="1"/>
    <col min="3678" max="3678" width="8.5703125" style="12" customWidth="1"/>
    <col min="3679" max="3679" width="8.85546875" style="12" customWidth="1"/>
    <col min="3680" max="3681" width="11.5703125" style="12" customWidth="1"/>
    <col min="3682" max="3682" width="9.28515625" style="12" customWidth="1"/>
    <col min="3683" max="3683" width="40.42578125" style="12" customWidth="1"/>
    <col min="3684" max="3684" width="51.28515625" style="12" customWidth="1"/>
    <col min="3685" max="3686" width="9.140625" style="12" customWidth="1"/>
    <col min="3687" max="3926" width="9.140625" style="12"/>
    <col min="3927" max="3927" width="24.7109375" style="12" customWidth="1"/>
    <col min="3928" max="3928" width="12" style="12" customWidth="1"/>
    <col min="3929" max="3929" width="9" style="12" customWidth="1"/>
    <col min="3930" max="3933" width="8.7109375" style="12" customWidth="1"/>
    <col min="3934" max="3934" width="8.5703125" style="12" customWidth="1"/>
    <col min="3935" max="3935" width="8.85546875" style="12" customWidth="1"/>
    <col min="3936" max="3937" width="11.5703125" style="12" customWidth="1"/>
    <col min="3938" max="3938" width="9.28515625" style="12" customWidth="1"/>
    <col min="3939" max="3939" width="40.42578125" style="12" customWidth="1"/>
    <col min="3940" max="3940" width="51.28515625" style="12" customWidth="1"/>
    <col min="3941" max="3942" width="9.140625" style="12" customWidth="1"/>
    <col min="3943" max="4182" width="9.140625" style="12"/>
    <col min="4183" max="4183" width="24.7109375" style="12" customWidth="1"/>
    <col min="4184" max="4184" width="12" style="12" customWidth="1"/>
    <col min="4185" max="4185" width="9" style="12" customWidth="1"/>
    <col min="4186" max="4189" width="8.7109375" style="12" customWidth="1"/>
    <col min="4190" max="4190" width="8.5703125" style="12" customWidth="1"/>
    <col min="4191" max="4191" width="8.85546875" style="12" customWidth="1"/>
    <col min="4192" max="4193" width="11.5703125" style="12" customWidth="1"/>
    <col min="4194" max="4194" width="9.28515625" style="12" customWidth="1"/>
    <col min="4195" max="4195" width="40.42578125" style="12" customWidth="1"/>
    <col min="4196" max="4196" width="51.28515625" style="12" customWidth="1"/>
    <col min="4197" max="4198" width="9.140625" style="12" customWidth="1"/>
    <col min="4199" max="4438" width="9.140625" style="12"/>
    <col min="4439" max="4439" width="24.7109375" style="12" customWidth="1"/>
    <col min="4440" max="4440" width="12" style="12" customWidth="1"/>
    <col min="4441" max="4441" width="9" style="12" customWidth="1"/>
    <col min="4442" max="4445" width="8.7109375" style="12" customWidth="1"/>
    <col min="4446" max="4446" width="8.5703125" style="12" customWidth="1"/>
    <col min="4447" max="4447" width="8.85546875" style="12" customWidth="1"/>
    <col min="4448" max="4449" width="11.5703125" style="12" customWidth="1"/>
    <col min="4450" max="4450" width="9.28515625" style="12" customWidth="1"/>
    <col min="4451" max="4451" width="40.42578125" style="12" customWidth="1"/>
    <col min="4452" max="4452" width="51.28515625" style="12" customWidth="1"/>
    <col min="4453" max="4454" width="9.140625" style="12" customWidth="1"/>
    <col min="4455" max="4694" width="9.140625" style="12"/>
    <col min="4695" max="4695" width="24.7109375" style="12" customWidth="1"/>
    <col min="4696" max="4696" width="12" style="12" customWidth="1"/>
    <col min="4697" max="4697" width="9" style="12" customWidth="1"/>
    <col min="4698" max="4701" width="8.7109375" style="12" customWidth="1"/>
    <col min="4702" max="4702" width="8.5703125" style="12" customWidth="1"/>
    <col min="4703" max="4703" width="8.85546875" style="12" customWidth="1"/>
    <col min="4704" max="4705" width="11.5703125" style="12" customWidth="1"/>
    <col min="4706" max="4706" width="9.28515625" style="12" customWidth="1"/>
    <col min="4707" max="4707" width="40.42578125" style="12" customWidth="1"/>
    <col min="4708" max="4708" width="51.28515625" style="12" customWidth="1"/>
    <col min="4709" max="4710" width="9.140625" style="12" customWidth="1"/>
    <col min="4711" max="4950" width="9.140625" style="12"/>
    <col min="4951" max="4951" width="24.7109375" style="12" customWidth="1"/>
    <col min="4952" max="4952" width="12" style="12" customWidth="1"/>
    <col min="4953" max="4953" width="9" style="12" customWidth="1"/>
    <col min="4954" max="4957" width="8.7109375" style="12" customWidth="1"/>
    <col min="4958" max="4958" width="8.5703125" style="12" customWidth="1"/>
    <col min="4959" max="4959" width="8.85546875" style="12" customWidth="1"/>
    <col min="4960" max="4961" width="11.5703125" style="12" customWidth="1"/>
    <col min="4962" max="4962" width="9.28515625" style="12" customWidth="1"/>
    <col min="4963" max="4963" width="40.42578125" style="12" customWidth="1"/>
    <col min="4964" max="4964" width="51.28515625" style="12" customWidth="1"/>
    <col min="4965" max="4966" width="9.140625" style="12" customWidth="1"/>
    <col min="4967" max="5206" width="9.140625" style="12"/>
    <col min="5207" max="5207" width="24.7109375" style="12" customWidth="1"/>
    <col min="5208" max="5208" width="12" style="12" customWidth="1"/>
    <col min="5209" max="5209" width="9" style="12" customWidth="1"/>
    <col min="5210" max="5213" width="8.7109375" style="12" customWidth="1"/>
    <col min="5214" max="5214" width="8.5703125" style="12" customWidth="1"/>
    <col min="5215" max="5215" width="8.85546875" style="12" customWidth="1"/>
    <col min="5216" max="5217" width="11.5703125" style="12" customWidth="1"/>
    <col min="5218" max="5218" width="9.28515625" style="12" customWidth="1"/>
    <col min="5219" max="5219" width="40.42578125" style="12" customWidth="1"/>
    <col min="5220" max="5220" width="51.28515625" style="12" customWidth="1"/>
    <col min="5221" max="5222" width="9.140625" style="12" customWidth="1"/>
    <col min="5223" max="5462" width="9.140625" style="12"/>
    <col min="5463" max="5463" width="24.7109375" style="12" customWidth="1"/>
    <col min="5464" max="5464" width="12" style="12" customWidth="1"/>
    <col min="5465" max="5465" width="9" style="12" customWidth="1"/>
    <col min="5466" max="5469" width="8.7109375" style="12" customWidth="1"/>
    <col min="5470" max="5470" width="8.5703125" style="12" customWidth="1"/>
    <col min="5471" max="5471" width="8.85546875" style="12" customWidth="1"/>
    <col min="5472" max="5473" width="11.5703125" style="12" customWidth="1"/>
    <col min="5474" max="5474" width="9.28515625" style="12" customWidth="1"/>
    <col min="5475" max="5475" width="40.42578125" style="12" customWidth="1"/>
    <col min="5476" max="5476" width="51.28515625" style="12" customWidth="1"/>
    <col min="5477" max="5478" width="9.140625" style="12" customWidth="1"/>
    <col min="5479" max="5718" width="9.140625" style="12"/>
    <col min="5719" max="5719" width="24.7109375" style="12" customWidth="1"/>
    <col min="5720" max="5720" width="12" style="12" customWidth="1"/>
    <col min="5721" max="5721" width="9" style="12" customWidth="1"/>
    <col min="5722" max="5725" width="8.7109375" style="12" customWidth="1"/>
    <col min="5726" max="5726" width="8.5703125" style="12" customWidth="1"/>
    <col min="5727" max="5727" width="8.85546875" style="12" customWidth="1"/>
    <col min="5728" max="5729" width="11.5703125" style="12" customWidth="1"/>
    <col min="5730" max="5730" width="9.28515625" style="12" customWidth="1"/>
    <col min="5731" max="5731" width="40.42578125" style="12" customWidth="1"/>
    <col min="5732" max="5732" width="51.28515625" style="12" customWidth="1"/>
    <col min="5733" max="5734" width="9.140625" style="12" customWidth="1"/>
    <col min="5735" max="5974" width="9.140625" style="12"/>
    <col min="5975" max="5975" width="24.7109375" style="12" customWidth="1"/>
    <col min="5976" max="5976" width="12" style="12" customWidth="1"/>
    <col min="5977" max="5977" width="9" style="12" customWidth="1"/>
    <col min="5978" max="5981" width="8.7109375" style="12" customWidth="1"/>
    <col min="5982" max="5982" width="8.5703125" style="12" customWidth="1"/>
    <col min="5983" max="5983" width="8.85546875" style="12" customWidth="1"/>
    <col min="5984" max="5985" width="11.5703125" style="12" customWidth="1"/>
    <col min="5986" max="5986" width="9.28515625" style="12" customWidth="1"/>
    <col min="5987" max="5987" width="40.42578125" style="12" customWidth="1"/>
    <col min="5988" max="5988" width="51.28515625" style="12" customWidth="1"/>
    <col min="5989" max="5990" width="9.140625" style="12" customWidth="1"/>
    <col min="5991" max="6230" width="9.140625" style="12"/>
    <col min="6231" max="6231" width="24.7109375" style="12" customWidth="1"/>
    <col min="6232" max="6232" width="12" style="12" customWidth="1"/>
    <col min="6233" max="6233" width="9" style="12" customWidth="1"/>
    <col min="6234" max="6237" width="8.7109375" style="12" customWidth="1"/>
    <col min="6238" max="6238" width="8.5703125" style="12" customWidth="1"/>
    <col min="6239" max="6239" width="8.85546875" style="12" customWidth="1"/>
    <col min="6240" max="6241" width="11.5703125" style="12" customWidth="1"/>
    <col min="6242" max="6242" width="9.28515625" style="12" customWidth="1"/>
    <col min="6243" max="6243" width="40.42578125" style="12" customWidth="1"/>
    <col min="6244" max="6244" width="51.28515625" style="12" customWidth="1"/>
    <col min="6245" max="6246" width="9.140625" style="12" customWidth="1"/>
    <col min="6247" max="6486" width="9.140625" style="12"/>
    <col min="6487" max="6487" width="24.7109375" style="12" customWidth="1"/>
    <col min="6488" max="6488" width="12" style="12" customWidth="1"/>
    <col min="6489" max="6489" width="9" style="12" customWidth="1"/>
    <col min="6490" max="6493" width="8.7109375" style="12" customWidth="1"/>
    <col min="6494" max="6494" width="8.5703125" style="12" customWidth="1"/>
    <col min="6495" max="6495" width="8.85546875" style="12" customWidth="1"/>
    <col min="6496" max="6497" width="11.5703125" style="12" customWidth="1"/>
    <col min="6498" max="6498" width="9.28515625" style="12" customWidth="1"/>
    <col min="6499" max="6499" width="40.42578125" style="12" customWidth="1"/>
    <col min="6500" max="6500" width="51.28515625" style="12" customWidth="1"/>
    <col min="6501" max="6502" width="9.140625" style="12" customWidth="1"/>
    <col min="6503" max="6742" width="9.140625" style="12"/>
    <col min="6743" max="6743" width="24.7109375" style="12" customWidth="1"/>
    <col min="6744" max="6744" width="12" style="12" customWidth="1"/>
    <col min="6745" max="6745" width="9" style="12" customWidth="1"/>
    <col min="6746" max="6749" width="8.7109375" style="12" customWidth="1"/>
    <col min="6750" max="6750" width="8.5703125" style="12" customWidth="1"/>
    <col min="6751" max="6751" width="8.85546875" style="12" customWidth="1"/>
    <col min="6752" max="6753" width="11.5703125" style="12" customWidth="1"/>
    <col min="6754" max="6754" width="9.28515625" style="12" customWidth="1"/>
    <col min="6755" max="6755" width="40.42578125" style="12" customWidth="1"/>
    <col min="6756" max="6756" width="51.28515625" style="12" customWidth="1"/>
    <col min="6757" max="6758" width="9.140625" style="12" customWidth="1"/>
    <col min="6759" max="6998" width="9.140625" style="12"/>
    <col min="6999" max="6999" width="24.7109375" style="12" customWidth="1"/>
    <col min="7000" max="7000" width="12" style="12" customWidth="1"/>
    <col min="7001" max="7001" width="9" style="12" customWidth="1"/>
    <col min="7002" max="7005" width="8.7109375" style="12" customWidth="1"/>
    <col min="7006" max="7006" width="8.5703125" style="12" customWidth="1"/>
    <col min="7007" max="7007" width="8.85546875" style="12" customWidth="1"/>
    <col min="7008" max="7009" width="11.5703125" style="12" customWidth="1"/>
    <col min="7010" max="7010" width="9.28515625" style="12" customWidth="1"/>
    <col min="7011" max="7011" width="40.42578125" style="12" customWidth="1"/>
    <col min="7012" max="7012" width="51.28515625" style="12" customWidth="1"/>
    <col min="7013" max="7014" width="9.140625" style="12" customWidth="1"/>
    <col min="7015" max="7254" width="9.140625" style="12"/>
    <col min="7255" max="7255" width="24.7109375" style="12" customWidth="1"/>
    <col min="7256" max="7256" width="12" style="12" customWidth="1"/>
    <col min="7257" max="7257" width="9" style="12" customWidth="1"/>
    <col min="7258" max="7261" width="8.7109375" style="12" customWidth="1"/>
    <col min="7262" max="7262" width="8.5703125" style="12" customWidth="1"/>
    <col min="7263" max="7263" width="8.85546875" style="12" customWidth="1"/>
    <col min="7264" max="7265" width="11.5703125" style="12" customWidth="1"/>
    <col min="7266" max="7266" width="9.28515625" style="12" customWidth="1"/>
    <col min="7267" max="7267" width="40.42578125" style="12" customWidth="1"/>
    <col min="7268" max="7268" width="51.28515625" style="12" customWidth="1"/>
    <col min="7269" max="7270" width="9.140625" style="12" customWidth="1"/>
    <col min="7271" max="7510" width="9.140625" style="12"/>
    <col min="7511" max="7511" width="24.7109375" style="12" customWidth="1"/>
    <col min="7512" max="7512" width="12" style="12" customWidth="1"/>
    <col min="7513" max="7513" width="9" style="12" customWidth="1"/>
    <col min="7514" max="7517" width="8.7109375" style="12" customWidth="1"/>
    <col min="7518" max="7518" width="8.5703125" style="12" customWidth="1"/>
    <col min="7519" max="7519" width="8.85546875" style="12" customWidth="1"/>
    <col min="7520" max="7521" width="11.5703125" style="12" customWidth="1"/>
    <col min="7522" max="7522" width="9.28515625" style="12" customWidth="1"/>
    <col min="7523" max="7523" width="40.42578125" style="12" customWidth="1"/>
    <col min="7524" max="7524" width="51.28515625" style="12" customWidth="1"/>
    <col min="7525" max="7526" width="9.140625" style="12" customWidth="1"/>
    <col min="7527" max="7766" width="9.140625" style="12"/>
    <col min="7767" max="7767" width="24.7109375" style="12" customWidth="1"/>
    <col min="7768" max="7768" width="12" style="12" customWidth="1"/>
    <col min="7769" max="7769" width="9" style="12" customWidth="1"/>
    <col min="7770" max="7773" width="8.7109375" style="12" customWidth="1"/>
    <col min="7774" max="7774" width="8.5703125" style="12" customWidth="1"/>
    <col min="7775" max="7775" width="8.85546875" style="12" customWidth="1"/>
    <col min="7776" max="7777" width="11.5703125" style="12" customWidth="1"/>
    <col min="7778" max="7778" width="9.28515625" style="12" customWidth="1"/>
    <col min="7779" max="7779" width="40.42578125" style="12" customWidth="1"/>
    <col min="7780" max="7780" width="51.28515625" style="12" customWidth="1"/>
    <col min="7781" max="7782" width="9.140625" style="12" customWidth="1"/>
    <col min="7783" max="8022" width="9.140625" style="12"/>
    <col min="8023" max="8023" width="24.7109375" style="12" customWidth="1"/>
    <col min="8024" max="8024" width="12" style="12" customWidth="1"/>
    <col min="8025" max="8025" width="9" style="12" customWidth="1"/>
    <col min="8026" max="8029" width="8.7109375" style="12" customWidth="1"/>
    <col min="8030" max="8030" width="8.5703125" style="12" customWidth="1"/>
    <col min="8031" max="8031" width="8.85546875" style="12" customWidth="1"/>
    <col min="8032" max="8033" width="11.5703125" style="12" customWidth="1"/>
    <col min="8034" max="8034" width="9.28515625" style="12" customWidth="1"/>
    <col min="8035" max="8035" width="40.42578125" style="12" customWidth="1"/>
    <col min="8036" max="8036" width="51.28515625" style="12" customWidth="1"/>
    <col min="8037" max="8038" width="9.140625" style="12" customWidth="1"/>
    <col min="8039" max="8278" width="9.140625" style="12"/>
    <col min="8279" max="8279" width="24.7109375" style="12" customWidth="1"/>
    <col min="8280" max="8280" width="12" style="12" customWidth="1"/>
    <col min="8281" max="8281" width="9" style="12" customWidth="1"/>
    <col min="8282" max="8285" width="8.7109375" style="12" customWidth="1"/>
    <col min="8286" max="8286" width="8.5703125" style="12" customWidth="1"/>
    <col min="8287" max="8287" width="8.85546875" style="12" customWidth="1"/>
    <col min="8288" max="8289" width="11.5703125" style="12" customWidth="1"/>
    <col min="8290" max="8290" width="9.28515625" style="12" customWidth="1"/>
    <col min="8291" max="8291" width="40.42578125" style="12" customWidth="1"/>
    <col min="8292" max="8292" width="51.28515625" style="12" customWidth="1"/>
    <col min="8293" max="8294" width="9.140625" style="12" customWidth="1"/>
    <col min="8295" max="8534" width="9.140625" style="12"/>
    <col min="8535" max="8535" width="24.7109375" style="12" customWidth="1"/>
    <col min="8536" max="8536" width="12" style="12" customWidth="1"/>
    <col min="8537" max="8537" width="9" style="12" customWidth="1"/>
    <col min="8538" max="8541" width="8.7109375" style="12" customWidth="1"/>
    <col min="8542" max="8542" width="8.5703125" style="12" customWidth="1"/>
    <col min="8543" max="8543" width="8.85546875" style="12" customWidth="1"/>
    <col min="8544" max="8545" width="11.5703125" style="12" customWidth="1"/>
    <col min="8546" max="8546" width="9.28515625" style="12" customWidth="1"/>
    <col min="8547" max="8547" width="40.42578125" style="12" customWidth="1"/>
    <col min="8548" max="8548" width="51.28515625" style="12" customWidth="1"/>
    <col min="8549" max="8550" width="9.140625" style="12" customWidth="1"/>
    <col min="8551" max="8790" width="9.140625" style="12"/>
    <col min="8791" max="8791" width="24.7109375" style="12" customWidth="1"/>
    <col min="8792" max="8792" width="12" style="12" customWidth="1"/>
    <col min="8793" max="8793" width="9" style="12" customWidth="1"/>
    <col min="8794" max="8797" width="8.7109375" style="12" customWidth="1"/>
    <col min="8798" max="8798" width="8.5703125" style="12" customWidth="1"/>
    <col min="8799" max="8799" width="8.85546875" style="12" customWidth="1"/>
    <col min="8800" max="8801" width="11.5703125" style="12" customWidth="1"/>
    <col min="8802" max="8802" width="9.28515625" style="12" customWidth="1"/>
    <col min="8803" max="8803" width="40.42578125" style="12" customWidth="1"/>
    <col min="8804" max="8804" width="51.28515625" style="12" customWidth="1"/>
    <col min="8805" max="8806" width="9.140625" style="12" customWidth="1"/>
    <col min="8807" max="9046" width="9.140625" style="12"/>
    <col min="9047" max="9047" width="24.7109375" style="12" customWidth="1"/>
    <col min="9048" max="9048" width="12" style="12" customWidth="1"/>
    <col min="9049" max="9049" width="9" style="12" customWidth="1"/>
    <col min="9050" max="9053" width="8.7109375" style="12" customWidth="1"/>
    <col min="9054" max="9054" width="8.5703125" style="12" customWidth="1"/>
    <col min="9055" max="9055" width="8.85546875" style="12" customWidth="1"/>
    <col min="9056" max="9057" width="11.5703125" style="12" customWidth="1"/>
    <col min="9058" max="9058" width="9.28515625" style="12" customWidth="1"/>
    <col min="9059" max="9059" width="40.42578125" style="12" customWidth="1"/>
    <col min="9060" max="9060" width="51.28515625" style="12" customWidth="1"/>
    <col min="9061" max="9062" width="9.140625" style="12" customWidth="1"/>
    <col min="9063" max="9302" width="9.140625" style="12"/>
    <col min="9303" max="9303" width="24.7109375" style="12" customWidth="1"/>
    <col min="9304" max="9304" width="12" style="12" customWidth="1"/>
    <col min="9305" max="9305" width="9" style="12" customWidth="1"/>
    <col min="9306" max="9309" width="8.7109375" style="12" customWidth="1"/>
    <col min="9310" max="9310" width="8.5703125" style="12" customWidth="1"/>
    <col min="9311" max="9311" width="8.85546875" style="12" customWidth="1"/>
    <col min="9312" max="9313" width="11.5703125" style="12" customWidth="1"/>
    <col min="9314" max="9314" width="9.28515625" style="12" customWidth="1"/>
    <col min="9315" max="9315" width="40.42578125" style="12" customWidth="1"/>
    <col min="9316" max="9316" width="51.28515625" style="12" customWidth="1"/>
    <col min="9317" max="9318" width="9.140625" style="12" customWidth="1"/>
    <col min="9319" max="9558" width="9.140625" style="12"/>
    <col min="9559" max="9559" width="24.7109375" style="12" customWidth="1"/>
    <col min="9560" max="9560" width="12" style="12" customWidth="1"/>
    <col min="9561" max="9561" width="9" style="12" customWidth="1"/>
    <col min="9562" max="9565" width="8.7109375" style="12" customWidth="1"/>
    <col min="9566" max="9566" width="8.5703125" style="12" customWidth="1"/>
    <col min="9567" max="9567" width="8.85546875" style="12" customWidth="1"/>
    <col min="9568" max="9569" width="11.5703125" style="12" customWidth="1"/>
    <col min="9570" max="9570" width="9.28515625" style="12" customWidth="1"/>
    <col min="9571" max="9571" width="40.42578125" style="12" customWidth="1"/>
    <col min="9572" max="9572" width="51.28515625" style="12" customWidth="1"/>
    <col min="9573" max="9574" width="9.140625" style="12" customWidth="1"/>
    <col min="9575" max="9814" width="9.140625" style="12"/>
    <col min="9815" max="9815" width="24.7109375" style="12" customWidth="1"/>
    <col min="9816" max="9816" width="12" style="12" customWidth="1"/>
    <col min="9817" max="9817" width="9" style="12" customWidth="1"/>
    <col min="9818" max="9821" width="8.7109375" style="12" customWidth="1"/>
    <col min="9822" max="9822" width="8.5703125" style="12" customWidth="1"/>
    <col min="9823" max="9823" width="8.85546875" style="12" customWidth="1"/>
    <col min="9824" max="9825" width="11.5703125" style="12" customWidth="1"/>
    <col min="9826" max="9826" width="9.28515625" style="12" customWidth="1"/>
    <col min="9827" max="9827" width="40.42578125" style="12" customWidth="1"/>
    <col min="9828" max="9828" width="51.28515625" style="12" customWidth="1"/>
    <col min="9829" max="9830" width="9.140625" style="12" customWidth="1"/>
    <col min="9831" max="10070" width="9.140625" style="12"/>
    <col min="10071" max="10071" width="24.7109375" style="12" customWidth="1"/>
    <col min="10072" max="10072" width="12" style="12" customWidth="1"/>
    <col min="10073" max="10073" width="9" style="12" customWidth="1"/>
    <col min="10074" max="10077" width="8.7109375" style="12" customWidth="1"/>
    <col min="10078" max="10078" width="8.5703125" style="12" customWidth="1"/>
    <col min="10079" max="10079" width="8.85546875" style="12" customWidth="1"/>
    <col min="10080" max="10081" width="11.5703125" style="12" customWidth="1"/>
    <col min="10082" max="10082" width="9.28515625" style="12" customWidth="1"/>
    <col min="10083" max="10083" width="40.42578125" style="12" customWidth="1"/>
    <col min="10084" max="10084" width="51.28515625" style="12" customWidth="1"/>
    <col min="10085" max="10086" width="9.140625" style="12" customWidth="1"/>
    <col min="10087" max="10326" width="9.140625" style="12"/>
    <col min="10327" max="10327" width="24.7109375" style="12" customWidth="1"/>
    <col min="10328" max="10328" width="12" style="12" customWidth="1"/>
    <col min="10329" max="10329" width="9" style="12" customWidth="1"/>
    <col min="10330" max="10333" width="8.7109375" style="12" customWidth="1"/>
    <col min="10334" max="10334" width="8.5703125" style="12" customWidth="1"/>
    <col min="10335" max="10335" width="8.85546875" style="12" customWidth="1"/>
    <col min="10336" max="10337" width="11.5703125" style="12" customWidth="1"/>
    <col min="10338" max="10338" width="9.28515625" style="12" customWidth="1"/>
    <col min="10339" max="10339" width="40.42578125" style="12" customWidth="1"/>
    <col min="10340" max="10340" width="51.28515625" style="12" customWidth="1"/>
    <col min="10341" max="10342" width="9.140625" style="12" customWidth="1"/>
    <col min="10343" max="10582" width="9.140625" style="12"/>
    <col min="10583" max="10583" width="24.7109375" style="12" customWidth="1"/>
    <col min="10584" max="10584" width="12" style="12" customWidth="1"/>
    <col min="10585" max="10585" width="9" style="12" customWidth="1"/>
    <col min="10586" max="10589" width="8.7109375" style="12" customWidth="1"/>
    <col min="10590" max="10590" width="8.5703125" style="12" customWidth="1"/>
    <col min="10591" max="10591" width="8.85546875" style="12" customWidth="1"/>
    <col min="10592" max="10593" width="11.5703125" style="12" customWidth="1"/>
    <col min="10594" max="10594" width="9.28515625" style="12" customWidth="1"/>
    <col min="10595" max="10595" width="40.42578125" style="12" customWidth="1"/>
    <col min="10596" max="10596" width="51.28515625" style="12" customWidth="1"/>
    <col min="10597" max="10598" width="9.140625" style="12" customWidth="1"/>
    <col min="10599" max="10838" width="9.140625" style="12"/>
    <col min="10839" max="10839" width="24.7109375" style="12" customWidth="1"/>
    <col min="10840" max="10840" width="12" style="12" customWidth="1"/>
    <col min="10841" max="10841" width="9" style="12" customWidth="1"/>
    <col min="10842" max="10845" width="8.7109375" style="12" customWidth="1"/>
    <col min="10846" max="10846" width="8.5703125" style="12" customWidth="1"/>
    <col min="10847" max="10847" width="8.85546875" style="12" customWidth="1"/>
    <col min="10848" max="10849" width="11.5703125" style="12" customWidth="1"/>
    <col min="10850" max="10850" width="9.28515625" style="12" customWidth="1"/>
    <col min="10851" max="10851" width="40.42578125" style="12" customWidth="1"/>
    <col min="10852" max="10852" width="51.28515625" style="12" customWidth="1"/>
    <col min="10853" max="10854" width="9.140625" style="12" customWidth="1"/>
    <col min="10855" max="11094" width="9.140625" style="12"/>
    <col min="11095" max="11095" width="24.7109375" style="12" customWidth="1"/>
    <col min="11096" max="11096" width="12" style="12" customWidth="1"/>
    <col min="11097" max="11097" width="9" style="12" customWidth="1"/>
    <col min="11098" max="11101" width="8.7109375" style="12" customWidth="1"/>
    <col min="11102" max="11102" width="8.5703125" style="12" customWidth="1"/>
    <col min="11103" max="11103" width="8.85546875" style="12" customWidth="1"/>
    <col min="11104" max="11105" width="11.5703125" style="12" customWidth="1"/>
    <col min="11106" max="11106" width="9.28515625" style="12" customWidth="1"/>
    <col min="11107" max="11107" width="40.42578125" style="12" customWidth="1"/>
    <col min="11108" max="11108" width="51.28515625" style="12" customWidth="1"/>
    <col min="11109" max="11110" width="9.140625" style="12" customWidth="1"/>
    <col min="11111" max="11350" width="9.140625" style="12"/>
    <col min="11351" max="11351" width="24.7109375" style="12" customWidth="1"/>
    <col min="11352" max="11352" width="12" style="12" customWidth="1"/>
    <col min="11353" max="11353" width="9" style="12" customWidth="1"/>
    <col min="11354" max="11357" width="8.7109375" style="12" customWidth="1"/>
    <col min="11358" max="11358" width="8.5703125" style="12" customWidth="1"/>
    <col min="11359" max="11359" width="8.85546875" style="12" customWidth="1"/>
    <col min="11360" max="11361" width="11.5703125" style="12" customWidth="1"/>
    <col min="11362" max="11362" width="9.28515625" style="12" customWidth="1"/>
    <col min="11363" max="11363" width="40.42578125" style="12" customWidth="1"/>
    <col min="11364" max="11364" width="51.28515625" style="12" customWidth="1"/>
    <col min="11365" max="11366" width="9.140625" style="12" customWidth="1"/>
    <col min="11367" max="11606" width="9.140625" style="12"/>
    <col min="11607" max="11607" width="24.7109375" style="12" customWidth="1"/>
    <col min="11608" max="11608" width="12" style="12" customWidth="1"/>
    <col min="11609" max="11609" width="9" style="12" customWidth="1"/>
    <col min="11610" max="11613" width="8.7109375" style="12" customWidth="1"/>
    <col min="11614" max="11614" width="8.5703125" style="12" customWidth="1"/>
    <col min="11615" max="11615" width="8.85546875" style="12" customWidth="1"/>
    <col min="11616" max="11617" width="11.5703125" style="12" customWidth="1"/>
    <col min="11618" max="11618" width="9.28515625" style="12" customWidth="1"/>
    <col min="11619" max="11619" width="40.42578125" style="12" customWidth="1"/>
    <col min="11620" max="11620" width="51.28515625" style="12" customWidth="1"/>
    <col min="11621" max="11622" width="9.140625" style="12" customWidth="1"/>
    <col min="11623" max="11862" width="9.140625" style="12"/>
    <col min="11863" max="11863" width="24.7109375" style="12" customWidth="1"/>
    <col min="11864" max="11864" width="12" style="12" customWidth="1"/>
    <col min="11865" max="11865" width="9" style="12" customWidth="1"/>
    <col min="11866" max="11869" width="8.7109375" style="12" customWidth="1"/>
    <col min="11870" max="11870" width="8.5703125" style="12" customWidth="1"/>
    <col min="11871" max="11871" width="8.85546875" style="12" customWidth="1"/>
    <col min="11872" max="11873" width="11.5703125" style="12" customWidth="1"/>
    <col min="11874" max="11874" width="9.28515625" style="12" customWidth="1"/>
    <col min="11875" max="11875" width="40.42578125" style="12" customWidth="1"/>
    <col min="11876" max="11876" width="51.28515625" style="12" customWidth="1"/>
    <col min="11877" max="11878" width="9.140625" style="12" customWidth="1"/>
    <col min="11879" max="12118" width="9.140625" style="12"/>
    <col min="12119" max="12119" width="24.7109375" style="12" customWidth="1"/>
    <col min="12120" max="12120" width="12" style="12" customWidth="1"/>
    <col min="12121" max="12121" width="9" style="12" customWidth="1"/>
    <col min="12122" max="12125" width="8.7109375" style="12" customWidth="1"/>
    <col min="12126" max="12126" width="8.5703125" style="12" customWidth="1"/>
    <col min="12127" max="12127" width="8.85546875" style="12" customWidth="1"/>
    <col min="12128" max="12129" width="11.5703125" style="12" customWidth="1"/>
    <col min="12130" max="12130" width="9.28515625" style="12" customWidth="1"/>
    <col min="12131" max="12131" width="40.42578125" style="12" customWidth="1"/>
    <col min="12132" max="12132" width="51.28515625" style="12" customWidth="1"/>
    <col min="12133" max="12134" width="9.140625" style="12" customWidth="1"/>
    <col min="12135" max="12374" width="9.140625" style="12"/>
    <col min="12375" max="12375" width="24.7109375" style="12" customWidth="1"/>
    <col min="12376" max="12376" width="12" style="12" customWidth="1"/>
    <col min="12377" max="12377" width="9" style="12" customWidth="1"/>
    <col min="12378" max="12381" width="8.7109375" style="12" customWidth="1"/>
    <col min="12382" max="12382" width="8.5703125" style="12" customWidth="1"/>
    <col min="12383" max="12383" width="8.85546875" style="12" customWidth="1"/>
    <col min="12384" max="12385" width="11.5703125" style="12" customWidth="1"/>
    <col min="12386" max="12386" width="9.28515625" style="12" customWidth="1"/>
    <col min="12387" max="12387" width="40.42578125" style="12" customWidth="1"/>
    <col min="12388" max="12388" width="51.28515625" style="12" customWidth="1"/>
    <col min="12389" max="12390" width="9.140625" style="12" customWidth="1"/>
    <col min="12391" max="12630" width="9.140625" style="12"/>
    <col min="12631" max="12631" width="24.7109375" style="12" customWidth="1"/>
    <col min="12632" max="12632" width="12" style="12" customWidth="1"/>
    <col min="12633" max="12633" width="9" style="12" customWidth="1"/>
    <col min="12634" max="12637" width="8.7109375" style="12" customWidth="1"/>
    <col min="12638" max="12638" width="8.5703125" style="12" customWidth="1"/>
    <col min="12639" max="12639" width="8.85546875" style="12" customWidth="1"/>
    <col min="12640" max="12641" width="11.5703125" style="12" customWidth="1"/>
    <col min="12642" max="12642" width="9.28515625" style="12" customWidth="1"/>
    <col min="12643" max="12643" width="40.42578125" style="12" customWidth="1"/>
    <col min="12644" max="12644" width="51.28515625" style="12" customWidth="1"/>
    <col min="12645" max="12646" width="9.140625" style="12" customWidth="1"/>
    <col min="12647" max="12886" width="9.140625" style="12"/>
    <col min="12887" max="12887" width="24.7109375" style="12" customWidth="1"/>
    <col min="12888" max="12888" width="12" style="12" customWidth="1"/>
    <col min="12889" max="12889" width="9" style="12" customWidth="1"/>
    <col min="12890" max="12893" width="8.7109375" style="12" customWidth="1"/>
    <col min="12894" max="12894" width="8.5703125" style="12" customWidth="1"/>
    <col min="12895" max="12895" width="8.85546875" style="12" customWidth="1"/>
    <col min="12896" max="12897" width="11.5703125" style="12" customWidth="1"/>
    <col min="12898" max="12898" width="9.28515625" style="12" customWidth="1"/>
    <col min="12899" max="12899" width="40.42578125" style="12" customWidth="1"/>
    <col min="12900" max="12900" width="51.28515625" style="12" customWidth="1"/>
    <col min="12901" max="12902" width="9.140625" style="12" customWidth="1"/>
    <col min="12903" max="13142" width="9.140625" style="12"/>
    <col min="13143" max="13143" width="24.7109375" style="12" customWidth="1"/>
    <col min="13144" max="13144" width="12" style="12" customWidth="1"/>
    <col min="13145" max="13145" width="9" style="12" customWidth="1"/>
    <col min="13146" max="13149" width="8.7109375" style="12" customWidth="1"/>
    <col min="13150" max="13150" width="8.5703125" style="12" customWidth="1"/>
    <col min="13151" max="13151" width="8.85546875" style="12" customWidth="1"/>
    <col min="13152" max="13153" width="11.5703125" style="12" customWidth="1"/>
    <col min="13154" max="13154" width="9.28515625" style="12" customWidth="1"/>
    <col min="13155" max="13155" width="40.42578125" style="12" customWidth="1"/>
    <col min="13156" max="13156" width="51.28515625" style="12" customWidth="1"/>
    <col min="13157" max="13158" width="9.140625" style="12" customWidth="1"/>
    <col min="13159" max="13398" width="9.140625" style="12"/>
    <col min="13399" max="13399" width="24.7109375" style="12" customWidth="1"/>
    <col min="13400" max="13400" width="12" style="12" customWidth="1"/>
    <col min="13401" max="13401" width="9" style="12" customWidth="1"/>
    <col min="13402" max="13405" width="8.7109375" style="12" customWidth="1"/>
    <col min="13406" max="13406" width="8.5703125" style="12" customWidth="1"/>
    <col min="13407" max="13407" width="8.85546875" style="12" customWidth="1"/>
    <col min="13408" max="13409" width="11.5703125" style="12" customWidth="1"/>
    <col min="13410" max="13410" width="9.28515625" style="12" customWidth="1"/>
    <col min="13411" max="13411" width="40.42578125" style="12" customWidth="1"/>
    <col min="13412" max="13412" width="51.28515625" style="12" customWidth="1"/>
    <col min="13413" max="13414" width="9.140625" style="12" customWidth="1"/>
    <col min="13415" max="13654" width="9.140625" style="12"/>
    <col min="13655" max="13655" width="24.7109375" style="12" customWidth="1"/>
    <col min="13656" max="13656" width="12" style="12" customWidth="1"/>
    <col min="13657" max="13657" width="9" style="12" customWidth="1"/>
    <col min="13658" max="13661" width="8.7109375" style="12" customWidth="1"/>
    <col min="13662" max="13662" width="8.5703125" style="12" customWidth="1"/>
    <col min="13663" max="13663" width="8.85546875" style="12" customWidth="1"/>
    <col min="13664" max="13665" width="11.5703125" style="12" customWidth="1"/>
    <col min="13666" max="13666" width="9.28515625" style="12" customWidth="1"/>
    <col min="13667" max="13667" width="40.42578125" style="12" customWidth="1"/>
    <col min="13668" max="13668" width="51.28515625" style="12" customWidth="1"/>
    <col min="13669" max="13670" width="9.140625" style="12" customWidth="1"/>
    <col min="13671" max="13910" width="9.140625" style="12"/>
    <col min="13911" max="13911" width="24.7109375" style="12" customWidth="1"/>
    <col min="13912" max="13912" width="12" style="12" customWidth="1"/>
    <col min="13913" max="13913" width="9" style="12" customWidth="1"/>
    <col min="13914" max="13917" width="8.7109375" style="12" customWidth="1"/>
    <col min="13918" max="13918" width="8.5703125" style="12" customWidth="1"/>
    <col min="13919" max="13919" width="8.85546875" style="12" customWidth="1"/>
    <col min="13920" max="13921" width="11.5703125" style="12" customWidth="1"/>
    <col min="13922" max="13922" width="9.28515625" style="12" customWidth="1"/>
    <col min="13923" max="13923" width="40.42578125" style="12" customWidth="1"/>
    <col min="13924" max="13924" width="51.28515625" style="12" customWidth="1"/>
    <col min="13925" max="13926" width="9.140625" style="12" customWidth="1"/>
    <col min="13927" max="14166" width="9.140625" style="12"/>
    <col min="14167" max="14167" width="24.7109375" style="12" customWidth="1"/>
    <col min="14168" max="14168" width="12" style="12" customWidth="1"/>
    <col min="14169" max="14169" width="9" style="12" customWidth="1"/>
    <col min="14170" max="14173" width="8.7109375" style="12" customWidth="1"/>
    <col min="14174" max="14174" width="8.5703125" style="12" customWidth="1"/>
    <col min="14175" max="14175" width="8.85546875" style="12" customWidth="1"/>
    <col min="14176" max="14177" width="11.5703125" style="12" customWidth="1"/>
    <col min="14178" max="14178" width="9.28515625" style="12" customWidth="1"/>
    <col min="14179" max="14179" width="40.42578125" style="12" customWidth="1"/>
    <col min="14180" max="14180" width="51.28515625" style="12" customWidth="1"/>
    <col min="14181" max="14182" width="9.140625" style="12" customWidth="1"/>
    <col min="14183" max="14422" width="9.140625" style="12"/>
    <col min="14423" max="14423" width="24.7109375" style="12" customWidth="1"/>
    <col min="14424" max="14424" width="12" style="12" customWidth="1"/>
    <col min="14425" max="14425" width="9" style="12" customWidth="1"/>
    <col min="14426" max="14429" width="8.7109375" style="12" customWidth="1"/>
    <col min="14430" max="14430" width="8.5703125" style="12" customWidth="1"/>
    <col min="14431" max="14431" width="8.85546875" style="12" customWidth="1"/>
    <col min="14432" max="14433" width="11.5703125" style="12" customWidth="1"/>
    <col min="14434" max="14434" width="9.28515625" style="12" customWidth="1"/>
    <col min="14435" max="14435" width="40.42578125" style="12" customWidth="1"/>
    <col min="14436" max="14436" width="51.28515625" style="12" customWidth="1"/>
    <col min="14437" max="14438" width="9.140625" style="12" customWidth="1"/>
    <col min="14439" max="14678" width="9.140625" style="12"/>
    <col min="14679" max="14679" width="24.7109375" style="12" customWidth="1"/>
    <col min="14680" max="14680" width="12" style="12" customWidth="1"/>
    <col min="14681" max="14681" width="9" style="12" customWidth="1"/>
    <col min="14682" max="14685" width="8.7109375" style="12" customWidth="1"/>
    <col min="14686" max="14686" width="8.5703125" style="12" customWidth="1"/>
    <col min="14687" max="14687" width="8.85546875" style="12" customWidth="1"/>
    <col min="14688" max="14689" width="11.5703125" style="12" customWidth="1"/>
    <col min="14690" max="14690" width="9.28515625" style="12" customWidth="1"/>
    <col min="14691" max="14691" width="40.42578125" style="12" customWidth="1"/>
    <col min="14692" max="14692" width="51.28515625" style="12" customWidth="1"/>
    <col min="14693" max="14694" width="9.140625" style="12" customWidth="1"/>
    <col min="14695" max="14934" width="9.140625" style="12"/>
    <col min="14935" max="14935" width="24.7109375" style="12" customWidth="1"/>
    <col min="14936" max="14936" width="12" style="12" customWidth="1"/>
    <col min="14937" max="14937" width="9" style="12" customWidth="1"/>
    <col min="14938" max="14941" width="8.7109375" style="12" customWidth="1"/>
    <col min="14942" max="14942" width="8.5703125" style="12" customWidth="1"/>
    <col min="14943" max="14943" width="8.85546875" style="12" customWidth="1"/>
    <col min="14944" max="14945" width="11.5703125" style="12" customWidth="1"/>
    <col min="14946" max="14946" width="9.28515625" style="12" customWidth="1"/>
    <col min="14947" max="14947" width="40.42578125" style="12" customWidth="1"/>
    <col min="14948" max="14948" width="51.28515625" style="12" customWidth="1"/>
    <col min="14949" max="14950" width="9.140625" style="12" customWidth="1"/>
    <col min="14951" max="15190" width="9.140625" style="12"/>
    <col min="15191" max="15191" width="24.7109375" style="12" customWidth="1"/>
    <col min="15192" max="15192" width="12" style="12" customWidth="1"/>
    <col min="15193" max="15193" width="9" style="12" customWidth="1"/>
    <col min="15194" max="15197" width="8.7109375" style="12" customWidth="1"/>
    <col min="15198" max="15198" width="8.5703125" style="12" customWidth="1"/>
    <col min="15199" max="15199" width="8.85546875" style="12" customWidth="1"/>
    <col min="15200" max="15201" width="11.5703125" style="12" customWidth="1"/>
    <col min="15202" max="15202" width="9.28515625" style="12" customWidth="1"/>
    <col min="15203" max="15203" width="40.42578125" style="12" customWidth="1"/>
    <col min="15204" max="15204" width="51.28515625" style="12" customWidth="1"/>
    <col min="15205" max="15206" width="9.140625" style="12" customWidth="1"/>
    <col min="15207" max="15446" width="9.140625" style="12"/>
    <col min="15447" max="15447" width="24.7109375" style="12" customWidth="1"/>
    <col min="15448" max="15448" width="12" style="12" customWidth="1"/>
    <col min="15449" max="15449" width="9" style="12" customWidth="1"/>
    <col min="15450" max="15453" width="8.7109375" style="12" customWidth="1"/>
    <col min="15454" max="15454" width="8.5703125" style="12" customWidth="1"/>
    <col min="15455" max="15455" width="8.85546875" style="12" customWidth="1"/>
    <col min="15456" max="15457" width="11.5703125" style="12" customWidth="1"/>
    <col min="15458" max="15458" width="9.28515625" style="12" customWidth="1"/>
    <col min="15459" max="15459" width="40.42578125" style="12" customWidth="1"/>
    <col min="15460" max="15460" width="51.28515625" style="12" customWidth="1"/>
    <col min="15461" max="15462" width="9.140625" style="12" customWidth="1"/>
    <col min="15463" max="15702" width="9.140625" style="12"/>
    <col min="15703" max="15703" width="24.7109375" style="12" customWidth="1"/>
    <col min="15704" max="15704" width="12" style="12" customWidth="1"/>
    <col min="15705" max="15705" width="9" style="12" customWidth="1"/>
    <col min="15706" max="15709" width="8.7109375" style="12" customWidth="1"/>
    <col min="15710" max="15710" width="8.5703125" style="12" customWidth="1"/>
    <col min="15711" max="15711" width="8.85546875" style="12" customWidth="1"/>
    <col min="15712" max="15713" width="11.5703125" style="12" customWidth="1"/>
    <col min="15714" max="15714" width="9.28515625" style="12" customWidth="1"/>
    <col min="15715" max="15715" width="40.42578125" style="12" customWidth="1"/>
    <col min="15716" max="15716" width="51.28515625" style="12" customWidth="1"/>
    <col min="15717" max="15718" width="9.140625" style="12" customWidth="1"/>
    <col min="15719" max="15958" width="9.140625" style="12"/>
    <col min="15959" max="15959" width="24.7109375" style="12" customWidth="1"/>
    <col min="15960" max="15960" width="12" style="12" customWidth="1"/>
    <col min="15961" max="15961" width="9" style="12" customWidth="1"/>
    <col min="15962" max="15965" width="8.7109375" style="12" customWidth="1"/>
    <col min="15966" max="15966" width="8.5703125" style="12" customWidth="1"/>
    <col min="15967" max="15967" width="8.85546875" style="12" customWidth="1"/>
    <col min="15968" max="15969" width="11.5703125" style="12" customWidth="1"/>
    <col min="15970" max="15970" width="9.28515625" style="12" customWidth="1"/>
    <col min="15971" max="15971" width="40.42578125" style="12" customWidth="1"/>
    <col min="15972" max="15972" width="51.28515625" style="12" customWidth="1"/>
    <col min="15973" max="15974" width="9.140625" style="12" customWidth="1"/>
    <col min="15975" max="16384" width="9.140625" style="12"/>
  </cols>
  <sheetData>
    <row r="1" spans="1:18" ht="30" customHeight="1" x14ac:dyDescent="0.3">
      <c r="A1" s="323" t="s">
        <v>177</v>
      </c>
      <c r="B1" s="323"/>
      <c r="C1" s="323"/>
      <c r="D1" s="323"/>
      <c r="E1" s="323"/>
      <c r="F1" s="323"/>
      <c r="G1" s="323"/>
      <c r="H1" s="323"/>
    </row>
    <row r="2" spans="1:18" s="7" customFormat="1" ht="39.75" customHeight="1" x14ac:dyDescent="0.3">
      <c r="A2" s="351" t="s">
        <v>176</v>
      </c>
      <c r="B2" s="351"/>
      <c r="C2" s="351"/>
      <c r="D2" s="351"/>
      <c r="E2" s="351"/>
      <c r="F2" s="351"/>
      <c r="G2" s="351"/>
      <c r="H2" s="351"/>
    </row>
    <row r="3" spans="1:18" s="7" customFormat="1" ht="39.75" customHeight="1" x14ac:dyDescent="0.35">
      <c r="A3" s="294"/>
      <c r="B3" s="294"/>
      <c r="C3" s="294"/>
      <c r="D3" s="294"/>
      <c r="E3" s="294"/>
      <c r="F3" s="294"/>
      <c r="G3" s="294"/>
      <c r="H3" s="300" t="s">
        <v>184</v>
      </c>
    </row>
    <row r="4" spans="1:18" s="7" customFormat="1" ht="62.25" customHeight="1" thickBot="1" x14ac:dyDescent="0.35">
      <c r="A4" s="325" t="s">
        <v>187</v>
      </c>
      <c r="B4" s="325"/>
      <c r="C4" s="325"/>
      <c r="D4" s="325"/>
      <c r="E4" s="325"/>
      <c r="F4" s="325"/>
      <c r="G4" s="325"/>
      <c r="H4" s="325"/>
    </row>
    <row r="5" spans="1:18" s="7" customFormat="1" ht="86.25" customHeight="1" x14ac:dyDescent="0.3">
      <c r="A5" s="326" t="s">
        <v>0</v>
      </c>
      <c r="B5" s="354" t="s">
        <v>6</v>
      </c>
      <c r="C5" s="355"/>
      <c r="D5" s="330" t="s">
        <v>1</v>
      </c>
      <c r="E5" s="332" t="s">
        <v>23</v>
      </c>
      <c r="F5" s="334" t="s">
        <v>24</v>
      </c>
      <c r="G5" s="334" t="s">
        <v>19</v>
      </c>
      <c r="H5" s="352" t="s">
        <v>2</v>
      </c>
    </row>
    <row r="6" spans="1:18" s="7" customFormat="1" ht="24" customHeight="1" thickBot="1" x14ac:dyDescent="0.35">
      <c r="A6" s="327"/>
      <c r="B6" s="356"/>
      <c r="C6" s="357"/>
      <c r="D6" s="331"/>
      <c r="E6" s="333"/>
      <c r="F6" s="335"/>
      <c r="G6" s="335"/>
      <c r="H6" s="353"/>
    </row>
    <row r="7" spans="1:18" s="7" customFormat="1" ht="192.75" customHeight="1" thickBot="1" x14ac:dyDescent="0.35">
      <c r="A7" s="55">
        <v>1</v>
      </c>
      <c r="B7" s="343" t="s">
        <v>47</v>
      </c>
      <c r="C7" s="344"/>
      <c r="D7" s="344"/>
      <c r="E7" s="345"/>
      <c r="F7" s="56">
        <f>F8+F14</f>
        <v>1555.2790286231882</v>
      </c>
      <c r="G7" s="57">
        <f>F7/12</f>
        <v>129.60658571859901</v>
      </c>
      <c r="H7" s="64" t="s">
        <v>94</v>
      </c>
    </row>
    <row r="8" spans="1:18" s="21" customFormat="1" ht="42.75" customHeight="1" thickBot="1" x14ac:dyDescent="0.35">
      <c r="A8" s="62" t="s">
        <v>3</v>
      </c>
      <c r="B8" s="346" t="s">
        <v>48</v>
      </c>
      <c r="C8" s="347"/>
      <c r="D8" s="347"/>
      <c r="E8" s="347"/>
      <c r="F8" s="43">
        <f>SUM(F9:F13)</f>
        <v>917.75608695652159</v>
      </c>
      <c r="G8" s="63">
        <f>F8/12</f>
        <v>76.47967391304347</v>
      </c>
      <c r="H8" s="41"/>
    </row>
    <row r="9" spans="1:18" s="8" customFormat="1" ht="321.75" customHeight="1" x14ac:dyDescent="0.25">
      <c r="A9" s="180" t="s">
        <v>41</v>
      </c>
      <c r="B9" s="181" t="s">
        <v>10</v>
      </c>
      <c r="C9" s="181" t="s">
        <v>14</v>
      </c>
      <c r="D9" s="182">
        <f>1356.3</f>
        <v>1356.3</v>
      </c>
      <c r="E9" s="183">
        <f>2/'AC prtrets'!C9</f>
        <v>2.1739130434782608E-2</v>
      </c>
      <c r="F9" s="184">
        <f>D9*E9*12</f>
        <v>353.81739130434778</v>
      </c>
      <c r="G9" s="348" t="s">
        <v>20</v>
      </c>
      <c r="H9" s="185" t="s">
        <v>134</v>
      </c>
      <c r="K9" s="29"/>
      <c r="L9" s="29"/>
      <c r="M9" s="29"/>
      <c r="N9" s="29"/>
      <c r="O9" s="29"/>
      <c r="P9" s="29"/>
      <c r="Q9" s="29"/>
      <c r="R9" s="29"/>
    </row>
    <row r="10" spans="1:18" s="8" customFormat="1" ht="348" customHeight="1" x14ac:dyDescent="0.25">
      <c r="A10" s="69" t="s">
        <v>40</v>
      </c>
      <c r="B10" s="179" t="s">
        <v>15</v>
      </c>
      <c r="C10" s="179" t="s">
        <v>14</v>
      </c>
      <c r="D10" s="66">
        <f>1356.3</f>
        <v>1356.3</v>
      </c>
      <c r="E10" s="67">
        <f>1/'AC prtrets'!C9</f>
        <v>1.0869565217391304E-2</v>
      </c>
      <c r="F10" s="68">
        <f>D10*E10*12</f>
        <v>176.90869565217389</v>
      </c>
      <c r="G10" s="349"/>
      <c r="H10" s="76" t="s">
        <v>133</v>
      </c>
      <c r="K10" s="29"/>
      <c r="L10" s="29"/>
      <c r="M10" s="29"/>
      <c r="N10" s="29"/>
      <c r="O10" s="29"/>
      <c r="P10" s="29"/>
      <c r="Q10" s="29"/>
      <c r="R10" s="29"/>
    </row>
    <row r="11" spans="1:18" s="8" customFormat="1" ht="144" customHeight="1" x14ac:dyDescent="0.25">
      <c r="A11" s="9" t="s">
        <v>42</v>
      </c>
      <c r="B11" s="18" t="s">
        <v>7</v>
      </c>
      <c r="C11" s="18" t="s">
        <v>9</v>
      </c>
      <c r="D11" s="33">
        <v>23.4</v>
      </c>
      <c r="E11" s="27">
        <v>10</v>
      </c>
      <c r="F11" s="35">
        <f>ROUND(D11*E11,2)</f>
        <v>234</v>
      </c>
      <c r="G11" s="349"/>
      <c r="H11" s="28" t="s">
        <v>93</v>
      </c>
      <c r="K11" s="29"/>
      <c r="L11" s="39"/>
      <c r="M11" s="29"/>
      <c r="N11" s="29"/>
      <c r="O11" s="29"/>
      <c r="P11" s="29"/>
      <c r="Q11" s="29"/>
      <c r="R11" s="29"/>
    </row>
    <row r="12" spans="1:18" s="287" customFormat="1" ht="270.75" customHeight="1" x14ac:dyDescent="0.25">
      <c r="A12" s="284" t="s">
        <v>53</v>
      </c>
      <c r="B12" s="285" t="s">
        <v>16</v>
      </c>
      <c r="C12" s="285" t="s">
        <v>17</v>
      </c>
      <c r="D12" s="32">
        <f>175/15*((2+2+2+2+1)/5)</f>
        <v>21</v>
      </c>
      <c r="E12" s="36">
        <v>12</v>
      </c>
      <c r="F12" s="35">
        <f>ROUND(D12*E12,2)/2</f>
        <v>126</v>
      </c>
      <c r="G12" s="349"/>
      <c r="H12" s="286" t="s">
        <v>101</v>
      </c>
      <c r="K12" s="288"/>
      <c r="L12" s="288"/>
      <c r="M12" s="288"/>
      <c r="N12" s="288"/>
      <c r="O12" s="288"/>
      <c r="P12" s="288"/>
      <c r="Q12" s="288"/>
      <c r="R12" s="288"/>
    </row>
    <row r="13" spans="1:18" s="8" customFormat="1" ht="213" customHeight="1" thickBot="1" x14ac:dyDescent="0.3">
      <c r="A13" s="10" t="s">
        <v>54</v>
      </c>
      <c r="B13" s="20" t="s">
        <v>51</v>
      </c>
      <c r="C13" s="52" t="s">
        <v>52</v>
      </c>
      <c r="D13" s="53">
        <f>((45.05/3*2)+(45.05/3*2)+(45.05/3*2)+(45.05/3*2)+(45.05/3*1))/5</f>
        <v>27.029999999999994</v>
      </c>
      <c r="E13" s="54">
        <v>1</v>
      </c>
      <c r="F13" s="5">
        <f>D13</f>
        <v>27.029999999999994</v>
      </c>
      <c r="G13" s="350"/>
      <c r="H13" s="4" t="s">
        <v>95</v>
      </c>
      <c r="K13" s="29"/>
      <c r="L13" s="29"/>
      <c r="M13" s="29"/>
      <c r="N13" s="29"/>
      <c r="O13" s="29"/>
      <c r="P13" s="29"/>
      <c r="Q13" s="29"/>
      <c r="R13" s="29"/>
    </row>
    <row r="14" spans="1:18" s="21" customFormat="1" ht="48.75" customHeight="1" thickBot="1" x14ac:dyDescent="0.35">
      <c r="A14" s="62" t="s">
        <v>4</v>
      </c>
      <c r="B14" s="346" t="s">
        <v>49</v>
      </c>
      <c r="C14" s="347"/>
      <c r="D14" s="347"/>
      <c r="E14" s="347"/>
      <c r="F14" s="43">
        <f>SUM(F15:F20)</f>
        <v>637.52294166666661</v>
      </c>
      <c r="G14" s="63">
        <f>F14/12</f>
        <v>53.126911805555551</v>
      </c>
      <c r="H14" s="41"/>
    </row>
    <row r="15" spans="1:18" s="21" customFormat="1" ht="371.25" customHeight="1" x14ac:dyDescent="0.3">
      <c r="A15" s="17" t="s">
        <v>43</v>
      </c>
      <c r="B15" s="74" t="s">
        <v>59</v>
      </c>
      <c r="C15" s="74" t="s">
        <v>14</v>
      </c>
      <c r="D15" s="75">
        <f>1287*1.2409</f>
        <v>1597.0382999999999</v>
      </c>
      <c r="E15" s="65">
        <f>1/'AC prtrets'!C9</f>
        <v>1.0869565217391304E-2</v>
      </c>
      <c r="F15" s="34">
        <f>D15*E15*12</f>
        <v>208.30934347826084</v>
      </c>
      <c r="G15" s="348" t="s">
        <v>20</v>
      </c>
      <c r="H15" s="24" t="s">
        <v>136</v>
      </c>
    </row>
    <row r="16" spans="1:18" s="8" customFormat="1" ht="207.75" customHeight="1" x14ac:dyDescent="0.25">
      <c r="A16" s="69" t="s">
        <v>44</v>
      </c>
      <c r="B16" s="70" t="s">
        <v>26</v>
      </c>
      <c r="C16" s="70" t="s">
        <v>29</v>
      </c>
      <c r="D16" s="71">
        <f>353.82/'AC prtrets'!C9*12</f>
        <v>46.150434782608691</v>
      </c>
      <c r="E16" s="72">
        <v>2</v>
      </c>
      <c r="F16" s="73">
        <f>D16*E16</f>
        <v>92.300869565217383</v>
      </c>
      <c r="G16" s="349"/>
      <c r="H16" s="76" t="s">
        <v>137</v>
      </c>
      <c r="K16" s="29"/>
      <c r="L16" s="29"/>
      <c r="M16" s="29"/>
      <c r="N16" s="29"/>
      <c r="O16" s="29"/>
      <c r="P16" s="29"/>
      <c r="Q16" s="29"/>
      <c r="R16" s="29"/>
    </row>
    <row r="17" spans="1:18" s="8" customFormat="1" ht="177.75" customHeight="1" x14ac:dyDescent="0.25">
      <c r="A17" s="9" t="s">
        <v>45</v>
      </c>
      <c r="B17" s="18" t="s">
        <v>27</v>
      </c>
      <c r="C17" s="18" t="s">
        <v>28</v>
      </c>
      <c r="D17" s="3">
        <v>0.09</v>
      </c>
      <c r="E17" s="27">
        <v>300</v>
      </c>
      <c r="F17" s="35">
        <f t="shared" ref="F17:F20" si="0">D17*E17</f>
        <v>27</v>
      </c>
      <c r="G17" s="349"/>
      <c r="H17" s="28" t="s">
        <v>90</v>
      </c>
      <c r="K17" s="29"/>
      <c r="L17" s="29"/>
      <c r="M17" s="29"/>
      <c r="N17" s="29"/>
      <c r="O17" s="29"/>
      <c r="P17" s="29"/>
      <c r="Q17" s="29"/>
      <c r="R17" s="29"/>
    </row>
    <row r="18" spans="1:18" s="8" customFormat="1" ht="224.25" customHeight="1" x14ac:dyDescent="0.25">
      <c r="A18" s="9" t="s">
        <v>46</v>
      </c>
      <c r="B18" s="18" t="s">
        <v>32</v>
      </c>
      <c r="C18" s="18" t="s">
        <v>29</v>
      </c>
      <c r="D18" s="3">
        <f>E18*12/'AC prtrets'!C9</f>
        <v>0.65217391304347827</v>
      </c>
      <c r="E18" s="27">
        <v>5</v>
      </c>
      <c r="F18" s="35">
        <f t="shared" si="0"/>
        <v>3.2608695652173916</v>
      </c>
      <c r="G18" s="349"/>
      <c r="H18" s="28" t="s">
        <v>207</v>
      </c>
      <c r="K18" s="29"/>
      <c r="L18" s="39"/>
      <c r="M18" s="29"/>
      <c r="N18" s="29"/>
      <c r="O18" s="29"/>
      <c r="P18" s="29"/>
      <c r="Q18" s="29"/>
      <c r="R18" s="29"/>
    </row>
    <row r="19" spans="1:18" s="8" customFormat="1" ht="355.5" customHeight="1" x14ac:dyDescent="0.25">
      <c r="A19" s="9" t="s">
        <v>58</v>
      </c>
      <c r="B19" s="18" t="s">
        <v>92</v>
      </c>
      <c r="C19" s="18" t="s">
        <v>29</v>
      </c>
      <c r="D19" s="186">
        <f>(430*1.2409*12*3.3)+(430*1.2409/168*360)+(430*1.2409/168*0.5*2920)</f>
        <v>26910.57103333333</v>
      </c>
      <c r="E19" s="27">
        <v>1</v>
      </c>
      <c r="F19" s="35">
        <f>D19*E19/'AC prtrets'!C9</f>
        <v>292.50620688405792</v>
      </c>
      <c r="G19" s="349"/>
      <c r="H19" s="37" t="s">
        <v>138</v>
      </c>
      <c r="K19" s="29"/>
      <c r="L19" s="29"/>
      <c r="M19" s="29"/>
      <c r="N19" s="29"/>
      <c r="O19" s="29"/>
      <c r="P19" s="29"/>
      <c r="Q19" s="29"/>
      <c r="R19" s="29"/>
    </row>
    <row r="20" spans="1:18" s="25" customFormat="1" ht="409.6" customHeight="1" thickBot="1" x14ac:dyDescent="0.3">
      <c r="A20" s="16" t="s">
        <v>91</v>
      </c>
      <c r="B20" s="19" t="s">
        <v>21</v>
      </c>
      <c r="C20" s="19" t="s">
        <v>22</v>
      </c>
      <c r="D20" s="14">
        <f>1301.4/E20/'AC prtrets'!C9</f>
        <v>3.536413043478261</v>
      </c>
      <c r="E20" s="23">
        <v>4</v>
      </c>
      <c r="F20" s="26">
        <f t="shared" si="0"/>
        <v>14.145652173913044</v>
      </c>
      <c r="G20" s="350"/>
      <c r="H20" s="4" t="s">
        <v>139</v>
      </c>
      <c r="K20" s="6"/>
      <c r="L20" s="6"/>
      <c r="M20" s="6"/>
      <c r="N20" s="6"/>
      <c r="O20" s="6"/>
      <c r="P20" s="6"/>
      <c r="Q20" s="6"/>
      <c r="R20" s="6"/>
    </row>
    <row r="21" spans="1:18" s="8" customFormat="1" ht="315.75" customHeight="1" thickBot="1" x14ac:dyDescent="0.3">
      <c r="A21" s="55">
        <v>2</v>
      </c>
      <c r="B21" s="343" t="s">
        <v>5</v>
      </c>
      <c r="C21" s="344"/>
      <c r="D21" s="344"/>
      <c r="E21" s="345"/>
      <c r="F21" s="56">
        <f>F7*0.1</f>
        <v>155.52790286231883</v>
      </c>
      <c r="G21" s="57">
        <f>F21/12</f>
        <v>12.960658571859902</v>
      </c>
      <c r="H21" s="58" t="s">
        <v>18</v>
      </c>
      <c r="K21" s="29"/>
      <c r="L21" s="29"/>
      <c r="M21" s="29"/>
      <c r="N21" s="29"/>
      <c r="O21" s="29"/>
      <c r="P21" s="29"/>
      <c r="Q21" s="29"/>
      <c r="R21" s="29"/>
    </row>
    <row r="22" spans="1:18" s="38" customFormat="1" ht="39.75" customHeight="1" thickBot="1" x14ac:dyDescent="0.3">
      <c r="A22" s="59">
        <v>3</v>
      </c>
      <c r="B22" s="340" t="s">
        <v>50</v>
      </c>
      <c r="C22" s="341"/>
      <c r="D22" s="341"/>
      <c r="E22" s="342"/>
      <c r="F22" s="60">
        <f>F7+F21</f>
        <v>1710.806931485507</v>
      </c>
      <c r="G22" s="60">
        <f>F22/12</f>
        <v>142.56724429045892</v>
      </c>
      <c r="H22" s="61"/>
      <c r="K22" s="29"/>
      <c r="L22" s="29"/>
      <c r="M22" s="29"/>
      <c r="N22" s="29"/>
      <c r="O22" s="29"/>
      <c r="P22" s="29"/>
      <c r="Q22" s="29"/>
      <c r="R22" s="29"/>
    </row>
    <row r="24" spans="1:18" ht="22.5" customHeight="1" x14ac:dyDescent="0.3">
      <c r="A24" s="40"/>
    </row>
    <row r="25" spans="1:18" ht="22.5" customHeight="1" x14ac:dyDescent="0.3">
      <c r="A25" s="40"/>
    </row>
    <row r="26" spans="1:18" ht="22.5" customHeight="1" x14ac:dyDescent="0.3">
      <c r="A26" s="40"/>
    </row>
    <row r="27" spans="1:18" ht="22.5" customHeight="1" x14ac:dyDescent="0.3">
      <c r="A27" s="40"/>
    </row>
    <row r="28" spans="1:18" ht="22.5" customHeight="1" x14ac:dyDescent="0.3">
      <c r="A28" s="40"/>
    </row>
    <row r="29" spans="1:18" ht="22.5" customHeight="1" x14ac:dyDescent="0.3">
      <c r="A29" s="40"/>
    </row>
    <row r="30" spans="1:18" ht="22.5" customHeight="1" x14ac:dyDescent="0.3">
      <c r="A30" s="40"/>
    </row>
    <row r="31" spans="1:18" ht="22.5" customHeight="1" x14ac:dyDescent="0.3">
      <c r="A31" s="40"/>
    </row>
    <row r="32" spans="1:18" ht="22.5" customHeight="1" x14ac:dyDescent="0.3">
      <c r="A32" s="40"/>
    </row>
    <row r="33" spans="1:8" s="7" customFormat="1" ht="22.5" customHeight="1" x14ac:dyDescent="0.3">
      <c r="A33" s="40"/>
      <c r="D33" s="2"/>
      <c r="E33" s="2"/>
      <c r="F33" s="2"/>
      <c r="G33" s="2"/>
      <c r="H33" s="296"/>
    </row>
    <row r="34" spans="1:8" s="7" customFormat="1" ht="22.5" customHeight="1" x14ac:dyDescent="0.3">
      <c r="A34" s="40"/>
      <c r="D34" s="2"/>
      <c r="E34" s="2"/>
      <c r="F34" s="2"/>
      <c r="G34" s="2"/>
      <c r="H34" s="296"/>
    </row>
    <row r="35" spans="1:8" s="7" customFormat="1" ht="22.5" customHeight="1" x14ac:dyDescent="0.3">
      <c r="A35" s="40"/>
      <c r="D35" s="2"/>
      <c r="E35" s="2"/>
      <c r="F35" s="2"/>
      <c r="G35" s="2"/>
      <c r="H35" s="296"/>
    </row>
    <row r="36" spans="1:8" s="7" customFormat="1" ht="22.5" customHeight="1" x14ac:dyDescent="0.3">
      <c r="A36" s="40"/>
      <c r="D36" s="2"/>
      <c r="E36" s="2"/>
      <c r="F36" s="2"/>
      <c r="G36" s="2"/>
      <c r="H36" s="296"/>
    </row>
    <row r="37" spans="1:8" s="7" customFormat="1" ht="22.5" customHeight="1" x14ac:dyDescent="0.3">
      <c r="A37" s="40"/>
      <c r="D37" s="2"/>
      <c r="E37" s="2"/>
      <c r="F37" s="2"/>
      <c r="G37" s="2"/>
      <c r="H37" s="296"/>
    </row>
    <row r="38" spans="1:8" s="7" customFormat="1" ht="22.5" customHeight="1" x14ac:dyDescent="0.3">
      <c r="A38" s="40"/>
      <c r="D38" s="2"/>
      <c r="E38" s="2"/>
      <c r="F38" s="2"/>
      <c r="G38" s="2"/>
      <c r="H38" s="296"/>
    </row>
    <row r="39" spans="1:8" s="7" customFormat="1" ht="22.5" customHeight="1" x14ac:dyDescent="0.3">
      <c r="A39" s="40"/>
      <c r="D39" s="2"/>
      <c r="E39" s="2"/>
      <c r="F39" s="2"/>
      <c r="G39" s="2"/>
      <c r="H39" s="296"/>
    </row>
    <row r="40" spans="1:8" ht="26.25" customHeight="1" x14ac:dyDescent="0.3">
      <c r="A40" s="324" t="s">
        <v>13</v>
      </c>
      <c r="B40" s="324"/>
      <c r="C40" s="324"/>
      <c r="D40" s="324"/>
      <c r="E40" s="324"/>
      <c r="F40" s="324"/>
      <c r="G40" s="324"/>
      <c r="H40" s="324"/>
    </row>
    <row r="41" spans="1:8" ht="26.25" customHeight="1" x14ac:dyDescent="0.35">
      <c r="A41" s="295"/>
      <c r="B41" s="295"/>
      <c r="C41" s="295"/>
      <c r="D41" s="295"/>
      <c r="E41" s="295"/>
      <c r="F41" s="295"/>
      <c r="G41" s="295"/>
      <c r="H41" s="300" t="s">
        <v>185</v>
      </c>
    </row>
    <row r="42" spans="1:8" ht="42" customHeight="1" thickBot="1" x14ac:dyDescent="0.35">
      <c r="A42" s="325" t="s">
        <v>188</v>
      </c>
      <c r="B42" s="325"/>
      <c r="C42" s="325"/>
      <c r="D42" s="325"/>
      <c r="E42" s="325"/>
      <c r="F42" s="325"/>
      <c r="G42" s="325"/>
      <c r="H42" s="325"/>
    </row>
    <row r="43" spans="1:8" s="7" customFormat="1" ht="67.5" customHeight="1" x14ac:dyDescent="0.3">
      <c r="A43" s="326" t="s">
        <v>0</v>
      </c>
      <c r="B43" s="328" t="s">
        <v>6</v>
      </c>
      <c r="C43" s="328" t="s">
        <v>8</v>
      </c>
      <c r="D43" s="330" t="s">
        <v>1</v>
      </c>
      <c r="E43" s="332" t="s">
        <v>180</v>
      </c>
      <c r="F43" s="334" t="s">
        <v>183</v>
      </c>
      <c r="G43" s="336" t="s">
        <v>11</v>
      </c>
      <c r="H43" s="337"/>
    </row>
    <row r="44" spans="1:8" s="7" customFormat="1" ht="24" customHeight="1" thickBot="1" x14ac:dyDescent="0.35">
      <c r="A44" s="327"/>
      <c r="B44" s="329"/>
      <c r="C44" s="329"/>
      <c r="D44" s="331"/>
      <c r="E44" s="333"/>
      <c r="F44" s="335"/>
      <c r="G44" s="338"/>
      <c r="H44" s="339"/>
    </row>
    <row r="45" spans="1:8" s="21" customFormat="1" ht="108.75" customHeight="1" thickBot="1" x14ac:dyDescent="0.35">
      <c r="A45" s="45">
        <v>1</v>
      </c>
      <c r="B45" s="317" t="s">
        <v>48</v>
      </c>
      <c r="C45" s="318"/>
      <c r="D45" s="318"/>
      <c r="E45" s="318"/>
      <c r="F45" s="46">
        <f>SUM(F46:F47)</f>
        <v>45.05</v>
      </c>
      <c r="G45" s="321" t="s">
        <v>205</v>
      </c>
      <c r="H45" s="309"/>
    </row>
    <row r="46" spans="1:8" s="8" customFormat="1" ht="104.25" hidden="1" customHeight="1" x14ac:dyDescent="0.25">
      <c r="A46" s="42" t="s">
        <v>3</v>
      </c>
      <c r="B46" s="20" t="s">
        <v>7</v>
      </c>
      <c r="C46" s="20" t="s">
        <v>9</v>
      </c>
      <c r="D46" s="15"/>
      <c r="E46" s="22"/>
      <c r="F46" s="26"/>
      <c r="G46" s="322"/>
      <c r="H46" s="305"/>
    </row>
    <row r="47" spans="1:8" s="8" customFormat="1" ht="109.5" customHeight="1" thickBot="1" x14ac:dyDescent="0.3">
      <c r="A47" s="16" t="s">
        <v>3</v>
      </c>
      <c r="B47" s="293" t="s">
        <v>201</v>
      </c>
      <c r="C47" s="293" t="s">
        <v>202</v>
      </c>
      <c r="D47" s="14">
        <v>45.05</v>
      </c>
      <c r="E47" s="23">
        <v>1</v>
      </c>
      <c r="F47" s="26">
        <f>D47*E47</f>
        <v>45.05</v>
      </c>
      <c r="G47" s="304" t="s">
        <v>182</v>
      </c>
      <c r="H47" s="305"/>
    </row>
    <row r="48" spans="1:8" s="8" customFormat="1" ht="267" customHeight="1" thickBot="1" x14ac:dyDescent="0.3">
      <c r="A48" s="48">
        <v>2</v>
      </c>
      <c r="B48" s="365" t="s">
        <v>5</v>
      </c>
      <c r="C48" s="366"/>
      <c r="D48" s="366"/>
      <c r="E48" s="367"/>
      <c r="F48" s="31">
        <f>F45*0.1</f>
        <v>4.5049999999999999</v>
      </c>
      <c r="G48" s="363" t="s">
        <v>12</v>
      </c>
      <c r="H48" s="364"/>
    </row>
    <row r="49" spans="1:8" s="38" customFormat="1" ht="42.75" customHeight="1" thickBot="1" x14ac:dyDescent="0.3">
      <c r="A49" s="49">
        <v>3</v>
      </c>
      <c r="B49" s="358" t="s">
        <v>50</v>
      </c>
      <c r="C49" s="359"/>
      <c r="D49" s="359"/>
      <c r="E49" s="360"/>
      <c r="F49" s="30">
        <f>F45+F48</f>
        <v>49.555</v>
      </c>
      <c r="G49" s="361"/>
      <c r="H49" s="362"/>
    </row>
    <row r="50" spans="1:8" s="7" customFormat="1" x14ac:dyDescent="0.3">
      <c r="A50" s="1"/>
      <c r="D50" s="2"/>
      <c r="E50" s="2"/>
      <c r="F50" s="2"/>
      <c r="G50" s="2"/>
      <c r="H50" s="2"/>
    </row>
    <row r="51" spans="1:8" s="7" customFormat="1" x14ac:dyDescent="0.3">
      <c r="A51" s="297" t="s">
        <v>125</v>
      </c>
      <c r="D51" s="2"/>
      <c r="E51" s="2"/>
      <c r="F51" s="2"/>
      <c r="G51" s="2"/>
      <c r="H51" s="2"/>
    </row>
    <row r="52" spans="1:8" s="7" customFormat="1" x14ac:dyDescent="0.3">
      <c r="A52" s="298" t="s">
        <v>186</v>
      </c>
      <c r="D52" s="2"/>
      <c r="E52" s="2"/>
      <c r="F52" s="2"/>
      <c r="G52" s="2"/>
      <c r="H52" s="2"/>
    </row>
    <row r="53" spans="1:8" s="7" customFormat="1" x14ac:dyDescent="0.3">
      <c r="A53" s="303">
        <v>64331831</v>
      </c>
      <c r="B53" s="303"/>
      <c r="D53" s="2"/>
      <c r="E53" s="2"/>
      <c r="F53" s="2"/>
      <c r="G53" s="2"/>
      <c r="H53" s="2"/>
    </row>
    <row r="54" spans="1:8" x14ac:dyDescent="0.3">
      <c r="A54" s="11"/>
      <c r="B54" s="12"/>
      <c r="C54" s="12"/>
      <c r="D54" s="13"/>
      <c r="E54" s="13"/>
      <c r="F54" s="13"/>
      <c r="G54" s="13"/>
    </row>
  </sheetData>
  <mergeCells count="35">
    <mergeCell ref="B43:B44"/>
    <mergeCell ref="C43:C44"/>
    <mergeCell ref="D43:D44"/>
    <mergeCell ref="G15:G20"/>
    <mergeCell ref="B21:E21"/>
    <mergeCell ref="E43:E44"/>
    <mergeCell ref="F43:F44"/>
    <mergeCell ref="G43:H44"/>
    <mergeCell ref="A40:H40"/>
    <mergeCell ref="A42:H42"/>
    <mergeCell ref="A43:A44"/>
    <mergeCell ref="B49:E49"/>
    <mergeCell ref="G49:H49"/>
    <mergeCell ref="B45:E45"/>
    <mergeCell ref="G45:H45"/>
    <mergeCell ref="G46:H46"/>
    <mergeCell ref="G47:H47"/>
    <mergeCell ref="G48:H48"/>
    <mergeCell ref="B48:E48"/>
    <mergeCell ref="A53:B53"/>
    <mergeCell ref="A1:H1"/>
    <mergeCell ref="A2:H2"/>
    <mergeCell ref="A4:H4"/>
    <mergeCell ref="A5:A6"/>
    <mergeCell ref="B5:C6"/>
    <mergeCell ref="D5:D6"/>
    <mergeCell ref="E5:E6"/>
    <mergeCell ref="F5:F6"/>
    <mergeCell ref="G5:G6"/>
    <mergeCell ref="H5:H6"/>
    <mergeCell ref="B22:E22"/>
    <mergeCell ref="B7:E7"/>
    <mergeCell ref="B8:E8"/>
    <mergeCell ref="G9:G13"/>
    <mergeCell ref="B14:E14"/>
  </mergeCells>
  <hyperlinks>
    <hyperlink ref="A52" r:id="rId1"/>
  </hyperlinks>
  <pageMargins left="0.9055118110236221" right="0.31496062992125984" top="0.74803149606299213" bottom="0.74803149606299213" header="0.31496062992125984" footer="0.31496062992125984"/>
  <pageSetup paperSize="9" scale="50"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U62"/>
  <sheetViews>
    <sheetView topLeftCell="B26" zoomScale="70" zoomScaleNormal="70" workbookViewId="0">
      <selection activeCell="B62" sqref="B62"/>
    </sheetView>
  </sheetViews>
  <sheetFormatPr defaultRowHeight="15" x14ac:dyDescent="0.25"/>
  <cols>
    <col min="1" max="1" width="6.28515625" style="77" hidden="1" customWidth="1"/>
    <col min="2" max="2" width="68.85546875" style="77" customWidth="1"/>
    <col min="3" max="3" width="10.140625" style="77" customWidth="1"/>
    <col min="4" max="4" width="10.42578125" style="77" customWidth="1"/>
    <col min="5" max="10" width="11.5703125" style="77" customWidth="1"/>
    <col min="11" max="11" width="2.140625" style="77" customWidth="1"/>
    <col min="12" max="12" width="8.7109375" style="77" customWidth="1"/>
    <col min="13" max="13" width="11" style="77" customWidth="1"/>
    <col min="14" max="16" width="11.5703125" style="77" customWidth="1"/>
    <col min="17" max="17" width="12.28515625" style="77" customWidth="1"/>
    <col min="18" max="18" width="11.5703125" style="77" customWidth="1"/>
    <col min="19" max="19" width="15" style="77" customWidth="1"/>
    <col min="20" max="20" width="5.5703125" style="77" customWidth="1"/>
    <col min="21" max="21" width="10.85546875" style="77" bestFit="1" customWidth="1"/>
    <col min="22" max="16384" width="9.140625" style="77"/>
  </cols>
  <sheetData>
    <row r="1" spans="1:19" s="290" customFormat="1" ht="18.75" x14ac:dyDescent="0.3">
      <c r="A1" s="323" t="s">
        <v>191</v>
      </c>
      <c r="B1" s="323"/>
      <c r="C1" s="323"/>
      <c r="D1" s="323"/>
      <c r="E1" s="323"/>
      <c r="F1" s="323"/>
      <c r="G1" s="323"/>
      <c r="H1" s="323"/>
      <c r="I1" s="323"/>
      <c r="J1" s="323"/>
      <c r="K1" s="323"/>
      <c r="L1" s="323"/>
      <c r="M1" s="323"/>
      <c r="N1" s="323"/>
      <c r="O1" s="323"/>
      <c r="P1" s="323"/>
      <c r="Q1" s="323"/>
      <c r="R1" s="323"/>
      <c r="S1" s="323"/>
    </row>
    <row r="2" spans="1:19" s="290" customFormat="1" ht="55.5" customHeight="1" x14ac:dyDescent="0.25">
      <c r="A2" s="351" t="s">
        <v>176</v>
      </c>
      <c r="B2" s="351"/>
      <c r="C2" s="351"/>
      <c r="D2" s="351"/>
      <c r="E2" s="351"/>
      <c r="F2" s="351"/>
      <c r="G2" s="351"/>
      <c r="H2" s="351"/>
      <c r="I2" s="351"/>
      <c r="J2" s="351"/>
      <c r="K2" s="351"/>
      <c r="L2" s="351"/>
      <c r="M2" s="351"/>
      <c r="N2" s="351"/>
      <c r="O2" s="351"/>
      <c r="P2" s="351"/>
      <c r="Q2" s="351"/>
      <c r="R2" s="351"/>
      <c r="S2" s="351"/>
    </row>
    <row r="3" spans="1:19" ht="52.5" customHeight="1" thickBot="1" x14ac:dyDescent="0.3">
      <c r="B3" s="415" t="s">
        <v>200</v>
      </c>
      <c r="C3" s="415"/>
      <c r="D3" s="415"/>
      <c r="E3" s="415"/>
      <c r="F3" s="415"/>
      <c r="G3" s="415"/>
      <c r="H3" s="415"/>
      <c r="I3" s="415"/>
      <c r="J3" s="415"/>
      <c r="K3" s="415"/>
      <c r="L3" s="415"/>
      <c r="M3" s="415"/>
      <c r="N3" s="415"/>
      <c r="O3" s="415"/>
      <c r="P3" s="415"/>
      <c r="Q3" s="415"/>
      <c r="R3" s="415"/>
      <c r="S3" s="415"/>
    </row>
    <row r="4" spans="1:19" ht="25.5" hidden="1" customHeight="1" x14ac:dyDescent="0.25">
      <c r="B4" s="416" t="s">
        <v>108</v>
      </c>
      <c r="C4" s="416"/>
      <c r="D4" s="416"/>
      <c r="E4" s="416"/>
      <c r="F4" s="416"/>
      <c r="G4" s="416"/>
      <c r="H4" s="416"/>
      <c r="I4" s="416"/>
      <c r="J4" s="416"/>
      <c r="K4" s="416"/>
      <c r="L4" s="416"/>
      <c r="M4" s="416"/>
      <c r="N4" s="416"/>
      <c r="O4" s="416"/>
      <c r="P4" s="416"/>
      <c r="Q4" s="416"/>
      <c r="R4" s="416"/>
      <c r="S4" s="416"/>
    </row>
    <row r="5" spans="1:19" ht="19.5" thickTop="1" x14ac:dyDescent="0.3">
      <c r="B5" s="417" t="s">
        <v>6</v>
      </c>
      <c r="C5" s="418"/>
      <c r="D5" s="419"/>
      <c r="E5" s="426" t="s">
        <v>63</v>
      </c>
      <c r="F5" s="426"/>
      <c r="G5" s="426"/>
      <c r="H5" s="426"/>
      <c r="I5" s="426"/>
      <c r="J5" s="427"/>
    </row>
    <row r="6" spans="1:19" ht="15" customHeight="1" x14ac:dyDescent="0.25">
      <c r="B6" s="420"/>
      <c r="C6" s="421"/>
      <c r="D6" s="422"/>
      <c r="E6" s="381" t="s">
        <v>64</v>
      </c>
      <c r="F6" s="381"/>
      <c r="G6" s="381"/>
      <c r="H6" s="381"/>
      <c r="I6" s="381"/>
      <c r="J6" s="428"/>
    </row>
    <row r="7" spans="1:19" x14ac:dyDescent="0.25">
      <c r="B7" s="420"/>
      <c r="C7" s="421"/>
      <c r="D7" s="422"/>
      <c r="E7" s="383" t="s">
        <v>55</v>
      </c>
      <c r="F7" s="384"/>
      <c r="G7" s="385"/>
      <c r="H7" s="429" t="s">
        <v>192</v>
      </c>
      <c r="I7" s="429"/>
      <c r="J7" s="430"/>
    </row>
    <row r="8" spans="1:19" ht="23.25" x14ac:dyDescent="0.25">
      <c r="B8" s="423"/>
      <c r="C8" s="424"/>
      <c r="D8" s="425"/>
      <c r="E8" s="78" t="s">
        <v>167</v>
      </c>
      <c r="F8" s="78" t="s">
        <v>56</v>
      </c>
      <c r="G8" s="79" t="s">
        <v>66</v>
      </c>
      <c r="H8" s="78" t="s">
        <v>167</v>
      </c>
      <c r="I8" s="78" t="s">
        <v>56</v>
      </c>
      <c r="J8" s="191" t="s">
        <v>66</v>
      </c>
    </row>
    <row r="9" spans="1:19" ht="18" customHeight="1" x14ac:dyDescent="0.25">
      <c r="B9" s="401" t="s">
        <v>106</v>
      </c>
      <c r="C9" s="402"/>
      <c r="D9" s="403"/>
      <c r="E9" s="80">
        <f>Pielik.1_atbalsts_audžuģim!G8</f>
        <v>115.95658571859902</v>
      </c>
      <c r="F9" s="80">
        <f>Pielik.1_atbalsts_audžuģim!G22</f>
        <v>11.595658571859902</v>
      </c>
      <c r="G9" s="82">
        <f>E9+F9</f>
        <v>127.55224429045892</v>
      </c>
      <c r="H9" s="80">
        <f>E9*6</f>
        <v>695.73951431159412</v>
      </c>
      <c r="I9" s="80">
        <f>F9*6</f>
        <v>69.573951431159415</v>
      </c>
      <c r="J9" s="197">
        <f>H9+I9</f>
        <v>765.31346574275358</v>
      </c>
      <c r="L9" s="199"/>
    </row>
    <row r="10" spans="1:19" ht="18" customHeight="1" thickBot="1" x14ac:dyDescent="0.3">
      <c r="B10" s="404" t="s">
        <v>107</v>
      </c>
      <c r="C10" s="405"/>
      <c r="D10" s="406"/>
      <c r="E10" s="84">
        <f>Pielik.2_atbalsts_spec.audžuģim!G7</f>
        <v>129.60658571859901</v>
      </c>
      <c r="F10" s="84">
        <f>Pielik.2_atbalsts_spec.audžuģim!G21</f>
        <v>12.960658571859902</v>
      </c>
      <c r="G10" s="85">
        <f t="shared" ref="G10:G12" si="0">E10+F10</f>
        <v>142.56724429045892</v>
      </c>
      <c r="H10" s="100">
        <f>E10*6</f>
        <v>777.63951431159398</v>
      </c>
      <c r="I10" s="100">
        <f>F10*6</f>
        <v>77.763951431159413</v>
      </c>
      <c r="J10" s="198">
        <f t="shared" ref="J10:J12" si="1">H10+I10</f>
        <v>855.40346574275338</v>
      </c>
      <c r="L10" s="199"/>
    </row>
    <row r="11" spans="1:19" ht="18" customHeight="1" thickTop="1" x14ac:dyDescent="0.25">
      <c r="B11" s="407" t="s">
        <v>69</v>
      </c>
      <c r="C11" s="408"/>
      <c r="D11" s="409"/>
      <c r="E11" s="86">
        <f>Pielik.1_atbalsts_audžuģim!F37</f>
        <v>175</v>
      </c>
      <c r="F11" s="86">
        <f>Pielik.1_atbalsts_audžuģim!F43</f>
        <v>17.5</v>
      </c>
      <c r="G11" s="83">
        <f t="shared" si="0"/>
        <v>192.5</v>
      </c>
      <c r="H11" s="86">
        <f>E11</f>
        <v>175</v>
      </c>
      <c r="I11" s="86">
        <f>F11</f>
        <v>17.5</v>
      </c>
      <c r="J11" s="194">
        <f t="shared" si="1"/>
        <v>192.5</v>
      </c>
      <c r="L11" s="199"/>
      <c r="M11" s="200"/>
    </row>
    <row r="12" spans="1:19" ht="18" customHeight="1" thickBot="1" x14ac:dyDescent="0.3">
      <c r="B12" s="410" t="s">
        <v>70</v>
      </c>
      <c r="C12" s="411"/>
      <c r="D12" s="412"/>
      <c r="E12" s="192">
        <f>Pielik.2_atbalsts_spec.audžuģim!F47</f>
        <v>45.05</v>
      </c>
      <c r="F12" s="192">
        <f>Pielik.2_atbalsts_spec.audžuģim!F48</f>
        <v>4.5049999999999999</v>
      </c>
      <c r="G12" s="193">
        <f t="shared" si="0"/>
        <v>49.555</v>
      </c>
      <c r="H12" s="195">
        <f>E12</f>
        <v>45.05</v>
      </c>
      <c r="I12" s="195">
        <f>F12</f>
        <v>4.5049999999999999</v>
      </c>
      <c r="J12" s="196">
        <f t="shared" si="1"/>
        <v>49.555</v>
      </c>
    </row>
    <row r="13" spans="1:19" ht="31.5" customHeight="1" thickTop="1" thickBot="1" x14ac:dyDescent="0.3"/>
    <row r="14" spans="1:19" ht="18.75" x14ac:dyDescent="0.3">
      <c r="B14" s="413" t="s">
        <v>6</v>
      </c>
      <c r="C14" s="398" t="s">
        <v>72</v>
      </c>
      <c r="D14" s="398" t="s">
        <v>76</v>
      </c>
      <c r="E14" s="379" t="s">
        <v>71</v>
      </c>
      <c r="F14" s="379"/>
      <c r="G14" s="379"/>
      <c r="H14" s="379"/>
      <c r="I14" s="379"/>
      <c r="J14" s="380"/>
      <c r="L14" s="395" t="s">
        <v>72</v>
      </c>
      <c r="M14" s="398" t="s">
        <v>76</v>
      </c>
      <c r="N14" s="379" t="s">
        <v>99</v>
      </c>
      <c r="O14" s="379"/>
      <c r="P14" s="379"/>
      <c r="Q14" s="379"/>
      <c r="R14" s="379"/>
      <c r="S14" s="380"/>
    </row>
    <row r="15" spans="1:19" ht="15" customHeight="1" x14ac:dyDescent="0.25">
      <c r="B15" s="414"/>
      <c r="C15" s="399"/>
      <c r="D15" s="399"/>
      <c r="E15" s="381" t="s">
        <v>64</v>
      </c>
      <c r="F15" s="381"/>
      <c r="G15" s="381"/>
      <c r="H15" s="381"/>
      <c r="I15" s="381"/>
      <c r="J15" s="382"/>
      <c r="L15" s="396"/>
      <c r="M15" s="399"/>
      <c r="N15" s="381" t="s">
        <v>64</v>
      </c>
      <c r="O15" s="381"/>
      <c r="P15" s="381"/>
      <c r="Q15" s="381"/>
      <c r="R15" s="381"/>
      <c r="S15" s="382"/>
    </row>
    <row r="16" spans="1:19" x14ac:dyDescent="0.25">
      <c r="B16" s="414"/>
      <c r="C16" s="399"/>
      <c r="D16" s="399"/>
      <c r="E16" s="383" t="s">
        <v>55</v>
      </c>
      <c r="F16" s="384"/>
      <c r="G16" s="385"/>
      <c r="H16" s="381" t="s">
        <v>62</v>
      </c>
      <c r="I16" s="381"/>
      <c r="J16" s="382"/>
      <c r="L16" s="396"/>
      <c r="M16" s="399"/>
      <c r="N16" s="383" t="s">
        <v>55</v>
      </c>
      <c r="O16" s="384"/>
      <c r="P16" s="385"/>
      <c r="Q16" s="381" t="s">
        <v>62</v>
      </c>
      <c r="R16" s="381"/>
      <c r="S16" s="382"/>
    </row>
    <row r="17" spans="2:21" ht="31.5" customHeight="1" x14ac:dyDescent="0.25">
      <c r="B17" s="414"/>
      <c r="C17" s="400"/>
      <c r="D17" s="400"/>
      <c r="E17" s="78" t="s">
        <v>65</v>
      </c>
      <c r="F17" s="78" t="s">
        <v>56</v>
      </c>
      <c r="G17" s="79" t="s">
        <v>66</v>
      </c>
      <c r="H17" s="78" t="s">
        <v>65</v>
      </c>
      <c r="I17" s="78" t="s">
        <v>56</v>
      </c>
      <c r="J17" s="87" t="s">
        <v>66</v>
      </c>
      <c r="L17" s="397"/>
      <c r="M17" s="400"/>
      <c r="N17" s="78" t="s">
        <v>65</v>
      </c>
      <c r="O17" s="78" t="s">
        <v>56</v>
      </c>
      <c r="P17" s="79" t="s">
        <v>66</v>
      </c>
      <c r="Q17" s="78" t="s">
        <v>65</v>
      </c>
      <c r="R17" s="78" t="s">
        <v>56</v>
      </c>
      <c r="S17" s="87" t="s">
        <v>66</v>
      </c>
    </row>
    <row r="18" spans="2:21" ht="18" customHeight="1" x14ac:dyDescent="0.25">
      <c r="B18" s="89" t="s">
        <v>67</v>
      </c>
      <c r="C18" s="302">
        <f>'AC prtrets'!C10</f>
        <v>77</v>
      </c>
      <c r="D18" s="108">
        <f>J9</f>
        <v>765.31346574275358</v>
      </c>
      <c r="E18" s="80">
        <f>C18*E9</f>
        <v>8928.6571003321242</v>
      </c>
      <c r="F18" s="80">
        <f>C18*F9</f>
        <v>892.86571003321239</v>
      </c>
      <c r="G18" s="82">
        <f>E18+F18</f>
        <v>9821.5228103653371</v>
      </c>
      <c r="H18" s="80">
        <f>E18*6</f>
        <v>53571.942601992749</v>
      </c>
      <c r="I18" s="80">
        <f>F18*6</f>
        <v>5357.1942601992741</v>
      </c>
      <c r="J18" s="99">
        <f>H18+I18</f>
        <v>58929.136862192026</v>
      </c>
      <c r="L18" s="252">
        <f>C18*'AC prtrets'!G3</f>
        <v>462</v>
      </c>
      <c r="M18" s="108">
        <f>D18</f>
        <v>765.31346574275358</v>
      </c>
      <c r="N18" s="80">
        <f>E18*'[1]AC prtrets'!G3</f>
        <v>53571.942601992749</v>
      </c>
      <c r="O18" s="80">
        <f>F18*'[1]AC prtrets'!G3</f>
        <v>5357.1942601992741</v>
      </c>
      <c r="P18" s="82">
        <f>N18+O18</f>
        <v>58929.136862192026</v>
      </c>
      <c r="Q18" s="80">
        <f>N18*6</f>
        <v>321431.65561195649</v>
      </c>
      <c r="R18" s="80">
        <f>O18*6</f>
        <v>32143.165561195645</v>
      </c>
      <c r="S18" s="143">
        <f>Q18+R18</f>
        <v>353574.82117315213</v>
      </c>
      <c r="T18" s="77">
        <f>J18*'[1]AC prtrets'!G3-S18</f>
        <v>0</v>
      </c>
    </row>
    <row r="19" spans="2:21" ht="18" customHeight="1" thickBot="1" x14ac:dyDescent="0.3">
      <c r="B19" s="90" t="s">
        <v>68</v>
      </c>
      <c r="C19" s="187">
        <f>'AC prtrets'!C11</f>
        <v>15</v>
      </c>
      <c r="D19" s="109">
        <f>J10</f>
        <v>855.40346574275338</v>
      </c>
      <c r="E19" s="100">
        <f>C19*E10</f>
        <v>1944.0987857789851</v>
      </c>
      <c r="F19" s="100">
        <f>C19*F10</f>
        <v>194.40987857789852</v>
      </c>
      <c r="G19" s="85">
        <f t="shared" ref="G19" si="2">E19+F19</f>
        <v>2138.5086643568834</v>
      </c>
      <c r="H19" s="100">
        <f>E19*6</f>
        <v>11664.59271467391</v>
      </c>
      <c r="I19" s="100">
        <f>F19*6</f>
        <v>1166.4592714673911</v>
      </c>
      <c r="J19" s="101">
        <f>H19+I19</f>
        <v>12831.051986141301</v>
      </c>
      <c r="L19" s="253">
        <f>C19*'AC prtrets'!G3</f>
        <v>90</v>
      </c>
      <c r="M19" s="109">
        <f>D19</f>
        <v>855.40346574275338</v>
      </c>
      <c r="N19" s="100">
        <f>E19*'[1]AC prtrets'!G3</f>
        <v>11664.59271467391</v>
      </c>
      <c r="O19" s="100">
        <f>F19*'[1]AC prtrets'!G3</f>
        <v>1166.4592714673911</v>
      </c>
      <c r="P19" s="85">
        <f t="shared" ref="P19" si="3">N19+O19</f>
        <v>12831.051986141301</v>
      </c>
      <c r="Q19" s="100">
        <f>N19*6</f>
        <v>69987.556288043459</v>
      </c>
      <c r="R19" s="100">
        <f>O19*6</f>
        <v>6998.755628804347</v>
      </c>
      <c r="S19" s="144">
        <f t="shared" ref="S19:S21" si="4">Q19+R19</f>
        <v>76986.311916847801</v>
      </c>
      <c r="T19" s="77">
        <f>J19*'[1]AC prtrets'!G3-S19</f>
        <v>0</v>
      </c>
      <c r="U19" s="136"/>
    </row>
    <row r="20" spans="2:21" ht="18" customHeight="1" thickTop="1" x14ac:dyDescent="0.25">
      <c r="B20" s="91" t="s">
        <v>193</v>
      </c>
      <c r="C20" s="96">
        <v>18</v>
      </c>
      <c r="D20" s="110">
        <f>J11</f>
        <v>192.5</v>
      </c>
      <c r="E20" s="121" t="s">
        <v>20</v>
      </c>
      <c r="F20" s="121" t="s">
        <v>20</v>
      </c>
      <c r="G20" s="83">
        <v>0</v>
      </c>
      <c r="H20" s="86">
        <f>C20*H11</f>
        <v>3150</v>
      </c>
      <c r="I20" s="86">
        <f>C20*I11</f>
        <v>315</v>
      </c>
      <c r="J20" s="102">
        <f>H20+I20</f>
        <v>3465</v>
      </c>
      <c r="L20" s="95">
        <f>C20*'AC prtrets'!G3</f>
        <v>108</v>
      </c>
      <c r="M20" s="110">
        <f>D20</f>
        <v>192.5</v>
      </c>
      <c r="N20" s="121" t="s">
        <v>20</v>
      </c>
      <c r="O20" s="121" t="s">
        <v>20</v>
      </c>
      <c r="P20" s="83">
        <v>0</v>
      </c>
      <c r="Q20" s="86">
        <f>H20*'[1]AC prtrets'!G3</f>
        <v>18900</v>
      </c>
      <c r="R20" s="86">
        <f>I20*'[1]AC prtrets'!G3</f>
        <v>1890</v>
      </c>
      <c r="S20" s="145">
        <f t="shared" si="4"/>
        <v>20790</v>
      </c>
      <c r="T20" s="77">
        <f>J20*'[1]AC prtrets'!G3-S20</f>
        <v>0</v>
      </c>
    </row>
    <row r="21" spans="2:21" ht="18" customHeight="1" thickBot="1" x14ac:dyDescent="0.3">
      <c r="B21" s="92" t="s">
        <v>70</v>
      </c>
      <c r="C21" s="98">
        <v>27</v>
      </c>
      <c r="D21" s="111">
        <f>J12</f>
        <v>49.555</v>
      </c>
      <c r="E21" s="122" t="s">
        <v>20</v>
      </c>
      <c r="F21" s="122" t="s">
        <v>20</v>
      </c>
      <c r="G21" s="88">
        <v>0</v>
      </c>
      <c r="H21" s="103">
        <f>C21*H12</f>
        <v>1216.3499999999999</v>
      </c>
      <c r="I21" s="103">
        <f>C21*I12</f>
        <v>121.63499999999999</v>
      </c>
      <c r="J21" s="104">
        <f>H21+I21</f>
        <v>1337.9849999999999</v>
      </c>
      <c r="L21" s="97">
        <f>C21*'AC prtrets'!G3</f>
        <v>162</v>
      </c>
      <c r="M21" s="111">
        <f>D21</f>
        <v>49.555</v>
      </c>
      <c r="N21" s="122" t="s">
        <v>20</v>
      </c>
      <c r="O21" s="122" t="s">
        <v>20</v>
      </c>
      <c r="P21" s="88">
        <v>0</v>
      </c>
      <c r="Q21" s="103">
        <f>H21*'[1]AC prtrets'!G3</f>
        <v>7298.0999999999995</v>
      </c>
      <c r="R21" s="103">
        <f>I21*'[1]AC prtrets'!G3</f>
        <v>729.81</v>
      </c>
      <c r="S21" s="146">
        <f t="shared" si="4"/>
        <v>8027.91</v>
      </c>
      <c r="T21" s="77">
        <f>J21*'[1]AC prtrets'!G3-S21</f>
        <v>0</v>
      </c>
    </row>
    <row r="22" spans="2:21" ht="6" customHeight="1" thickBot="1" x14ac:dyDescent="0.3">
      <c r="B22" s="105"/>
      <c r="C22" s="106"/>
      <c r="D22" s="106"/>
      <c r="E22" s="106"/>
      <c r="F22" s="106"/>
      <c r="G22" s="106"/>
      <c r="H22" s="106"/>
      <c r="I22" s="106"/>
      <c r="J22" s="107"/>
      <c r="L22" s="105"/>
      <c r="M22" s="106"/>
      <c r="N22" s="106"/>
      <c r="O22" s="106"/>
      <c r="P22" s="106"/>
      <c r="Q22" s="106"/>
      <c r="R22" s="106"/>
      <c r="S22" s="107"/>
    </row>
    <row r="23" spans="2:21" ht="16.5" customHeight="1" x14ac:dyDescent="0.3">
      <c r="B23" s="389" t="s">
        <v>73</v>
      </c>
      <c r="C23" s="386" t="s">
        <v>77</v>
      </c>
      <c r="D23" s="386" t="s">
        <v>100</v>
      </c>
      <c r="E23" s="379" t="s">
        <v>71</v>
      </c>
      <c r="F23" s="379"/>
      <c r="G23" s="379"/>
      <c r="H23" s="379"/>
      <c r="I23" s="379"/>
      <c r="J23" s="380"/>
      <c r="L23" s="392" t="s">
        <v>77</v>
      </c>
      <c r="M23" s="386" t="s">
        <v>79</v>
      </c>
      <c r="N23" s="379" t="s">
        <v>99</v>
      </c>
      <c r="O23" s="379"/>
      <c r="P23" s="379"/>
      <c r="Q23" s="379"/>
      <c r="R23" s="379"/>
      <c r="S23" s="380"/>
      <c r="U23" s="136"/>
    </row>
    <row r="24" spans="2:21" ht="16.5" customHeight="1" x14ac:dyDescent="0.25">
      <c r="B24" s="390"/>
      <c r="C24" s="387"/>
      <c r="D24" s="387"/>
      <c r="E24" s="381" t="s">
        <v>64</v>
      </c>
      <c r="F24" s="381"/>
      <c r="G24" s="381"/>
      <c r="H24" s="381"/>
      <c r="I24" s="381"/>
      <c r="J24" s="382"/>
      <c r="L24" s="393"/>
      <c r="M24" s="387"/>
      <c r="N24" s="381" t="s">
        <v>64</v>
      </c>
      <c r="O24" s="381"/>
      <c r="P24" s="381"/>
      <c r="Q24" s="381"/>
      <c r="R24" s="381"/>
      <c r="S24" s="382"/>
    </row>
    <row r="25" spans="2:21" ht="16.5" customHeight="1" x14ac:dyDescent="0.25">
      <c r="B25" s="390"/>
      <c r="C25" s="387"/>
      <c r="D25" s="387"/>
      <c r="E25" s="383" t="s">
        <v>80</v>
      </c>
      <c r="F25" s="384"/>
      <c r="G25" s="385"/>
      <c r="H25" s="381" t="s">
        <v>62</v>
      </c>
      <c r="I25" s="381"/>
      <c r="J25" s="382"/>
      <c r="L25" s="393"/>
      <c r="M25" s="387"/>
      <c r="N25" s="383" t="s">
        <v>80</v>
      </c>
      <c r="O25" s="384"/>
      <c r="P25" s="385"/>
      <c r="Q25" s="381" t="s">
        <v>62</v>
      </c>
      <c r="R25" s="381"/>
      <c r="S25" s="382"/>
      <c r="U25" s="136"/>
    </row>
    <row r="26" spans="2:21" ht="30.75" customHeight="1" thickBot="1" x14ac:dyDescent="0.3">
      <c r="B26" s="391"/>
      <c r="C26" s="388"/>
      <c r="D26" s="388"/>
      <c r="E26" s="78" t="s">
        <v>65</v>
      </c>
      <c r="F26" s="78" t="s">
        <v>56</v>
      </c>
      <c r="G26" s="79" t="s">
        <v>66</v>
      </c>
      <c r="H26" s="78" t="s">
        <v>65</v>
      </c>
      <c r="I26" s="78" t="s">
        <v>56</v>
      </c>
      <c r="J26" s="87" t="s">
        <v>66</v>
      </c>
      <c r="L26" s="394"/>
      <c r="M26" s="388"/>
      <c r="N26" s="78" t="s">
        <v>65</v>
      </c>
      <c r="O26" s="78" t="s">
        <v>56</v>
      </c>
      <c r="P26" s="79" t="s">
        <v>66</v>
      </c>
      <c r="Q26" s="78" t="s">
        <v>65</v>
      </c>
      <c r="R26" s="78" t="s">
        <v>56</v>
      </c>
      <c r="S26" s="87" t="s">
        <v>66</v>
      </c>
    </row>
    <row r="27" spans="2:21" x14ac:dyDescent="0.25">
      <c r="B27" s="112" t="s">
        <v>81</v>
      </c>
      <c r="C27" s="113">
        <f>C28+C29</f>
        <v>15</v>
      </c>
      <c r="D27" s="113" t="s">
        <v>20</v>
      </c>
      <c r="E27" s="129" t="s">
        <v>20</v>
      </c>
      <c r="F27" s="129" t="s">
        <v>20</v>
      </c>
      <c r="G27" s="124">
        <v>0</v>
      </c>
      <c r="H27" s="124">
        <f>H28+H29</f>
        <v>7500</v>
      </c>
      <c r="I27" s="129" t="s">
        <v>20</v>
      </c>
      <c r="J27" s="123">
        <f>J28+J29</f>
        <v>7500</v>
      </c>
      <c r="L27" s="126" t="s">
        <v>20</v>
      </c>
      <c r="M27" s="113" t="s">
        <v>20</v>
      </c>
      <c r="N27" s="129" t="s">
        <v>20</v>
      </c>
      <c r="O27" s="129" t="s">
        <v>20</v>
      </c>
      <c r="P27" s="124">
        <v>0</v>
      </c>
      <c r="Q27" s="124">
        <f>Q28+Q29</f>
        <v>45000</v>
      </c>
      <c r="R27" s="129" t="s">
        <v>20</v>
      </c>
      <c r="S27" s="123">
        <f>S28+S29</f>
        <v>45000</v>
      </c>
      <c r="T27" s="77">
        <f>J27*'[1]AC prtrets'!G3-S27</f>
        <v>0</v>
      </c>
    </row>
    <row r="28" spans="2:21" x14ac:dyDescent="0.25">
      <c r="B28" s="114" t="s">
        <v>74</v>
      </c>
      <c r="C28" s="115">
        <v>12</v>
      </c>
      <c r="D28" s="116">
        <v>500</v>
      </c>
      <c r="E28" s="125" t="s">
        <v>20</v>
      </c>
      <c r="F28" s="125" t="s">
        <v>20</v>
      </c>
      <c r="G28" s="81">
        <v>0</v>
      </c>
      <c r="H28" s="80">
        <f>C28*D28</f>
        <v>6000</v>
      </c>
      <c r="I28" s="125" t="s">
        <v>20</v>
      </c>
      <c r="J28" s="130">
        <f>H28</f>
        <v>6000</v>
      </c>
      <c r="L28" s="93">
        <f>C28*'AC prtrets'!G3</f>
        <v>72</v>
      </c>
      <c r="M28" s="116">
        <f>D28</f>
        <v>500</v>
      </c>
      <c r="N28" s="125" t="s">
        <v>20</v>
      </c>
      <c r="O28" s="125" t="s">
        <v>20</v>
      </c>
      <c r="P28" s="81">
        <v>0</v>
      </c>
      <c r="Q28" s="80">
        <f>H28*'[1]AC prtrets'!G3</f>
        <v>36000</v>
      </c>
      <c r="R28" s="125" t="s">
        <v>20</v>
      </c>
      <c r="S28" s="130">
        <f>Q28</f>
        <v>36000</v>
      </c>
      <c r="T28" s="77">
        <f>J28*'[1]AC prtrets'!G3-S28</f>
        <v>0</v>
      </c>
    </row>
    <row r="29" spans="2:21" ht="15.75" thickBot="1" x14ac:dyDescent="0.3">
      <c r="B29" s="117" t="s">
        <v>75</v>
      </c>
      <c r="C29" s="118">
        <v>3</v>
      </c>
      <c r="D29" s="119">
        <v>500</v>
      </c>
      <c r="E29" s="122" t="s">
        <v>20</v>
      </c>
      <c r="F29" s="122" t="s">
        <v>20</v>
      </c>
      <c r="G29" s="131">
        <v>0</v>
      </c>
      <c r="H29" s="103">
        <f>C29*D29</f>
        <v>1500</v>
      </c>
      <c r="I29" s="122" t="s">
        <v>20</v>
      </c>
      <c r="J29" s="132">
        <f>H29</f>
        <v>1500</v>
      </c>
      <c r="L29" s="137">
        <f>C29*'AC prtrets'!G3</f>
        <v>18</v>
      </c>
      <c r="M29" s="138">
        <f>D29</f>
        <v>500</v>
      </c>
      <c r="N29" s="139" t="s">
        <v>20</v>
      </c>
      <c r="O29" s="139" t="s">
        <v>20</v>
      </c>
      <c r="P29" s="140">
        <v>0</v>
      </c>
      <c r="Q29" s="141">
        <f>H29*'[1]AC prtrets'!G3</f>
        <v>9000</v>
      </c>
      <c r="R29" s="122" t="s">
        <v>20</v>
      </c>
      <c r="S29" s="142">
        <f>Q29</f>
        <v>9000</v>
      </c>
      <c r="T29" s="77">
        <f>J29*'[1]AC prtrets'!G3-S29</f>
        <v>0</v>
      </c>
    </row>
    <row r="30" spans="2:21" x14ac:dyDescent="0.25">
      <c r="B30" s="91" t="s">
        <v>78</v>
      </c>
      <c r="C30" s="120">
        <f>L19/6</f>
        <v>15</v>
      </c>
      <c r="D30" s="120" t="s">
        <v>20</v>
      </c>
      <c r="E30" s="83">
        <f>E31+E32</f>
        <v>12806.088</v>
      </c>
      <c r="F30" s="83">
        <f>F31+F32</f>
        <v>384.18263999999994</v>
      </c>
      <c r="G30" s="83">
        <f>E30+F30</f>
        <v>13190.270639999999</v>
      </c>
      <c r="H30" s="83">
        <f>H31+H32</f>
        <v>70433.483999999997</v>
      </c>
      <c r="I30" s="83">
        <f>I31+I32</f>
        <v>2113.00452</v>
      </c>
      <c r="J30" s="102">
        <f t="shared" ref="J30:J32" si="5">H30+I30</f>
        <v>72546.488519999999</v>
      </c>
      <c r="L30" s="254">
        <f>L31+L32</f>
        <v>90</v>
      </c>
      <c r="M30" s="113" t="s">
        <v>20</v>
      </c>
      <c r="N30" s="124">
        <f>N31+N32</f>
        <v>76836.527999999991</v>
      </c>
      <c r="O30" s="124">
        <f>O31+O32</f>
        <v>2305.0958399999995</v>
      </c>
      <c r="P30" s="124">
        <f>N30+O30</f>
        <v>79141.623839999986</v>
      </c>
      <c r="Q30" s="124">
        <f>Q31+Q32</f>
        <v>422600.90399999998</v>
      </c>
      <c r="R30" s="124">
        <f>R31+R32</f>
        <v>12678.027119999999</v>
      </c>
      <c r="S30" s="123">
        <f>Q30+R30</f>
        <v>435278.93111999996</v>
      </c>
      <c r="T30" s="77">
        <f>J30*'[1]AC prtrets'!G3-S30</f>
        <v>0</v>
      </c>
    </row>
    <row r="31" spans="2:21" x14ac:dyDescent="0.25">
      <c r="B31" s="114" t="s">
        <v>74</v>
      </c>
      <c r="C31" s="115">
        <v>12</v>
      </c>
      <c r="D31" s="127">
        <f>(430*1.2409*12/12)+(430*1.2409*6/12)</f>
        <v>800.38049999999998</v>
      </c>
      <c r="E31" s="80">
        <f>C31*D31</f>
        <v>9604.5659999999989</v>
      </c>
      <c r="F31" s="80">
        <f>E31*0.03</f>
        <v>288.13697999999994</v>
      </c>
      <c r="G31" s="81">
        <f>E31+F31</f>
        <v>9892.7029799999982</v>
      </c>
      <c r="H31" s="80">
        <f>E31*5.5</f>
        <v>52825.112999999998</v>
      </c>
      <c r="I31" s="80">
        <f>H31*0.03</f>
        <v>1584.7533899999999</v>
      </c>
      <c r="J31" s="130">
        <f t="shared" si="5"/>
        <v>54409.866389999996</v>
      </c>
      <c r="L31" s="93">
        <f>C31*'AC prtrets'!G3</f>
        <v>72</v>
      </c>
      <c r="M31" s="127">
        <f>D31</f>
        <v>800.38049999999998</v>
      </c>
      <c r="N31" s="80">
        <f>E31*6</f>
        <v>57627.395999999993</v>
      </c>
      <c r="O31" s="80">
        <f>F31*6</f>
        <v>1728.8218799999995</v>
      </c>
      <c r="P31" s="81">
        <f>N31+O31</f>
        <v>59356.217879999997</v>
      </c>
      <c r="Q31" s="80">
        <f>H31*'[1]AC prtrets'!G3</f>
        <v>316950.67799999996</v>
      </c>
      <c r="R31" s="80">
        <f>I31*'[1]AC prtrets'!G3</f>
        <v>9508.5203399999991</v>
      </c>
      <c r="S31" s="130">
        <f>Q31+R31</f>
        <v>326459.19833999994</v>
      </c>
      <c r="T31" s="77">
        <f>J31*'[1]AC prtrets'!G3-S31</f>
        <v>0</v>
      </c>
    </row>
    <row r="32" spans="2:21" ht="15.75" thickBot="1" x14ac:dyDescent="0.3">
      <c r="B32" s="117" t="s">
        <v>75</v>
      </c>
      <c r="C32" s="118">
        <v>3</v>
      </c>
      <c r="D32" s="128">
        <f>430*2*1.2409*12/12</f>
        <v>1067.174</v>
      </c>
      <c r="E32" s="103">
        <f>C32*D32</f>
        <v>3201.5219999999999</v>
      </c>
      <c r="F32" s="103">
        <f>E32*0.03</f>
        <v>96.045659999999998</v>
      </c>
      <c r="G32" s="131">
        <f>E32+F32</f>
        <v>3297.5676599999997</v>
      </c>
      <c r="H32" s="103">
        <f>E32*5.5</f>
        <v>17608.370999999999</v>
      </c>
      <c r="I32" s="103">
        <f>H32*0.03</f>
        <v>528.25112999999999</v>
      </c>
      <c r="J32" s="132">
        <f t="shared" si="5"/>
        <v>18136.62213</v>
      </c>
      <c r="L32" s="97">
        <f>C32*'AC prtrets'!G3</f>
        <v>18</v>
      </c>
      <c r="M32" s="128">
        <f>D32</f>
        <v>1067.174</v>
      </c>
      <c r="N32" s="103">
        <f>E32*6</f>
        <v>19209.131999999998</v>
      </c>
      <c r="O32" s="103">
        <f>F32*6</f>
        <v>576.27395999999999</v>
      </c>
      <c r="P32" s="131">
        <f>N32+O32</f>
        <v>19785.405959999996</v>
      </c>
      <c r="Q32" s="103">
        <f>H32*'[1]AC prtrets'!G3</f>
        <v>105650.226</v>
      </c>
      <c r="R32" s="103">
        <f>I32*'[1]AC prtrets'!G3</f>
        <v>3169.5067799999997</v>
      </c>
      <c r="S32" s="132">
        <f t="shared" ref="S32" si="6">Q32+R32</f>
        <v>108819.73277999999</v>
      </c>
      <c r="T32" s="77">
        <f>J32*'[1]AC prtrets'!G3-S32</f>
        <v>0</v>
      </c>
    </row>
    <row r="33" spans="2:20" x14ac:dyDescent="0.25">
      <c r="T33" s="77">
        <f>C30-C31-C32</f>
        <v>0</v>
      </c>
    </row>
    <row r="35" spans="2:20" x14ac:dyDescent="0.25">
      <c r="B35" s="377" t="s">
        <v>109</v>
      </c>
      <c r="C35" s="377"/>
      <c r="D35" s="377"/>
      <c r="E35" s="377"/>
      <c r="F35" s="377"/>
      <c r="G35" s="377"/>
      <c r="H35" s="377"/>
      <c r="I35" s="377"/>
      <c r="J35" s="133">
        <f>J36+J37+J38+J39+J40</f>
        <v>156609.66236833335</v>
      </c>
      <c r="L35" s="378" t="s">
        <v>122</v>
      </c>
      <c r="M35" s="378"/>
      <c r="N35" s="378"/>
      <c r="O35" s="378"/>
      <c r="P35" s="378"/>
      <c r="Q35" s="378"/>
      <c r="R35" s="378"/>
      <c r="S35" s="251">
        <f>S36+S37+S38+S39+S40+S42</f>
        <v>1026006.9742099999</v>
      </c>
    </row>
    <row r="36" spans="2:20" s="190" customFormat="1" ht="14.25" x14ac:dyDescent="0.2">
      <c r="B36" s="377" t="s">
        <v>168</v>
      </c>
      <c r="C36" s="377"/>
      <c r="D36" s="377"/>
      <c r="E36" s="377"/>
      <c r="F36" s="377"/>
      <c r="G36" s="377"/>
      <c r="H36" s="377"/>
      <c r="I36" s="377"/>
      <c r="J36" s="133">
        <f>H18+H19</f>
        <v>65236.535316666661</v>
      </c>
      <c r="L36" s="377" t="str">
        <f t="shared" ref="L36:L40" si="7">B36</f>
        <v>Tiešās pakalpojuma izmaksas (ATBALSTS):</v>
      </c>
      <c r="M36" s="377"/>
      <c r="N36" s="377"/>
      <c r="O36" s="377"/>
      <c r="P36" s="377"/>
      <c r="Q36" s="377"/>
      <c r="R36" s="377"/>
      <c r="S36" s="133">
        <f>J36*'[1]AC prtrets'!G3</f>
        <v>391419.21189999999</v>
      </c>
    </row>
    <row r="37" spans="2:20" x14ac:dyDescent="0.25">
      <c r="B37" s="368" t="s">
        <v>194</v>
      </c>
      <c r="C37" s="368"/>
      <c r="D37" s="368"/>
      <c r="E37" s="368"/>
      <c r="F37" s="368"/>
      <c r="G37" s="368"/>
      <c r="H37" s="368"/>
      <c r="I37" s="368"/>
      <c r="J37" s="134">
        <f>H20+H21</f>
        <v>4366.3500000000004</v>
      </c>
      <c r="L37" s="368" t="str">
        <f t="shared" si="7"/>
        <v>Apmācības ģimenēm audžuģimenes vai specializētās audžuģimenes statusa iegūšanai:</v>
      </c>
      <c r="M37" s="368"/>
      <c r="N37" s="368"/>
      <c r="O37" s="368"/>
      <c r="P37" s="368"/>
      <c r="Q37" s="368"/>
      <c r="R37" s="368"/>
      <c r="S37" s="134">
        <f>J37*'[1]AC prtrets'!G3</f>
        <v>26198.100000000002</v>
      </c>
    </row>
    <row r="38" spans="2:20" x14ac:dyDescent="0.25">
      <c r="B38" s="368" t="s">
        <v>195</v>
      </c>
      <c r="C38" s="368"/>
      <c r="D38" s="368"/>
      <c r="E38" s="368"/>
      <c r="F38" s="368"/>
      <c r="G38" s="368"/>
      <c r="H38" s="368"/>
      <c r="I38" s="368"/>
      <c r="J38" s="134">
        <f>H28+H29</f>
        <v>7500</v>
      </c>
      <c r="L38" s="368" t="str">
        <f t="shared" si="7"/>
        <v>Izmaksātā vienreizējā mājokļa iekārtošanas izdevumu kompensācija:</v>
      </c>
      <c r="M38" s="368"/>
      <c r="N38" s="368"/>
      <c r="O38" s="368"/>
      <c r="P38" s="368"/>
      <c r="Q38" s="368"/>
      <c r="R38" s="368"/>
      <c r="S38" s="134">
        <f>J38*'[1]AC prtrets'!G3</f>
        <v>45000</v>
      </c>
    </row>
    <row r="39" spans="2:20" x14ac:dyDescent="0.25">
      <c r="B39" s="368" t="s">
        <v>196</v>
      </c>
      <c r="C39" s="368"/>
      <c r="D39" s="368"/>
      <c r="E39" s="368"/>
      <c r="F39" s="368"/>
      <c r="G39" s="368"/>
      <c r="H39" s="368"/>
      <c r="I39" s="368"/>
      <c r="J39" s="134">
        <f>H30</f>
        <v>70433.483999999997</v>
      </c>
      <c r="L39" s="368" t="str">
        <f t="shared" si="7"/>
        <v>Atlīdzības izdevumi specializētām audžuģimenēm</v>
      </c>
      <c r="M39" s="368"/>
      <c r="N39" s="368"/>
      <c r="O39" s="368"/>
      <c r="P39" s="368"/>
      <c r="Q39" s="368"/>
      <c r="R39" s="368"/>
      <c r="S39" s="134">
        <f>J39*'[1]AC prtrets'!G3</f>
        <v>422600.90399999998</v>
      </c>
    </row>
    <row r="40" spans="2:20" s="189" customFormat="1" x14ac:dyDescent="0.25">
      <c r="B40" s="376" t="s">
        <v>197</v>
      </c>
      <c r="C40" s="376"/>
      <c r="D40" s="376"/>
      <c r="E40" s="376"/>
      <c r="F40" s="376"/>
      <c r="G40" s="376"/>
      <c r="H40" s="376"/>
      <c r="I40" s="376"/>
      <c r="J40" s="188">
        <f>I18+I19+I20+I21+I31+I32</f>
        <v>9073.2930516666656</v>
      </c>
      <c r="L40" s="376" t="str">
        <f t="shared" si="7"/>
        <v>Atbalsta centru administrēšanas izdevumi</v>
      </c>
      <c r="M40" s="376"/>
      <c r="N40" s="376"/>
      <c r="O40" s="376"/>
      <c r="P40" s="376"/>
      <c r="Q40" s="376"/>
      <c r="R40" s="376"/>
      <c r="S40" s="188">
        <f>J40*'[1]AC prtrets'!G3</f>
        <v>54439.75830999999</v>
      </c>
    </row>
    <row r="41" spans="2:20" ht="15" customHeight="1" x14ac:dyDescent="0.25">
      <c r="L41" s="368" t="s">
        <v>198</v>
      </c>
      <c r="M41" s="368"/>
      <c r="N41" s="368"/>
      <c r="O41" s="368"/>
      <c r="P41" s="368"/>
      <c r="Q41" s="368"/>
      <c r="R41" s="368"/>
      <c r="S41" s="134">
        <f>S35-S18-S19-S20-S21-S27-S30</f>
        <v>86348.999999999884</v>
      </c>
    </row>
    <row r="42" spans="2:20" x14ac:dyDescent="0.25">
      <c r="L42" s="369" t="s">
        <v>198</v>
      </c>
      <c r="M42" s="369"/>
      <c r="N42" s="369"/>
      <c r="O42" s="369"/>
      <c r="P42" s="369"/>
      <c r="Q42" s="369"/>
      <c r="R42" s="369"/>
      <c r="S42" s="134">
        <v>86349</v>
      </c>
    </row>
    <row r="43" spans="2:20" s="211" customFormat="1" ht="20.25" hidden="1" customHeight="1" thickBot="1" x14ac:dyDescent="0.3">
      <c r="B43" s="212"/>
      <c r="C43" s="212"/>
      <c r="D43" s="212"/>
      <c r="E43" s="212"/>
      <c r="F43" s="212"/>
      <c r="G43" s="213"/>
      <c r="H43" s="214"/>
      <c r="I43" s="212"/>
      <c r="J43" s="212"/>
      <c r="K43" s="212"/>
      <c r="L43" s="212"/>
      <c r="M43" s="212"/>
      <c r="N43" s="212"/>
      <c r="O43" s="212"/>
      <c r="P43" s="212"/>
      <c r="Q43" s="212"/>
      <c r="R43" s="212"/>
      <c r="S43" s="212"/>
    </row>
    <row r="44" spans="2:20" s="211" customFormat="1" ht="20.25" hidden="1" customHeight="1" x14ac:dyDescent="0.25">
      <c r="B44" s="212"/>
      <c r="C44" s="212"/>
      <c r="D44" s="212"/>
      <c r="E44" s="212"/>
      <c r="F44" s="212"/>
      <c r="G44" s="212"/>
      <c r="H44" s="212"/>
      <c r="I44" s="212"/>
      <c r="J44" s="212"/>
      <c r="K44" s="212"/>
      <c r="L44" s="220"/>
      <c r="M44" s="221"/>
      <c r="N44" s="221"/>
      <c r="O44" s="221"/>
      <c r="P44" s="221"/>
      <c r="Q44" s="221"/>
      <c r="R44" s="221"/>
      <c r="S44" s="221"/>
      <c r="T44" s="222"/>
    </row>
    <row r="45" spans="2:20" ht="18.75" hidden="1" x14ac:dyDescent="0.3">
      <c r="L45" s="370" t="s">
        <v>105</v>
      </c>
      <c r="M45" s="371"/>
      <c r="N45" s="371"/>
      <c r="O45" s="371"/>
      <c r="P45" s="371"/>
      <c r="Q45" s="371"/>
      <c r="R45" s="371"/>
      <c r="S45" s="223">
        <f>S46+S47+S48</f>
        <v>1026007</v>
      </c>
      <c r="T45" s="372"/>
    </row>
    <row r="46" spans="2:20" ht="18.75" hidden="1" x14ac:dyDescent="0.3">
      <c r="L46" s="373" t="s">
        <v>103</v>
      </c>
      <c r="M46" s="374"/>
      <c r="N46" s="374"/>
      <c r="O46" s="374"/>
      <c r="P46" s="374"/>
      <c r="Q46" s="374"/>
      <c r="R46" s="374"/>
      <c r="S46" s="224">
        <v>1026007</v>
      </c>
      <c r="T46" s="372"/>
    </row>
    <row r="47" spans="2:20" ht="18.75" hidden="1" x14ac:dyDescent="0.3">
      <c r="L47" s="373" t="s">
        <v>104</v>
      </c>
      <c r="M47" s="374"/>
      <c r="N47" s="374"/>
      <c r="O47" s="374"/>
      <c r="P47" s="374"/>
      <c r="Q47" s="374"/>
      <c r="R47" s="374"/>
      <c r="S47" s="224">
        <v>0</v>
      </c>
      <c r="T47" s="372"/>
    </row>
    <row r="48" spans="2:20" ht="18.75" hidden="1" x14ac:dyDescent="0.3">
      <c r="L48" s="225"/>
      <c r="M48" s="226"/>
      <c r="N48" s="226"/>
      <c r="O48" s="226"/>
      <c r="P48" s="226"/>
      <c r="Q48" s="226"/>
      <c r="R48" s="226"/>
      <c r="S48" s="227"/>
      <c r="T48" s="372"/>
    </row>
    <row r="49" spans="2:20" ht="18.75" hidden="1" x14ac:dyDescent="0.3">
      <c r="L49" s="225"/>
      <c r="M49" s="226"/>
      <c r="N49" s="226"/>
      <c r="O49" s="226"/>
      <c r="P49" s="226"/>
      <c r="Q49" s="375" t="s">
        <v>124</v>
      </c>
      <c r="R49" s="375"/>
      <c r="S49" s="228">
        <f>S45-S35</f>
        <v>2.5790000101551414E-2</v>
      </c>
      <c r="T49" s="372"/>
    </row>
    <row r="50" spans="2:20" ht="15.75" hidden="1" thickBot="1" x14ac:dyDescent="0.3">
      <c r="L50" s="229"/>
      <c r="M50" s="230"/>
      <c r="N50" s="230"/>
      <c r="O50" s="230"/>
      <c r="P50" s="230"/>
      <c r="Q50" s="230"/>
      <c r="R50" s="230"/>
      <c r="S50" s="230"/>
      <c r="T50" s="231"/>
    </row>
    <row r="51" spans="2:20" hidden="1" x14ac:dyDescent="0.25"/>
    <row r="52" spans="2:20" hidden="1" x14ac:dyDescent="0.25"/>
    <row r="53" spans="2:20" hidden="1" x14ac:dyDescent="0.25"/>
    <row r="54" spans="2:20" hidden="1" x14ac:dyDescent="0.25"/>
    <row r="55" spans="2:20" hidden="1" x14ac:dyDescent="0.25"/>
    <row r="56" spans="2:20" hidden="1" x14ac:dyDescent="0.25"/>
    <row r="60" spans="2:20" x14ac:dyDescent="0.25">
      <c r="B60" s="77" t="s">
        <v>125</v>
      </c>
    </row>
    <row r="61" spans="2:20" x14ac:dyDescent="0.25">
      <c r="B61" s="301" t="s">
        <v>186</v>
      </c>
    </row>
    <row r="62" spans="2:20" x14ac:dyDescent="0.25">
      <c r="B62" s="77" t="s">
        <v>209</v>
      </c>
    </row>
  </sheetData>
  <mergeCells count="58">
    <mergeCell ref="A1:S1"/>
    <mergeCell ref="A2:S2"/>
    <mergeCell ref="B3:S3"/>
    <mergeCell ref="B4:S4"/>
    <mergeCell ref="B5:D8"/>
    <mergeCell ref="E5:J5"/>
    <mergeCell ref="E6:J6"/>
    <mergeCell ref="E7:G7"/>
    <mergeCell ref="H7:J7"/>
    <mergeCell ref="B9:D9"/>
    <mergeCell ref="B10:D10"/>
    <mergeCell ref="B11:D11"/>
    <mergeCell ref="B12:D12"/>
    <mergeCell ref="B14:B17"/>
    <mergeCell ref="C14:C17"/>
    <mergeCell ref="D14:D17"/>
    <mergeCell ref="E14:J14"/>
    <mergeCell ref="L14:L17"/>
    <mergeCell ref="M14:M17"/>
    <mergeCell ref="N14:S14"/>
    <mergeCell ref="E15:J15"/>
    <mergeCell ref="N15:S15"/>
    <mergeCell ref="E16:G16"/>
    <mergeCell ref="H16:J16"/>
    <mergeCell ref="N16:P16"/>
    <mergeCell ref="Q16:S16"/>
    <mergeCell ref="B23:B26"/>
    <mergeCell ref="C23:C26"/>
    <mergeCell ref="D23:D26"/>
    <mergeCell ref="E23:J23"/>
    <mergeCell ref="L23:L26"/>
    <mergeCell ref="N23:S23"/>
    <mergeCell ref="E24:J24"/>
    <mergeCell ref="N24:S24"/>
    <mergeCell ref="E25:G25"/>
    <mergeCell ref="H25:J25"/>
    <mergeCell ref="N25:P25"/>
    <mergeCell ref="Q25:S25"/>
    <mergeCell ref="M23:M26"/>
    <mergeCell ref="B35:I35"/>
    <mergeCell ref="L35:R35"/>
    <mergeCell ref="B36:I36"/>
    <mergeCell ref="L36:R36"/>
    <mergeCell ref="B37:I37"/>
    <mergeCell ref="L37:R37"/>
    <mergeCell ref="B38:I38"/>
    <mergeCell ref="L38:R38"/>
    <mergeCell ref="B39:I39"/>
    <mergeCell ref="L39:R39"/>
    <mergeCell ref="B40:I40"/>
    <mergeCell ref="L40:R40"/>
    <mergeCell ref="L41:R41"/>
    <mergeCell ref="L42:R42"/>
    <mergeCell ref="L45:R45"/>
    <mergeCell ref="T45:T49"/>
    <mergeCell ref="L46:R46"/>
    <mergeCell ref="L47:R47"/>
    <mergeCell ref="Q49:R49"/>
  </mergeCells>
  <hyperlinks>
    <hyperlink ref="B61" r:id="rId1"/>
  </hyperlinks>
  <pageMargins left="0.31496062992125984" right="0.31496062992125984" top="0.94488188976377963" bottom="0.74803149606299213" header="0.31496062992125984" footer="0.31496062992125984"/>
  <pageSetup paperSize="9" scale="54"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U77"/>
  <sheetViews>
    <sheetView topLeftCell="A16" zoomScale="70" zoomScaleNormal="70" workbookViewId="0">
      <selection activeCell="O47" sqref="O47"/>
    </sheetView>
  </sheetViews>
  <sheetFormatPr defaultRowHeight="15" x14ac:dyDescent="0.25"/>
  <cols>
    <col min="1" max="1" width="3" style="77" customWidth="1"/>
    <col min="2" max="2" width="63.5703125" style="77" customWidth="1"/>
    <col min="3" max="3" width="10.140625" style="77" customWidth="1"/>
    <col min="4" max="4" width="10.42578125" style="77" customWidth="1"/>
    <col min="5" max="10" width="11.5703125" style="77" customWidth="1"/>
    <col min="11" max="11" width="2.140625" style="77" customWidth="1"/>
    <col min="12" max="12" width="8.7109375" style="77" customWidth="1"/>
    <col min="13" max="13" width="11" style="77" customWidth="1"/>
    <col min="14" max="16" width="11.5703125" style="77" customWidth="1"/>
    <col min="17" max="17" width="12.28515625" style="77" customWidth="1"/>
    <col min="18" max="18" width="11.5703125" style="77" customWidth="1"/>
    <col min="19" max="19" width="15" style="77" customWidth="1"/>
    <col min="20" max="20" width="5.5703125" style="77" customWidth="1"/>
    <col min="21" max="21" width="10.85546875" style="77" bestFit="1" customWidth="1"/>
    <col min="22" max="16384" width="9.140625" style="77"/>
  </cols>
  <sheetData>
    <row r="1" spans="1:19" ht="27.75" customHeight="1" x14ac:dyDescent="0.3">
      <c r="A1" s="323" t="s">
        <v>178</v>
      </c>
      <c r="B1" s="323"/>
      <c r="C1" s="323"/>
      <c r="D1" s="323"/>
      <c r="E1" s="323"/>
      <c r="F1" s="323"/>
      <c r="G1" s="323"/>
      <c r="H1" s="323"/>
      <c r="I1" s="323"/>
      <c r="J1" s="323"/>
      <c r="K1" s="323"/>
      <c r="L1" s="323"/>
      <c r="M1" s="323"/>
      <c r="N1" s="323"/>
      <c r="O1" s="323"/>
      <c r="P1" s="323"/>
      <c r="Q1" s="323"/>
      <c r="R1" s="323"/>
      <c r="S1" s="323"/>
    </row>
    <row r="2" spans="1:19" ht="44.25" customHeight="1" x14ac:dyDescent="0.25">
      <c r="A2" s="351" t="s">
        <v>176</v>
      </c>
      <c r="B2" s="351"/>
      <c r="C2" s="351"/>
      <c r="D2" s="351"/>
      <c r="E2" s="351"/>
      <c r="F2" s="351"/>
      <c r="G2" s="351"/>
      <c r="H2" s="351"/>
      <c r="I2" s="351"/>
      <c r="J2" s="351"/>
      <c r="K2" s="351"/>
      <c r="L2" s="351"/>
      <c r="M2" s="351"/>
      <c r="N2" s="351"/>
      <c r="O2" s="351"/>
      <c r="P2" s="351"/>
      <c r="Q2" s="351"/>
      <c r="R2" s="351"/>
      <c r="S2" s="351"/>
    </row>
    <row r="3" spans="1:19" ht="90" customHeight="1" x14ac:dyDescent="0.25">
      <c r="B3" s="415" t="s">
        <v>206</v>
      </c>
      <c r="C3" s="415"/>
      <c r="D3" s="415"/>
      <c r="E3" s="415"/>
      <c r="F3" s="415"/>
      <c r="G3" s="415"/>
      <c r="H3" s="415"/>
      <c r="I3" s="415"/>
      <c r="J3" s="415"/>
      <c r="K3" s="415"/>
      <c r="L3" s="415"/>
      <c r="M3" s="415"/>
      <c r="N3" s="415"/>
      <c r="O3" s="415"/>
      <c r="P3" s="415"/>
      <c r="Q3" s="415"/>
      <c r="R3" s="415"/>
      <c r="S3" s="415"/>
    </row>
    <row r="4" spans="1:19" ht="25.5" customHeight="1" thickBot="1" x14ac:dyDescent="0.3">
      <c r="B4" s="416" t="s">
        <v>108</v>
      </c>
      <c r="C4" s="416"/>
      <c r="D4" s="416"/>
      <c r="E4" s="416"/>
      <c r="F4" s="416"/>
      <c r="G4" s="416"/>
      <c r="H4" s="416"/>
      <c r="I4" s="416"/>
      <c r="J4" s="416"/>
      <c r="K4" s="416"/>
      <c r="L4" s="416"/>
      <c r="M4" s="416"/>
      <c r="N4" s="416"/>
      <c r="O4" s="416"/>
      <c r="P4" s="416"/>
      <c r="Q4" s="416"/>
      <c r="R4" s="416"/>
      <c r="S4" s="416"/>
    </row>
    <row r="5" spans="1:19" ht="19.5" thickTop="1" x14ac:dyDescent="0.3">
      <c r="B5" s="417" t="s">
        <v>6</v>
      </c>
      <c r="C5" s="418"/>
      <c r="D5" s="419"/>
      <c r="E5" s="426" t="s">
        <v>63</v>
      </c>
      <c r="F5" s="426"/>
      <c r="G5" s="426"/>
      <c r="H5" s="426"/>
      <c r="I5" s="426"/>
      <c r="J5" s="427"/>
    </row>
    <row r="6" spans="1:19" ht="15" customHeight="1" x14ac:dyDescent="0.25">
      <c r="B6" s="420"/>
      <c r="C6" s="421"/>
      <c r="D6" s="422"/>
      <c r="E6" s="381" t="s">
        <v>64</v>
      </c>
      <c r="F6" s="381"/>
      <c r="G6" s="381"/>
      <c r="H6" s="381"/>
      <c r="I6" s="381"/>
      <c r="J6" s="428"/>
    </row>
    <row r="7" spans="1:19" x14ac:dyDescent="0.25">
      <c r="B7" s="420"/>
      <c r="C7" s="421"/>
      <c r="D7" s="422"/>
      <c r="E7" s="383" t="s">
        <v>55</v>
      </c>
      <c r="F7" s="384"/>
      <c r="G7" s="385"/>
      <c r="H7" s="429" t="s">
        <v>62</v>
      </c>
      <c r="I7" s="429"/>
      <c r="J7" s="430"/>
    </row>
    <row r="8" spans="1:19" ht="23.25" x14ac:dyDescent="0.25">
      <c r="B8" s="423"/>
      <c r="C8" s="424"/>
      <c r="D8" s="425"/>
      <c r="E8" s="78" t="s">
        <v>167</v>
      </c>
      <c r="F8" s="78" t="s">
        <v>56</v>
      </c>
      <c r="G8" s="79" t="s">
        <v>66</v>
      </c>
      <c r="H8" s="78" t="s">
        <v>167</v>
      </c>
      <c r="I8" s="78" t="s">
        <v>56</v>
      </c>
      <c r="J8" s="191" t="s">
        <v>66</v>
      </c>
    </row>
    <row r="9" spans="1:19" ht="18" customHeight="1" x14ac:dyDescent="0.25">
      <c r="B9" s="401" t="s">
        <v>106</v>
      </c>
      <c r="C9" s="402"/>
      <c r="D9" s="403"/>
      <c r="E9" s="80">
        <f>Pielik.1_atbalsts_audžuģim!G8</f>
        <v>115.95658571859902</v>
      </c>
      <c r="F9" s="80">
        <f>Pielik.1_atbalsts_audžuģim!G22</f>
        <v>11.595658571859902</v>
      </c>
      <c r="G9" s="82">
        <f>E9+F9</f>
        <v>127.55224429045892</v>
      </c>
      <c r="H9" s="80">
        <f>E9*12</f>
        <v>1391.4790286231882</v>
      </c>
      <c r="I9" s="80">
        <f>F9*12</f>
        <v>139.14790286231883</v>
      </c>
      <c r="J9" s="197">
        <f>H9+I9</f>
        <v>1530.6269314855072</v>
      </c>
      <c r="L9" s="199">
        <f>E9*L18*11</f>
        <v>589291.36862192024</v>
      </c>
    </row>
    <row r="10" spans="1:19" ht="18" customHeight="1" thickBot="1" x14ac:dyDescent="0.3">
      <c r="B10" s="404" t="s">
        <v>107</v>
      </c>
      <c r="C10" s="405"/>
      <c r="D10" s="406"/>
      <c r="E10" s="84">
        <f>Pielik.2_atbalsts_spec.audžuģim!G7</f>
        <v>129.60658571859901</v>
      </c>
      <c r="F10" s="84">
        <f>Pielik.2_atbalsts_spec.audžuģim!G21</f>
        <v>12.960658571859902</v>
      </c>
      <c r="G10" s="85">
        <f t="shared" ref="G10:G12" si="0">E10+F10</f>
        <v>142.56724429045892</v>
      </c>
      <c r="H10" s="100">
        <f t="shared" ref="H10" si="1">E10*12</f>
        <v>1555.279028623188</v>
      </c>
      <c r="I10" s="100">
        <f t="shared" ref="I10" si="2">F10*12</f>
        <v>155.52790286231883</v>
      </c>
      <c r="J10" s="198">
        <f t="shared" ref="J10:J12" si="3">H10+I10</f>
        <v>1710.8069314855068</v>
      </c>
      <c r="L10" s="199">
        <f>E10*L19*11</f>
        <v>128310.51986141302</v>
      </c>
    </row>
    <row r="11" spans="1:19" ht="18" customHeight="1" thickTop="1" x14ac:dyDescent="0.25">
      <c r="B11" s="407" t="s">
        <v>69</v>
      </c>
      <c r="C11" s="408"/>
      <c r="D11" s="409"/>
      <c r="E11" s="86">
        <f>Pielik.1_atbalsts_audžuģim!F34</f>
        <v>175</v>
      </c>
      <c r="F11" s="86">
        <f>Pielik.1_atbalsts_audžuģim!F43</f>
        <v>17.5</v>
      </c>
      <c r="G11" s="83">
        <f t="shared" si="0"/>
        <v>192.5</v>
      </c>
      <c r="H11" s="86">
        <f>E11</f>
        <v>175</v>
      </c>
      <c r="I11" s="86">
        <f>F11</f>
        <v>17.5</v>
      </c>
      <c r="J11" s="194">
        <f t="shared" si="3"/>
        <v>192.5</v>
      </c>
      <c r="L11" s="199">
        <f>L9+L10</f>
        <v>717601.88848333328</v>
      </c>
      <c r="M11" s="200">
        <f>L11-S36</f>
        <v>0</v>
      </c>
    </row>
    <row r="12" spans="1:19" ht="18" customHeight="1" thickBot="1" x14ac:dyDescent="0.3">
      <c r="B12" s="410" t="s">
        <v>70</v>
      </c>
      <c r="C12" s="411"/>
      <c r="D12" s="412"/>
      <c r="E12" s="192">
        <f>Pielik.2_atbalsts_spec.audžuģim!F45</f>
        <v>45.05</v>
      </c>
      <c r="F12" s="192">
        <f>Pielik.2_atbalsts_spec.audžuģim!F48</f>
        <v>4.5049999999999999</v>
      </c>
      <c r="G12" s="193">
        <f t="shared" si="0"/>
        <v>49.555</v>
      </c>
      <c r="H12" s="195">
        <f>E12</f>
        <v>45.05</v>
      </c>
      <c r="I12" s="195">
        <f>F12</f>
        <v>4.5049999999999999</v>
      </c>
      <c r="J12" s="196">
        <f t="shared" si="3"/>
        <v>49.555</v>
      </c>
    </row>
    <row r="13" spans="1:19" ht="31.5" customHeight="1" thickTop="1" thickBot="1" x14ac:dyDescent="0.3"/>
    <row r="14" spans="1:19" ht="18.75" x14ac:dyDescent="0.3">
      <c r="B14" s="413" t="s">
        <v>6</v>
      </c>
      <c r="C14" s="398" t="s">
        <v>72</v>
      </c>
      <c r="D14" s="398" t="s">
        <v>76</v>
      </c>
      <c r="E14" s="379" t="s">
        <v>71</v>
      </c>
      <c r="F14" s="379"/>
      <c r="G14" s="379"/>
      <c r="H14" s="379"/>
      <c r="I14" s="379"/>
      <c r="J14" s="380"/>
      <c r="L14" s="395" t="s">
        <v>72</v>
      </c>
      <c r="M14" s="398" t="s">
        <v>76</v>
      </c>
      <c r="N14" s="379" t="s">
        <v>99</v>
      </c>
      <c r="O14" s="379"/>
      <c r="P14" s="379"/>
      <c r="Q14" s="379"/>
      <c r="R14" s="379"/>
      <c r="S14" s="380"/>
    </row>
    <row r="15" spans="1:19" ht="15" customHeight="1" x14ac:dyDescent="0.25">
      <c r="B15" s="414"/>
      <c r="C15" s="399"/>
      <c r="D15" s="399"/>
      <c r="E15" s="381" t="s">
        <v>64</v>
      </c>
      <c r="F15" s="381"/>
      <c r="G15" s="381"/>
      <c r="H15" s="381"/>
      <c r="I15" s="381"/>
      <c r="J15" s="382"/>
      <c r="L15" s="396"/>
      <c r="M15" s="399"/>
      <c r="N15" s="381" t="s">
        <v>64</v>
      </c>
      <c r="O15" s="381"/>
      <c r="P15" s="381"/>
      <c r="Q15" s="381"/>
      <c r="R15" s="381"/>
      <c r="S15" s="382"/>
    </row>
    <row r="16" spans="1:19" x14ac:dyDescent="0.25">
      <c r="B16" s="414"/>
      <c r="C16" s="399"/>
      <c r="D16" s="399"/>
      <c r="E16" s="383" t="s">
        <v>55</v>
      </c>
      <c r="F16" s="384"/>
      <c r="G16" s="385"/>
      <c r="H16" s="381" t="s">
        <v>62</v>
      </c>
      <c r="I16" s="381"/>
      <c r="J16" s="382"/>
      <c r="L16" s="396"/>
      <c r="M16" s="399"/>
      <c r="N16" s="383" t="s">
        <v>55</v>
      </c>
      <c r="O16" s="384"/>
      <c r="P16" s="385"/>
      <c r="Q16" s="381" t="s">
        <v>62</v>
      </c>
      <c r="R16" s="381"/>
      <c r="S16" s="382"/>
    </row>
    <row r="17" spans="2:21" ht="31.5" customHeight="1" x14ac:dyDescent="0.25">
      <c r="B17" s="414"/>
      <c r="C17" s="400"/>
      <c r="D17" s="400"/>
      <c r="E17" s="78" t="s">
        <v>65</v>
      </c>
      <c r="F17" s="78" t="s">
        <v>56</v>
      </c>
      <c r="G17" s="79" t="s">
        <v>66</v>
      </c>
      <c r="H17" s="78" t="s">
        <v>65</v>
      </c>
      <c r="I17" s="78" t="s">
        <v>56</v>
      </c>
      <c r="J17" s="87" t="s">
        <v>66</v>
      </c>
      <c r="L17" s="397"/>
      <c r="M17" s="400"/>
      <c r="N17" s="78" t="s">
        <v>65</v>
      </c>
      <c r="O17" s="78" t="s">
        <v>56</v>
      </c>
      <c r="P17" s="79" t="s">
        <v>66</v>
      </c>
      <c r="Q17" s="78" t="s">
        <v>65</v>
      </c>
      <c r="R17" s="78" t="s">
        <v>56</v>
      </c>
      <c r="S17" s="87" t="s">
        <v>66</v>
      </c>
    </row>
    <row r="18" spans="2:21" ht="18" customHeight="1" x14ac:dyDescent="0.25">
      <c r="B18" s="89" t="s">
        <v>67</v>
      </c>
      <c r="C18" s="94">
        <f>'AC prtrets'!C10</f>
        <v>77</v>
      </c>
      <c r="D18" s="108">
        <f>J9</f>
        <v>1530.6269314855072</v>
      </c>
      <c r="E18" s="80">
        <f>C18*E9</f>
        <v>8928.6571003321242</v>
      </c>
      <c r="F18" s="80">
        <f>C18*F9</f>
        <v>892.86571003321239</v>
      </c>
      <c r="G18" s="82">
        <f>E18+F18</f>
        <v>9821.5228103653371</v>
      </c>
      <c r="H18" s="80">
        <f>E18*11</f>
        <v>98215.228103653368</v>
      </c>
      <c r="I18" s="80">
        <f>F18*11</f>
        <v>9821.5228103653371</v>
      </c>
      <c r="J18" s="99">
        <f>H18+I18</f>
        <v>108036.7509140187</v>
      </c>
      <c r="L18" s="252">
        <f>C18*'AC prtrets'!G3</f>
        <v>462</v>
      </c>
      <c r="M18" s="108">
        <f>D18</f>
        <v>1530.6269314855072</v>
      </c>
      <c r="N18" s="80">
        <f>E18*'AC prtrets'!G3</f>
        <v>53571.942601992749</v>
      </c>
      <c r="O18" s="80">
        <f>F18*'AC prtrets'!G3</f>
        <v>5357.1942601992741</v>
      </c>
      <c r="P18" s="82">
        <f>N18+O18</f>
        <v>58929.136862192026</v>
      </c>
      <c r="Q18" s="80">
        <f>N18*11</f>
        <v>589291.36862192024</v>
      </c>
      <c r="R18" s="80">
        <f>O18*11</f>
        <v>58929.136862192012</v>
      </c>
      <c r="S18" s="143">
        <f>Q18+R18</f>
        <v>648220.50548411231</v>
      </c>
      <c r="T18" s="77">
        <f>J18*'AC prtrets'!G3-S18</f>
        <v>0</v>
      </c>
    </row>
    <row r="19" spans="2:21" ht="18" customHeight="1" thickBot="1" x14ac:dyDescent="0.3">
      <c r="B19" s="90" t="s">
        <v>68</v>
      </c>
      <c r="C19" s="187">
        <f>'AC prtrets'!C11</f>
        <v>15</v>
      </c>
      <c r="D19" s="109">
        <f>J10</f>
        <v>1710.8069314855068</v>
      </c>
      <c r="E19" s="100">
        <f>C19*E10</f>
        <v>1944.0987857789851</v>
      </c>
      <c r="F19" s="100">
        <f>C19*F10</f>
        <v>194.40987857789852</v>
      </c>
      <c r="G19" s="85">
        <f t="shared" ref="G19" si="4">E19+F19</f>
        <v>2138.5086643568834</v>
      </c>
      <c r="H19" s="100">
        <f>E19*11</f>
        <v>21385.086643568837</v>
      </c>
      <c r="I19" s="100">
        <f>F19*11</f>
        <v>2138.5086643568839</v>
      </c>
      <c r="J19" s="101">
        <f>H19+I19</f>
        <v>23523.59530792572</v>
      </c>
      <c r="L19" s="253">
        <f>C19*'AC prtrets'!G3</f>
        <v>90</v>
      </c>
      <c r="M19" s="109">
        <f>D19</f>
        <v>1710.8069314855068</v>
      </c>
      <c r="N19" s="100">
        <f>E19*'AC prtrets'!G3</f>
        <v>11664.59271467391</v>
      </c>
      <c r="O19" s="100">
        <f>F19*'AC prtrets'!G3</f>
        <v>1166.4592714673911</v>
      </c>
      <c r="P19" s="85">
        <f t="shared" ref="P19" si="5">N19+O19</f>
        <v>12831.051986141301</v>
      </c>
      <c r="Q19" s="100">
        <f>N19*11</f>
        <v>128310.51986141302</v>
      </c>
      <c r="R19" s="100">
        <f>O19*11</f>
        <v>12831.051986141301</v>
      </c>
      <c r="S19" s="144">
        <f t="shared" ref="S19:S21" si="6">Q19+R19</f>
        <v>141141.57184755433</v>
      </c>
      <c r="T19" s="77">
        <f>J19*'AC prtrets'!G3-S19</f>
        <v>0</v>
      </c>
      <c r="U19" s="136"/>
    </row>
    <row r="20" spans="2:21" ht="18" customHeight="1" thickTop="1" x14ac:dyDescent="0.25">
      <c r="B20" s="91" t="s">
        <v>69</v>
      </c>
      <c r="C20" s="96">
        <v>9</v>
      </c>
      <c r="D20" s="110">
        <f>J11</f>
        <v>192.5</v>
      </c>
      <c r="E20" s="121" t="s">
        <v>20</v>
      </c>
      <c r="F20" s="121" t="s">
        <v>20</v>
      </c>
      <c r="G20" s="83">
        <v>0</v>
      </c>
      <c r="H20" s="86">
        <f>C20*H11</f>
        <v>1575</v>
      </c>
      <c r="I20" s="86">
        <f>C20*I11</f>
        <v>157.5</v>
      </c>
      <c r="J20" s="102">
        <f>H20+I20</f>
        <v>1732.5</v>
      </c>
      <c r="L20" s="95">
        <f>C20*'AC prtrets'!G3</f>
        <v>54</v>
      </c>
      <c r="M20" s="110">
        <f>D20</f>
        <v>192.5</v>
      </c>
      <c r="N20" s="121" t="s">
        <v>20</v>
      </c>
      <c r="O20" s="121" t="s">
        <v>20</v>
      </c>
      <c r="P20" s="83">
        <v>0</v>
      </c>
      <c r="Q20" s="86">
        <f>H20*'AC prtrets'!G3</f>
        <v>9450</v>
      </c>
      <c r="R20" s="86">
        <f>I20*'AC prtrets'!G3</f>
        <v>945</v>
      </c>
      <c r="S20" s="145">
        <f t="shared" si="6"/>
        <v>10395</v>
      </c>
      <c r="T20" s="77">
        <f>J20*'AC prtrets'!G3-S20</f>
        <v>0</v>
      </c>
    </row>
    <row r="21" spans="2:21" ht="18" customHeight="1" thickBot="1" x14ac:dyDescent="0.3">
      <c r="B21" s="92" t="s">
        <v>70</v>
      </c>
      <c r="C21" s="98">
        <v>6</v>
      </c>
      <c r="D21" s="111">
        <f>J12</f>
        <v>49.555</v>
      </c>
      <c r="E21" s="122" t="s">
        <v>20</v>
      </c>
      <c r="F21" s="122" t="s">
        <v>20</v>
      </c>
      <c r="G21" s="88">
        <v>0</v>
      </c>
      <c r="H21" s="103">
        <f>C21*H12</f>
        <v>270.29999999999995</v>
      </c>
      <c r="I21" s="103">
        <f>C21*I12</f>
        <v>27.03</v>
      </c>
      <c r="J21" s="104">
        <f>H21+I21</f>
        <v>297.32999999999993</v>
      </c>
      <c r="L21" s="97">
        <f>C21*'AC prtrets'!G3</f>
        <v>36</v>
      </c>
      <c r="M21" s="111">
        <f>D21</f>
        <v>49.555</v>
      </c>
      <c r="N21" s="122" t="s">
        <v>20</v>
      </c>
      <c r="O21" s="122" t="s">
        <v>20</v>
      </c>
      <c r="P21" s="88">
        <v>0</v>
      </c>
      <c r="Q21" s="103">
        <f>H21*'AC prtrets'!G3</f>
        <v>1621.7999999999997</v>
      </c>
      <c r="R21" s="103">
        <f>I21*'AC prtrets'!G3</f>
        <v>162.18</v>
      </c>
      <c r="S21" s="146">
        <f t="shared" si="6"/>
        <v>1783.9799999999998</v>
      </c>
      <c r="T21" s="77">
        <f>J21*'AC prtrets'!G3-S21</f>
        <v>0</v>
      </c>
    </row>
    <row r="22" spans="2:21" ht="6" customHeight="1" thickBot="1" x14ac:dyDescent="0.3">
      <c r="B22" s="105"/>
      <c r="C22" s="106"/>
      <c r="D22" s="106"/>
      <c r="E22" s="106"/>
      <c r="F22" s="106"/>
      <c r="G22" s="106"/>
      <c r="H22" s="106"/>
      <c r="I22" s="106"/>
      <c r="J22" s="107"/>
      <c r="L22" s="105"/>
      <c r="M22" s="106"/>
      <c r="N22" s="106"/>
      <c r="O22" s="106"/>
      <c r="P22" s="106"/>
      <c r="Q22" s="106"/>
      <c r="R22" s="106"/>
      <c r="S22" s="107"/>
    </row>
    <row r="23" spans="2:21" ht="16.5" customHeight="1" x14ac:dyDescent="0.3">
      <c r="B23" s="389" t="s">
        <v>73</v>
      </c>
      <c r="C23" s="386" t="s">
        <v>77</v>
      </c>
      <c r="D23" s="386" t="s">
        <v>100</v>
      </c>
      <c r="E23" s="379" t="s">
        <v>71</v>
      </c>
      <c r="F23" s="379"/>
      <c r="G23" s="379"/>
      <c r="H23" s="379"/>
      <c r="I23" s="379"/>
      <c r="J23" s="380"/>
      <c r="L23" s="392" t="s">
        <v>77</v>
      </c>
      <c r="M23" s="386" t="s">
        <v>79</v>
      </c>
      <c r="N23" s="379" t="s">
        <v>99</v>
      </c>
      <c r="O23" s="379"/>
      <c r="P23" s="379"/>
      <c r="Q23" s="379"/>
      <c r="R23" s="379"/>
      <c r="S23" s="380"/>
      <c r="U23" s="136"/>
    </row>
    <row r="24" spans="2:21" ht="16.5" customHeight="1" x14ac:dyDescent="0.25">
      <c r="B24" s="390"/>
      <c r="C24" s="387"/>
      <c r="D24" s="387"/>
      <c r="E24" s="381" t="s">
        <v>64</v>
      </c>
      <c r="F24" s="381"/>
      <c r="G24" s="381"/>
      <c r="H24" s="381"/>
      <c r="I24" s="381"/>
      <c r="J24" s="382"/>
      <c r="L24" s="393"/>
      <c r="M24" s="387"/>
      <c r="N24" s="381" t="s">
        <v>64</v>
      </c>
      <c r="O24" s="381"/>
      <c r="P24" s="381"/>
      <c r="Q24" s="381"/>
      <c r="R24" s="381"/>
      <c r="S24" s="382"/>
    </row>
    <row r="25" spans="2:21" ht="16.5" customHeight="1" x14ac:dyDescent="0.25">
      <c r="B25" s="390"/>
      <c r="C25" s="387"/>
      <c r="D25" s="387"/>
      <c r="E25" s="383" t="s">
        <v>80</v>
      </c>
      <c r="F25" s="384"/>
      <c r="G25" s="385"/>
      <c r="H25" s="381" t="s">
        <v>62</v>
      </c>
      <c r="I25" s="381"/>
      <c r="J25" s="382"/>
      <c r="L25" s="393"/>
      <c r="M25" s="387"/>
      <c r="N25" s="383" t="s">
        <v>80</v>
      </c>
      <c r="O25" s="384"/>
      <c r="P25" s="385"/>
      <c r="Q25" s="381" t="s">
        <v>62</v>
      </c>
      <c r="R25" s="381"/>
      <c r="S25" s="382"/>
      <c r="U25" s="136"/>
    </row>
    <row r="26" spans="2:21" ht="30.75" customHeight="1" thickBot="1" x14ac:dyDescent="0.3">
      <c r="B26" s="391"/>
      <c r="C26" s="388"/>
      <c r="D26" s="388"/>
      <c r="E26" s="78" t="s">
        <v>65</v>
      </c>
      <c r="F26" s="78" t="s">
        <v>56</v>
      </c>
      <c r="G26" s="79" t="s">
        <v>66</v>
      </c>
      <c r="H26" s="78" t="s">
        <v>65</v>
      </c>
      <c r="I26" s="78" t="s">
        <v>56</v>
      </c>
      <c r="J26" s="87" t="s">
        <v>66</v>
      </c>
      <c r="L26" s="394"/>
      <c r="M26" s="388"/>
      <c r="N26" s="78" t="s">
        <v>65</v>
      </c>
      <c r="O26" s="78" t="s">
        <v>56</v>
      </c>
      <c r="P26" s="79" t="s">
        <v>66</v>
      </c>
      <c r="Q26" s="78" t="s">
        <v>65</v>
      </c>
      <c r="R26" s="78" t="s">
        <v>56</v>
      </c>
      <c r="S26" s="87" t="s">
        <v>66</v>
      </c>
    </row>
    <row r="27" spans="2:21" ht="30" x14ac:dyDescent="0.25">
      <c r="B27" s="112" t="s">
        <v>81</v>
      </c>
      <c r="C27" s="113">
        <f>C28+C29</f>
        <v>3</v>
      </c>
      <c r="D27" s="113" t="s">
        <v>20</v>
      </c>
      <c r="E27" s="129" t="s">
        <v>20</v>
      </c>
      <c r="F27" s="129" t="s">
        <v>20</v>
      </c>
      <c r="G27" s="124">
        <v>0</v>
      </c>
      <c r="H27" s="124">
        <f>H28+H29</f>
        <v>1500</v>
      </c>
      <c r="I27" s="129" t="s">
        <v>20</v>
      </c>
      <c r="J27" s="123">
        <f>J28+J29</f>
        <v>1500</v>
      </c>
      <c r="L27" s="126" t="s">
        <v>20</v>
      </c>
      <c r="M27" s="113" t="s">
        <v>20</v>
      </c>
      <c r="N27" s="129" t="s">
        <v>20</v>
      </c>
      <c r="O27" s="129" t="s">
        <v>20</v>
      </c>
      <c r="P27" s="124">
        <v>0</v>
      </c>
      <c r="Q27" s="124">
        <f>Q28+Q29</f>
        <v>9000</v>
      </c>
      <c r="R27" s="129" t="s">
        <v>20</v>
      </c>
      <c r="S27" s="123">
        <f>S28+S29</f>
        <v>9000</v>
      </c>
      <c r="T27" s="77">
        <f>J27*'AC prtrets'!G3-S27</f>
        <v>0</v>
      </c>
    </row>
    <row r="28" spans="2:21" x14ac:dyDescent="0.25">
      <c r="B28" s="114" t="s">
        <v>74</v>
      </c>
      <c r="C28" s="115">
        <v>2</v>
      </c>
      <c r="D28" s="116">
        <v>500</v>
      </c>
      <c r="E28" s="125" t="s">
        <v>20</v>
      </c>
      <c r="F28" s="125" t="s">
        <v>20</v>
      </c>
      <c r="G28" s="81">
        <v>0</v>
      </c>
      <c r="H28" s="80">
        <f>C28*D28</f>
        <v>1000</v>
      </c>
      <c r="I28" s="125" t="s">
        <v>20</v>
      </c>
      <c r="J28" s="130">
        <f>H28</f>
        <v>1000</v>
      </c>
      <c r="L28" s="93">
        <f>C28*'AC prtrets'!G3</f>
        <v>12</v>
      </c>
      <c r="M28" s="116">
        <f>D28</f>
        <v>500</v>
      </c>
      <c r="N28" s="125" t="s">
        <v>20</v>
      </c>
      <c r="O28" s="125" t="s">
        <v>20</v>
      </c>
      <c r="P28" s="81">
        <v>0</v>
      </c>
      <c r="Q28" s="80">
        <f>H28*'AC prtrets'!G3</f>
        <v>6000</v>
      </c>
      <c r="R28" s="125" t="s">
        <v>20</v>
      </c>
      <c r="S28" s="130">
        <f>Q28</f>
        <v>6000</v>
      </c>
      <c r="T28" s="77">
        <f>J28*'AC prtrets'!G3-S28</f>
        <v>0</v>
      </c>
    </row>
    <row r="29" spans="2:21" ht="15.75" thickBot="1" x14ac:dyDescent="0.3">
      <c r="B29" s="117" t="s">
        <v>75</v>
      </c>
      <c r="C29" s="118">
        <v>1</v>
      </c>
      <c r="D29" s="119">
        <v>500</v>
      </c>
      <c r="E29" s="122" t="s">
        <v>20</v>
      </c>
      <c r="F29" s="122" t="s">
        <v>20</v>
      </c>
      <c r="G29" s="131">
        <v>0</v>
      </c>
      <c r="H29" s="103">
        <f>C29*D29</f>
        <v>500</v>
      </c>
      <c r="I29" s="122" t="s">
        <v>20</v>
      </c>
      <c r="J29" s="132">
        <f>H29</f>
        <v>500</v>
      </c>
      <c r="L29" s="137">
        <f>C29*'AC prtrets'!G3</f>
        <v>6</v>
      </c>
      <c r="M29" s="138">
        <f>D29</f>
        <v>500</v>
      </c>
      <c r="N29" s="139" t="s">
        <v>20</v>
      </c>
      <c r="O29" s="139" t="s">
        <v>20</v>
      </c>
      <c r="P29" s="140">
        <v>0</v>
      </c>
      <c r="Q29" s="141">
        <f>H29*'AC prtrets'!G3</f>
        <v>3000</v>
      </c>
      <c r="R29" s="122" t="s">
        <v>20</v>
      </c>
      <c r="S29" s="142">
        <f>Q29</f>
        <v>3000</v>
      </c>
      <c r="T29" s="77">
        <f>J29*'AC prtrets'!G3-S29</f>
        <v>0</v>
      </c>
    </row>
    <row r="30" spans="2:21" x14ac:dyDescent="0.25">
      <c r="B30" s="91" t="s">
        <v>78</v>
      </c>
      <c r="C30" s="120">
        <f>L19/6</f>
        <v>15</v>
      </c>
      <c r="D30" s="120" t="s">
        <v>20</v>
      </c>
      <c r="E30" s="83">
        <f>E31+E32</f>
        <v>10138.153</v>
      </c>
      <c r="F30" s="83">
        <f>F31+F32</f>
        <v>304.14458999999999</v>
      </c>
      <c r="G30" s="83">
        <f>E30+F30</f>
        <v>10442.29759</v>
      </c>
      <c r="H30" s="83">
        <f>H31+H32</f>
        <v>121657.83600000001</v>
      </c>
      <c r="I30" s="83">
        <f>I31+I32</f>
        <v>3649.7350799999999</v>
      </c>
      <c r="J30" s="102">
        <f t="shared" ref="J30:J32" si="7">H30+I30</f>
        <v>125307.57108000001</v>
      </c>
      <c r="L30" s="254">
        <f>L31+L32</f>
        <v>90</v>
      </c>
      <c r="M30" s="113" t="s">
        <v>20</v>
      </c>
      <c r="N30" s="124">
        <f>N31+N32</f>
        <v>60828.918000000005</v>
      </c>
      <c r="O30" s="124">
        <f>O31+O32</f>
        <v>1824.86754</v>
      </c>
      <c r="P30" s="124">
        <f>N30+O30</f>
        <v>62653.785540000004</v>
      </c>
      <c r="Q30" s="124">
        <f>Q31+Q32</f>
        <v>729947.01599999995</v>
      </c>
      <c r="R30" s="124">
        <f>R31+R32</f>
        <v>21898.410479999999</v>
      </c>
      <c r="S30" s="123">
        <f>Q30+R30</f>
        <v>751845.42647999991</v>
      </c>
      <c r="T30" s="77">
        <f>J30*'AC prtrets'!G3-S30</f>
        <v>0</v>
      </c>
    </row>
    <row r="31" spans="2:21" x14ac:dyDescent="0.25">
      <c r="B31" s="114" t="s">
        <v>74</v>
      </c>
      <c r="C31" s="115">
        <v>12</v>
      </c>
      <c r="D31" s="127">
        <f>(430*1.2409*10/12)+(430*1.2409*5/12)</f>
        <v>666.98374999999999</v>
      </c>
      <c r="E31" s="80">
        <f>C31*D31</f>
        <v>8003.8050000000003</v>
      </c>
      <c r="F31" s="80">
        <f>E31*0.03</f>
        <v>240.11415</v>
      </c>
      <c r="G31" s="81">
        <f>E31+F31</f>
        <v>8243.9191499999997</v>
      </c>
      <c r="H31" s="80">
        <f>E31*12</f>
        <v>96045.66</v>
      </c>
      <c r="I31" s="80">
        <f>H31*0.03</f>
        <v>2881.3697999999999</v>
      </c>
      <c r="J31" s="130">
        <f t="shared" si="7"/>
        <v>98927.029800000004</v>
      </c>
      <c r="L31" s="93">
        <f>C31*'AC prtrets'!G3</f>
        <v>72</v>
      </c>
      <c r="M31" s="127">
        <f>D31</f>
        <v>666.98374999999999</v>
      </c>
      <c r="N31" s="80">
        <f>E31*6</f>
        <v>48022.83</v>
      </c>
      <c r="O31" s="80">
        <f>F31*6</f>
        <v>1440.6849</v>
      </c>
      <c r="P31" s="81">
        <f>N31+O31</f>
        <v>49463.514900000002</v>
      </c>
      <c r="Q31" s="80">
        <f>H31*'AC prtrets'!G3</f>
        <v>576273.96</v>
      </c>
      <c r="R31" s="80">
        <f>I31*'AC prtrets'!G3</f>
        <v>17288.218799999999</v>
      </c>
      <c r="S31" s="130">
        <f>Q31+R31</f>
        <v>593562.17879999999</v>
      </c>
      <c r="T31" s="77">
        <f>J31*'AC prtrets'!G3-S31</f>
        <v>0</v>
      </c>
    </row>
    <row r="32" spans="2:21" ht="15.75" thickBot="1" x14ac:dyDescent="0.3">
      <c r="B32" s="117" t="s">
        <v>75</v>
      </c>
      <c r="C32" s="118">
        <v>3</v>
      </c>
      <c r="D32" s="128">
        <f>430*2*1.2409*8/12</f>
        <v>711.44933333333336</v>
      </c>
      <c r="E32" s="103">
        <f>C32*D32</f>
        <v>2134.348</v>
      </c>
      <c r="F32" s="103">
        <f>E32*0.03</f>
        <v>64.030439999999999</v>
      </c>
      <c r="G32" s="131">
        <f>E32+F32</f>
        <v>2198.37844</v>
      </c>
      <c r="H32" s="103">
        <f>E32*12</f>
        <v>25612.175999999999</v>
      </c>
      <c r="I32" s="103">
        <f>H32*0.03</f>
        <v>768.36527999999998</v>
      </c>
      <c r="J32" s="132">
        <f t="shared" si="7"/>
        <v>26380.541279999998</v>
      </c>
      <c r="L32" s="97">
        <f>C32*'AC prtrets'!G3</f>
        <v>18</v>
      </c>
      <c r="M32" s="128">
        <f>D32</f>
        <v>711.44933333333336</v>
      </c>
      <c r="N32" s="103">
        <f>E32*6</f>
        <v>12806.088</v>
      </c>
      <c r="O32" s="103">
        <f>F32*6</f>
        <v>384.18263999999999</v>
      </c>
      <c r="P32" s="131">
        <f>N32+O32</f>
        <v>13190.270639999999</v>
      </c>
      <c r="Q32" s="103">
        <f>H32*'AC prtrets'!G3</f>
        <v>153673.05599999998</v>
      </c>
      <c r="R32" s="103">
        <f>I32*'AC prtrets'!G3</f>
        <v>4610.1916799999999</v>
      </c>
      <c r="S32" s="132">
        <f t="shared" ref="S32" si="8">Q32+R32</f>
        <v>158283.24767999997</v>
      </c>
      <c r="T32" s="77">
        <f>J32*'AC prtrets'!G3-S32</f>
        <v>0</v>
      </c>
    </row>
    <row r="33" spans="1:20" x14ac:dyDescent="0.25">
      <c r="T33" s="77">
        <f>C30-C31-C32</f>
        <v>0</v>
      </c>
    </row>
    <row r="35" spans="1:20" x14ac:dyDescent="0.25">
      <c r="B35" s="377" t="s">
        <v>109</v>
      </c>
      <c r="C35" s="377"/>
      <c r="D35" s="377"/>
      <c r="E35" s="377"/>
      <c r="F35" s="377"/>
      <c r="G35" s="377"/>
      <c r="H35" s="377"/>
      <c r="I35" s="377"/>
      <c r="J35" s="133">
        <f>J36+J37+J38+J39+J40</f>
        <v>260397.74730194444</v>
      </c>
      <c r="L35" s="378" t="s">
        <v>122</v>
      </c>
      <c r="M35" s="378"/>
      <c r="N35" s="378"/>
      <c r="O35" s="378"/>
      <c r="P35" s="378"/>
      <c r="Q35" s="378"/>
      <c r="R35" s="378"/>
      <c r="S35" s="251">
        <f>S36+S37+S38+S39+S40</f>
        <v>1562386.4838116667</v>
      </c>
    </row>
    <row r="36" spans="1:20" s="190" customFormat="1" ht="14.25" x14ac:dyDescent="0.2">
      <c r="B36" s="377" t="s">
        <v>168</v>
      </c>
      <c r="C36" s="377"/>
      <c r="D36" s="377"/>
      <c r="E36" s="377"/>
      <c r="F36" s="377"/>
      <c r="G36" s="377"/>
      <c r="H36" s="377"/>
      <c r="I36" s="377"/>
      <c r="J36" s="133">
        <f>H18+H19</f>
        <v>119600.3147472222</v>
      </c>
      <c r="L36" s="377" t="str">
        <f t="shared" ref="L36:L40" si="9">B36</f>
        <v>Tiešās pakalpojuma izmaksas (ATBALSTS):</v>
      </c>
      <c r="M36" s="377"/>
      <c r="N36" s="377"/>
      <c r="O36" s="377"/>
      <c r="P36" s="377"/>
      <c r="Q36" s="377"/>
      <c r="R36" s="377"/>
      <c r="S36" s="133">
        <f>J36*'AC prtrets'!G3</f>
        <v>717601.88848333317</v>
      </c>
    </row>
    <row r="37" spans="1:20" x14ac:dyDescent="0.25">
      <c r="B37" s="368" t="s">
        <v>98</v>
      </c>
      <c r="C37" s="368"/>
      <c r="D37" s="368"/>
      <c r="E37" s="368"/>
      <c r="F37" s="368"/>
      <c r="G37" s="368"/>
      <c r="H37" s="368"/>
      <c r="I37" s="368"/>
      <c r="J37" s="134">
        <f>H20+H21</f>
        <v>1845.3</v>
      </c>
      <c r="L37" s="368" t="str">
        <f t="shared" si="9"/>
        <v>Apmācības ģimenēm statusa (gan audžuģim., gan spec.audžuģim.) iegūšanai:</v>
      </c>
      <c r="M37" s="368"/>
      <c r="N37" s="368"/>
      <c r="O37" s="368"/>
      <c r="P37" s="368"/>
      <c r="Q37" s="368"/>
      <c r="R37" s="368"/>
      <c r="S37" s="134">
        <f>J37*'AC prtrets'!G3</f>
        <v>11071.8</v>
      </c>
    </row>
    <row r="38" spans="1:20" x14ac:dyDescent="0.25">
      <c r="B38" s="368" t="s">
        <v>82</v>
      </c>
      <c r="C38" s="368"/>
      <c r="D38" s="368"/>
      <c r="E38" s="368"/>
      <c r="F38" s="368"/>
      <c r="G38" s="368"/>
      <c r="H38" s="368"/>
      <c r="I38" s="368"/>
      <c r="J38" s="134">
        <f>H28+H29</f>
        <v>1500</v>
      </c>
      <c r="L38" s="368" t="str">
        <f t="shared" si="9"/>
        <v>Izmaksātā mājokļa iekārtošanas kompensācija:</v>
      </c>
      <c r="M38" s="368"/>
      <c r="N38" s="368"/>
      <c r="O38" s="368"/>
      <c r="P38" s="368"/>
      <c r="Q38" s="368"/>
      <c r="R38" s="368"/>
      <c r="S38" s="134">
        <f>J38*'AC prtrets'!G3</f>
        <v>9000</v>
      </c>
    </row>
    <row r="39" spans="1:20" x14ac:dyDescent="0.25">
      <c r="B39" s="368" t="s">
        <v>83</v>
      </c>
      <c r="C39" s="368"/>
      <c r="D39" s="368"/>
      <c r="E39" s="368"/>
      <c r="F39" s="368"/>
      <c r="G39" s="368"/>
      <c r="H39" s="368"/>
      <c r="I39" s="368"/>
      <c r="J39" s="134">
        <f>H30</f>
        <v>121657.83600000001</v>
      </c>
      <c r="L39" s="368" t="str">
        <f t="shared" si="9"/>
        <v>Atlīdzības izdevumi spec.audžuģimenēm</v>
      </c>
      <c r="M39" s="368"/>
      <c r="N39" s="368"/>
      <c r="O39" s="368"/>
      <c r="P39" s="368"/>
      <c r="Q39" s="368"/>
      <c r="R39" s="368"/>
      <c r="S39" s="134">
        <f>J39*'AC prtrets'!G3</f>
        <v>729947.01600000006</v>
      </c>
    </row>
    <row r="40" spans="1:20" s="189" customFormat="1" x14ac:dyDescent="0.25">
      <c r="B40" s="376" t="s">
        <v>84</v>
      </c>
      <c r="C40" s="376"/>
      <c r="D40" s="376"/>
      <c r="E40" s="376"/>
      <c r="F40" s="376"/>
      <c r="G40" s="376"/>
      <c r="H40" s="376"/>
      <c r="I40" s="376"/>
      <c r="J40" s="188">
        <f>I18+I19+I20+I21+I31+I32</f>
        <v>15794.296554722223</v>
      </c>
      <c r="L40" s="376" t="str">
        <f t="shared" si="9"/>
        <v>AC administrēšanas izdevumiem</v>
      </c>
      <c r="M40" s="376"/>
      <c r="N40" s="376"/>
      <c r="O40" s="376"/>
      <c r="P40" s="376"/>
      <c r="Q40" s="376"/>
      <c r="R40" s="376"/>
      <c r="S40" s="188">
        <f>J40*'AC prtrets'!G3</f>
        <v>94765.77932833333</v>
      </c>
    </row>
    <row r="41" spans="1:20" x14ac:dyDescent="0.25">
      <c r="S41" s="136">
        <f>S35-S18-S19-S20-S21-S27-S30</f>
        <v>0</v>
      </c>
    </row>
    <row r="42" spans="1:20" x14ac:dyDescent="0.25">
      <c r="S42" s="136"/>
    </row>
    <row r="43" spans="1:20" x14ac:dyDescent="0.25">
      <c r="S43" s="136"/>
    </row>
    <row r="44" spans="1:20" ht="28.5" customHeight="1" x14ac:dyDescent="0.25">
      <c r="B44" s="416" t="s">
        <v>166</v>
      </c>
      <c r="C44" s="416"/>
      <c r="D44" s="416"/>
      <c r="E44" s="416"/>
      <c r="F44" s="416"/>
      <c r="G44" s="416"/>
      <c r="H44" s="416"/>
      <c r="I44" s="416"/>
      <c r="J44" s="416"/>
      <c r="K44" s="416"/>
      <c r="L44" s="416"/>
      <c r="M44" s="416"/>
      <c r="N44" s="416"/>
      <c r="O44" s="416"/>
      <c r="P44" s="416"/>
      <c r="Q44" s="416"/>
      <c r="R44" s="416"/>
      <c r="S44" s="416"/>
    </row>
    <row r="45" spans="1:20" s="147" customFormat="1" ht="60" customHeight="1" x14ac:dyDescent="0.25">
      <c r="A45" s="440" t="s">
        <v>199</v>
      </c>
      <c r="B45" s="440"/>
      <c r="C45" s="440"/>
      <c r="D45" s="440"/>
      <c r="E45" s="440"/>
      <c r="F45" s="440"/>
      <c r="G45" s="440"/>
      <c r="H45" s="440"/>
      <c r="I45" s="440"/>
      <c r="J45" s="440"/>
      <c r="K45" s="440"/>
      <c r="L45" s="440"/>
      <c r="M45" s="440"/>
      <c r="N45" s="440"/>
      <c r="O45" s="440"/>
      <c r="P45" s="440"/>
      <c r="Q45" s="440"/>
      <c r="R45" s="440"/>
      <c r="S45" s="440"/>
    </row>
    <row r="46" spans="1:20" s="147" customFormat="1" ht="27.75" customHeight="1" x14ac:dyDescent="0.3">
      <c r="A46" s="207"/>
      <c r="B46" s="208" t="s">
        <v>121</v>
      </c>
      <c r="C46" s="207"/>
      <c r="D46" s="207"/>
      <c r="E46" s="207"/>
      <c r="F46" s="207"/>
      <c r="G46" s="207"/>
      <c r="H46" s="207"/>
      <c r="I46" s="207"/>
      <c r="J46" s="207"/>
      <c r="K46" s="207"/>
      <c r="L46" s="207"/>
      <c r="M46" s="207"/>
      <c r="N46" s="207"/>
      <c r="O46" s="207"/>
      <c r="P46" s="207"/>
      <c r="Q46" s="207"/>
      <c r="R46" s="207"/>
      <c r="S46" s="207"/>
    </row>
    <row r="47" spans="1:20" s="147" customFormat="1" ht="70.5" customHeight="1" x14ac:dyDescent="0.25">
      <c r="A47" s="202"/>
      <c r="B47" s="248" t="s">
        <v>119</v>
      </c>
      <c r="C47" s="248" t="s">
        <v>8</v>
      </c>
      <c r="D47" s="248" t="s">
        <v>110</v>
      </c>
      <c r="E47" s="248" t="s">
        <v>111</v>
      </c>
      <c r="F47" s="248" t="s">
        <v>120</v>
      </c>
      <c r="G47" s="249" t="s">
        <v>117</v>
      </c>
      <c r="H47" s="250" t="s">
        <v>118</v>
      </c>
      <c r="M47" s="289"/>
    </row>
    <row r="48" spans="1:20" s="147" customFormat="1" ht="66.75" customHeight="1" x14ac:dyDescent="0.25">
      <c r="A48" s="149">
        <v>1</v>
      </c>
      <c r="B48" s="247" t="str">
        <f>'AC prtrets'!B19</f>
        <v>Psihologa konsultācijas adoptētājiem, aizbildņiem, viesģimenēm, atzinuma sagatavošana BT.</v>
      </c>
      <c r="C48" s="233" t="s">
        <v>113</v>
      </c>
      <c r="D48" s="203">
        <f>'AC prtrets'!D19</f>
        <v>3300</v>
      </c>
      <c r="E48" s="203">
        <f>D48/'AC prtrets'!G3</f>
        <v>550</v>
      </c>
      <c r="F48" s="204">
        <v>23.4</v>
      </c>
      <c r="G48" s="209">
        <f>D48*F48</f>
        <v>77220</v>
      </c>
      <c r="H48" s="206">
        <f>E48*F48</f>
        <v>12870</v>
      </c>
      <c r="I48" s="437" t="s">
        <v>126</v>
      </c>
      <c r="J48" s="437"/>
      <c r="K48" s="437"/>
      <c r="L48" s="437"/>
      <c r="M48" s="437"/>
      <c r="N48" s="437"/>
      <c r="O48" s="437"/>
      <c r="P48" s="437"/>
      <c r="Q48" s="437"/>
      <c r="R48" s="437"/>
      <c r="S48" s="437"/>
    </row>
    <row r="49" spans="1:19" s="283" customFormat="1" ht="57.75" customHeight="1" x14ac:dyDescent="0.25">
      <c r="A49" s="276">
        <v>2</v>
      </c>
      <c r="B49" s="277" t="str">
        <f>'AC prtrets'!B20</f>
        <v>Atbalsta grupas 1.punktā minētajām personām</v>
      </c>
      <c r="C49" s="278" t="s">
        <v>114</v>
      </c>
      <c r="D49" s="279">
        <f>'AC prtrets'!D20</f>
        <v>240</v>
      </c>
      <c r="E49" s="279">
        <f>D49/'AC prtrets'!G3</f>
        <v>40</v>
      </c>
      <c r="F49" s="280">
        <v>175</v>
      </c>
      <c r="G49" s="281">
        <f t="shared" ref="G49:G50" si="10">D49*F49</f>
        <v>42000</v>
      </c>
      <c r="H49" s="282">
        <f t="shared" ref="H49:H50" si="11">E49*F49</f>
        <v>7000</v>
      </c>
      <c r="I49" s="438" t="s">
        <v>127</v>
      </c>
      <c r="J49" s="438"/>
      <c r="K49" s="438"/>
      <c r="L49" s="438"/>
      <c r="M49" s="438"/>
      <c r="N49" s="438"/>
      <c r="O49" s="438"/>
      <c r="P49" s="438"/>
      <c r="Q49" s="438"/>
      <c r="R49" s="438"/>
      <c r="S49" s="438"/>
    </row>
    <row r="50" spans="1:19" s="147" customFormat="1" ht="20.25" customHeight="1" x14ac:dyDescent="0.25">
      <c r="A50" s="149">
        <v>3</v>
      </c>
      <c r="B50" s="247" t="str">
        <f>'AC prtrets'!B21</f>
        <v>potenciālo adoptētāju apmācība</v>
      </c>
      <c r="C50" s="232" t="s">
        <v>116</v>
      </c>
      <c r="D50" s="203">
        <f>'AC prtrets'!D21</f>
        <v>400</v>
      </c>
      <c r="E50" s="203">
        <f>D50/'AC prtrets'!G3</f>
        <v>66.666666666666671</v>
      </c>
      <c r="F50" s="204">
        <f>147</f>
        <v>147</v>
      </c>
      <c r="G50" s="209">
        <f t="shared" si="10"/>
        <v>58800</v>
      </c>
      <c r="H50" s="206">
        <f t="shared" si="11"/>
        <v>9800</v>
      </c>
      <c r="I50" s="439" t="s">
        <v>129</v>
      </c>
      <c r="J50" s="439"/>
      <c r="K50" s="439"/>
      <c r="L50" s="439"/>
      <c r="M50" s="439"/>
      <c r="N50" s="439"/>
      <c r="O50" s="439"/>
      <c r="P50" s="439"/>
      <c r="Q50" s="439"/>
      <c r="R50" s="439"/>
      <c r="S50" s="439"/>
    </row>
    <row r="51" spans="1:19" ht="20.25" customHeight="1" x14ac:dyDescent="0.25">
      <c r="B51" s="201"/>
      <c r="C51" s="201"/>
      <c r="D51" s="201"/>
      <c r="E51" s="201"/>
      <c r="F51" s="201"/>
      <c r="G51" s="210">
        <f>SUM(G48:G50)</f>
        <v>178020</v>
      </c>
      <c r="H51" s="205">
        <f>SUM(H48:H50)</f>
        <v>29670</v>
      </c>
      <c r="I51" s="435"/>
      <c r="J51" s="435"/>
      <c r="K51" s="435"/>
      <c r="L51" s="435"/>
      <c r="M51" s="435"/>
      <c r="N51" s="435"/>
      <c r="O51" s="435"/>
      <c r="P51" s="435"/>
      <c r="Q51" s="435"/>
      <c r="R51" s="435"/>
      <c r="S51" s="435"/>
    </row>
    <row r="52" spans="1:19" s="211" customFormat="1" ht="20.25" customHeight="1" x14ac:dyDescent="0.25">
      <c r="B52" s="433" t="str">
        <f>B40</f>
        <v>AC administrēšanas izdevumiem</v>
      </c>
      <c r="C52" s="433"/>
      <c r="D52" s="433"/>
      <c r="E52" s="433"/>
      <c r="F52" s="433"/>
      <c r="G52" s="217">
        <f>G51*0.1</f>
        <v>17802</v>
      </c>
      <c r="H52" s="215">
        <f>H51*0.1</f>
        <v>2967</v>
      </c>
      <c r="I52" s="435"/>
      <c r="J52" s="435"/>
      <c r="K52" s="435"/>
      <c r="L52" s="435"/>
      <c r="M52" s="435"/>
      <c r="N52" s="435"/>
      <c r="O52" s="435"/>
      <c r="P52" s="435"/>
      <c r="Q52" s="435"/>
      <c r="R52" s="435"/>
      <c r="S52" s="435"/>
    </row>
    <row r="53" spans="1:19" s="211" customFormat="1" ht="20.25" customHeight="1" x14ac:dyDescent="0.25">
      <c r="B53" s="216"/>
      <c r="C53" s="216"/>
      <c r="D53" s="216"/>
      <c r="E53" s="216"/>
      <c r="F53" s="216"/>
      <c r="G53" s="218">
        <f>G51+G52</f>
        <v>195822</v>
      </c>
      <c r="H53" s="219">
        <f>H51+H52</f>
        <v>32637</v>
      </c>
      <c r="I53" s="436"/>
      <c r="J53" s="436"/>
      <c r="K53" s="436"/>
      <c r="L53" s="436"/>
      <c r="M53" s="436"/>
      <c r="N53" s="436"/>
      <c r="O53" s="436"/>
      <c r="P53" s="436"/>
      <c r="Q53" s="436"/>
      <c r="R53" s="436"/>
      <c r="S53" s="436"/>
    </row>
    <row r="54" spans="1:19" s="211" customFormat="1" ht="20.25" customHeight="1" x14ac:dyDescent="0.25">
      <c r="B54" s="216"/>
      <c r="C54" s="216"/>
      <c r="D54" s="216"/>
      <c r="E54" s="216"/>
      <c r="F54" s="216"/>
      <c r="G54" s="219"/>
      <c r="H54" s="219"/>
      <c r="I54" s="212"/>
      <c r="J54" s="212"/>
      <c r="K54" s="212"/>
      <c r="L54" s="212"/>
      <c r="M54" s="212"/>
      <c r="N54" s="212"/>
      <c r="O54" s="212"/>
      <c r="P54" s="212"/>
      <c r="Q54" s="212"/>
      <c r="R54" s="212"/>
      <c r="S54" s="212"/>
    </row>
    <row r="55" spans="1:19" s="211" customFormat="1" ht="20.25" customHeight="1" x14ac:dyDescent="0.25">
      <c r="B55" s="434" t="s">
        <v>128</v>
      </c>
      <c r="C55" s="434"/>
      <c r="D55" s="434"/>
      <c r="E55" s="434"/>
      <c r="F55" s="434"/>
      <c r="G55" s="434"/>
      <c r="H55" s="434"/>
      <c r="I55" s="434"/>
      <c r="J55" s="434"/>
      <c r="K55" s="434"/>
      <c r="L55" s="434"/>
      <c r="M55" s="434"/>
      <c r="N55" s="434"/>
      <c r="O55" s="434"/>
      <c r="P55" s="434"/>
      <c r="Q55" s="434"/>
      <c r="R55" s="434"/>
      <c r="S55" s="434"/>
    </row>
    <row r="56" spans="1:19" s="211" customFormat="1" ht="20.25" customHeight="1" x14ac:dyDescent="0.25">
      <c r="B56" s="212"/>
      <c r="C56" s="212"/>
      <c r="D56" s="212"/>
      <c r="E56" s="212"/>
      <c r="F56" s="212"/>
      <c r="G56" s="213"/>
      <c r="H56" s="214"/>
      <c r="I56" s="212"/>
      <c r="J56" s="212"/>
      <c r="K56" s="212"/>
      <c r="L56" s="212"/>
      <c r="M56" s="212"/>
      <c r="N56" s="212"/>
      <c r="O56" s="212"/>
      <c r="P56" s="212"/>
      <c r="Q56" s="212"/>
      <c r="R56" s="212"/>
      <c r="S56" s="212"/>
    </row>
    <row r="57" spans="1:19" x14ac:dyDescent="0.25">
      <c r="B57" s="377" t="s">
        <v>130</v>
      </c>
      <c r="C57" s="377"/>
      <c r="D57" s="377"/>
      <c r="E57" s="377"/>
      <c r="F57" s="377"/>
      <c r="G57" s="377"/>
      <c r="H57" s="377"/>
      <c r="I57" s="377"/>
      <c r="J57" s="133">
        <f>J58+J59+J60+J61+J62</f>
        <v>293034.74730194442</v>
      </c>
      <c r="L57" s="432" t="s">
        <v>123</v>
      </c>
      <c r="M57" s="432"/>
      <c r="N57" s="432"/>
      <c r="O57" s="432"/>
      <c r="P57" s="432"/>
      <c r="Q57" s="432"/>
      <c r="R57" s="432"/>
      <c r="S57" s="135">
        <f>J57*'AC prtrets'!G3+S63</f>
        <v>1788208.4838116665</v>
      </c>
    </row>
    <row r="58" spans="1:19" s="190" customFormat="1" ht="25.5" customHeight="1" x14ac:dyDescent="0.2">
      <c r="B58" s="377" t="s">
        <v>173</v>
      </c>
      <c r="C58" s="377"/>
      <c r="D58" s="377"/>
      <c r="E58" s="377"/>
      <c r="F58" s="377"/>
      <c r="G58" s="377"/>
      <c r="H58" s="377"/>
      <c r="I58" s="377"/>
      <c r="J58" s="133">
        <f>J36+H51-H50</f>
        <v>139470.3147472222</v>
      </c>
      <c r="L58" s="377" t="str">
        <f t="shared" ref="L58:L62" si="12">B58</f>
        <v>Tiešās pakalpojumaizmaksas (ATBALSTS audžuģim., aizbildņiem, adoptētājiem, viesģim., t.sk. atzinums BT):</v>
      </c>
      <c r="M58" s="377"/>
      <c r="N58" s="377"/>
      <c r="O58" s="377"/>
      <c r="P58" s="377"/>
      <c r="Q58" s="377"/>
      <c r="R58" s="377"/>
      <c r="S58" s="133">
        <f>J58*'AC prtrets'!G3</f>
        <v>836821.88848333317</v>
      </c>
    </row>
    <row r="59" spans="1:19" x14ac:dyDescent="0.25">
      <c r="B59" s="368" t="s">
        <v>174</v>
      </c>
      <c r="C59" s="368"/>
      <c r="D59" s="368"/>
      <c r="E59" s="368"/>
      <c r="F59" s="368"/>
      <c r="G59" s="368"/>
      <c r="H59" s="368"/>
      <c r="I59" s="368"/>
      <c r="J59" s="134">
        <f>J37+H50</f>
        <v>11645.3</v>
      </c>
      <c r="L59" s="368" t="str">
        <f t="shared" si="12"/>
        <v>Apmācības ģimenēm statusa (gan audžuģim., gan spec.audžuģim.) iegūšanai un potenciālo adoptētāju apmācība:</v>
      </c>
      <c r="M59" s="368"/>
      <c r="N59" s="368"/>
      <c r="O59" s="368"/>
      <c r="P59" s="368"/>
      <c r="Q59" s="368"/>
      <c r="R59" s="368"/>
      <c r="S59" s="134">
        <f>J59*'AC prtrets'!G3</f>
        <v>69871.799999999988</v>
      </c>
    </row>
    <row r="60" spans="1:19" x14ac:dyDescent="0.25">
      <c r="B60" s="368" t="s">
        <v>82</v>
      </c>
      <c r="C60" s="368"/>
      <c r="D60" s="368"/>
      <c r="E60" s="368"/>
      <c r="F60" s="368"/>
      <c r="G60" s="368"/>
      <c r="H60" s="368"/>
      <c r="I60" s="368"/>
      <c r="J60" s="134">
        <f>J38</f>
        <v>1500</v>
      </c>
      <c r="L60" s="368" t="str">
        <f t="shared" si="12"/>
        <v>Izmaksātā mājokļa iekārtošanas kompensācija:</v>
      </c>
      <c r="M60" s="368"/>
      <c r="N60" s="368"/>
      <c r="O60" s="368"/>
      <c r="P60" s="368"/>
      <c r="Q60" s="368"/>
      <c r="R60" s="368"/>
      <c r="S60" s="134">
        <f>J60*'AC prtrets'!G3</f>
        <v>9000</v>
      </c>
    </row>
    <row r="61" spans="1:19" x14ac:dyDescent="0.25">
      <c r="B61" s="368" t="s">
        <v>83</v>
      </c>
      <c r="C61" s="368"/>
      <c r="D61" s="368"/>
      <c r="E61" s="368"/>
      <c r="F61" s="368"/>
      <c r="G61" s="368"/>
      <c r="H61" s="368"/>
      <c r="I61" s="368"/>
      <c r="J61" s="134">
        <f>J39</f>
        <v>121657.83600000001</v>
      </c>
      <c r="L61" s="368" t="str">
        <f t="shared" si="12"/>
        <v>Atlīdzības izdevumi spec.audžuģimenēm</v>
      </c>
      <c r="M61" s="368"/>
      <c r="N61" s="368"/>
      <c r="O61" s="368"/>
      <c r="P61" s="368"/>
      <c r="Q61" s="368"/>
      <c r="R61" s="368"/>
      <c r="S61" s="134">
        <f>J61*'AC prtrets'!G3</f>
        <v>729947.01600000006</v>
      </c>
    </row>
    <row r="62" spans="1:19" s="189" customFormat="1" x14ac:dyDescent="0.25">
      <c r="B62" s="376" t="s">
        <v>84</v>
      </c>
      <c r="C62" s="376"/>
      <c r="D62" s="376"/>
      <c r="E62" s="376"/>
      <c r="F62" s="376"/>
      <c r="G62" s="376"/>
      <c r="H62" s="376"/>
      <c r="I62" s="376"/>
      <c r="J62" s="188">
        <f>J40+H52</f>
        <v>18761.296554722223</v>
      </c>
      <c r="L62" s="376" t="str">
        <f t="shared" si="12"/>
        <v>AC administrēšanas izdevumiem</v>
      </c>
      <c r="M62" s="376"/>
      <c r="N62" s="376"/>
      <c r="O62" s="376"/>
      <c r="P62" s="376"/>
      <c r="Q62" s="376"/>
      <c r="R62" s="376"/>
      <c r="S62" s="188">
        <f>J62*'AC prtrets'!G3</f>
        <v>112567.77932833333</v>
      </c>
    </row>
    <row r="63" spans="1:19" s="211" customFormat="1" ht="16.5" customHeight="1" x14ac:dyDescent="0.25">
      <c r="B63" s="431" t="s">
        <v>169</v>
      </c>
      <c r="C63" s="431"/>
      <c r="D63" s="431"/>
      <c r="E63" s="431"/>
      <c r="F63" s="431"/>
      <c r="G63" s="431"/>
      <c r="H63" s="431"/>
      <c r="I63" s="431"/>
      <c r="J63" s="431"/>
      <c r="K63" s="431"/>
      <c r="L63" s="431"/>
      <c r="M63" s="431"/>
      <c r="N63" s="431"/>
      <c r="O63" s="431"/>
      <c r="P63" s="431"/>
      <c r="Q63" s="431"/>
      <c r="R63" s="431"/>
      <c r="S63" s="134">
        <v>30000</v>
      </c>
    </row>
    <row r="64" spans="1:19" s="211" customFormat="1" ht="20.25" hidden="1" customHeight="1" thickBot="1" x14ac:dyDescent="0.3">
      <c r="B64" s="212"/>
      <c r="C64" s="212"/>
      <c r="D64" s="212"/>
      <c r="E64" s="212"/>
      <c r="F64" s="212"/>
      <c r="G64" s="213"/>
      <c r="H64" s="214"/>
      <c r="I64" s="212"/>
      <c r="J64" s="212"/>
      <c r="K64" s="212"/>
      <c r="L64" s="212"/>
      <c r="M64" s="212"/>
      <c r="N64" s="212"/>
      <c r="O64" s="212"/>
      <c r="P64" s="212"/>
      <c r="Q64" s="212"/>
      <c r="R64" s="212"/>
      <c r="S64" s="212"/>
    </row>
    <row r="65" spans="1:20" s="211" customFormat="1" ht="20.25" hidden="1" customHeight="1" x14ac:dyDescent="0.25">
      <c r="B65" s="212"/>
      <c r="C65" s="212"/>
      <c r="D65" s="212"/>
      <c r="E65" s="212"/>
      <c r="F65" s="212"/>
      <c r="G65" s="212"/>
      <c r="H65" s="212"/>
      <c r="I65" s="212"/>
      <c r="J65" s="212"/>
      <c r="K65" s="212"/>
      <c r="L65" s="220"/>
      <c r="M65" s="221"/>
      <c r="N65" s="221"/>
      <c r="O65" s="221"/>
      <c r="P65" s="221"/>
      <c r="Q65" s="221"/>
      <c r="R65" s="221"/>
      <c r="S65" s="221"/>
      <c r="T65" s="222" t="s">
        <v>170</v>
      </c>
    </row>
    <row r="66" spans="1:20" ht="18.75" hidden="1" x14ac:dyDescent="0.3">
      <c r="L66" s="370" t="s">
        <v>105</v>
      </c>
      <c r="M66" s="371"/>
      <c r="N66" s="371"/>
      <c r="O66" s="371"/>
      <c r="P66" s="371"/>
      <c r="Q66" s="371"/>
      <c r="R66" s="371"/>
      <c r="S66" s="223">
        <f>S67+S68+S69</f>
        <v>1788208</v>
      </c>
      <c r="T66" s="372"/>
    </row>
    <row r="67" spans="1:20" ht="18.75" hidden="1" x14ac:dyDescent="0.3">
      <c r="L67" s="373" t="s">
        <v>103</v>
      </c>
      <c r="M67" s="374"/>
      <c r="N67" s="374"/>
      <c r="O67" s="374"/>
      <c r="P67" s="374"/>
      <c r="Q67" s="374"/>
      <c r="R67" s="374"/>
      <c r="S67" s="224">
        <v>1264804</v>
      </c>
      <c r="T67" s="372"/>
    </row>
    <row r="68" spans="1:20" ht="18.75" hidden="1" x14ac:dyDescent="0.3">
      <c r="L68" s="373" t="s">
        <v>104</v>
      </c>
      <c r="M68" s="374"/>
      <c r="N68" s="374"/>
      <c r="O68" s="374"/>
      <c r="P68" s="374"/>
      <c r="Q68" s="374"/>
      <c r="R68" s="374"/>
      <c r="S68" s="224">
        <v>523404</v>
      </c>
      <c r="T68" s="372"/>
    </row>
    <row r="69" spans="1:20" ht="18.75" hidden="1" x14ac:dyDescent="0.3">
      <c r="L69" s="225"/>
      <c r="M69" s="226"/>
      <c r="N69" s="226"/>
      <c r="O69" s="226"/>
      <c r="P69" s="226"/>
      <c r="Q69" s="226"/>
      <c r="R69" s="226"/>
      <c r="S69" s="227"/>
      <c r="T69" s="372"/>
    </row>
    <row r="70" spans="1:20" ht="18.75" hidden="1" x14ac:dyDescent="0.3">
      <c r="L70" s="225"/>
      <c r="M70" s="226"/>
      <c r="N70" s="226"/>
      <c r="O70" s="226"/>
      <c r="P70" s="226"/>
      <c r="Q70" s="375" t="s">
        <v>124</v>
      </c>
      <c r="R70" s="375"/>
      <c r="S70" s="228">
        <f>S66-S57</f>
        <v>-0.48381166649051011</v>
      </c>
      <c r="T70" s="372"/>
    </row>
    <row r="71" spans="1:20" ht="15.75" hidden="1" thickBot="1" x14ac:dyDescent="0.3">
      <c r="L71" s="229"/>
      <c r="M71" s="230"/>
      <c r="N71" s="230"/>
      <c r="O71" s="230"/>
      <c r="P71" s="230"/>
      <c r="Q71" s="230"/>
      <c r="R71" s="230"/>
      <c r="S71" s="230"/>
      <c r="T71" s="231"/>
    </row>
    <row r="72" spans="1:20" hidden="1" x14ac:dyDescent="0.25"/>
    <row r="74" spans="1:20" s="7" customFormat="1" ht="18.75" x14ac:dyDescent="0.3">
      <c r="A74" s="297" t="s">
        <v>125</v>
      </c>
      <c r="D74" s="2"/>
      <c r="E74" s="2"/>
      <c r="F74" s="2"/>
      <c r="G74" s="2"/>
      <c r="H74" s="2"/>
    </row>
    <row r="75" spans="1:20" s="7" customFormat="1" ht="18.75" x14ac:dyDescent="0.3">
      <c r="A75" s="298" t="s">
        <v>186</v>
      </c>
      <c r="D75" s="2"/>
      <c r="E75" s="2"/>
      <c r="F75" s="2"/>
      <c r="G75" s="2"/>
      <c r="H75" s="2"/>
    </row>
    <row r="76" spans="1:20" s="7" customFormat="1" ht="18.75" x14ac:dyDescent="0.3">
      <c r="A76" s="303">
        <v>64331831</v>
      </c>
      <c r="B76" s="303"/>
      <c r="D76" s="2"/>
      <c r="E76" s="2"/>
      <c r="F76" s="2"/>
      <c r="G76" s="2"/>
      <c r="H76" s="2"/>
    </row>
    <row r="77" spans="1:20" s="12" customFormat="1" ht="18.75" x14ac:dyDescent="0.3">
      <c r="A77" s="11"/>
      <c r="D77" s="13"/>
      <c r="E77" s="13"/>
      <c r="F77" s="13"/>
      <c r="G77" s="13"/>
      <c r="H77" s="13"/>
    </row>
  </sheetData>
  <mergeCells count="80">
    <mergeCell ref="A1:S1"/>
    <mergeCell ref="I51:S51"/>
    <mergeCell ref="L37:R37"/>
    <mergeCell ref="I48:S48"/>
    <mergeCell ref="I49:S49"/>
    <mergeCell ref="I50:S50"/>
    <mergeCell ref="B44:S44"/>
    <mergeCell ref="A45:S45"/>
    <mergeCell ref="C23:C26"/>
    <mergeCell ref="L38:R38"/>
    <mergeCell ref="L39:R39"/>
    <mergeCell ref="L40:R40"/>
    <mergeCell ref="B3:S3"/>
    <mergeCell ref="B38:I38"/>
    <mergeCell ref="B39:I39"/>
    <mergeCell ref="B40:I40"/>
    <mergeCell ref="B37:I37"/>
    <mergeCell ref="L35:R35"/>
    <mergeCell ref="L36:R36"/>
    <mergeCell ref="D23:D26"/>
    <mergeCell ref="E23:J23"/>
    <mergeCell ref="E24:J24"/>
    <mergeCell ref="E25:G25"/>
    <mergeCell ref="H25:J25"/>
    <mergeCell ref="B35:I35"/>
    <mergeCell ref="N24:S24"/>
    <mergeCell ref="N25:P25"/>
    <mergeCell ref="Q25:S25"/>
    <mergeCell ref="B36:I36"/>
    <mergeCell ref="N16:P16"/>
    <mergeCell ref="Q16:S16"/>
    <mergeCell ref="L23:L26"/>
    <mergeCell ref="M23:M26"/>
    <mergeCell ref="N23:S23"/>
    <mergeCell ref="A2:S2"/>
    <mergeCell ref="E5:J5"/>
    <mergeCell ref="E6:J6"/>
    <mergeCell ref="H7:J7"/>
    <mergeCell ref="E7:G7"/>
    <mergeCell ref="B5:D8"/>
    <mergeCell ref="B4:S4"/>
    <mergeCell ref="B57:I57"/>
    <mergeCell ref="L57:R57"/>
    <mergeCell ref="E14:J14"/>
    <mergeCell ref="E15:J15"/>
    <mergeCell ref="E16:G16"/>
    <mergeCell ref="H16:J16"/>
    <mergeCell ref="C14:C17"/>
    <mergeCell ref="B52:F52"/>
    <mergeCell ref="B55:S55"/>
    <mergeCell ref="I52:S52"/>
    <mergeCell ref="I53:S53"/>
    <mergeCell ref="B23:B26"/>
    <mergeCell ref="L14:L17"/>
    <mergeCell ref="M14:M17"/>
    <mergeCell ref="N14:S14"/>
    <mergeCell ref="N15:S15"/>
    <mergeCell ref="B9:D9"/>
    <mergeCell ref="B10:D10"/>
    <mergeCell ref="B11:D11"/>
    <mergeCell ref="B12:D12"/>
    <mergeCell ref="D14:D17"/>
    <mergeCell ref="B14:B17"/>
    <mergeCell ref="B58:I58"/>
    <mergeCell ref="L58:R58"/>
    <mergeCell ref="B59:I59"/>
    <mergeCell ref="L59:R59"/>
    <mergeCell ref="B60:I60"/>
    <mergeCell ref="L60:R60"/>
    <mergeCell ref="A76:B76"/>
    <mergeCell ref="Q70:R70"/>
    <mergeCell ref="T66:T70"/>
    <mergeCell ref="L61:R61"/>
    <mergeCell ref="B62:I62"/>
    <mergeCell ref="L62:R62"/>
    <mergeCell ref="L66:R66"/>
    <mergeCell ref="L67:R67"/>
    <mergeCell ref="L68:R68"/>
    <mergeCell ref="B61:I61"/>
    <mergeCell ref="B63:R63"/>
  </mergeCells>
  <hyperlinks>
    <hyperlink ref="A75" r:id="rId1"/>
  </hyperlinks>
  <pageMargins left="0.31496062992125984" right="0.31496062992125984" top="0.94488188976377963" bottom="0.74803149606299213" header="0.31496062992125984" footer="0.31496062992125984"/>
  <pageSetup paperSize="9" scale="54" fitToHeight="0"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topLeftCell="A13" zoomScale="80" zoomScaleNormal="80" workbookViewId="0">
      <selection activeCell="A30" sqref="A30"/>
    </sheetView>
  </sheetViews>
  <sheetFormatPr defaultRowHeight="15.75" x14ac:dyDescent="0.25"/>
  <cols>
    <col min="1" max="1" width="14.85546875" style="147" customWidth="1"/>
    <col min="2" max="2" width="49.42578125" style="147" customWidth="1"/>
    <col min="3" max="5" width="13" style="147" customWidth="1"/>
    <col min="6" max="6" width="5" style="147" customWidth="1"/>
    <col min="7" max="8" width="13" style="147" customWidth="1"/>
    <col min="9" max="16384" width="9.140625" style="147"/>
  </cols>
  <sheetData>
    <row r="1" spans="1:8" ht="86.25" customHeight="1" x14ac:dyDescent="0.25">
      <c r="A1" s="442" t="s">
        <v>88</v>
      </c>
      <c r="B1" s="442"/>
      <c r="C1" s="442"/>
      <c r="D1" s="442"/>
      <c r="E1" s="442"/>
      <c r="F1" s="442"/>
      <c r="G1" s="442"/>
      <c r="H1" s="246"/>
    </row>
    <row r="2" spans="1:8" ht="16.5" thickBot="1" x14ac:dyDescent="0.3">
      <c r="G2" s="148" t="s">
        <v>86</v>
      </c>
    </row>
    <row r="3" spans="1:8" ht="42.75" customHeight="1" thickBot="1" x14ac:dyDescent="0.35">
      <c r="B3" s="168" t="s">
        <v>35</v>
      </c>
      <c r="C3" s="445">
        <v>1</v>
      </c>
      <c r="D3" s="446"/>
      <c r="E3" s="448" t="s">
        <v>89</v>
      </c>
      <c r="F3" s="167"/>
      <c r="G3" s="169">
        <v>6</v>
      </c>
    </row>
    <row r="4" spans="1:8" ht="29.25" customHeight="1" thickBot="1" x14ac:dyDescent="0.3">
      <c r="B4" s="171" t="s">
        <v>85</v>
      </c>
      <c r="C4" s="451">
        <f>C5+C6+C7</f>
        <v>4</v>
      </c>
      <c r="D4" s="452"/>
      <c r="E4" s="449"/>
      <c r="F4" s="149"/>
      <c r="G4" s="170">
        <f>C4*G3</f>
        <v>24</v>
      </c>
    </row>
    <row r="5" spans="1:8" ht="19.5" customHeight="1" x14ac:dyDescent="0.25">
      <c r="B5" s="150" t="s">
        <v>37</v>
      </c>
      <c r="C5" s="151">
        <v>1</v>
      </c>
      <c r="D5" s="152">
        <v>1</v>
      </c>
      <c r="E5" s="449"/>
      <c r="F5" s="153"/>
      <c r="G5" s="154">
        <f>C5*G3</f>
        <v>6</v>
      </c>
    </row>
    <row r="6" spans="1:8" ht="19.5" customHeight="1" x14ac:dyDescent="0.25">
      <c r="B6" s="155" t="s">
        <v>38</v>
      </c>
      <c r="C6" s="156">
        <v>1</v>
      </c>
      <c r="D6" s="450">
        <f>C6+C7</f>
        <v>3</v>
      </c>
      <c r="E6" s="447">
        <f>C9/D6</f>
        <v>30.666666666666668</v>
      </c>
      <c r="G6" s="453">
        <f>D6*G3</f>
        <v>18</v>
      </c>
    </row>
    <row r="7" spans="1:8" ht="19.5" customHeight="1" x14ac:dyDescent="0.25">
      <c r="B7" s="155" t="s">
        <v>39</v>
      </c>
      <c r="C7" s="156">
        <v>2</v>
      </c>
      <c r="D7" s="450"/>
      <c r="E7" s="447"/>
      <c r="G7" s="453"/>
    </row>
    <row r="8" spans="1:8" ht="17.25" customHeight="1" x14ac:dyDescent="0.25">
      <c r="B8" s="155" t="s">
        <v>208</v>
      </c>
      <c r="C8" s="176">
        <v>3.5</v>
      </c>
      <c r="D8" s="157"/>
      <c r="E8" s="174"/>
      <c r="G8" s="177">
        <f>C8*G3</f>
        <v>21</v>
      </c>
    </row>
    <row r="9" spans="1:8" ht="31.5" customHeight="1" x14ac:dyDescent="0.25">
      <c r="B9" s="158" t="s">
        <v>87</v>
      </c>
      <c r="C9" s="159">
        <f>C10+C11</f>
        <v>92</v>
      </c>
      <c r="D9" s="160" t="s">
        <v>36</v>
      </c>
      <c r="E9" s="175"/>
      <c r="G9" s="161">
        <f>G10+G11</f>
        <v>553</v>
      </c>
    </row>
    <row r="10" spans="1:8" x14ac:dyDescent="0.25">
      <c r="B10" s="162" t="s">
        <v>60</v>
      </c>
      <c r="C10" s="255">
        <f>ROUND(G10/G3,0)</f>
        <v>77</v>
      </c>
      <c r="D10" s="163"/>
      <c r="E10" s="173"/>
      <c r="G10" s="164">
        <f>463</f>
        <v>463</v>
      </c>
    </row>
    <row r="11" spans="1:8" x14ac:dyDescent="0.25">
      <c r="B11" s="162" t="s">
        <v>61</v>
      </c>
      <c r="C11" s="255">
        <f>G11/G3</f>
        <v>15</v>
      </c>
      <c r="D11" s="163"/>
      <c r="E11" s="173"/>
      <c r="G11" s="164">
        <v>90</v>
      </c>
    </row>
    <row r="12" spans="1:8" ht="39.75" customHeight="1" x14ac:dyDescent="0.25">
      <c r="B12" s="454" t="s">
        <v>96</v>
      </c>
      <c r="C12" s="454"/>
      <c r="D12" s="454"/>
    </row>
    <row r="14" spans="1:8" ht="56.25" customHeight="1" x14ac:dyDescent="0.25">
      <c r="A14" s="165" t="s">
        <v>66</v>
      </c>
      <c r="B14" s="443" t="s">
        <v>131</v>
      </c>
      <c r="C14" s="443"/>
      <c r="D14" s="443"/>
      <c r="E14" s="443"/>
      <c r="F14" s="443"/>
      <c r="G14" s="443"/>
    </row>
    <row r="15" spans="1:8" ht="89.25" customHeight="1" x14ac:dyDescent="0.25">
      <c r="A15" s="166" t="s">
        <v>71</v>
      </c>
      <c r="B15" s="444" t="s">
        <v>132</v>
      </c>
      <c r="C15" s="444"/>
      <c r="D15" s="444"/>
      <c r="E15" s="444"/>
      <c r="F15" s="444"/>
      <c r="G15" s="444"/>
    </row>
    <row r="16" spans="1:8" ht="70.5" customHeight="1" x14ac:dyDescent="0.25"/>
    <row r="17" spans="1:8" ht="36.75" customHeight="1" x14ac:dyDescent="0.25">
      <c r="A17" s="441" t="s">
        <v>165</v>
      </c>
      <c r="B17" s="441"/>
      <c r="C17" s="441"/>
      <c r="D17" s="441"/>
      <c r="E17" s="441"/>
      <c r="F17" s="441"/>
      <c r="G17" s="441"/>
      <c r="H17" s="245"/>
    </row>
    <row r="18" spans="1:8" ht="21" customHeight="1" x14ac:dyDescent="0.25">
      <c r="A18" s="234"/>
      <c r="B18" s="234"/>
      <c r="C18" s="235"/>
      <c r="D18" s="244" t="s">
        <v>110</v>
      </c>
      <c r="E18" s="243" t="s">
        <v>111</v>
      </c>
      <c r="F18" s="236"/>
      <c r="G18" s="236"/>
      <c r="H18" s="236"/>
    </row>
    <row r="19" spans="1:8" ht="31.5" x14ac:dyDescent="0.25">
      <c r="A19" s="238">
        <v>1</v>
      </c>
      <c r="B19" s="239" t="s">
        <v>164</v>
      </c>
      <c r="C19" s="240" t="s">
        <v>113</v>
      </c>
      <c r="D19" s="242">
        <v>3300</v>
      </c>
      <c r="E19" s="241">
        <f>D19/G3</f>
        <v>550</v>
      </c>
      <c r="F19" s="237"/>
      <c r="G19" s="237"/>
      <c r="H19" s="237"/>
    </row>
    <row r="20" spans="1:8" x14ac:dyDescent="0.25">
      <c r="A20" s="238">
        <v>2</v>
      </c>
      <c r="B20" s="238" t="s">
        <v>112</v>
      </c>
      <c r="C20" s="240" t="s">
        <v>114</v>
      </c>
      <c r="D20" s="242">
        <v>240</v>
      </c>
      <c r="E20" s="241">
        <f t="shared" ref="E20:E21" si="0">D20/6</f>
        <v>40</v>
      </c>
      <c r="F20" s="237"/>
      <c r="G20" s="237"/>
      <c r="H20" s="237"/>
    </row>
    <row r="21" spans="1:8" x14ac:dyDescent="0.25">
      <c r="A21" s="238">
        <v>3</v>
      </c>
      <c r="B21" s="238" t="s">
        <v>115</v>
      </c>
      <c r="C21" s="240" t="s">
        <v>116</v>
      </c>
      <c r="D21" s="242">
        <v>400</v>
      </c>
      <c r="E21" s="241">
        <f t="shared" si="0"/>
        <v>66.666666666666671</v>
      </c>
      <c r="F21" s="237"/>
      <c r="G21" s="237"/>
      <c r="H21" s="237"/>
    </row>
    <row r="29" spans="1:8" x14ac:dyDescent="0.25">
      <c r="A29" s="172" t="s">
        <v>125</v>
      </c>
    </row>
    <row r="30" spans="1:8" x14ac:dyDescent="0.25">
      <c r="A30" s="461">
        <v>43273</v>
      </c>
    </row>
  </sheetData>
  <mergeCells count="11">
    <mergeCell ref="A17:G17"/>
    <mergeCell ref="A1:G1"/>
    <mergeCell ref="B14:G14"/>
    <mergeCell ref="B15:G15"/>
    <mergeCell ref="C3:D3"/>
    <mergeCell ref="E6:E7"/>
    <mergeCell ref="E3:E5"/>
    <mergeCell ref="D6:D7"/>
    <mergeCell ref="C4:D4"/>
    <mergeCell ref="G6:G7"/>
    <mergeCell ref="B12:D12"/>
  </mergeCells>
  <pageMargins left="1.299212598425197" right="0.70866141732283472" top="0.74803149606299213" bottom="0.74803149606299213" header="0.31496062992125984" footer="0.31496062992125984"/>
  <pageSetup paperSize="9" scale="6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zoomScaleNormal="100" workbookViewId="0">
      <selection activeCell="N10" sqref="N10"/>
    </sheetView>
  </sheetViews>
  <sheetFormatPr defaultRowHeight="15" x14ac:dyDescent="0.25"/>
  <cols>
    <col min="1" max="1" width="4.28515625" customWidth="1"/>
    <col min="2" max="2" width="10.85546875" customWidth="1"/>
    <col min="3" max="3" width="11.42578125" customWidth="1"/>
    <col min="4" max="5" width="13.42578125" customWidth="1"/>
    <col min="6" max="6" width="13.85546875" customWidth="1"/>
    <col min="7" max="10" width="13.42578125" customWidth="1"/>
    <col min="11" max="11" width="13.85546875" customWidth="1"/>
    <col min="12" max="12" width="4.5703125" customWidth="1"/>
    <col min="13" max="20" width="13.42578125" customWidth="1"/>
  </cols>
  <sheetData>
    <row r="1" spans="1:12" ht="90.75" customHeight="1" x14ac:dyDescent="0.25">
      <c r="A1" s="458" t="s">
        <v>172</v>
      </c>
      <c r="B1" s="458"/>
      <c r="C1" s="458"/>
      <c r="D1" s="458"/>
      <c r="E1" s="458"/>
      <c r="F1" s="458"/>
      <c r="G1" s="458"/>
      <c r="H1" s="458"/>
      <c r="I1" s="458"/>
      <c r="J1" s="458"/>
      <c r="K1" s="458"/>
      <c r="L1" s="458"/>
    </row>
    <row r="2" spans="1:12" ht="40.5" customHeight="1" x14ac:dyDescent="0.25">
      <c r="A2" s="459" t="s">
        <v>171</v>
      </c>
      <c r="B2" s="459"/>
      <c r="C2" s="459"/>
      <c r="D2" s="459"/>
      <c r="E2" s="459"/>
      <c r="F2" s="459"/>
      <c r="G2" s="459"/>
      <c r="H2" s="459"/>
      <c r="I2" s="459"/>
      <c r="J2" s="459"/>
      <c r="K2" s="459"/>
      <c r="L2" s="459"/>
    </row>
    <row r="3" spans="1:12" x14ac:dyDescent="0.25">
      <c r="A3" s="263" t="s">
        <v>156</v>
      </c>
    </row>
    <row r="4" spans="1:12" ht="108" customHeight="1" x14ac:dyDescent="0.25">
      <c r="B4" s="256" t="s">
        <v>140</v>
      </c>
      <c r="C4" s="256" t="s">
        <v>159</v>
      </c>
      <c r="D4" s="457" t="s">
        <v>145</v>
      </c>
      <c r="E4" s="457"/>
      <c r="F4" s="262" t="s">
        <v>147</v>
      </c>
      <c r="G4" s="457" t="s">
        <v>145</v>
      </c>
      <c r="H4" s="457"/>
      <c r="I4" s="457"/>
      <c r="J4" s="457"/>
      <c r="K4" s="262" t="s">
        <v>147</v>
      </c>
    </row>
    <row r="5" spans="1:12" s="259" customFormat="1" ht="15" customHeight="1" x14ac:dyDescent="0.2">
      <c r="B5" s="261" t="s">
        <v>152</v>
      </c>
      <c r="C5" s="266" t="s">
        <v>153</v>
      </c>
      <c r="D5" s="455" t="s">
        <v>142</v>
      </c>
      <c r="E5" s="455" t="s">
        <v>143</v>
      </c>
      <c r="F5" s="261" t="s">
        <v>154</v>
      </c>
      <c r="G5" s="455" t="s">
        <v>146</v>
      </c>
      <c r="H5" s="455" t="s">
        <v>148</v>
      </c>
      <c r="I5" s="455" t="s">
        <v>149</v>
      </c>
      <c r="J5" s="455" t="s">
        <v>150</v>
      </c>
      <c r="K5" s="261" t="s">
        <v>155</v>
      </c>
    </row>
    <row r="6" spans="1:12" s="257" customFormat="1" x14ac:dyDescent="0.25">
      <c r="B6" s="455" t="s">
        <v>141</v>
      </c>
      <c r="C6" s="455"/>
      <c r="D6" s="455"/>
      <c r="E6" s="455"/>
      <c r="F6" s="257" t="s">
        <v>144</v>
      </c>
      <c r="G6" s="455"/>
      <c r="H6" s="455"/>
      <c r="I6" s="455"/>
      <c r="J6" s="455"/>
      <c r="K6" s="258" t="s">
        <v>151</v>
      </c>
    </row>
    <row r="7" spans="1:12" s="267" customFormat="1" ht="18.75" x14ac:dyDescent="0.25">
      <c r="B7" s="456">
        <v>1</v>
      </c>
      <c r="C7" s="456"/>
      <c r="D7" s="268">
        <v>2</v>
      </c>
      <c r="E7" s="268">
        <v>3</v>
      </c>
      <c r="F7" s="268">
        <v>4</v>
      </c>
      <c r="G7" s="268">
        <v>5</v>
      </c>
      <c r="H7" s="268">
        <v>6</v>
      </c>
      <c r="I7" s="268">
        <v>7</v>
      </c>
      <c r="J7" s="269" t="s">
        <v>20</v>
      </c>
      <c r="K7" s="268">
        <v>8</v>
      </c>
      <c r="L7" s="270" t="s">
        <v>158</v>
      </c>
    </row>
    <row r="8" spans="1:12" ht="46.5" customHeight="1" x14ac:dyDescent="0.25">
      <c r="L8" s="264"/>
    </row>
    <row r="9" spans="1:12" ht="15.75" x14ac:dyDescent="0.25">
      <c r="A9" s="263" t="s">
        <v>157</v>
      </c>
      <c r="L9" s="264"/>
    </row>
    <row r="10" spans="1:12" ht="108" customHeight="1" x14ac:dyDescent="0.25">
      <c r="B10" s="256" t="s">
        <v>140</v>
      </c>
      <c r="C10" s="256" t="s">
        <v>159</v>
      </c>
      <c r="D10" s="457" t="s">
        <v>145</v>
      </c>
      <c r="E10" s="457"/>
      <c r="F10" s="457"/>
      <c r="G10" s="457"/>
      <c r="H10" s="457"/>
      <c r="I10" s="457"/>
      <c r="J10" s="457"/>
      <c r="K10" s="262" t="s">
        <v>147</v>
      </c>
      <c r="L10" s="264"/>
    </row>
    <row r="11" spans="1:12" s="259" customFormat="1" ht="15" customHeight="1" x14ac:dyDescent="0.25">
      <c r="B11" s="261" t="s">
        <v>152</v>
      </c>
      <c r="C11" s="266" t="s">
        <v>153</v>
      </c>
      <c r="D11" s="455" t="s">
        <v>142</v>
      </c>
      <c r="E11" s="455" t="s">
        <v>143</v>
      </c>
      <c r="F11" s="455" t="s">
        <v>144</v>
      </c>
      <c r="G11" s="455" t="s">
        <v>146</v>
      </c>
      <c r="H11" s="455" t="s">
        <v>148</v>
      </c>
      <c r="I11" s="455" t="s">
        <v>149</v>
      </c>
      <c r="J11" s="455" t="s">
        <v>150</v>
      </c>
      <c r="K11" s="261" t="s">
        <v>155</v>
      </c>
      <c r="L11" s="265"/>
    </row>
    <row r="12" spans="1:12" s="258" customFormat="1" ht="15.75" x14ac:dyDescent="0.25">
      <c r="B12" s="455" t="s">
        <v>141</v>
      </c>
      <c r="C12" s="455"/>
      <c r="D12" s="455"/>
      <c r="E12" s="455"/>
      <c r="F12" s="455"/>
      <c r="G12" s="455"/>
      <c r="H12" s="455"/>
      <c r="I12" s="455"/>
      <c r="J12" s="455"/>
      <c r="K12" s="258" t="s">
        <v>151</v>
      </c>
      <c r="L12" s="265"/>
    </row>
    <row r="13" spans="1:12" s="267" customFormat="1" ht="18.75" x14ac:dyDescent="0.25">
      <c r="B13" s="456">
        <v>1</v>
      </c>
      <c r="C13" s="456"/>
      <c r="D13" s="268">
        <v>2</v>
      </c>
      <c r="E13" s="268">
        <v>3</v>
      </c>
      <c r="F13" s="268">
        <v>4</v>
      </c>
      <c r="G13" s="269" t="s">
        <v>20</v>
      </c>
      <c r="H13" s="269" t="s">
        <v>20</v>
      </c>
      <c r="I13" s="269" t="s">
        <v>20</v>
      </c>
      <c r="J13" s="269" t="s">
        <v>20</v>
      </c>
      <c r="K13" s="268">
        <v>5</v>
      </c>
      <c r="L13" s="270" t="s">
        <v>158</v>
      </c>
    </row>
    <row r="14" spans="1:12" ht="30.75" customHeight="1" x14ac:dyDescent="0.25"/>
    <row r="15" spans="1:12" ht="15.75" x14ac:dyDescent="0.25">
      <c r="A15" s="263" t="s">
        <v>163</v>
      </c>
      <c r="E15" s="273"/>
      <c r="L15" s="264"/>
    </row>
    <row r="16" spans="1:12" ht="15.75" x14ac:dyDescent="0.25">
      <c r="A16" s="263"/>
      <c r="E16" s="273"/>
      <c r="L16" s="264"/>
    </row>
    <row r="17" spans="2:12" ht="108" customHeight="1" x14ac:dyDescent="0.25">
      <c r="B17" s="256" t="s">
        <v>140</v>
      </c>
      <c r="C17" s="256" t="s">
        <v>159</v>
      </c>
      <c r="D17" s="271" t="s">
        <v>145</v>
      </c>
      <c r="E17" s="274" t="s">
        <v>160</v>
      </c>
      <c r="F17" s="271"/>
      <c r="G17" s="271"/>
      <c r="H17" s="271"/>
      <c r="I17" s="271"/>
      <c r="J17" s="271"/>
      <c r="K17" s="262" t="s">
        <v>147</v>
      </c>
      <c r="L17" s="264"/>
    </row>
    <row r="18" spans="2:12" s="259" customFormat="1" ht="15" customHeight="1" x14ac:dyDescent="0.25">
      <c r="B18" s="261" t="s">
        <v>152</v>
      </c>
      <c r="C18" s="266" t="s">
        <v>153</v>
      </c>
      <c r="D18" s="455" t="s">
        <v>142</v>
      </c>
      <c r="E18" s="460" t="s">
        <v>143</v>
      </c>
      <c r="F18" s="455" t="s">
        <v>144</v>
      </c>
      <c r="G18" s="455" t="s">
        <v>146</v>
      </c>
      <c r="H18" s="455" t="s">
        <v>148</v>
      </c>
      <c r="I18" s="455" t="s">
        <v>149</v>
      </c>
      <c r="J18" s="455" t="s">
        <v>150</v>
      </c>
      <c r="K18" s="261" t="s">
        <v>155</v>
      </c>
      <c r="L18" s="265"/>
    </row>
    <row r="19" spans="2:12" s="260" customFormat="1" ht="15.75" x14ac:dyDescent="0.25">
      <c r="B19" s="455" t="s">
        <v>141</v>
      </c>
      <c r="C19" s="455"/>
      <c r="D19" s="455"/>
      <c r="E19" s="460"/>
      <c r="F19" s="455"/>
      <c r="G19" s="455"/>
      <c r="H19" s="455"/>
      <c r="I19" s="455"/>
      <c r="J19" s="455"/>
      <c r="K19" s="260" t="s">
        <v>151</v>
      </c>
      <c r="L19" s="265"/>
    </row>
    <row r="20" spans="2:12" s="267" customFormat="1" ht="18.75" x14ac:dyDescent="0.25">
      <c r="B20" s="456">
        <v>1</v>
      </c>
      <c r="C20" s="456"/>
      <c r="D20" s="268">
        <v>2</v>
      </c>
      <c r="E20" s="275">
        <v>3</v>
      </c>
      <c r="F20" s="268">
        <v>4</v>
      </c>
      <c r="G20" s="268">
        <v>5</v>
      </c>
      <c r="H20" s="268">
        <v>6</v>
      </c>
      <c r="I20" s="269" t="s">
        <v>20</v>
      </c>
      <c r="J20" s="269" t="s">
        <v>20</v>
      </c>
      <c r="K20" s="268">
        <v>7</v>
      </c>
      <c r="L20" s="270" t="s">
        <v>158</v>
      </c>
    </row>
    <row r="21" spans="2:12" x14ac:dyDescent="0.25">
      <c r="E21" s="273"/>
    </row>
    <row r="22" spans="2:12" x14ac:dyDescent="0.25">
      <c r="E22" s="273"/>
    </row>
    <row r="23" spans="2:12" x14ac:dyDescent="0.25">
      <c r="C23" s="272" t="s">
        <v>161</v>
      </c>
      <c r="E23" s="273"/>
      <c r="G23" s="455" t="s">
        <v>162</v>
      </c>
      <c r="H23" s="455"/>
    </row>
    <row r="24" spans="2:12" x14ac:dyDescent="0.25">
      <c r="E24" s="273"/>
    </row>
  </sheetData>
  <mergeCells count="32">
    <mergeCell ref="A2:L2"/>
    <mergeCell ref="B19:C19"/>
    <mergeCell ref="B20:C20"/>
    <mergeCell ref="G23:H23"/>
    <mergeCell ref="D18:D19"/>
    <mergeCell ref="E18:E19"/>
    <mergeCell ref="F18:F19"/>
    <mergeCell ref="G18:G19"/>
    <mergeCell ref="H18:H19"/>
    <mergeCell ref="I18:I19"/>
    <mergeCell ref="J18:J19"/>
    <mergeCell ref="G4:J4"/>
    <mergeCell ref="G5:G6"/>
    <mergeCell ref="J5:J6"/>
    <mergeCell ref="H5:H6"/>
    <mergeCell ref="I5:I6"/>
    <mergeCell ref="B12:C12"/>
    <mergeCell ref="B13:C13"/>
    <mergeCell ref="D10:J10"/>
    <mergeCell ref="F11:F12"/>
    <mergeCell ref="A1:L1"/>
    <mergeCell ref="D11:D12"/>
    <mergeCell ref="E11:E12"/>
    <mergeCell ref="G11:G12"/>
    <mergeCell ref="H11:H12"/>
    <mergeCell ref="I11:I12"/>
    <mergeCell ref="J11:J12"/>
    <mergeCell ref="B6:C6"/>
    <mergeCell ref="B7:C7"/>
    <mergeCell ref="D4:E4"/>
    <mergeCell ref="D5:D6"/>
    <mergeCell ref="E5:E6"/>
  </mergeCells>
  <pageMargins left="0.70866141732283472" right="0.70866141732283472" top="0.55118110236220474" bottom="0.35433070866141736" header="0.31496062992125984" footer="0.31496062992125984"/>
  <pageSetup paperSize="9" scale="7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Pielik.1_atbalsts_audžuģim</vt:lpstr>
      <vt:lpstr>Pielik.2_atbalsts_spec.audžuģim</vt:lpstr>
      <vt:lpstr>Pielik.3_2018</vt:lpstr>
      <vt:lpstr>Pielik.4_2019_2020_2021</vt:lpstr>
      <vt:lpstr>AC prtrets</vt:lpstr>
      <vt:lpstr>ikmēneša atbalsta fin.aprēķināš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2018-06-22T11:32:20Z</dcterms:modified>
</cp:coreProperties>
</file>