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aila\Tieslietas un tiesneši\Valsts kanceleja\Darba grupas sedem_tMP_tiesnesi\Likumprojekta anotacija\anotacijai pec 3 oct sedes\5oct_gala anotacija\Anotacijas pielikumi_pēcTP\uz MK visas datnes\"/>
    </mc:Choice>
  </mc:AlternateContent>
  <workbookProtection workbookAlgorithmName="SHA-512" workbookHashValue="auN//CKD3FZ1qfa2j+7fxqndxEWRWnJeoreftdNkamT0tYc6RZnuvvXEadSFqrkFU76vxoYHIkvkHCc7UmpRkQ==" workbookSaltValue="Uear0roYDA9cuzERDk5jwg==" workbookSpinCount="100000" lockStructure="1"/>
  <bookViews>
    <workbookView xWindow="0" yWindow="0" windowWidth="25200" windowHeight="11850" firstSheet="1" activeTab="4"/>
  </bookViews>
  <sheets>
    <sheet name="Sheet1" sheetId="1" state="hidden" r:id="rId1"/>
    <sheet name="2019 gads" sheetId="4" r:id="rId2"/>
    <sheet name="2020 gads" sheetId="5" r:id="rId3"/>
    <sheet name="2021 gads" sheetId="6" r:id="rId4"/>
    <sheet name="kopsavilkums finanses" sheetId="7" r:id="rId5"/>
    <sheet name="anotācija excel_word" sheetId="8" r:id="rId6"/>
  </sheets>
  <definedNames>
    <definedName name="_xlnm.Print_Area" localSheetId="1">'2019 gads'!$A$1:$O$113</definedName>
    <definedName name="_xlnm.Print_Area" localSheetId="2">'2020 gads'!$A$1:$O$107</definedName>
    <definedName name="_xlnm.Print_Area" localSheetId="3">'2021 gads'!$A$1:$O$107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7" l="1"/>
  <c r="E51" i="7"/>
  <c r="C51" i="7"/>
  <c r="D47" i="7"/>
  <c r="E47" i="7"/>
  <c r="C47" i="7"/>
  <c r="D44" i="7"/>
  <c r="E44" i="7"/>
  <c r="I69" i="6"/>
  <c r="I68" i="5"/>
  <c r="N68" i="4"/>
  <c r="N67" i="4"/>
  <c r="N66" i="4"/>
  <c r="L68" i="4"/>
  <c r="L66" i="4"/>
  <c r="L67" i="4"/>
  <c r="K68" i="4"/>
  <c r="K67" i="4"/>
  <c r="K66" i="4"/>
  <c r="F76" i="6" l="1"/>
  <c r="J76" i="6" s="1"/>
  <c r="R76" i="6"/>
  <c r="F76" i="5"/>
  <c r="I76" i="5" s="1"/>
  <c r="R76" i="5"/>
  <c r="C89" i="5"/>
  <c r="D89" i="5" s="1"/>
  <c r="C90" i="5"/>
  <c r="C90" i="6" s="1"/>
  <c r="D90" i="6" s="1"/>
  <c r="C91" i="5"/>
  <c r="D91" i="5" s="1"/>
  <c r="C92" i="5"/>
  <c r="C92" i="6" s="1"/>
  <c r="D92" i="6" s="1"/>
  <c r="C93" i="5"/>
  <c r="D93" i="5" s="1"/>
  <c r="C94" i="5"/>
  <c r="C94" i="6" s="1"/>
  <c r="D94" i="6" s="1"/>
  <c r="C95" i="5"/>
  <c r="D95" i="5" s="1"/>
  <c r="C96" i="5"/>
  <c r="C96" i="6" s="1"/>
  <c r="D96" i="6" s="1"/>
  <c r="C97" i="5"/>
  <c r="C97" i="6" s="1"/>
  <c r="D97" i="6" s="1"/>
  <c r="C98" i="5"/>
  <c r="D98" i="5" s="1"/>
  <c r="C99" i="5"/>
  <c r="C99" i="6" s="1"/>
  <c r="D99" i="6" s="1"/>
  <c r="C79" i="5"/>
  <c r="D79" i="5" s="1"/>
  <c r="C80" i="5"/>
  <c r="C80" i="6" s="1"/>
  <c r="D80" i="6" s="1"/>
  <c r="C81" i="5"/>
  <c r="C81" i="6" s="1"/>
  <c r="D81" i="6" s="1"/>
  <c r="C82" i="5"/>
  <c r="C82" i="6" s="1"/>
  <c r="D82" i="6" s="1"/>
  <c r="C83" i="5"/>
  <c r="C83" i="6" s="1"/>
  <c r="D83" i="6" s="1"/>
  <c r="C84" i="5"/>
  <c r="C84" i="6" s="1"/>
  <c r="D84" i="6" s="1"/>
  <c r="C85" i="5"/>
  <c r="C85" i="6" s="1"/>
  <c r="D85" i="6" s="1"/>
  <c r="C86" i="5"/>
  <c r="C86" i="6" s="1"/>
  <c r="D86" i="6" s="1"/>
  <c r="C87" i="5"/>
  <c r="D87" i="5" s="1"/>
  <c r="C88" i="5"/>
  <c r="C88" i="6" s="1"/>
  <c r="D88" i="6" s="1"/>
  <c r="C78" i="5"/>
  <c r="C78" i="6" s="1"/>
  <c r="D78" i="6" s="1"/>
  <c r="G78" i="6" s="1"/>
  <c r="N79" i="4"/>
  <c r="I75" i="4"/>
  <c r="J75" i="4"/>
  <c r="K75" i="4"/>
  <c r="M75" i="4"/>
  <c r="K73" i="4"/>
  <c r="J73" i="4"/>
  <c r="H75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94" i="5" l="1"/>
  <c r="D81" i="5"/>
  <c r="D99" i="5"/>
  <c r="D85" i="5"/>
  <c r="C95" i="6"/>
  <c r="D95" i="6" s="1"/>
  <c r="D90" i="5"/>
  <c r="C91" i="6"/>
  <c r="D91" i="6" s="1"/>
  <c r="C87" i="6"/>
  <c r="D87" i="6" s="1"/>
  <c r="D78" i="5"/>
  <c r="G78" i="5" s="1"/>
  <c r="D82" i="5"/>
  <c r="D86" i="5"/>
  <c r="C98" i="6"/>
  <c r="D98" i="6" s="1"/>
  <c r="C79" i="6"/>
  <c r="D79" i="6" s="1"/>
  <c r="D83" i="5"/>
  <c r="D88" i="5"/>
  <c r="D92" i="5"/>
  <c r="D97" i="5"/>
  <c r="D96" i="5"/>
  <c r="C93" i="6"/>
  <c r="D93" i="6" s="1"/>
  <c r="C89" i="6"/>
  <c r="D89" i="6" s="1"/>
  <c r="D80" i="5"/>
  <c r="D84" i="5"/>
  <c r="I76" i="6"/>
  <c r="J76" i="5"/>
  <c r="R12" i="6"/>
  <c r="R12" i="5"/>
  <c r="Q12" i="5"/>
  <c r="Q12" i="6"/>
  <c r="L45" i="4"/>
  <c r="K45" i="4"/>
  <c r="H50" i="6"/>
  <c r="M50" i="6"/>
  <c r="G50" i="6"/>
  <c r="D50" i="6"/>
  <c r="H48" i="6"/>
  <c r="D48" i="6"/>
  <c r="M48" i="6" s="1"/>
  <c r="H49" i="5"/>
  <c r="M49" i="5"/>
  <c r="G49" i="5"/>
  <c r="I49" i="5" s="1"/>
  <c r="D49" i="5"/>
  <c r="H47" i="5"/>
  <c r="M47" i="5"/>
  <c r="D47" i="5"/>
  <c r="G47" i="5" s="1"/>
  <c r="I47" i="5" s="1"/>
  <c r="I47" i="4"/>
  <c r="J47" i="4" s="1"/>
  <c r="K47" i="4"/>
  <c r="L47" i="4"/>
  <c r="N47" i="4"/>
  <c r="H47" i="4"/>
  <c r="D47" i="4"/>
  <c r="I45" i="4"/>
  <c r="J45" i="4" s="1"/>
  <c r="M45" i="4" s="1"/>
  <c r="O45" i="4" s="1"/>
  <c r="J47" i="5" s="1"/>
  <c r="N45" i="4"/>
  <c r="H45" i="4"/>
  <c r="D45" i="4"/>
  <c r="I50" i="6" l="1"/>
  <c r="M47" i="4"/>
  <c r="O47" i="4" s="1"/>
  <c r="J49" i="5" s="1"/>
  <c r="K49" i="5" s="1"/>
  <c r="G48" i="6"/>
  <c r="I48" i="6" s="1"/>
  <c r="J50" i="6"/>
  <c r="K50" i="6" s="1"/>
  <c r="K47" i="5"/>
  <c r="J48" i="6"/>
  <c r="K48" i="6" s="1"/>
  <c r="H19" i="8" l="1"/>
  <c r="H20" i="8"/>
  <c r="H21" i="8"/>
  <c r="H22" i="8"/>
  <c r="H18" i="8" l="1"/>
  <c r="O31" i="8"/>
  <c r="N31" i="8"/>
  <c r="P7" i="8"/>
  <c r="O7" i="8"/>
  <c r="N7" i="8"/>
  <c r="C18" i="8"/>
  <c r="C9" i="8"/>
  <c r="G18" i="8" l="1"/>
  <c r="E18" i="8"/>
  <c r="J72" i="6" l="1"/>
  <c r="J73" i="6"/>
  <c r="J74" i="6"/>
  <c r="J77" i="6"/>
  <c r="J60" i="6"/>
  <c r="J68" i="6"/>
  <c r="D115" i="6"/>
  <c r="C115" i="6"/>
  <c r="N100" i="6"/>
  <c r="F100" i="6"/>
  <c r="H98" i="6"/>
  <c r="M98" i="6"/>
  <c r="H97" i="6"/>
  <c r="G95" i="6"/>
  <c r="M94" i="6"/>
  <c r="M93" i="6"/>
  <c r="M92" i="6"/>
  <c r="M90" i="6"/>
  <c r="M89" i="6"/>
  <c r="M88" i="6"/>
  <c r="M86" i="6"/>
  <c r="M85" i="6"/>
  <c r="M84" i="6"/>
  <c r="M82" i="6"/>
  <c r="H81" i="6"/>
  <c r="G79" i="6"/>
  <c r="M78" i="6"/>
  <c r="N72" i="6"/>
  <c r="F72" i="6"/>
  <c r="D71" i="6"/>
  <c r="H70" i="6"/>
  <c r="D70" i="6"/>
  <c r="M70" i="6" s="1"/>
  <c r="D69" i="6"/>
  <c r="M69" i="6" s="1"/>
  <c r="N68" i="6"/>
  <c r="G68" i="6"/>
  <c r="F68" i="6"/>
  <c r="D67" i="6"/>
  <c r="D66" i="6"/>
  <c r="D65" i="6"/>
  <c r="M65" i="6" s="1"/>
  <c r="M64" i="6"/>
  <c r="D64" i="6"/>
  <c r="G64" i="6" s="1"/>
  <c r="D63" i="6"/>
  <c r="H63" i="6" s="1"/>
  <c r="D62" i="6"/>
  <c r="M62" i="6" s="1"/>
  <c r="D61" i="6"/>
  <c r="M61" i="6" s="1"/>
  <c r="N60" i="6"/>
  <c r="F60" i="6"/>
  <c r="F74" i="6" s="1"/>
  <c r="M74" i="6" s="1"/>
  <c r="D59" i="6"/>
  <c r="D58" i="6"/>
  <c r="H58" i="6" s="1"/>
  <c r="D57" i="6"/>
  <c r="M57" i="6" s="1"/>
  <c r="D56" i="6"/>
  <c r="M56" i="6" s="1"/>
  <c r="D55" i="6"/>
  <c r="G55" i="6" s="1"/>
  <c r="D54" i="6"/>
  <c r="D53" i="6"/>
  <c r="M53" i="6" s="1"/>
  <c r="D52" i="6"/>
  <c r="H52" i="6" s="1"/>
  <c r="D51" i="6"/>
  <c r="G51" i="6" s="1"/>
  <c r="D49" i="6"/>
  <c r="H49" i="6" s="1"/>
  <c r="D47" i="6"/>
  <c r="G46" i="6"/>
  <c r="D46" i="6"/>
  <c r="M46" i="6" s="1"/>
  <c r="D45" i="6"/>
  <c r="G45" i="6" s="1"/>
  <c r="D44" i="6"/>
  <c r="H44" i="6" s="1"/>
  <c r="D43" i="6"/>
  <c r="M43" i="6" s="1"/>
  <c r="D42" i="6"/>
  <c r="H42" i="6" s="1"/>
  <c r="D41" i="6"/>
  <c r="H40" i="6"/>
  <c r="G40" i="6"/>
  <c r="D40" i="6"/>
  <c r="M40" i="6" s="1"/>
  <c r="D39" i="6"/>
  <c r="G39" i="6" s="1"/>
  <c r="D38" i="6"/>
  <c r="H38" i="6" s="1"/>
  <c r="D37" i="6"/>
  <c r="D36" i="6"/>
  <c r="G36" i="6" s="1"/>
  <c r="D35" i="6"/>
  <c r="D34" i="6"/>
  <c r="H34" i="6" s="1"/>
  <c r="D33" i="6"/>
  <c r="H33" i="6" s="1"/>
  <c r="D32" i="6"/>
  <c r="H32" i="6" s="1"/>
  <c r="H31" i="6"/>
  <c r="D31" i="6"/>
  <c r="M30" i="6"/>
  <c r="G30" i="6"/>
  <c r="D30" i="6"/>
  <c r="H30" i="6" s="1"/>
  <c r="D29" i="6"/>
  <c r="H29" i="6" s="1"/>
  <c r="D28" i="6"/>
  <c r="H28" i="6" s="1"/>
  <c r="H27" i="6"/>
  <c r="D27" i="6"/>
  <c r="D26" i="6"/>
  <c r="H26" i="6" s="1"/>
  <c r="D25" i="6"/>
  <c r="M25" i="6" s="1"/>
  <c r="G24" i="6"/>
  <c r="D24" i="6"/>
  <c r="M24" i="6" s="1"/>
  <c r="D23" i="6"/>
  <c r="G23" i="6" s="1"/>
  <c r="D22" i="6"/>
  <c r="M22" i="6" s="1"/>
  <c r="M21" i="6"/>
  <c r="H21" i="6"/>
  <c r="D21" i="6"/>
  <c r="G21" i="6" s="1"/>
  <c r="D20" i="6"/>
  <c r="M20" i="6" s="1"/>
  <c r="D19" i="6"/>
  <c r="M19" i="6" s="1"/>
  <c r="J13" i="6"/>
  <c r="I13" i="6"/>
  <c r="H29" i="5"/>
  <c r="N100" i="5"/>
  <c r="N71" i="5"/>
  <c r="N67" i="5"/>
  <c r="N59" i="5"/>
  <c r="D115" i="5"/>
  <c r="C115" i="5"/>
  <c r="F100" i="5"/>
  <c r="M99" i="5"/>
  <c r="M98" i="5"/>
  <c r="H97" i="5"/>
  <c r="M96" i="5"/>
  <c r="G95" i="5"/>
  <c r="H94" i="5"/>
  <c r="M93" i="5"/>
  <c r="M92" i="5"/>
  <c r="G91" i="5"/>
  <c r="H90" i="5"/>
  <c r="M89" i="5"/>
  <c r="M88" i="5"/>
  <c r="G87" i="5"/>
  <c r="H86" i="5"/>
  <c r="M85" i="5"/>
  <c r="M84" i="5"/>
  <c r="G83" i="5"/>
  <c r="H82" i="5"/>
  <c r="M81" i="5"/>
  <c r="M80" i="5"/>
  <c r="G79" i="5"/>
  <c r="H78" i="5"/>
  <c r="F71" i="5"/>
  <c r="D70" i="5"/>
  <c r="H70" i="5" s="1"/>
  <c r="D69" i="5"/>
  <c r="M69" i="5" s="1"/>
  <c r="D68" i="5"/>
  <c r="M68" i="5" s="1"/>
  <c r="G67" i="5"/>
  <c r="F67" i="5"/>
  <c r="D66" i="5"/>
  <c r="M66" i="5" s="1"/>
  <c r="D65" i="5"/>
  <c r="H65" i="5" s="1"/>
  <c r="D64" i="5"/>
  <c r="M64" i="5" s="1"/>
  <c r="D63" i="5"/>
  <c r="M63" i="5" s="1"/>
  <c r="D62" i="5"/>
  <c r="H62" i="5" s="1"/>
  <c r="D61" i="5"/>
  <c r="H61" i="5" s="1"/>
  <c r="D60" i="5"/>
  <c r="H60" i="5" s="1"/>
  <c r="F59" i="5"/>
  <c r="D58" i="5"/>
  <c r="M58" i="5" s="1"/>
  <c r="D57" i="5"/>
  <c r="D56" i="5"/>
  <c r="H56" i="5" s="1"/>
  <c r="D55" i="5"/>
  <c r="H55" i="5" s="1"/>
  <c r="D54" i="5"/>
  <c r="H54" i="5" s="1"/>
  <c r="D53" i="5"/>
  <c r="M53" i="5" s="1"/>
  <c r="D52" i="5"/>
  <c r="M52" i="5" s="1"/>
  <c r="D51" i="5"/>
  <c r="H51" i="5" s="1"/>
  <c r="D50" i="5"/>
  <c r="H50" i="5" s="1"/>
  <c r="D48" i="5"/>
  <c r="H48" i="5" s="1"/>
  <c r="D46" i="5"/>
  <c r="M46" i="5" s="1"/>
  <c r="D45" i="5"/>
  <c r="H45" i="5" s="1"/>
  <c r="D44" i="5"/>
  <c r="G44" i="5" s="1"/>
  <c r="D43" i="5"/>
  <c r="H43" i="5" s="1"/>
  <c r="D42" i="5"/>
  <c r="H42" i="5" s="1"/>
  <c r="D41" i="5"/>
  <c r="M41" i="5" s="1"/>
  <c r="D40" i="5"/>
  <c r="H40" i="5" s="1"/>
  <c r="D39" i="5"/>
  <c r="H39" i="5" s="1"/>
  <c r="D38" i="5"/>
  <c r="H38" i="5" s="1"/>
  <c r="D37" i="5"/>
  <c r="M37" i="5" s="1"/>
  <c r="D36" i="5"/>
  <c r="H36" i="5" s="1"/>
  <c r="D35" i="5"/>
  <c r="H35" i="5" s="1"/>
  <c r="D34" i="5"/>
  <c r="H34" i="5" s="1"/>
  <c r="D33" i="5"/>
  <c r="H33" i="5" s="1"/>
  <c r="D32" i="5"/>
  <c r="H32" i="5" s="1"/>
  <c r="D31" i="5"/>
  <c r="H31" i="5" s="1"/>
  <c r="D30" i="5"/>
  <c r="H30" i="5" s="1"/>
  <c r="D29" i="5"/>
  <c r="D28" i="5"/>
  <c r="H28" i="5" s="1"/>
  <c r="D27" i="5"/>
  <c r="H27" i="5" s="1"/>
  <c r="D26" i="5"/>
  <c r="M26" i="5" s="1"/>
  <c r="D25" i="5"/>
  <c r="G25" i="5" s="1"/>
  <c r="D24" i="5"/>
  <c r="H24" i="5" s="1"/>
  <c r="D23" i="5"/>
  <c r="H23" i="5" s="1"/>
  <c r="D22" i="5"/>
  <c r="G22" i="5" s="1"/>
  <c r="D21" i="5"/>
  <c r="M21" i="5" s="1"/>
  <c r="D20" i="5"/>
  <c r="G20" i="5" s="1"/>
  <c r="D19" i="5"/>
  <c r="H19" i="5" s="1"/>
  <c r="D18" i="5"/>
  <c r="M18" i="5" s="1"/>
  <c r="J12" i="5"/>
  <c r="I12" i="5"/>
  <c r="I40" i="6" l="1"/>
  <c r="H23" i="6"/>
  <c r="G38" i="6"/>
  <c r="I38" i="6" s="1"/>
  <c r="G42" i="6"/>
  <c r="I42" i="6" s="1"/>
  <c r="H55" i="6"/>
  <c r="I55" i="6" s="1"/>
  <c r="G90" i="6"/>
  <c r="M23" i="6"/>
  <c r="H36" i="6"/>
  <c r="H45" i="6"/>
  <c r="I45" i="6" s="1"/>
  <c r="G53" i="6"/>
  <c r="G58" i="6"/>
  <c r="I58" i="6" s="1"/>
  <c r="G65" i="6"/>
  <c r="G82" i="6"/>
  <c r="H90" i="6"/>
  <c r="G93" i="6"/>
  <c r="G69" i="6"/>
  <c r="G94" i="6"/>
  <c r="G22" i="6"/>
  <c r="H43" i="6"/>
  <c r="G56" i="6"/>
  <c r="G61" i="6"/>
  <c r="H64" i="6"/>
  <c r="H82" i="6"/>
  <c r="G85" i="6"/>
  <c r="H93" i="6"/>
  <c r="G98" i="6"/>
  <c r="I30" i="6"/>
  <c r="I36" i="6"/>
  <c r="H22" i="6"/>
  <c r="H24" i="6"/>
  <c r="I24" i="6" s="1"/>
  <c r="G25" i="6"/>
  <c r="G26" i="6"/>
  <c r="I26" i="6" s="1"/>
  <c r="G28" i="6"/>
  <c r="I28" i="6" s="1"/>
  <c r="M28" i="6"/>
  <c r="G32" i="6"/>
  <c r="I32" i="6" s="1"/>
  <c r="G34" i="6"/>
  <c r="I34" i="6" s="1"/>
  <c r="M38" i="6"/>
  <c r="M42" i="6"/>
  <c r="H46" i="6"/>
  <c r="I46" i="6" s="1"/>
  <c r="M49" i="6"/>
  <c r="G52" i="6"/>
  <c r="I52" i="6" s="1"/>
  <c r="M52" i="6"/>
  <c r="H56" i="6"/>
  <c r="H57" i="6"/>
  <c r="H61" i="6"/>
  <c r="G62" i="6"/>
  <c r="H65" i="6"/>
  <c r="H69" i="6"/>
  <c r="H78" i="6"/>
  <c r="I78" i="6" s="1"/>
  <c r="G81" i="6"/>
  <c r="I81" i="6" s="1"/>
  <c r="M81" i="6"/>
  <c r="H85" i="6"/>
  <c r="G86" i="6"/>
  <c r="G89" i="6"/>
  <c r="H94" i="6"/>
  <c r="G97" i="6"/>
  <c r="I97" i="6" s="1"/>
  <c r="M97" i="6"/>
  <c r="M26" i="6"/>
  <c r="M32" i="6"/>
  <c r="H25" i="6"/>
  <c r="M36" i="6"/>
  <c r="M45" i="6"/>
  <c r="M55" i="6"/>
  <c r="M58" i="6"/>
  <c r="H62" i="6"/>
  <c r="H86" i="6"/>
  <c r="H89" i="6"/>
  <c r="G19" i="6"/>
  <c r="I21" i="6"/>
  <c r="I23" i="6"/>
  <c r="M34" i="6"/>
  <c r="H39" i="6"/>
  <c r="I39" i="6" s="1"/>
  <c r="G49" i="6"/>
  <c r="I49" i="6" s="1"/>
  <c r="I64" i="6"/>
  <c r="G70" i="6"/>
  <c r="I98" i="6"/>
  <c r="H19" i="6"/>
  <c r="G20" i="6"/>
  <c r="G35" i="6"/>
  <c r="M35" i="6"/>
  <c r="M37" i="6"/>
  <c r="G37" i="6"/>
  <c r="M71" i="6"/>
  <c r="H71" i="6"/>
  <c r="G71" i="6"/>
  <c r="H96" i="6"/>
  <c r="G96" i="6"/>
  <c r="M96" i="6"/>
  <c r="G59" i="6"/>
  <c r="M59" i="6"/>
  <c r="H59" i="6"/>
  <c r="H20" i="6"/>
  <c r="G31" i="6"/>
  <c r="I31" i="6" s="1"/>
  <c r="M31" i="6"/>
  <c r="M33" i="6"/>
  <c r="G33" i="6"/>
  <c r="I33" i="6" s="1"/>
  <c r="H35" i="6"/>
  <c r="H37" i="6"/>
  <c r="M41" i="6"/>
  <c r="H41" i="6"/>
  <c r="G41" i="6"/>
  <c r="M66" i="6"/>
  <c r="H66" i="6"/>
  <c r="G66" i="6"/>
  <c r="I66" i="6" s="1"/>
  <c r="H80" i="6"/>
  <c r="G80" i="6"/>
  <c r="M80" i="6"/>
  <c r="M99" i="6"/>
  <c r="H99" i="6"/>
  <c r="G99" i="6"/>
  <c r="G27" i="6"/>
  <c r="I27" i="6" s="1"/>
  <c r="M27" i="6"/>
  <c r="M29" i="6"/>
  <c r="G29" i="6"/>
  <c r="I29" i="6" s="1"/>
  <c r="M47" i="6"/>
  <c r="H47" i="6"/>
  <c r="G47" i="6"/>
  <c r="H54" i="6"/>
  <c r="M54" i="6"/>
  <c r="G54" i="6"/>
  <c r="M91" i="6"/>
  <c r="H91" i="6"/>
  <c r="G91" i="6"/>
  <c r="M39" i="6"/>
  <c r="M87" i="6"/>
  <c r="H87" i="6"/>
  <c r="H92" i="6"/>
  <c r="G92" i="6"/>
  <c r="M67" i="6"/>
  <c r="H67" i="6"/>
  <c r="M83" i="6"/>
  <c r="H83" i="6"/>
  <c r="G87" i="6"/>
  <c r="H88" i="6"/>
  <c r="G88" i="6"/>
  <c r="G43" i="6"/>
  <c r="G44" i="6"/>
  <c r="I44" i="6" s="1"/>
  <c r="M44" i="6"/>
  <c r="H51" i="6"/>
  <c r="I51" i="6" s="1"/>
  <c r="M51" i="6"/>
  <c r="H53" i="6"/>
  <c r="I53" i="6" s="1"/>
  <c r="G57" i="6"/>
  <c r="G63" i="6"/>
  <c r="I63" i="6" s="1"/>
  <c r="M63" i="6"/>
  <c r="G67" i="6"/>
  <c r="I70" i="6"/>
  <c r="M79" i="6"/>
  <c r="H79" i="6"/>
  <c r="I79" i="6" s="1"/>
  <c r="G83" i="6"/>
  <c r="H84" i="6"/>
  <c r="G84" i="6"/>
  <c r="M95" i="6"/>
  <c r="H95" i="6"/>
  <c r="I95" i="6" s="1"/>
  <c r="H58" i="5"/>
  <c r="H37" i="5"/>
  <c r="H18" i="5"/>
  <c r="H20" i="5"/>
  <c r="I20" i="5" s="1"/>
  <c r="J21" i="6" s="1"/>
  <c r="H52" i="5"/>
  <c r="H46" i="5"/>
  <c r="H57" i="5"/>
  <c r="H66" i="5"/>
  <c r="H69" i="5"/>
  <c r="H93" i="5"/>
  <c r="H89" i="5"/>
  <c r="H85" i="5"/>
  <c r="H81" i="5"/>
  <c r="H25" i="5"/>
  <c r="I25" i="5" s="1"/>
  <c r="J26" i="6" s="1"/>
  <c r="H53" i="5"/>
  <c r="H98" i="5"/>
  <c r="H41" i="5"/>
  <c r="H96" i="5"/>
  <c r="H92" i="5"/>
  <c r="H88" i="5"/>
  <c r="H84" i="5"/>
  <c r="H80" i="5"/>
  <c r="H21" i="5"/>
  <c r="H63" i="5"/>
  <c r="H26" i="5"/>
  <c r="H22" i="5"/>
  <c r="I22" i="5" s="1"/>
  <c r="J23" i="6" s="1"/>
  <c r="H44" i="5"/>
  <c r="I44" i="5" s="1"/>
  <c r="J45" i="6" s="1"/>
  <c r="H64" i="5"/>
  <c r="H68" i="5"/>
  <c r="H99" i="5"/>
  <c r="H95" i="5"/>
  <c r="I95" i="5" s="1"/>
  <c r="J95" i="6" s="1"/>
  <c r="H91" i="5"/>
  <c r="I91" i="5" s="1"/>
  <c r="J91" i="6" s="1"/>
  <c r="H87" i="5"/>
  <c r="I87" i="5" s="1"/>
  <c r="J87" i="6" s="1"/>
  <c r="H83" i="5"/>
  <c r="I83" i="5" s="1"/>
  <c r="J83" i="6" s="1"/>
  <c r="H79" i="5"/>
  <c r="I79" i="5" s="1"/>
  <c r="J79" i="6" s="1"/>
  <c r="G66" i="5"/>
  <c r="M54" i="5"/>
  <c r="G54" i="5"/>
  <c r="I54" i="5" s="1"/>
  <c r="J55" i="6" s="1"/>
  <c r="G88" i="5"/>
  <c r="M30" i="5"/>
  <c r="G61" i="5"/>
  <c r="I61" i="5" s="1"/>
  <c r="J62" i="6" s="1"/>
  <c r="M19" i="5"/>
  <c r="G30" i="5"/>
  <c r="I30" i="5" s="1"/>
  <c r="J31" i="6" s="1"/>
  <c r="G39" i="5"/>
  <c r="I39" i="5" s="1"/>
  <c r="J40" i="6" s="1"/>
  <c r="L40" i="6" s="1"/>
  <c r="O40" i="6" s="1"/>
  <c r="G80" i="5"/>
  <c r="G56" i="5"/>
  <c r="I56" i="5" s="1"/>
  <c r="J57" i="6" s="1"/>
  <c r="M56" i="5"/>
  <c r="F73" i="5"/>
  <c r="M73" i="5" s="1"/>
  <c r="M61" i="5"/>
  <c r="G84" i="5"/>
  <c r="G92" i="5"/>
  <c r="G52" i="5"/>
  <c r="G99" i="5"/>
  <c r="G46" i="5"/>
  <c r="I46" i="5" s="1"/>
  <c r="J47" i="6" s="1"/>
  <c r="G50" i="5"/>
  <c r="I50" i="5" s="1"/>
  <c r="J51" i="6" s="1"/>
  <c r="G68" i="5"/>
  <c r="G96" i="5"/>
  <c r="M20" i="5"/>
  <c r="G26" i="5"/>
  <c r="G35" i="5"/>
  <c r="I35" i="5" s="1"/>
  <c r="J36" i="6" s="1"/>
  <c r="G37" i="5"/>
  <c r="G41" i="5"/>
  <c r="G58" i="5"/>
  <c r="M83" i="5"/>
  <c r="G18" i="5"/>
  <c r="G23" i="5"/>
  <c r="I23" i="5" s="1"/>
  <c r="J24" i="6" s="1"/>
  <c r="M23" i="5"/>
  <c r="G32" i="5"/>
  <c r="I32" i="5" s="1"/>
  <c r="J33" i="6" s="1"/>
  <c r="M32" i="5"/>
  <c r="G57" i="5"/>
  <c r="M57" i="5"/>
  <c r="G69" i="5"/>
  <c r="G81" i="5"/>
  <c r="I81" i="5" s="1"/>
  <c r="J81" i="6" s="1"/>
  <c r="G85" i="5"/>
  <c r="G89" i="5"/>
  <c r="M95" i="5"/>
  <c r="G98" i="5"/>
  <c r="G21" i="5"/>
  <c r="G28" i="5"/>
  <c r="I28" i="5" s="1"/>
  <c r="J29" i="6" s="1"/>
  <c r="M28" i="5"/>
  <c r="M39" i="5"/>
  <c r="G43" i="5"/>
  <c r="I43" i="5" s="1"/>
  <c r="J44" i="6" s="1"/>
  <c r="M43" i="5"/>
  <c r="M50" i="5"/>
  <c r="G63" i="5"/>
  <c r="G65" i="5"/>
  <c r="I65" i="5" s="1"/>
  <c r="J66" i="6" s="1"/>
  <c r="M65" i="5"/>
  <c r="M22" i="5"/>
  <c r="M35" i="5"/>
  <c r="G93" i="5"/>
  <c r="I93" i="5" s="1"/>
  <c r="J93" i="6" s="1"/>
  <c r="G27" i="5"/>
  <c r="I27" i="5" s="1"/>
  <c r="J28" i="6" s="1"/>
  <c r="M27" i="5"/>
  <c r="G42" i="5"/>
  <c r="I42" i="5" s="1"/>
  <c r="J43" i="6" s="1"/>
  <c r="M42" i="5"/>
  <c r="G34" i="5"/>
  <c r="I34" i="5" s="1"/>
  <c r="J35" i="6" s="1"/>
  <c r="M34" i="5"/>
  <c r="M36" i="5"/>
  <c r="G36" i="5"/>
  <c r="I36" i="5" s="1"/>
  <c r="J37" i="6" s="1"/>
  <c r="G55" i="5"/>
  <c r="I55" i="5" s="1"/>
  <c r="J56" i="6" s="1"/>
  <c r="M55" i="5"/>
  <c r="M62" i="5"/>
  <c r="G62" i="5"/>
  <c r="I62" i="5" s="1"/>
  <c r="J63" i="6" s="1"/>
  <c r="M70" i="5"/>
  <c r="G70" i="5"/>
  <c r="I70" i="5" s="1"/>
  <c r="J71" i="6" s="1"/>
  <c r="M86" i="5"/>
  <c r="G86" i="5"/>
  <c r="I86" i="5" s="1"/>
  <c r="J86" i="6" s="1"/>
  <c r="M29" i="5"/>
  <c r="G29" i="5"/>
  <c r="I29" i="5" s="1"/>
  <c r="J30" i="6" s="1"/>
  <c r="M44" i="5"/>
  <c r="M94" i="5"/>
  <c r="G94" i="5"/>
  <c r="I94" i="5" s="1"/>
  <c r="J94" i="6" s="1"/>
  <c r="G31" i="5"/>
  <c r="I31" i="5" s="1"/>
  <c r="J32" i="6" s="1"/>
  <c r="L32" i="6" s="1"/>
  <c r="O32" i="6" s="1"/>
  <c r="M31" i="5"/>
  <c r="M33" i="5"/>
  <c r="G33" i="5"/>
  <c r="I33" i="5" s="1"/>
  <c r="J34" i="6" s="1"/>
  <c r="G45" i="5"/>
  <c r="I45" i="5" s="1"/>
  <c r="J46" i="6" s="1"/>
  <c r="M45" i="5"/>
  <c r="M48" i="5"/>
  <c r="G48" i="5"/>
  <c r="I48" i="5" s="1"/>
  <c r="J49" i="6" s="1"/>
  <c r="G60" i="5"/>
  <c r="I60" i="5" s="1"/>
  <c r="J61" i="6" s="1"/>
  <c r="M60" i="5"/>
  <c r="G19" i="5"/>
  <c r="I19" i="5" s="1"/>
  <c r="J20" i="6" s="1"/>
  <c r="G24" i="5"/>
  <c r="I24" i="5" s="1"/>
  <c r="J25" i="6" s="1"/>
  <c r="M24" i="5"/>
  <c r="M25" i="5"/>
  <c r="G38" i="5"/>
  <c r="I38" i="5" s="1"/>
  <c r="J39" i="6" s="1"/>
  <c r="M38" i="5"/>
  <c r="M40" i="5"/>
  <c r="G40" i="5"/>
  <c r="I40" i="5" s="1"/>
  <c r="J41" i="6" s="1"/>
  <c r="G51" i="5"/>
  <c r="I51" i="5" s="1"/>
  <c r="J52" i="6" s="1"/>
  <c r="M51" i="5"/>
  <c r="M78" i="5"/>
  <c r="I78" i="5"/>
  <c r="J78" i="6" s="1"/>
  <c r="M79" i="5"/>
  <c r="M87" i="5"/>
  <c r="G53" i="5"/>
  <c r="G64" i="5"/>
  <c r="G82" i="5"/>
  <c r="I82" i="5" s="1"/>
  <c r="J82" i="6" s="1"/>
  <c r="M82" i="5"/>
  <c r="G90" i="5"/>
  <c r="I90" i="5" s="1"/>
  <c r="J90" i="6" s="1"/>
  <c r="M90" i="5"/>
  <c r="M91" i="5"/>
  <c r="G97" i="5"/>
  <c r="I97" i="5" s="1"/>
  <c r="J97" i="6" s="1"/>
  <c r="M97" i="5"/>
  <c r="L16" i="4"/>
  <c r="I82" i="6" l="1"/>
  <c r="I90" i="6"/>
  <c r="K90" i="6" s="1"/>
  <c r="I96" i="6"/>
  <c r="I92" i="6"/>
  <c r="I93" i="6"/>
  <c r="K93" i="6" s="1"/>
  <c r="I84" i="6"/>
  <c r="I88" i="6"/>
  <c r="I22" i="6"/>
  <c r="I43" i="6"/>
  <c r="K43" i="6" s="1"/>
  <c r="L30" i="6"/>
  <c r="O30" i="6" s="1"/>
  <c r="I57" i="6"/>
  <c r="L57" i="6" s="1"/>
  <c r="O57" i="6" s="1"/>
  <c r="I84" i="5"/>
  <c r="J84" i="6" s="1"/>
  <c r="K36" i="6"/>
  <c r="I85" i="6"/>
  <c r="L55" i="6"/>
  <c r="O55" i="6" s="1"/>
  <c r="K81" i="6"/>
  <c r="I86" i="6"/>
  <c r="K86" i="6" s="1"/>
  <c r="I61" i="6"/>
  <c r="L61" i="6" s="1"/>
  <c r="O61" i="6" s="1"/>
  <c r="L45" i="6"/>
  <c r="O45" i="6" s="1"/>
  <c r="I99" i="6"/>
  <c r="I89" i="6"/>
  <c r="I94" i="6"/>
  <c r="L94" i="6" s="1"/>
  <c r="O94" i="6" s="1"/>
  <c r="I65" i="6"/>
  <c r="I56" i="6"/>
  <c r="K56" i="6" s="1"/>
  <c r="I25" i="6"/>
  <c r="L25" i="6" s="1"/>
  <c r="O25" i="6" s="1"/>
  <c r="L81" i="6"/>
  <c r="O81" i="6" s="1"/>
  <c r="I99" i="5"/>
  <c r="K49" i="6"/>
  <c r="I67" i="6"/>
  <c r="K23" i="6"/>
  <c r="I20" i="6"/>
  <c r="L20" i="6" s="1"/>
  <c r="O20" i="6" s="1"/>
  <c r="L34" i="6"/>
  <c r="O34" i="6" s="1"/>
  <c r="L21" i="6"/>
  <c r="O21" i="6" s="1"/>
  <c r="K45" i="6"/>
  <c r="K55" i="6"/>
  <c r="I37" i="5"/>
  <c r="J38" i="6" s="1"/>
  <c r="L38" i="6" s="1"/>
  <c r="L52" i="6"/>
  <c r="O52" i="6" s="1"/>
  <c r="L23" i="6"/>
  <c r="O23" i="6" s="1"/>
  <c r="I69" i="5"/>
  <c r="J70" i="6" s="1"/>
  <c r="K70" i="6" s="1"/>
  <c r="J69" i="6"/>
  <c r="I52" i="5"/>
  <c r="J53" i="6" s="1"/>
  <c r="L53" i="6" s="1"/>
  <c r="O53" i="6" s="1"/>
  <c r="K40" i="6"/>
  <c r="I58" i="5"/>
  <c r="J59" i="6" s="1"/>
  <c r="L49" i="6"/>
  <c r="O49" i="6" s="1"/>
  <c r="I41" i="5"/>
  <c r="J42" i="6" s="1"/>
  <c r="L46" i="6"/>
  <c r="O46" i="6" s="1"/>
  <c r="K39" i="6"/>
  <c r="K38" i="6"/>
  <c r="L36" i="6"/>
  <c r="O36" i="6" s="1"/>
  <c r="K34" i="6"/>
  <c r="K32" i="6"/>
  <c r="K30" i="6"/>
  <c r="L28" i="6"/>
  <c r="O28" i="6" s="1"/>
  <c r="K26" i="6"/>
  <c r="L26" i="6"/>
  <c r="O26" i="6" s="1"/>
  <c r="K21" i="6"/>
  <c r="K97" i="6"/>
  <c r="L97" i="6"/>
  <c r="O97" i="6" s="1"/>
  <c r="L78" i="6"/>
  <c r="O78" i="6" s="1"/>
  <c r="K78" i="6"/>
  <c r="K61" i="6"/>
  <c r="L24" i="6"/>
  <c r="O24" i="6" s="1"/>
  <c r="K24" i="6"/>
  <c r="I54" i="6"/>
  <c r="K46" i="6"/>
  <c r="L39" i="6"/>
  <c r="O39" i="6" s="1"/>
  <c r="I80" i="6"/>
  <c r="K52" i="6"/>
  <c r="K28" i="6"/>
  <c r="I19" i="6"/>
  <c r="I83" i="6"/>
  <c r="L83" i="6" s="1"/>
  <c r="O83" i="6" s="1"/>
  <c r="I87" i="6"/>
  <c r="L87" i="6" s="1"/>
  <c r="O87" i="6" s="1"/>
  <c r="I47" i="6"/>
  <c r="L47" i="6" s="1"/>
  <c r="O47" i="6" s="1"/>
  <c r="I59" i="6"/>
  <c r="I62" i="6"/>
  <c r="I98" i="5"/>
  <c r="J98" i="6" s="1"/>
  <c r="K98" i="6" s="1"/>
  <c r="L95" i="6"/>
  <c r="O95" i="6" s="1"/>
  <c r="K95" i="6"/>
  <c r="L79" i="6"/>
  <c r="O79" i="6" s="1"/>
  <c r="K79" i="6"/>
  <c r="L63" i="6"/>
  <c r="O63" i="6" s="1"/>
  <c r="K63" i="6"/>
  <c r="L43" i="6"/>
  <c r="O43" i="6" s="1"/>
  <c r="L82" i="6"/>
  <c r="O82" i="6" s="1"/>
  <c r="K82" i="6"/>
  <c r="I91" i="6"/>
  <c r="I41" i="6"/>
  <c r="K31" i="6"/>
  <c r="L31" i="6"/>
  <c r="O31" i="6" s="1"/>
  <c r="I35" i="6"/>
  <c r="L90" i="6"/>
  <c r="O90" i="6" s="1"/>
  <c r="K29" i="6"/>
  <c r="L29" i="6"/>
  <c r="O29" i="6" s="1"/>
  <c r="L84" i="6"/>
  <c r="O84" i="6" s="1"/>
  <c r="K51" i="6"/>
  <c r="L51" i="6"/>
  <c r="O51" i="6" s="1"/>
  <c r="L66" i="6"/>
  <c r="O66" i="6" s="1"/>
  <c r="K66" i="6"/>
  <c r="K33" i="6"/>
  <c r="L33" i="6"/>
  <c r="O33" i="6" s="1"/>
  <c r="I37" i="6"/>
  <c r="L44" i="6"/>
  <c r="O44" i="6" s="1"/>
  <c r="K44" i="6"/>
  <c r="I71" i="6"/>
  <c r="I53" i="5"/>
  <c r="J54" i="6" s="1"/>
  <c r="I89" i="5"/>
  <c r="J89" i="6" s="1"/>
  <c r="L89" i="6" s="1"/>
  <c r="O89" i="6" s="1"/>
  <c r="I21" i="5"/>
  <c r="J22" i="6" s="1"/>
  <c r="K22" i="6" s="1"/>
  <c r="I18" i="5"/>
  <c r="J19" i="6" s="1"/>
  <c r="I57" i="5"/>
  <c r="J58" i="6" s="1"/>
  <c r="I92" i="5"/>
  <c r="J92" i="6" s="1"/>
  <c r="K92" i="6" s="1"/>
  <c r="I63" i="5"/>
  <c r="J64" i="6" s="1"/>
  <c r="K64" i="6" s="1"/>
  <c r="I88" i="5"/>
  <c r="J88" i="6" s="1"/>
  <c r="I64" i="5"/>
  <c r="J65" i="6" s="1"/>
  <c r="K65" i="6" s="1"/>
  <c r="I85" i="5"/>
  <c r="J85" i="6" s="1"/>
  <c r="L85" i="6" s="1"/>
  <c r="O85" i="6" s="1"/>
  <c r="I96" i="5"/>
  <c r="J96" i="6" s="1"/>
  <c r="I26" i="5"/>
  <c r="J27" i="6" s="1"/>
  <c r="K27" i="6" s="1"/>
  <c r="I80" i="5"/>
  <c r="J80" i="6" s="1"/>
  <c r="I66" i="5"/>
  <c r="J67" i="6" s="1"/>
  <c r="L96" i="6" l="1"/>
  <c r="O96" i="6" s="1"/>
  <c r="K84" i="6"/>
  <c r="K83" i="6"/>
  <c r="K80" i="6"/>
  <c r="K87" i="6"/>
  <c r="K94" i="6"/>
  <c r="L88" i="6"/>
  <c r="O88" i="6" s="1"/>
  <c r="L93" i="6"/>
  <c r="O93" i="6" s="1"/>
  <c r="K57" i="6"/>
  <c r="K20" i="6"/>
  <c r="K25" i="6"/>
  <c r="L67" i="6"/>
  <c r="O67" i="6" s="1"/>
  <c r="L56" i="6"/>
  <c r="O56" i="6" s="1"/>
  <c r="J99" i="6"/>
  <c r="L92" i="6"/>
  <c r="O92" i="6" s="1"/>
  <c r="K88" i="6"/>
  <c r="K96" i="6"/>
  <c r="K85" i="6"/>
  <c r="L70" i="6"/>
  <c r="O70" i="6" s="1"/>
  <c r="L86" i="6"/>
  <c r="O86" i="6" s="1"/>
  <c r="L69" i="6"/>
  <c r="O69" i="6" s="1"/>
  <c r="L98" i="6"/>
  <c r="O98" i="6" s="1"/>
  <c r="L80" i="6"/>
  <c r="O80" i="6" s="1"/>
  <c r="K89" i="6"/>
  <c r="K69" i="6"/>
  <c r="L54" i="6"/>
  <c r="O54" i="6" s="1"/>
  <c r="K59" i="6"/>
  <c r="K19" i="6"/>
  <c r="L59" i="6"/>
  <c r="O59" i="6" s="1"/>
  <c r="O38" i="6"/>
  <c r="K54" i="6"/>
  <c r="K53" i="6"/>
  <c r="L64" i="6"/>
  <c r="O64" i="6" s="1"/>
  <c r="L65" i="6"/>
  <c r="O65" i="6" s="1"/>
  <c r="K67" i="6"/>
  <c r="K58" i="6"/>
  <c r="L58" i="6"/>
  <c r="O58" i="6" s="1"/>
  <c r="L42" i="6"/>
  <c r="O42" i="6" s="1"/>
  <c r="K42" i="6"/>
  <c r="L27" i="6"/>
  <c r="O27" i="6" s="1"/>
  <c r="L22" i="6"/>
  <c r="O22" i="6" s="1"/>
  <c r="L19" i="6"/>
  <c r="O19" i="6" s="1"/>
  <c r="K47" i="6"/>
  <c r="K62" i="6"/>
  <c r="L62" i="6"/>
  <c r="O62" i="6" s="1"/>
  <c r="L41" i="6"/>
  <c r="O41" i="6" s="1"/>
  <c r="K41" i="6"/>
  <c r="K35" i="6"/>
  <c r="L35" i="6"/>
  <c r="O35" i="6" s="1"/>
  <c r="L71" i="6"/>
  <c r="O71" i="6" s="1"/>
  <c r="K71" i="6"/>
  <c r="L91" i="6"/>
  <c r="O91" i="6" s="1"/>
  <c r="K91" i="6"/>
  <c r="K37" i="6"/>
  <c r="L37" i="6"/>
  <c r="O37" i="6" s="1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6" i="4"/>
  <c r="K48" i="4"/>
  <c r="K49" i="4"/>
  <c r="K50" i="4"/>
  <c r="K51" i="4"/>
  <c r="K52" i="4"/>
  <c r="K53" i="4"/>
  <c r="K54" i="4"/>
  <c r="K55" i="4"/>
  <c r="K56" i="4"/>
  <c r="K58" i="4"/>
  <c r="K59" i="4"/>
  <c r="K60" i="4"/>
  <c r="K61" i="4"/>
  <c r="K62" i="4"/>
  <c r="K63" i="4"/>
  <c r="K64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16" i="4"/>
  <c r="L99" i="6" l="1"/>
  <c r="O99" i="6" s="1"/>
  <c r="K99" i="6"/>
  <c r="K100" i="6" s="1"/>
  <c r="E40" i="7" s="1"/>
  <c r="O72" i="6"/>
  <c r="O100" i="6"/>
  <c r="K68" i="6"/>
  <c r="J20" i="8" s="1"/>
  <c r="K72" i="6"/>
  <c r="E30" i="7" s="1"/>
  <c r="O68" i="6"/>
  <c r="K57" i="4"/>
  <c r="K69" i="4"/>
  <c r="K65" i="4"/>
  <c r="K97" i="4"/>
  <c r="K60" i="6"/>
  <c r="O60" i="6"/>
  <c r="D112" i="4"/>
  <c r="C112" i="4"/>
  <c r="G97" i="4"/>
  <c r="L96" i="4"/>
  <c r="D96" i="4"/>
  <c r="L95" i="4"/>
  <c r="L94" i="4"/>
  <c r="H94" i="4"/>
  <c r="L93" i="4"/>
  <c r="L92" i="4"/>
  <c r="L91" i="4"/>
  <c r="L90" i="4"/>
  <c r="L89" i="4"/>
  <c r="L88" i="4"/>
  <c r="H88" i="4"/>
  <c r="L87" i="4"/>
  <c r="L86" i="4"/>
  <c r="L85" i="4"/>
  <c r="L84" i="4"/>
  <c r="H84" i="4"/>
  <c r="L83" i="4"/>
  <c r="L82" i="4"/>
  <c r="L81" i="4"/>
  <c r="L80" i="4"/>
  <c r="L79" i="4"/>
  <c r="L78" i="4"/>
  <c r="L77" i="4"/>
  <c r="L76" i="4"/>
  <c r="L75" i="4"/>
  <c r="G69" i="4"/>
  <c r="D68" i="4"/>
  <c r="H68" i="4" s="1"/>
  <c r="D67" i="4"/>
  <c r="D66" i="4"/>
  <c r="G65" i="4"/>
  <c r="L64" i="4"/>
  <c r="D64" i="4"/>
  <c r="H64" i="4" s="1"/>
  <c r="L63" i="4"/>
  <c r="D63" i="4"/>
  <c r="L62" i="4"/>
  <c r="D62" i="4"/>
  <c r="H62" i="4" s="1"/>
  <c r="L61" i="4"/>
  <c r="D61" i="4"/>
  <c r="L60" i="4"/>
  <c r="D60" i="4"/>
  <c r="L59" i="4"/>
  <c r="D59" i="4"/>
  <c r="L58" i="4"/>
  <c r="D58" i="4"/>
  <c r="H58" i="4" s="1"/>
  <c r="G57" i="4"/>
  <c r="L56" i="4"/>
  <c r="D56" i="4"/>
  <c r="L55" i="4"/>
  <c r="D55" i="4"/>
  <c r="L54" i="4"/>
  <c r="D54" i="4"/>
  <c r="L53" i="4"/>
  <c r="D53" i="4"/>
  <c r="L52" i="4"/>
  <c r="D52" i="4"/>
  <c r="L51" i="4"/>
  <c r="D51" i="4"/>
  <c r="L50" i="4"/>
  <c r="D50" i="4"/>
  <c r="L49" i="4"/>
  <c r="D49" i="4"/>
  <c r="L48" i="4"/>
  <c r="D48" i="4"/>
  <c r="L46" i="4"/>
  <c r="D46" i="4"/>
  <c r="L44" i="4"/>
  <c r="D44" i="4"/>
  <c r="L43" i="4"/>
  <c r="D43" i="4"/>
  <c r="L42" i="4"/>
  <c r="D42" i="4"/>
  <c r="L41" i="4"/>
  <c r="D41" i="4"/>
  <c r="L40" i="4"/>
  <c r="D40" i="4"/>
  <c r="L39" i="4"/>
  <c r="D39" i="4"/>
  <c r="L38" i="4"/>
  <c r="D38" i="4"/>
  <c r="L37" i="4"/>
  <c r="D37" i="4"/>
  <c r="L36" i="4"/>
  <c r="D36" i="4"/>
  <c r="L35" i="4"/>
  <c r="D35" i="4"/>
  <c r="L34" i="4"/>
  <c r="D34" i="4"/>
  <c r="L33" i="4"/>
  <c r="D33" i="4"/>
  <c r="L32" i="4"/>
  <c r="D32" i="4"/>
  <c r="L31" i="4"/>
  <c r="D31" i="4"/>
  <c r="L30" i="4"/>
  <c r="D30" i="4"/>
  <c r="L29" i="4"/>
  <c r="D29" i="4"/>
  <c r="L28" i="4"/>
  <c r="D28" i="4"/>
  <c r="L27" i="4"/>
  <c r="D27" i="4"/>
  <c r="L26" i="4"/>
  <c r="D26" i="4"/>
  <c r="L25" i="4"/>
  <c r="D25" i="4"/>
  <c r="L24" i="4"/>
  <c r="D24" i="4"/>
  <c r="L23" i="4"/>
  <c r="D23" i="4"/>
  <c r="L22" i="4"/>
  <c r="D22" i="4"/>
  <c r="L21" i="4"/>
  <c r="D21" i="4"/>
  <c r="L20" i="4"/>
  <c r="D20" i="4"/>
  <c r="L19" i="4"/>
  <c r="D19" i="4"/>
  <c r="L18" i="4"/>
  <c r="D18" i="4"/>
  <c r="L17" i="4"/>
  <c r="D17" i="4"/>
  <c r="D16" i="4"/>
  <c r="K10" i="4"/>
  <c r="J10" i="4"/>
  <c r="Z56" i="1"/>
  <c r="AA56" i="1"/>
  <c r="AB56" i="1" s="1"/>
  <c r="Z57" i="1"/>
  <c r="AA57" i="1"/>
  <c r="AB57" i="1" s="1"/>
  <c r="Z58" i="1"/>
  <c r="AA58" i="1"/>
  <c r="AB58" i="1" s="1"/>
  <c r="Z59" i="1"/>
  <c r="AA59" i="1"/>
  <c r="AB59" i="1"/>
  <c r="Z60" i="1"/>
  <c r="AA60" i="1"/>
  <c r="AB60" i="1" s="1"/>
  <c r="Z61" i="1"/>
  <c r="AB61" i="1" s="1"/>
  <c r="AA61" i="1"/>
  <c r="Z62" i="1"/>
  <c r="AA62" i="1"/>
  <c r="AB62" i="1" s="1"/>
  <c r="Z63" i="1"/>
  <c r="AA63" i="1"/>
  <c r="AB63" i="1"/>
  <c r="Z64" i="1"/>
  <c r="AA64" i="1"/>
  <c r="AB64" i="1" s="1"/>
  <c r="Z65" i="1"/>
  <c r="AB65" i="1" s="1"/>
  <c r="AA65" i="1"/>
  <c r="Z66" i="1"/>
  <c r="AA66" i="1"/>
  <c r="AB66" i="1" s="1"/>
  <c r="Z67" i="1"/>
  <c r="AA67" i="1"/>
  <c r="AB67" i="1"/>
  <c r="Z68" i="1"/>
  <c r="AA68" i="1"/>
  <c r="AB68" i="1" s="1"/>
  <c r="Z69" i="1"/>
  <c r="AB69" i="1" s="1"/>
  <c r="AA69" i="1"/>
  <c r="Z70" i="1"/>
  <c r="AA70" i="1"/>
  <c r="AB70" i="1" s="1"/>
  <c r="Z71" i="1"/>
  <c r="AA71" i="1"/>
  <c r="AB71" i="1"/>
  <c r="Z72" i="1"/>
  <c r="AA72" i="1"/>
  <c r="AB72" i="1" s="1"/>
  <c r="Z73" i="1"/>
  <c r="AB73" i="1" s="1"/>
  <c r="AA73" i="1"/>
  <c r="Z74" i="1"/>
  <c r="AA74" i="1"/>
  <c r="AB74" i="1" s="1"/>
  <c r="Z76" i="1"/>
  <c r="AA76" i="1"/>
  <c r="AB76" i="1" s="1"/>
  <c r="Z77" i="1"/>
  <c r="AB77" i="1" s="1"/>
  <c r="AA77" i="1"/>
  <c r="Z78" i="1"/>
  <c r="AA78" i="1"/>
  <c r="AB78" i="1" s="1"/>
  <c r="Z79" i="1"/>
  <c r="AA79" i="1"/>
  <c r="AB79" i="1"/>
  <c r="Z80" i="1"/>
  <c r="AA80" i="1"/>
  <c r="AB80" i="1" s="1"/>
  <c r="Z81" i="1"/>
  <c r="AB81" i="1" s="1"/>
  <c r="AA81" i="1"/>
  <c r="Z82" i="1"/>
  <c r="AA82" i="1"/>
  <c r="AB82" i="1" s="1"/>
  <c r="Z83" i="1"/>
  <c r="AA83" i="1"/>
  <c r="AB83" i="1"/>
  <c r="Z84" i="1"/>
  <c r="AA84" i="1"/>
  <c r="AB84" i="1" s="1"/>
  <c r="Z85" i="1"/>
  <c r="AB85" i="1" s="1"/>
  <c r="AA85" i="1"/>
  <c r="Z86" i="1"/>
  <c r="AA86" i="1"/>
  <c r="AB86" i="1" s="1"/>
  <c r="Z87" i="1"/>
  <c r="AA87" i="1"/>
  <c r="AB87" i="1"/>
  <c r="Z88" i="1"/>
  <c r="AA88" i="1"/>
  <c r="AB88" i="1" s="1"/>
  <c r="Z89" i="1"/>
  <c r="AB89" i="1" s="1"/>
  <c r="AA89" i="1"/>
  <c r="Z90" i="1"/>
  <c r="AA90" i="1"/>
  <c r="AB90" i="1" s="1"/>
  <c r="Z91" i="1"/>
  <c r="AA91" i="1"/>
  <c r="AB91" i="1"/>
  <c r="Z92" i="1"/>
  <c r="AA92" i="1"/>
  <c r="AB92" i="1" s="1"/>
  <c r="Z93" i="1"/>
  <c r="AB93" i="1" s="1"/>
  <c r="AA93" i="1"/>
  <c r="Z94" i="1"/>
  <c r="AA94" i="1"/>
  <c r="AB94" i="1" s="1"/>
  <c r="Z95" i="1"/>
  <c r="AA95" i="1"/>
  <c r="AB95" i="1"/>
  <c r="Z96" i="1"/>
  <c r="AA96" i="1"/>
  <c r="AB96" i="1" s="1"/>
  <c r="Z97" i="1"/>
  <c r="AB97" i="1" s="1"/>
  <c r="AA97" i="1"/>
  <c r="Z36" i="1"/>
  <c r="AA36" i="1"/>
  <c r="AB36" i="1" s="1"/>
  <c r="Z37" i="1"/>
  <c r="AA37" i="1"/>
  <c r="AB37" i="1" s="1"/>
  <c r="Z38" i="1"/>
  <c r="AA38" i="1"/>
  <c r="AB38" i="1" s="1"/>
  <c r="Z39" i="1"/>
  <c r="AA39" i="1"/>
  <c r="AB39" i="1"/>
  <c r="Z40" i="1"/>
  <c r="AA40" i="1"/>
  <c r="AB40" i="1"/>
  <c r="Z41" i="1"/>
  <c r="AA41" i="1"/>
  <c r="AB41" i="1" s="1"/>
  <c r="Z42" i="1"/>
  <c r="AA42" i="1"/>
  <c r="AB42" i="1" s="1"/>
  <c r="Z43" i="1"/>
  <c r="AA43" i="1"/>
  <c r="AB43" i="1"/>
  <c r="Z44" i="1"/>
  <c r="AA44" i="1"/>
  <c r="AB44" i="1"/>
  <c r="Z45" i="1"/>
  <c r="AA45" i="1"/>
  <c r="AB45" i="1" s="1"/>
  <c r="Z46" i="1"/>
  <c r="AA46" i="1"/>
  <c r="AB46" i="1" s="1"/>
  <c r="Z47" i="1"/>
  <c r="AA47" i="1"/>
  <c r="AB47" i="1"/>
  <c r="Z48" i="1"/>
  <c r="AA48" i="1"/>
  <c r="AB48" i="1"/>
  <c r="Z49" i="1"/>
  <c r="AA49" i="1"/>
  <c r="AB49" i="1" s="1"/>
  <c r="Z50" i="1"/>
  <c r="AA50" i="1"/>
  <c r="AB50" i="1" s="1"/>
  <c r="Z51" i="1"/>
  <c r="AA51" i="1"/>
  <c r="AB51" i="1"/>
  <c r="Z52" i="1"/>
  <c r="AA52" i="1"/>
  <c r="AB52" i="1"/>
  <c r="Z53" i="1"/>
  <c r="AA53" i="1"/>
  <c r="AB53" i="1" s="1"/>
  <c r="Z54" i="1"/>
  <c r="AA54" i="1"/>
  <c r="AB54" i="1" s="1"/>
  <c r="Z55" i="1"/>
  <c r="AA55" i="1"/>
  <c r="AB55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B11" i="1"/>
  <c r="AA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11" i="1"/>
  <c r="V49" i="1"/>
  <c r="V48" i="1"/>
  <c r="V47" i="1"/>
  <c r="V46" i="1"/>
  <c r="V45" i="1"/>
  <c r="V51" i="1" s="1"/>
  <c r="V62" i="1"/>
  <c r="V60" i="1"/>
  <c r="V59" i="1"/>
  <c r="V58" i="1"/>
  <c r="V57" i="1"/>
  <c r="V56" i="1"/>
  <c r="V82" i="1"/>
  <c r="V80" i="1"/>
  <c r="V79" i="1"/>
  <c r="V78" i="1"/>
  <c r="V77" i="1"/>
  <c r="V76" i="1"/>
  <c r="E113" i="1"/>
  <c r="D113" i="1"/>
  <c r="C113" i="1"/>
  <c r="G98" i="1"/>
  <c r="M97" i="1"/>
  <c r="L97" i="1"/>
  <c r="K97" i="1"/>
  <c r="J97" i="1"/>
  <c r="H97" i="1"/>
  <c r="I97" i="1" s="1"/>
  <c r="D97" i="1"/>
  <c r="K96" i="1"/>
  <c r="J96" i="1"/>
  <c r="D96" i="1"/>
  <c r="K95" i="1"/>
  <c r="J95" i="1"/>
  <c r="D95" i="1"/>
  <c r="M95" i="1" s="1"/>
  <c r="M94" i="1"/>
  <c r="K94" i="1"/>
  <c r="J94" i="1"/>
  <c r="D94" i="1"/>
  <c r="H94" i="1" s="1"/>
  <c r="I94" i="1" s="1"/>
  <c r="L94" i="1" s="1"/>
  <c r="M93" i="1"/>
  <c r="K93" i="1"/>
  <c r="J93" i="1"/>
  <c r="D93" i="1"/>
  <c r="H93" i="1" s="1"/>
  <c r="I93" i="1" s="1"/>
  <c r="L93" i="1" s="1"/>
  <c r="M92" i="1"/>
  <c r="K92" i="1"/>
  <c r="J92" i="1"/>
  <c r="H92" i="1"/>
  <c r="I92" i="1" s="1"/>
  <c r="L92" i="1" s="1"/>
  <c r="D92" i="1"/>
  <c r="M91" i="1"/>
  <c r="L91" i="1"/>
  <c r="K91" i="1"/>
  <c r="J91" i="1"/>
  <c r="H91" i="1"/>
  <c r="I91" i="1" s="1"/>
  <c r="D91" i="1"/>
  <c r="K90" i="1"/>
  <c r="J90" i="1"/>
  <c r="D90" i="1"/>
  <c r="K89" i="1"/>
  <c r="J89" i="1"/>
  <c r="D89" i="1"/>
  <c r="M88" i="1"/>
  <c r="K88" i="1"/>
  <c r="J88" i="1"/>
  <c r="D88" i="1"/>
  <c r="H88" i="1" s="1"/>
  <c r="I88" i="1" s="1"/>
  <c r="L88" i="1" s="1"/>
  <c r="M87" i="1"/>
  <c r="K87" i="1"/>
  <c r="J87" i="1"/>
  <c r="H87" i="1"/>
  <c r="I87" i="1" s="1"/>
  <c r="L87" i="1" s="1"/>
  <c r="D87" i="1"/>
  <c r="K86" i="1"/>
  <c r="J86" i="1"/>
  <c r="D86" i="1"/>
  <c r="M86" i="1" s="1"/>
  <c r="K85" i="1"/>
  <c r="J85" i="1"/>
  <c r="D85" i="1"/>
  <c r="M84" i="1"/>
  <c r="K84" i="1"/>
  <c r="J84" i="1"/>
  <c r="D84" i="1"/>
  <c r="H84" i="1" s="1"/>
  <c r="I84" i="1" s="1"/>
  <c r="L84" i="1" s="1"/>
  <c r="M83" i="1"/>
  <c r="K83" i="1"/>
  <c r="J83" i="1"/>
  <c r="H83" i="1"/>
  <c r="I83" i="1" s="1"/>
  <c r="L83" i="1" s="1"/>
  <c r="D83" i="1"/>
  <c r="K82" i="1"/>
  <c r="J82" i="1"/>
  <c r="D82" i="1"/>
  <c r="M82" i="1" s="1"/>
  <c r="K81" i="1"/>
  <c r="J81" i="1"/>
  <c r="D81" i="1"/>
  <c r="M80" i="1"/>
  <c r="K80" i="1"/>
  <c r="J80" i="1"/>
  <c r="D80" i="1"/>
  <c r="H80" i="1" s="1"/>
  <c r="I80" i="1" s="1"/>
  <c r="L80" i="1" s="1"/>
  <c r="M79" i="1"/>
  <c r="K79" i="1"/>
  <c r="J79" i="1"/>
  <c r="H79" i="1"/>
  <c r="I79" i="1" s="1"/>
  <c r="L79" i="1" s="1"/>
  <c r="D79" i="1"/>
  <c r="K78" i="1"/>
  <c r="J78" i="1"/>
  <c r="D78" i="1"/>
  <c r="M78" i="1" s="1"/>
  <c r="K77" i="1"/>
  <c r="J77" i="1"/>
  <c r="D77" i="1"/>
  <c r="M76" i="1"/>
  <c r="K76" i="1"/>
  <c r="J76" i="1"/>
  <c r="D76" i="1"/>
  <c r="H76" i="1" s="1"/>
  <c r="I76" i="1" s="1"/>
  <c r="L76" i="1" s="1"/>
  <c r="H75" i="1"/>
  <c r="G74" i="1"/>
  <c r="G72" i="1"/>
  <c r="M71" i="1"/>
  <c r="K71" i="1"/>
  <c r="J71" i="1"/>
  <c r="I71" i="1"/>
  <c r="L71" i="1" s="1"/>
  <c r="D71" i="1"/>
  <c r="H71" i="1" s="1"/>
  <c r="M70" i="1"/>
  <c r="K70" i="1"/>
  <c r="J70" i="1"/>
  <c r="H70" i="1"/>
  <c r="I70" i="1" s="1"/>
  <c r="L70" i="1" s="1"/>
  <c r="D70" i="1"/>
  <c r="K69" i="1"/>
  <c r="J69" i="1"/>
  <c r="H69" i="1"/>
  <c r="I69" i="1" s="1"/>
  <c r="L69" i="1" s="1"/>
  <c r="Q71" i="1" s="1"/>
  <c r="D69" i="1"/>
  <c r="M69" i="1" s="1"/>
  <c r="K68" i="1"/>
  <c r="J68" i="1"/>
  <c r="L68" i="1" s="1"/>
  <c r="G68" i="1"/>
  <c r="M68" i="1" s="1"/>
  <c r="M67" i="1"/>
  <c r="K67" i="1"/>
  <c r="J67" i="1"/>
  <c r="D67" i="1"/>
  <c r="H67" i="1" s="1"/>
  <c r="I67" i="1" s="1"/>
  <c r="L67" i="1" s="1"/>
  <c r="M66" i="1"/>
  <c r="K66" i="1"/>
  <c r="J66" i="1"/>
  <c r="H66" i="1"/>
  <c r="I66" i="1" s="1"/>
  <c r="L66" i="1" s="1"/>
  <c r="D66" i="1"/>
  <c r="K65" i="1"/>
  <c r="J65" i="1"/>
  <c r="D65" i="1"/>
  <c r="M65" i="1" s="1"/>
  <c r="K64" i="1"/>
  <c r="J64" i="1"/>
  <c r="D64" i="1"/>
  <c r="M64" i="1" s="1"/>
  <c r="K63" i="1"/>
  <c r="J63" i="1"/>
  <c r="D63" i="1"/>
  <c r="M63" i="1" s="1"/>
  <c r="K62" i="1"/>
  <c r="J62" i="1"/>
  <c r="D62" i="1"/>
  <c r="M61" i="1"/>
  <c r="K61" i="1"/>
  <c r="J61" i="1"/>
  <c r="I61" i="1"/>
  <c r="L61" i="1" s="1"/>
  <c r="H61" i="1"/>
  <c r="D61" i="1"/>
  <c r="M60" i="1"/>
  <c r="K60" i="1"/>
  <c r="J60" i="1"/>
  <c r="H60" i="1"/>
  <c r="I60" i="1" s="1"/>
  <c r="L60" i="1" s="1"/>
  <c r="D60" i="1"/>
  <c r="K59" i="1"/>
  <c r="J59" i="1"/>
  <c r="H59" i="1"/>
  <c r="I59" i="1" s="1"/>
  <c r="L59" i="1" s="1"/>
  <c r="D59" i="1"/>
  <c r="M59" i="1" s="1"/>
  <c r="K58" i="1"/>
  <c r="J58" i="1"/>
  <c r="D58" i="1"/>
  <c r="M57" i="1"/>
  <c r="K57" i="1"/>
  <c r="J57" i="1"/>
  <c r="I57" i="1"/>
  <c r="L57" i="1" s="1"/>
  <c r="H57" i="1"/>
  <c r="D57" i="1"/>
  <c r="M56" i="1"/>
  <c r="K56" i="1"/>
  <c r="J56" i="1"/>
  <c r="H56" i="1"/>
  <c r="I56" i="1" s="1"/>
  <c r="L56" i="1" s="1"/>
  <c r="D56" i="1"/>
  <c r="K55" i="1"/>
  <c r="J55" i="1"/>
  <c r="H55" i="1"/>
  <c r="I55" i="1" s="1"/>
  <c r="L55" i="1" s="1"/>
  <c r="D55" i="1"/>
  <c r="M55" i="1" s="1"/>
  <c r="M54" i="1"/>
  <c r="K54" i="1"/>
  <c r="J54" i="1"/>
  <c r="L54" i="1" s="1"/>
  <c r="H54" i="1"/>
  <c r="G54" i="1"/>
  <c r="M53" i="1"/>
  <c r="K53" i="1"/>
  <c r="J53" i="1"/>
  <c r="I53" i="1"/>
  <c r="L53" i="1" s="1"/>
  <c r="H53" i="1"/>
  <c r="D53" i="1"/>
  <c r="M52" i="1"/>
  <c r="K52" i="1"/>
  <c r="J52" i="1"/>
  <c r="H52" i="1"/>
  <c r="I52" i="1" s="1"/>
  <c r="L52" i="1" s="1"/>
  <c r="D52" i="1"/>
  <c r="M51" i="1"/>
  <c r="K51" i="1"/>
  <c r="J51" i="1"/>
  <c r="H51" i="1"/>
  <c r="I51" i="1" s="1"/>
  <c r="L51" i="1" s="1"/>
  <c r="D51" i="1"/>
  <c r="M50" i="1"/>
  <c r="K50" i="1"/>
  <c r="J50" i="1"/>
  <c r="I50" i="1"/>
  <c r="L50" i="1" s="1"/>
  <c r="H50" i="1"/>
  <c r="D50" i="1"/>
  <c r="K49" i="1"/>
  <c r="J49" i="1"/>
  <c r="D49" i="1"/>
  <c r="M49" i="1" s="1"/>
  <c r="K48" i="1"/>
  <c r="J48" i="1"/>
  <c r="D48" i="1"/>
  <c r="M47" i="1"/>
  <c r="K47" i="1"/>
  <c r="J47" i="1"/>
  <c r="I47" i="1"/>
  <c r="L47" i="1" s="1"/>
  <c r="H47" i="1"/>
  <c r="D47" i="1"/>
  <c r="M46" i="1"/>
  <c r="K46" i="1"/>
  <c r="J46" i="1"/>
  <c r="H46" i="1"/>
  <c r="I46" i="1" s="1"/>
  <c r="L46" i="1" s="1"/>
  <c r="D46" i="1"/>
  <c r="K45" i="1"/>
  <c r="J45" i="1"/>
  <c r="D45" i="1"/>
  <c r="M45" i="1" s="1"/>
  <c r="K44" i="1"/>
  <c r="J44" i="1"/>
  <c r="D44" i="1"/>
  <c r="M43" i="1"/>
  <c r="K43" i="1"/>
  <c r="J43" i="1"/>
  <c r="I43" i="1"/>
  <c r="L43" i="1" s="1"/>
  <c r="H43" i="1"/>
  <c r="D43" i="1"/>
  <c r="M42" i="1"/>
  <c r="K42" i="1"/>
  <c r="J42" i="1"/>
  <c r="H42" i="1"/>
  <c r="I42" i="1" s="1"/>
  <c r="L42" i="1" s="1"/>
  <c r="D42" i="1"/>
  <c r="K41" i="1"/>
  <c r="J41" i="1"/>
  <c r="H41" i="1"/>
  <c r="I41" i="1" s="1"/>
  <c r="L41" i="1" s="1"/>
  <c r="D41" i="1"/>
  <c r="M41" i="1" s="1"/>
  <c r="K40" i="1"/>
  <c r="J40" i="1"/>
  <c r="D40" i="1"/>
  <c r="M39" i="1"/>
  <c r="K39" i="1"/>
  <c r="J39" i="1"/>
  <c r="I39" i="1"/>
  <c r="L39" i="1" s="1"/>
  <c r="H39" i="1"/>
  <c r="D39" i="1"/>
  <c r="M38" i="1"/>
  <c r="K38" i="1"/>
  <c r="J38" i="1"/>
  <c r="H38" i="1"/>
  <c r="I38" i="1" s="1"/>
  <c r="L38" i="1" s="1"/>
  <c r="D38" i="1"/>
  <c r="K37" i="1"/>
  <c r="J37" i="1"/>
  <c r="D37" i="1"/>
  <c r="M37" i="1" s="1"/>
  <c r="K36" i="1"/>
  <c r="J36" i="1"/>
  <c r="D36" i="1"/>
  <c r="M35" i="1"/>
  <c r="K35" i="1"/>
  <c r="J35" i="1"/>
  <c r="I35" i="1"/>
  <c r="H35" i="1"/>
  <c r="D35" i="1"/>
  <c r="M34" i="1"/>
  <c r="K34" i="1"/>
  <c r="J34" i="1"/>
  <c r="I34" i="1"/>
  <c r="L34" i="1" s="1"/>
  <c r="H34" i="1"/>
  <c r="D34" i="1"/>
  <c r="K33" i="1"/>
  <c r="J33" i="1"/>
  <c r="D33" i="1"/>
  <c r="M33" i="1" s="1"/>
  <c r="K32" i="1"/>
  <c r="J32" i="1"/>
  <c r="D32" i="1"/>
  <c r="M31" i="1"/>
  <c r="K31" i="1"/>
  <c r="J31" i="1"/>
  <c r="I31" i="1"/>
  <c r="L31" i="1" s="1"/>
  <c r="H31" i="1"/>
  <c r="D31" i="1"/>
  <c r="M30" i="1"/>
  <c r="K30" i="1"/>
  <c r="J30" i="1"/>
  <c r="H30" i="1"/>
  <c r="I30" i="1" s="1"/>
  <c r="L30" i="1" s="1"/>
  <c r="D30" i="1"/>
  <c r="K29" i="1"/>
  <c r="J29" i="1"/>
  <c r="D29" i="1"/>
  <c r="M29" i="1" s="1"/>
  <c r="K28" i="1"/>
  <c r="J28" i="1"/>
  <c r="D28" i="1"/>
  <c r="M27" i="1"/>
  <c r="K27" i="1"/>
  <c r="J27" i="1"/>
  <c r="I27" i="1"/>
  <c r="L27" i="1" s="1"/>
  <c r="H27" i="1"/>
  <c r="D27" i="1"/>
  <c r="M26" i="1"/>
  <c r="K26" i="1"/>
  <c r="J26" i="1"/>
  <c r="H26" i="1"/>
  <c r="I26" i="1" s="1"/>
  <c r="L26" i="1" s="1"/>
  <c r="D26" i="1"/>
  <c r="K25" i="1"/>
  <c r="J25" i="1"/>
  <c r="H25" i="1"/>
  <c r="I25" i="1" s="1"/>
  <c r="L25" i="1" s="1"/>
  <c r="D25" i="1"/>
  <c r="M25" i="1" s="1"/>
  <c r="K24" i="1"/>
  <c r="J24" i="1"/>
  <c r="D24" i="1"/>
  <c r="M23" i="1"/>
  <c r="K23" i="1"/>
  <c r="J23" i="1"/>
  <c r="I23" i="1"/>
  <c r="L23" i="1" s="1"/>
  <c r="H23" i="1"/>
  <c r="D23" i="1"/>
  <c r="M22" i="1"/>
  <c r="K22" i="1"/>
  <c r="J22" i="1"/>
  <c r="H22" i="1"/>
  <c r="I22" i="1" s="1"/>
  <c r="L22" i="1" s="1"/>
  <c r="D22" i="1"/>
  <c r="K21" i="1"/>
  <c r="J21" i="1"/>
  <c r="D21" i="1"/>
  <c r="M21" i="1" s="1"/>
  <c r="K20" i="1"/>
  <c r="J20" i="1"/>
  <c r="D20" i="1"/>
  <c r="M19" i="1"/>
  <c r="K19" i="1"/>
  <c r="J19" i="1"/>
  <c r="I19" i="1"/>
  <c r="H19" i="1"/>
  <c r="D19" i="1"/>
  <c r="M18" i="1"/>
  <c r="K18" i="1"/>
  <c r="J18" i="1"/>
  <c r="I18" i="1"/>
  <c r="L18" i="1" s="1"/>
  <c r="H18" i="1"/>
  <c r="D18" i="1"/>
  <c r="K17" i="1"/>
  <c r="J17" i="1"/>
  <c r="D17" i="1"/>
  <c r="M17" i="1" s="1"/>
  <c r="K16" i="1"/>
  <c r="J16" i="1"/>
  <c r="D16" i="1"/>
  <c r="M15" i="1"/>
  <c r="K15" i="1"/>
  <c r="J15" i="1"/>
  <c r="I15" i="1"/>
  <c r="L15" i="1" s="1"/>
  <c r="H15" i="1"/>
  <c r="D15" i="1"/>
  <c r="M14" i="1"/>
  <c r="K14" i="1"/>
  <c r="J14" i="1"/>
  <c r="H14" i="1"/>
  <c r="I14" i="1" s="1"/>
  <c r="L14" i="1" s="1"/>
  <c r="D14" i="1"/>
  <c r="K13" i="1"/>
  <c r="J13" i="1"/>
  <c r="D13" i="1"/>
  <c r="M13" i="1" s="1"/>
  <c r="K12" i="1"/>
  <c r="J12" i="1"/>
  <c r="D12" i="1"/>
  <c r="M11" i="1"/>
  <c r="K11" i="1"/>
  <c r="J11" i="1"/>
  <c r="D11" i="1"/>
  <c r="H11" i="1" s="1"/>
  <c r="I11" i="1" s="1"/>
  <c r="L11" i="1" s="1"/>
  <c r="J6" i="1"/>
  <c r="I6" i="1"/>
  <c r="J21" i="8" l="1"/>
  <c r="J22" i="8"/>
  <c r="E21" i="7"/>
  <c r="K101" i="6"/>
  <c r="J19" i="8"/>
  <c r="E11" i="7"/>
  <c r="D22" i="8"/>
  <c r="D20" i="8"/>
  <c r="D21" i="8"/>
  <c r="D19" i="8"/>
  <c r="N17" i="4"/>
  <c r="H17" i="4"/>
  <c r="N21" i="4"/>
  <c r="H21" i="4"/>
  <c r="N24" i="4"/>
  <c r="H24" i="4"/>
  <c r="I28" i="4"/>
  <c r="J28" i="4" s="1"/>
  <c r="H28" i="4"/>
  <c r="I35" i="4"/>
  <c r="J35" i="4" s="1"/>
  <c r="H35" i="4"/>
  <c r="I41" i="4"/>
  <c r="J41" i="4" s="1"/>
  <c r="H41" i="4"/>
  <c r="I46" i="4"/>
  <c r="J46" i="4" s="1"/>
  <c r="H46" i="4"/>
  <c r="N51" i="4"/>
  <c r="H51" i="4"/>
  <c r="I16" i="4"/>
  <c r="J16" i="4" s="1"/>
  <c r="H16" i="4"/>
  <c r="N59" i="4"/>
  <c r="H59" i="4"/>
  <c r="N61" i="4"/>
  <c r="H61" i="4"/>
  <c r="N63" i="4"/>
  <c r="H63" i="4"/>
  <c r="I77" i="4"/>
  <c r="J77" i="4" s="1"/>
  <c r="H77" i="4"/>
  <c r="I79" i="4"/>
  <c r="J79" i="4" s="1"/>
  <c r="M79" i="4" s="1"/>
  <c r="O79" i="4" s="1"/>
  <c r="H79" i="4"/>
  <c r="I81" i="4"/>
  <c r="J81" i="4" s="1"/>
  <c r="H81" i="4"/>
  <c r="I83" i="4"/>
  <c r="J83" i="4" s="1"/>
  <c r="H83" i="4"/>
  <c r="N85" i="4"/>
  <c r="H85" i="4"/>
  <c r="I87" i="4"/>
  <c r="J87" i="4" s="1"/>
  <c r="H87" i="4"/>
  <c r="N89" i="4"/>
  <c r="H89" i="4"/>
  <c r="N91" i="4"/>
  <c r="H91" i="4"/>
  <c r="I93" i="4"/>
  <c r="J93" i="4" s="1"/>
  <c r="H93" i="4"/>
  <c r="N95" i="4"/>
  <c r="H95" i="4"/>
  <c r="I18" i="4"/>
  <c r="J18" i="4" s="1"/>
  <c r="H18" i="4"/>
  <c r="N20" i="4"/>
  <c r="H20" i="4"/>
  <c r="N23" i="4"/>
  <c r="H23" i="4"/>
  <c r="N25" i="4"/>
  <c r="H25" i="4"/>
  <c r="N27" i="4"/>
  <c r="H27" i="4"/>
  <c r="I29" i="4"/>
  <c r="J29" i="4" s="1"/>
  <c r="H29" i="4"/>
  <c r="N31" i="4"/>
  <c r="H31" i="4"/>
  <c r="I32" i="4"/>
  <c r="J32" i="4" s="1"/>
  <c r="H32" i="4"/>
  <c r="N34" i="4"/>
  <c r="H34" i="4"/>
  <c r="N36" i="4"/>
  <c r="H36" i="4"/>
  <c r="N38" i="4"/>
  <c r="H38" i="4"/>
  <c r="I40" i="4"/>
  <c r="J40" i="4" s="1"/>
  <c r="H40" i="4"/>
  <c r="N42" i="4"/>
  <c r="H42" i="4"/>
  <c r="N44" i="4"/>
  <c r="H44" i="4"/>
  <c r="N48" i="4"/>
  <c r="H48" i="4"/>
  <c r="N50" i="4"/>
  <c r="H50" i="4"/>
  <c r="N52" i="4"/>
  <c r="H52" i="4"/>
  <c r="I54" i="4"/>
  <c r="J54" i="4" s="1"/>
  <c r="H54" i="4"/>
  <c r="N56" i="4"/>
  <c r="H56" i="4"/>
  <c r="I66" i="4"/>
  <c r="J66" i="4" s="1"/>
  <c r="H66" i="4"/>
  <c r="N19" i="4"/>
  <c r="H19" i="4"/>
  <c r="N22" i="4"/>
  <c r="H22" i="4"/>
  <c r="I26" i="4"/>
  <c r="J26" i="4" s="1"/>
  <c r="H26" i="4"/>
  <c r="I30" i="4"/>
  <c r="J30" i="4" s="1"/>
  <c r="H30" i="4"/>
  <c r="I33" i="4"/>
  <c r="J33" i="4" s="1"/>
  <c r="H33" i="4"/>
  <c r="I37" i="4"/>
  <c r="J37" i="4" s="1"/>
  <c r="H37" i="4"/>
  <c r="N39" i="4"/>
  <c r="H39" i="4"/>
  <c r="N43" i="4"/>
  <c r="H43" i="4"/>
  <c r="I49" i="4"/>
  <c r="J49" i="4" s="1"/>
  <c r="H49" i="4"/>
  <c r="I53" i="4"/>
  <c r="J53" i="4" s="1"/>
  <c r="H53" i="4"/>
  <c r="I55" i="4"/>
  <c r="J55" i="4" s="1"/>
  <c r="H55" i="4"/>
  <c r="I67" i="4"/>
  <c r="J67" i="4" s="1"/>
  <c r="H67" i="4"/>
  <c r="I60" i="4"/>
  <c r="J60" i="4" s="1"/>
  <c r="H60" i="4"/>
  <c r="I76" i="4"/>
  <c r="J76" i="4" s="1"/>
  <c r="H76" i="4"/>
  <c r="I78" i="4"/>
  <c r="J78" i="4" s="1"/>
  <c r="H78" i="4"/>
  <c r="N80" i="4"/>
  <c r="H80" i="4"/>
  <c r="I82" i="4"/>
  <c r="J82" i="4" s="1"/>
  <c r="H82" i="4"/>
  <c r="N86" i="4"/>
  <c r="H86" i="4"/>
  <c r="I90" i="4"/>
  <c r="J90" i="4" s="1"/>
  <c r="H90" i="4"/>
  <c r="I92" i="4"/>
  <c r="J92" i="4" s="1"/>
  <c r="H92" i="4"/>
  <c r="I96" i="4"/>
  <c r="J96" i="4" s="1"/>
  <c r="H96" i="4"/>
  <c r="N29" i="4"/>
  <c r="I21" i="4"/>
  <c r="J21" i="4" s="1"/>
  <c r="I80" i="4"/>
  <c r="J80" i="4" s="1"/>
  <c r="N83" i="4"/>
  <c r="N40" i="4"/>
  <c r="I91" i="4"/>
  <c r="J91" i="4" s="1"/>
  <c r="I86" i="4"/>
  <c r="J86" i="4" s="1"/>
  <c r="N16" i="4"/>
  <c r="I17" i="4"/>
  <c r="J17" i="4" s="1"/>
  <c r="I43" i="4"/>
  <c r="J43" i="4" s="1"/>
  <c r="N76" i="4"/>
  <c r="N77" i="4"/>
  <c r="N18" i="4"/>
  <c r="N35" i="4"/>
  <c r="N82" i="4"/>
  <c r="N93" i="4"/>
  <c r="N96" i="4"/>
  <c r="I24" i="4"/>
  <c r="J24" i="4" s="1"/>
  <c r="N32" i="4"/>
  <c r="I44" i="4"/>
  <c r="J44" i="4" s="1"/>
  <c r="N60" i="4"/>
  <c r="I63" i="4"/>
  <c r="J63" i="4" s="1"/>
  <c r="I95" i="4"/>
  <c r="J95" i="4" s="1"/>
  <c r="N28" i="4"/>
  <c r="I36" i="4"/>
  <c r="J36" i="4" s="1"/>
  <c r="I39" i="4"/>
  <c r="J39" i="4" s="1"/>
  <c r="I50" i="4"/>
  <c r="J50" i="4" s="1"/>
  <c r="N90" i="4"/>
  <c r="I25" i="4"/>
  <c r="J25" i="4" s="1"/>
  <c r="N49" i="4"/>
  <c r="I52" i="4"/>
  <c r="J52" i="4" s="1"/>
  <c r="N78" i="4"/>
  <c r="N81" i="4"/>
  <c r="N87" i="4"/>
  <c r="N92" i="4"/>
  <c r="N26" i="4"/>
  <c r="N30" i="4"/>
  <c r="N33" i="4"/>
  <c r="N37" i="4"/>
  <c r="N41" i="4"/>
  <c r="G71" i="4"/>
  <c r="N94" i="4"/>
  <c r="I94" i="4"/>
  <c r="J94" i="4" s="1"/>
  <c r="I20" i="4"/>
  <c r="J20" i="4" s="1"/>
  <c r="I56" i="4"/>
  <c r="J56" i="4" s="1"/>
  <c r="N58" i="4"/>
  <c r="I58" i="4"/>
  <c r="J58" i="4" s="1"/>
  <c r="I59" i="4"/>
  <c r="J59" i="4" s="1"/>
  <c r="I19" i="4"/>
  <c r="J19" i="4" s="1"/>
  <c r="I22" i="4"/>
  <c r="J22" i="4" s="1"/>
  <c r="I27" i="4"/>
  <c r="J27" i="4" s="1"/>
  <c r="I31" i="4"/>
  <c r="J31" i="4" s="1"/>
  <c r="I34" i="4"/>
  <c r="J34" i="4" s="1"/>
  <c r="I38" i="4"/>
  <c r="J38" i="4" s="1"/>
  <c r="I42" i="4"/>
  <c r="J42" i="4" s="1"/>
  <c r="I48" i="4"/>
  <c r="J48" i="4" s="1"/>
  <c r="I51" i="4"/>
  <c r="J51" i="4" s="1"/>
  <c r="N53" i="4"/>
  <c r="N55" i="4"/>
  <c r="N46" i="4"/>
  <c r="N54" i="4"/>
  <c r="N62" i="4"/>
  <c r="I62" i="4"/>
  <c r="J62" i="4" s="1"/>
  <c r="N64" i="4"/>
  <c r="I64" i="4"/>
  <c r="J64" i="4" s="1"/>
  <c r="I23" i="4"/>
  <c r="J23" i="4" s="1"/>
  <c r="I61" i="4"/>
  <c r="J61" i="4" s="1"/>
  <c r="I68" i="4"/>
  <c r="J68" i="4" s="1"/>
  <c r="N75" i="4"/>
  <c r="N84" i="4"/>
  <c r="I84" i="4"/>
  <c r="J84" i="4" s="1"/>
  <c r="I85" i="4"/>
  <c r="J85" i="4" s="1"/>
  <c r="N88" i="4"/>
  <c r="I88" i="4"/>
  <c r="J88" i="4" s="1"/>
  <c r="I89" i="4"/>
  <c r="J89" i="4" s="1"/>
  <c r="Q73" i="1"/>
  <c r="H45" i="1"/>
  <c r="I45" i="1" s="1"/>
  <c r="L45" i="1" s="1"/>
  <c r="M58" i="1"/>
  <c r="Q64" i="1" s="1"/>
  <c r="H58" i="1"/>
  <c r="I58" i="1" s="1"/>
  <c r="L58" i="1" s="1"/>
  <c r="Q63" i="1" s="1"/>
  <c r="Q67" i="1" s="1"/>
  <c r="M16" i="1"/>
  <c r="H16" i="1"/>
  <c r="I16" i="1" s="1"/>
  <c r="L16" i="1" s="1"/>
  <c r="H17" i="1"/>
  <c r="I17" i="1" s="1"/>
  <c r="L17" i="1" s="1"/>
  <c r="M32" i="1"/>
  <c r="H32" i="1"/>
  <c r="I32" i="1" s="1"/>
  <c r="L32" i="1" s="1"/>
  <c r="H33" i="1"/>
  <c r="I33" i="1" s="1"/>
  <c r="L33" i="1" s="1"/>
  <c r="M48" i="1"/>
  <c r="H48" i="1"/>
  <c r="I48" i="1" s="1"/>
  <c r="L48" i="1" s="1"/>
  <c r="H49" i="1"/>
  <c r="I49" i="1" s="1"/>
  <c r="L49" i="1" s="1"/>
  <c r="M62" i="1"/>
  <c r="H62" i="1"/>
  <c r="I62" i="1" s="1"/>
  <c r="L62" i="1" s="1"/>
  <c r="H63" i="1"/>
  <c r="I63" i="1" s="1"/>
  <c r="L63" i="1" s="1"/>
  <c r="M24" i="1"/>
  <c r="H24" i="1"/>
  <c r="I24" i="1" s="1"/>
  <c r="L24" i="1" s="1"/>
  <c r="M40" i="1"/>
  <c r="H40" i="1"/>
  <c r="I40" i="1" s="1"/>
  <c r="L40" i="1" s="1"/>
  <c r="M12" i="1"/>
  <c r="Q51" i="1" s="1"/>
  <c r="H12" i="1"/>
  <c r="I12" i="1" s="1"/>
  <c r="L12" i="1" s="1"/>
  <c r="Q50" i="1" s="1"/>
  <c r="Q53" i="1" s="1"/>
  <c r="H13" i="1"/>
  <c r="I13" i="1" s="1"/>
  <c r="L13" i="1" s="1"/>
  <c r="M28" i="1"/>
  <c r="H28" i="1"/>
  <c r="I28" i="1" s="1"/>
  <c r="L28" i="1" s="1"/>
  <c r="H29" i="1"/>
  <c r="I29" i="1" s="1"/>
  <c r="L29" i="1" s="1"/>
  <c r="M44" i="1"/>
  <c r="H44" i="1"/>
  <c r="I44" i="1" s="1"/>
  <c r="L44" i="1" s="1"/>
  <c r="L19" i="1"/>
  <c r="M20" i="1"/>
  <c r="H20" i="1"/>
  <c r="I20" i="1" s="1"/>
  <c r="L20" i="1" s="1"/>
  <c r="H21" i="1"/>
  <c r="I21" i="1" s="1"/>
  <c r="L21" i="1" s="1"/>
  <c r="L35" i="1"/>
  <c r="M36" i="1"/>
  <c r="H36" i="1"/>
  <c r="I36" i="1" s="1"/>
  <c r="L36" i="1" s="1"/>
  <c r="H37" i="1"/>
  <c r="I37" i="1" s="1"/>
  <c r="L37" i="1" s="1"/>
  <c r="H64" i="1"/>
  <c r="I64" i="1" s="1"/>
  <c r="L64" i="1" s="1"/>
  <c r="M90" i="1"/>
  <c r="H90" i="1"/>
  <c r="I90" i="1" s="1"/>
  <c r="L90" i="1" s="1"/>
  <c r="H96" i="1"/>
  <c r="I96" i="1" s="1"/>
  <c r="L96" i="1" s="1"/>
  <c r="M96" i="1"/>
  <c r="H65" i="1"/>
  <c r="I65" i="1" s="1"/>
  <c r="L65" i="1" s="1"/>
  <c r="Q72" i="1"/>
  <c r="M74" i="1"/>
  <c r="H74" i="1"/>
  <c r="M77" i="1"/>
  <c r="Q93" i="1" s="1"/>
  <c r="H77" i="1"/>
  <c r="I77" i="1" s="1"/>
  <c r="L77" i="1" s="1"/>
  <c r="H78" i="1"/>
  <c r="I78" i="1" s="1"/>
  <c r="L78" i="1" s="1"/>
  <c r="M81" i="1"/>
  <c r="H81" i="1"/>
  <c r="I81" i="1" s="1"/>
  <c r="L81" i="1" s="1"/>
  <c r="Q91" i="1" s="1"/>
  <c r="Q97" i="1" s="1"/>
  <c r="H82" i="1"/>
  <c r="I82" i="1" s="1"/>
  <c r="L82" i="1" s="1"/>
  <c r="M85" i="1"/>
  <c r="H85" i="1"/>
  <c r="I85" i="1" s="1"/>
  <c r="L85" i="1" s="1"/>
  <c r="H86" i="1"/>
  <c r="I86" i="1" s="1"/>
  <c r="L86" i="1" s="1"/>
  <c r="M89" i="1"/>
  <c r="H89" i="1"/>
  <c r="I89" i="1" s="1"/>
  <c r="L89" i="1" s="1"/>
  <c r="H95" i="1"/>
  <c r="I95" i="1" s="1"/>
  <c r="L95" i="1" s="1"/>
  <c r="H68" i="1"/>
  <c r="J18" i="8" l="1"/>
  <c r="D18" i="8"/>
  <c r="N57" i="4"/>
  <c r="N65" i="4"/>
  <c r="L9" i="8"/>
  <c r="N97" i="4"/>
  <c r="N69" i="4"/>
  <c r="M83" i="4"/>
  <c r="O83" i="4" s="1"/>
  <c r="J86" i="5" s="1"/>
  <c r="M82" i="4"/>
  <c r="O82" i="4" s="1"/>
  <c r="J85" i="5" s="1"/>
  <c r="M89" i="4"/>
  <c r="O89" i="4" s="1"/>
  <c r="J92" i="5" s="1"/>
  <c r="M84" i="4"/>
  <c r="O84" i="4" s="1"/>
  <c r="J87" i="5" s="1"/>
  <c r="M68" i="4"/>
  <c r="O68" i="4" s="1"/>
  <c r="J70" i="5" s="1"/>
  <c r="M62" i="4"/>
  <c r="O62" i="4" s="1"/>
  <c r="J64" i="5" s="1"/>
  <c r="M42" i="4"/>
  <c r="O42" i="4" s="1"/>
  <c r="J44" i="5" s="1"/>
  <c r="M27" i="4"/>
  <c r="O27" i="4" s="1"/>
  <c r="J29" i="5" s="1"/>
  <c r="M58" i="4"/>
  <c r="M88" i="4"/>
  <c r="O88" i="4" s="1"/>
  <c r="J91" i="5" s="1"/>
  <c r="M23" i="4"/>
  <c r="O23" i="4" s="1"/>
  <c r="J25" i="5" s="1"/>
  <c r="M38" i="4"/>
  <c r="O38" i="4" s="1"/>
  <c r="J40" i="5" s="1"/>
  <c r="M22" i="4"/>
  <c r="O22" i="4" s="1"/>
  <c r="J24" i="5" s="1"/>
  <c r="M94" i="4"/>
  <c r="O94" i="4" s="1"/>
  <c r="J97" i="5" s="1"/>
  <c r="M36" i="4"/>
  <c r="O36" i="4" s="1"/>
  <c r="J38" i="5" s="1"/>
  <c r="M21" i="4"/>
  <c r="O21" i="4" s="1"/>
  <c r="J23" i="5" s="1"/>
  <c r="M61" i="4"/>
  <c r="O61" i="4" s="1"/>
  <c r="J63" i="5" s="1"/>
  <c r="M51" i="4"/>
  <c r="O51" i="4" s="1"/>
  <c r="J53" i="5" s="1"/>
  <c r="M34" i="4"/>
  <c r="O34" i="4" s="1"/>
  <c r="J36" i="5" s="1"/>
  <c r="M19" i="4"/>
  <c r="O19" i="4" s="1"/>
  <c r="J21" i="5" s="1"/>
  <c r="M56" i="4"/>
  <c r="O56" i="4" s="1"/>
  <c r="J58" i="5" s="1"/>
  <c r="M52" i="4"/>
  <c r="O52" i="4" s="1"/>
  <c r="J54" i="5" s="1"/>
  <c r="M63" i="4"/>
  <c r="O63" i="4" s="1"/>
  <c r="J65" i="5" s="1"/>
  <c r="M24" i="4"/>
  <c r="O24" i="4" s="1"/>
  <c r="J26" i="5" s="1"/>
  <c r="M16" i="4"/>
  <c r="M90" i="4"/>
  <c r="O90" i="4" s="1"/>
  <c r="J93" i="5" s="1"/>
  <c r="M78" i="4"/>
  <c r="O78" i="4" s="1"/>
  <c r="J81" i="5" s="1"/>
  <c r="M60" i="4"/>
  <c r="O60" i="4" s="1"/>
  <c r="J62" i="5" s="1"/>
  <c r="M55" i="4"/>
  <c r="O55" i="4" s="1"/>
  <c r="J57" i="5" s="1"/>
  <c r="M49" i="4"/>
  <c r="O49" i="4" s="1"/>
  <c r="J51" i="5" s="1"/>
  <c r="M33" i="4"/>
  <c r="O33" i="4" s="1"/>
  <c r="J35" i="5" s="1"/>
  <c r="M26" i="4"/>
  <c r="O26" i="4" s="1"/>
  <c r="J28" i="5" s="1"/>
  <c r="M93" i="4"/>
  <c r="O93" i="4" s="1"/>
  <c r="J96" i="5" s="1"/>
  <c r="M81" i="4"/>
  <c r="O81" i="4" s="1"/>
  <c r="J84" i="5" s="1"/>
  <c r="M46" i="4"/>
  <c r="O46" i="4" s="1"/>
  <c r="J48" i="5" s="1"/>
  <c r="M35" i="4"/>
  <c r="O35" i="4" s="1"/>
  <c r="J37" i="5" s="1"/>
  <c r="M28" i="4"/>
  <c r="O28" i="4" s="1"/>
  <c r="J30" i="5" s="1"/>
  <c r="M85" i="4"/>
  <c r="O85" i="4" s="1"/>
  <c r="J88" i="5" s="1"/>
  <c r="M48" i="4"/>
  <c r="O48" i="4" s="1"/>
  <c r="J50" i="5" s="1"/>
  <c r="M31" i="4"/>
  <c r="M59" i="4"/>
  <c r="O59" i="4" s="1"/>
  <c r="J61" i="5" s="1"/>
  <c r="M20" i="4"/>
  <c r="O20" i="4" s="1"/>
  <c r="J22" i="5" s="1"/>
  <c r="M92" i="4"/>
  <c r="O92" i="4" s="1"/>
  <c r="J95" i="5" s="1"/>
  <c r="M50" i="4"/>
  <c r="O50" i="4" s="1"/>
  <c r="J52" i="5" s="1"/>
  <c r="M95" i="4"/>
  <c r="O95" i="4" s="1"/>
  <c r="J98" i="5" s="1"/>
  <c r="M43" i="4"/>
  <c r="O43" i="4" s="1"/>
  <c r="J45" i="5" s="1"/>
  <c r="M86" i="4"/>
  <c r="O86" i="4" s="1"/>
  <c r="J89" i="5" s="1"/>
  <c r="M77" i="4"/>
  <c r="O77" i="4" s="1"/>
  <c r="J80" i="5" s="1"/>
  <c r="M25" i="4"/>
  <c r="O25" i="4" s="1"/>
  <c r="J27" i="5" s="1"/>
  <c r="M39" i="4"/>
  <c r="O39" i="4" s="1"/>
  <c r="J41" i="5" s="1"/>
  <c r="M44" i="4"/>
  <c r="O44" i="4" s="1"/>
  <c r="J46" i="5" s="1"/>
  <c r="M17" i="4"/>
  <c r="O17" i="4" s="1"/>
  <c r="J19" i="5" s="1"/>
  <c r="M91" i="4"/>
  <c r="O91" i="4" s="1"/>
  <c r="J94" i="5" s="1"/>
  <c r="M80" i="4"/>
  <c r="O80" i="4" s="1"/>
  <c r="J83" i="5" s="1"/>
  <c r="M76" i="4"/>
  <c r="O76" i="4" s="1"/>
  <c r="J79" i="5" s="1"/>
  <c r="M67" i="4"/>
  <c r="O67" i="4" s="1"/>
  <c r="J69" i="5" s="1"/>
  <c r="M53" i="4"/>
  <c r="O53" i="4" s="1"/>
  <c r="J55" i="5" s="1"/>
  <c r="M37" i="4"/>
  <c r="O37" i="4" s="1"/>
  <c r="J39" i="5" s="1"/>
  <c r="M30" i="4"/>
  <c r="O30" i="4" s="1"/>
  <c r="J32" i="5" s="1"/>
  <c r="M66" i="4"/>
  <c r="M54" i="4"/>
  <c r="O54" i="4" s="1"/>
  <c r="J56" i="5" s="1"/>
  <c r="M40" i="4"/>
  <c r="O40" i="4" s="1"/>
  <c r="J42" i="5" s="1"/>
  <c r="M32" i="4"/>
  <c r="O32" i="4" s="1"/>
  <c r="J34" i="5" s="1"/>
  <c r="M29" i="4"/>
  <c r="O29" i="4" s="1"/>
  <c r="J31" i="5" s="1"/>
  <c r="M18" i="4"/>
  <c r="O18" i="4" s="1"/>
  <c r="J20" i="5" s="1"/>
  <c r="M87" i="4"/>
  <c r="O87" i="4" s="1"/>
  <c r="J90" i="5" s="1"/>
  <c r="J82" i="5"/>
  <c r="M41" i="4"/>
  <c r="O41" i="4" s="1"/>
  <c r="J43" i="5" s="1"/>
  <c r="M96" i="4"/>
  <c r="O96" i="4" s="1"/>
  <c r="J99" i="5" s="1"/>
  <c r="K99" i="5" s="1"/>
  <c r="M64" i="4"/>
  <c r="O64" i="4" s="1"/>
  <c r="J66" i="5" s="1"/>
  <c r="N71" i="4"/>
  <c r="Q74" i="1"/>
  <c r="Q99" i="1" s="1"/>
  <c r="M69" i="4" l="1"/>
  <c r="C28" i="7" s="1"/>
  <c r="D28" i="7" s="1"/>
  <c r="P69" i="4"/>
  <c r="O31" i="4"/>
  <c r="J33" i="5" s="1"/>
  <c r="L33" i="5" s="1"/>
  <c r="O33" i="5" s="1"/>
  <c r="M57" i="4"/>
  <c r="P57" i="4" s="1"/>
  <c r="F21" i="8"/>
  <c r="O75" i="4"/>
  <c r="M97" i="4"/>
  <c r="O58" i="4"/>
  <c r="M65" i="4"/>
  <c r="P65" i="4" s="1"/>
  <c r="N9" i="8"/>
  <c r="O9" i="8"/>
  <c r="O16" i="4"/>
  <c r="L99" i="5"/>
  <c r="O99" i="5" s="1"/>
  <c r="K55" i="5"/>
  <c r="L55" i="5"/>
  <c r="O55" i="5" s="1"/>
  <c r="K20" i="5"/>
  <c r="L20" i="5"/>
  <c r="O20" i="5" s="1"/>
  <c r="K56" i="5"/>
  <c r="L56" i="5"/>
  <c r="O56" i="5" s="1"/>
  <c r="L94" i="5"/>
  <c r="O94" i="5" s="1"/>
  <c r="K94" i="5"/>
  <c r="L27" i="5"/>
  <c r="O27" i="5" s="1"/>
  <c r="K27" i="5"/>
  <c r="L98" i="5"/>
  <c r="O98" i="5" s="1"/>
  <c r="K98" i="5"/>
  <c r="L61" i="5"/>
  <c r="O61" i="5" s="1"/>
  <c r="K61" i="5"/>
  <c r="L30" i="5"/>
  <c r="O30" i="5" s="1"/>
  <c r="K30" i="5"/>
  <c r="L96" i="5"/>
  <c r="O96" i="5" s="1"/>
  <c r="K96" i="5"/>
  <c r="K57" i="5"/>
  <c r="L57" i="5"/>
  <c r="O57" i="5" s="1"/>
  <c r="K58" i="5"/>
  <c r="L58" i="5"/>
  <c r="O58" i="5" s="1"/>
  <c r="L63" i="5"/>
  <c r="O63" i="5" s="1"/>
  <c r="K63" i="5"/>
  <c r="K97" i="5"/>
  <c r="L97" i="5"/>
  <c r="O97" i="5" s="1"/>
  <c r="L91" i="5"/>
  <c r="O91" i="5" s="1"/>
  <c r="K91" i="5"/>
  <c r="K64" i="5"/>
  <c r="L64" i="5"/>
  <c r="O64" i="5" s="1"/>
  <c r="L43" i="5"/>
  <c r="O43" i="5" s="1"/>
  <c r="K43" i="5"/>
  <c r="L31" i="5"/>
  <c r="O31" i="5" s="1"/>
  <c r="K31" i="5"/>
  <c r="K69" i="5"/>
  <c r="L69" i="5"/>
  <c r="O69" i="5" s="1"/>
  <c r="L19" i="5"/>
  <c r="O19" i="5" s="1"/>
  <c r="K19" i="5"/>
  <c r="L80" i="5"/>
  <c r="O80" i="5" s="1"/>
  <c r="K80" i="5"/>
  <c r="K52" i="5"/>
  <c r="L52" i="5"/>
  <c r="O52" i="5" s="1"/>
  <c r="K37" i="5"/>
  <c r="L37" i="5"/>
  <c r="O37" i="5" s="1"/>
  <c r="L28" i="5"/>
  <c r="O28" i="5" s="1"/>
  <c r="K28" i="5"/>
  <c r="K62" i="5"/>
  <c r="L62" i="5"/>
  <c r="O62" i="5" s="1"/>
  <c r="L26" i="5"/>
  <c r="O26" i="5" s="1"/>
  <c r="K26" i="5"/>
  <c r="K21" i="5"/>
  <c r="L21" i="5"/>
  <c r="O21" i="5" s="1"/>
  <c r="L24" i="5"/>
  <c r="O24" i="5" s="1"/>
  <c r="K24" i="5"/>
  <c r="L70" i="5"/>
  <c r="O70" i="5" s="1"/>
  <c r="K70" i="5"/>
  <c r="K85" i="5"/>
  <c r="L85" i="5"/>
  <c r="O85" i="5" s="1"/>
  <c r="K82" i="5"/>
  <c r="L82" i="5"/>
  <c r="O82" i="5" s="1"/>
  <c r="L34" i="5"/>
  <c r="O34" i="5" s="1"/>
  <c r="K34" i="5"/>
  <c r="L32" i="5"/>
  <c r="O32" i="5" s="1"/>
  <c r="K32" i="5"/>
  <c r="L79" i="5"/>
  <c r="O79" i="5" s="1"/>
  <c r="K79" i="5"/>
  <c r="L46" i="5"/>
  <c r="O46" i="5" s="1"/>
  <c r="K46" i="5"/>
  <c r="K89" i="5"/>
  <c r="L89" i="5"/>
  <c r="O89" i="5" s="1"/>
  <c r="K95" i="5"/>
  <c r="L95" i="5"/>
  <c r="O95" i="5" s="1"/>
  <c r="L50" i="5"/>
  <c r="O50" i="5" s="1"/>
  <c r="K50" i="5"/>
  <c r="L48" i="5"/>
  <c r="O48" i="5" s="1"/>
  <c r="K48" i="5"/>
  <c r="K35" i="5"/>
  <c r="L35" i="5"/>
  <c r="O35" i="5" s="1"/>
  <c r="L81" i="5"/>
  <c r="O81" i="5" s="1"/>
  <c r="K81" i="5"/>
  <c r="L65" i="5"/>
  <c r="O65" i="5" s="1"/>
  <c r="K65" i="5"/>
  <c r="K36" i="5"/>
  <c r="L36" i="5"/>
  <c r="O36" i="5" s="1"/>
  <c r="L23" i="5"/>
  <c r="O23" i="5" s="1"/>
  <c r="K23" i="5"/>
  <c r="K40" i="5"/>
  <c r="L40" i="5"/>
  <c r="O40" i="5" s="1"/>
  <c r="L29" i="5"/>
  <c r="O29" i="5" s="1"/>
  <c r="K29" i="5"/>
  <c r="K87" i="5"/>
  <c r="L87" i="5"/>
  <c r="O87" i="5" s="1"/>
  <c r="L86" i="5"/>
  <c r="O86" i="5" s="1"/>
  <c r="K86" i="5"/>
  <c r="L66" i="5"/>
  <c r="O66" i="5" s="1"/>
  <c r="K66" i="5"/>
  <c r="L90" i="5"/>
  <c r="O90" i="5" s="1"/>
  <c r="K90" i="5"/>
  <c r="K42" i="5"/>
  <c r="L42" i="5"/>
  <c r="O42" i="5" s="1"/>
  <c r="K39" i="5"/>
  <c r="L39" i="5"/>
  <c r="O39" i="5" s="1"/>
  <c r="L83" i="5"/>
  <c r="O83" i="5" s="1"/>
  <c r="K83" i="5"/>
  <c r="K41" i="5"/>
  <c r="L41" i="5"/>
  <c r="O41" i="5" s="1"/>
  <c r="K45" i="5"/>
  <c r="L45" i="5"/>
  <c r="O45" i="5" s="1"/>
  <c r="L22" i="5"/>
  <c r="O22" i="5" s="1"/>
  <c r="K22" i="5"/>
  <c r="K88" i="5"/>
  <c r="L88" i="5"/>
  <c r="O88" i="5" s="1"/>
  <c r="K84" i="5"/>
  <c r="L84" i="5"/>
  <c r="O84" i="5" s="1"/>
  <c r="K51" i="5"/>
  <c r="L51" i="5"/>
  <c r="O51" i="5" s="1"/>
  <c r="L93" i="5"/>
  <c r="O93" i="5" s="1"/>
  <c r="K93" i="5"/>
  <c r="L54" i="5"/>
  <c r="O54" i="5" s="1"/>
  <c r="K54" i="5"/>
  <c r="K53" i="5"/>
  <c r="L53" i="5"/>
  <c r="O53" i="5" s="1"/>
  <c r="L38" i="5"/>
  <c r="O38" i="5" s="1"/>
  <c r="K38" i="5"/>
  <c r="L25" i="5"/>
  <c r="O25" i="5" s="1"/>
  <c r="K25" i="5"/>
  <c r="K44" i="5"/>
  <c r="L44" i="5"/>
  <c r="O44" i="5" s="1"/>
  <c r="L92" i="5"/>
  <c r="O92" i="5" s="1"/>
  <c r="K92" i="5"/>
  <c r="O66" i="4"/>
  <c r="O69" i="4" s="1"/>
  <c r="K33" i="5" l="1"/>
  <c r="C38" i="7"/>
  <c r="D38" i="7" s="1"/>
  <c r="P97" i="4"/>
  <c r="J78" i="5"/>
  <c r="O97" i="4"/>
  <c r="C9" i="7"/>
  <c r="C8" i="7" s="1"/>
  <c r="C7" i="7" s="1"/>
  <c r="F20" i="8"/>
  <c r="C19" i="7"/>
  <c r="F22" i="8"/>
  <c r="F19" i="8"/>
  <c r="J18" i="5"/>
  <c r="J59" i="5" s="1"/>
  <c r="O57" i="4"/>
  <c r="J60" i="5"/>
  <c r="O65" i="4"/>
  <c r="J68" i="5"/>
  <c r="J71" i="5" s="1"/>
  <c r="C27" i="7"/>
  <c r="C26" i="7" l="1"/>
  <c r="D9" i="7"/>
  <c r="E9" i="7" s="1"/>
  <c r="C37" i="7"/>
  <c r="C36" i="7" s="1"/>
  <c r="F18" i="8"/>
  <c r="J100" i="5"/>
  <c r="L78" i="5"/>
  <c r="O78" i="5" s="1"/>
  <c r="O100" i="5" s="1"/>
  <c r="K78" i="5"/>
  <c r="K100" i="5" s="1"/>
  <c r="I22" i="8" s="1"/>
  <c r="D19" i="7"/>
  <c r="E19" i="7" s="1"/>
  <c r="C18" i="7"/>
  <c r="C17" i="7" s="1"/>
  <c r="J67" i="5"/>
  <c r="K60" i="5"/>
  <c r="K67" i="5" s="1"/>
  <c r="L60" i="5"/>
  <c r="O60" i="5" s="1"/>
  <c r="O67" i="5" s="1"/>
  <c r="L18" i="5"/>
  <c r="O18" i="5" s="1"/>
  <c r="O59" i="5" s="1"/>
  <c r="K18" i="5"/>
  <c r="E38" i="7"/>
  <c r="E28" i="7"/>
  <c r="L68" i="5"/>
  <c r="O68" i="5" s="1"/>
  <c r="O71" i="5" s="1"/>
  <c r="K68" i="5"/>
  <c r="K71" i="5" s="1"/>
  <c r="C33" i="7" l="1"/>
  <c r="C44" i="7" s="1"/>
  <c r="C32" i="7"/>
  <c r="C43" i="7"/>
  <c r="D39" i="7"/>
  <c r="E39" i="7" s="1"/>
  <c r="E37" i="7" s="1"/>
  <c r="E36" i="7" s="1"/>
  <c r="K59" i="5"/>
  <c r="K101" i="5" s="1"/>
  <c r="D29" i="7"/>
  <c r="E29" i="7" s="1"/>
  <c r="E27" i="7" s="1"/>
  <c r="E26" i="7" s="1"/>
  <c r="I21" i="8"/>
  <c r="D20" i="7"/>
  <c r="I20" i="8"/>
  <c r="D37" i="7" l="1"/>
  <c r="D36" i="7" s="1"/>
  <c r="D10" i="7"/>
  <c r="D8" i="7" s="1"/>
  <c r="D7" i="7" s="1"/>
  <c r="I19" i="8"/>
  <c r="I18" i="8" s="1"/>
  <c r="D27" i="7"/>
  <c r="D26" i="7" s="1"/>
  <c r="E20" i="7"/>
  <c r="E18" i="7" s="1"/>
  <c r="E17" i="7" s="1"/>
  <c r="D18" i="7"/>
  <c r="D17" i="7" s="1"/>
  <c r="D33" i="7" l="1"/>
  <c r="E10" i="7"/>
  <c r="E8" i="7" s="1"/>
  <c r="E7" i="7" s="1"/>
  <c r="E32" i="7" s="1"/>
  <c r="E43" i="7" s="1"/>
  <c r="D32" i="7"/>
  <c r="D43" i="7" s="1"/>
  <c r="E33" i="7" l="1"/>
</calcChain>
</file>

<file path=xl/sharedStrings.xml><?xml version="1.0" encoding="utf-8"?>
<sst xmlns="http://schemas.openxmlformats.org/spreadsheetml/2006/main" count="514" uniqueCount="200">
  <si>
    <t>NB!!!!</t>
  </si>
  <si>
    <t xml:space="preserve">Darbības: </t>
  </si>
  <si>
    <t>1.  ievada nepieciešamo bāzes likmi šūna E6</t>
  </si>
  <si>
    <t>2. vajadzības gadījumā aktualizē amata vietu skaitu Kolona F</t>
  </si>
  <si>
    <t>bāzes likme  2018 = 1966</t>
  </si>
  <si>
    <t>pieaugums</t>
  </si>
  <si>
    <t>noteikti likumā</t>
  </si>
  <si>
    <t>aktualizējams</t>
  </si>
  <si>
    <t xml:space="preserve">jaunais finansējums </t>
  </si>
  <si>
    <t>bāzes finansējums pie 1966 euro</t>
  </si>
  <si>
    <t>aprēķināšanas formula</t>
  </si>
  <si>
    <t>bāzes likme * koeficients</t>
  </si>
  <si>
    <t>izdienas piemaksa % no algas</t>
  </si>
  <si>
    <t>amatu skaits - TM DATI 2018.gadam</t>
  </si>
  <si>
    <t>Finansējums algām, un piemaksām visiem ar soc. Nodokli 24,09% 1 mēnesim</t>
  </si>
  <si>
    <t>Finansējums algām, un piemaksām visiem ar soc. Nodokli 1 gadam</t>
  </si>
  <si>
    <t>Finansējums algām, un piemaksām visiem ar soc. Nodokli 1gadam</t>
  </si>
  <si>
    <r>
      <t xml:space="preserve">Esošais finansējums 1 </t>
    </r>
    <r>
      <rPr>
        <b/>
        <sz val="11"/>
        <color theme="1"/>
        <rFont val="Times New Roman"/>
        <family val="1"/>
        <charset val="186"/>
      </rPr>
      <t>mēneša algai</t>
    </r>
    <r>
      <rPr>
        <sz val="11"/>
        <color theme="1"/>
        <rFont val="Times New Roman"/>
        <family val="2"/>
        <charset val="186"/>
      </rPr>
      <t xml:space="preserve"> ar soc. Nodokli (1966)</t>
    </r>
  </si>
  <si>
    <r>
      <t>papildus nepieciešamais finansējums mainot piesaisti (</t>
    </r>
    <r>
      <rPr>
        <i/>
        <sz val="10"/>
        <color theme="1"/>
        <rFont val="Times New Roman"/>
        <family val="2"/>
        <charset val="186"/>
      </rPr>
      <t>Algas un soc.nodoklis)</t>
    </r>
  </si>
  <si>
    <r>
      <t>papildus nepieciešamais finansējums mainot piesaisti (</t>
    </r>
    <r>
      <rPr>
        <i/>
        <sz val="10"/>
        <color theme="1"/>
        <rFont val="Times New Roman"/>
        <family val="2"/>
        <charset val="186"/>
      </rPr>
      <t>atvaļin.pabalsts 20% no algas)</t>
    </r>
  </si>
  <si>
    <t xml:space="preserve">tiesu administrācija </t>
  </si>
  <si>
    <t>rajona (pilsētas) tiesas tiesnesis</t>
  </si>
  <si>
    <t xml:space="preserve">rajona tiesas tiesnesis ar algu 85% </t>
  </si>
  <si>
    <t xml:space="preserve">rajona (pilsētas) tiesas priekšsēdētāja vietniekam un rajona (pilsētas) tiesas tiesu nama priekšsēdētājam </t>
  </si>
  <si>
    <t>rajona (pilsētas) tiesas priekšsēdētājam</t>
  </si>
  <si>
    <t>zemesgrāmatu nodaļas tiesnesim</t>
  </si>
  <si>
    <t xml:space="preserve">zemesgrāmatu nodaļas priekšnieka vietniekam </t>
  </si>
  <si>
    <t xml:space="preserve">zemesgrāmatu nodaļas priekšniekam </t>
  </si>
  <si>
    <t xml:space="preserve"> apgabaltiesas tiesnesim </t>
  </si>
  <si>
    <t>bāze 2018.gadam</t>
  </si>
  <si>
    <t xml:space="preserve">apgabaltiesas priekšsēdētāja vietniekam un kolēģijas priekšsēdētājam, kā arī apgabaltiesas tiesu nama priekšsēdētājam </t>
  </si>
  <si>
    <t>bāze 2020.gadam</t>
  </si>
  <si>
    <t xml:space="preserve">kopā papildus algas ar izdienas piemaksām </t>
  </si>
  <si>
    <t xml:space="preserve"> apgabaltiesas priekšsēdētājam </t>
  </si>
  <si>
    <t>kopā papildus atvaļinājuma pabalstam 20% no 1 mēneša algas pieauguma</t>
  </si>
  <si>
    <t>apgalbaltiesas priekšsēdētājs, kas strādā kā agabaltiesas tiesnesis</t>
  </si>
  <si>
    <t xml:space="preserve">Kopā tiesu administrācijai </t>
  </si>
  <si>
    <t>kopā skaits rajona, apgabaltiesās</t>
  </si>
  <si>
    <t xml:space="preserve">Augstākā tiesa </t>
  </si>
  <si>
    <t xml:space="preserve">Augstākās tiesas tiesnesim </t>
  </si>
  <si>
    <t>bāze 2019.gadam</t>
  </si>
  <si>
    <t xml:space="preserve">Augstākās tiesas departamenta priekšsēdētājam </t>
  </si>
  <si>
    <t xml:space="preserve">Augstākās tiesas priekšsēdētājam </t>
  </si>
  <si>
    <t xml:space="preserve">Kopā Augstākā tiesa </t>
  </si>
  <si>
    <t xml:space="preserve">Kopā skaits Augstākā tiesā </t>
  </si>
  <si>
    <t xml:space="preserve">Satversmes tiesa </t>
  </si>
  <si>
    <t xml:space="preserve">Satversmes tiesas tiesnesim </t>
  </si>
  <si>
    <t xml:space="preserve"> Satversmes tiesas priekšsēdētāja vietniekam </t>
  </si>
  <si>
    <t xml:space="preserve">Satversmes tiesas priekšsēdētājam </t>
  </si>
  <si>
    <t xml:space="preserve">Kopā Satversmes tiesa </t>
  </si>
  <si>
    <t>Pavisam kopā tiesneši</t>
  </si>
  <si>
    <t>KOPĀ TIESNEŠI</t>
  </si>
  <si>
    <t>ģenerālprokuratūra</t>
  </si>
  <si>
    <t xml:space="preserve">rajona (republikas pilsētas) prokuroram </t>
  </si>
  <si>
    <t xml:space="preserve"> rajona (republikas pilsētas) prokuratūras virsprokurora vietniekam </t>
  </si>
  <si>
    <t xml:space="preserve"> rajona (republikas pilsētas) prokuratūras virsprokuroram </t>
  </si>
  <si>
    <t xml:space="preserve">tiesu apgabala prokuroram </t>
  </si>
  <si>
    <t xml:space="preserve">tiesu apgabala virsprokurora vietniekam </t>
  </si>
  <si>
    <t>bāze 2020 .gadam</t>
  </si>
  <si>
    <t xml:space="preserve">tiesu apgabala virsprokuroram </t>
  </si>
  <si>
    <t xml:space="preserve">Ģenerālprokuratūras prokuroram </t>
  </si>
  <si>
    <t xml:space="preserve">Ģenerālprokuratūras nodaļas virsprokuroram </t>
  </si>
  <si>
    <t xml:space="preserve">Ģenerālprokuratūras departamenta virsprokuroram </t>
  </si>
  <si>
    <t xml:space="preserve">ģenerālprokuroram </t>
  </si>
  <si>
    <t xml:space="preserve">Kopā Prokuratūra </t>
  </si>
  <si>
    <t xml:space="preserve">Datu avoti: </t>
  </si>
  <si>
    <t xml:space="preserve">Ietekme pavisam kopā </t>
  </si>
  <si>
    <t>TM dati:</t>
  </si>
  <si>
    <t>2017.gada 15.sept.e-pasts FM  ar detalizētiem aprēķiniem (veidojot budžeta pieprasījumu 2018-2020.gadiem</t>
  </si>
  <si>
    <t xml:space="preserve">Prokuratūra: </t>
  </si>
  <si>
    <t>http://www.prokuratura.gov.lv/lv/prokuratura/prokuraturas-budzets</t>
  </si>
  <si>
    <t>Informācija par amatpersonu un darbinieku mēnešalgas apmēru
sadalījumā pa amatu grupām 
2018.gads</t>
  </si>
  <si>
    <t>Prokuroru skaits apstiprināts no virsprokurores E.Jurkjānes (09.08.2018.e-pasts)</t>
  </si>
  <si>
    <t>Informācija par līdzekļim bāzē:</t>
  </si>
  <si>
    <t>Gads</t>
  </si>
  <si>
    <t>Tiesu administrācija</t>
  </si>
  <si>
    <t>Augstākā tiesa</t>
  </si>
  <si>
    <t>Satversmes tiesa</t>
  </si>
  <si>
    <t>prokuratūra</t>
  </si>
  <si>
    <t>Kopā</t>
  </si>
  <si>
    <t>Bāzes alga</t>
  </si>
  <si>
    <t xml:space="preserve">izdienas stāžs </t>
  </si>
  <si>
    <t>skaits</t>
  </si>
  <si>
    <t xml:space="preserve">turpmāk piemaksas </t>
  </si>
  <si>
    <t xml:space="preserve">kopā </t>
  </si>
  <si>
    <t>pēc 20 gadiem</t>
  </si>
  <si>
    <t>pēc 15 gadiem</t>
  </si>
  <si>
    <t xml:space="preserve">pēc 10 gadiem </t>
  </si>
  <si>
    <t xml:space="preserve">pēc 6 gadiem </t>
  </si>
  <si>
    <t xml:space="preserve">virs 3 gadiem </t>
  </si>
  <si>
    <t xml:space="preserve">piemaksas apmērs  % </t>
  </si>
  <si>
    <t>alga ar piemaksu 1966</t>
  </si>
  <si>
    <t>starpība (jaunais - vecais)</t>
  </si>
  <si>
    <t xml:space="preserve">jaunā alga ar jauno piemaksu </t>
  </si>
  <si>
    <t xml:space="preserve">jaunā piemaksa </t>
  </si>
  <si>
    <t>koeficients</t>
  </si>
  <si>
    <t xml:space="preserve">mēnešalga </t>
  </si>
  <si>
    <t>4= bāzes likme * (3)</t>
  </si>
  <si>
    <t>Finansējums algām un piemaksām visiem ar soc. nodokli 1 gadam</t>
  </si>
  <si>
    <t>Pašreizējais finansējums algām un piemaksām visiem ar soc. nodokli 1gadam</t>
  </si>
  <si>
    <r>
      <t>Papildus nepieciešamais finansējums, mainot piesaisti (</t>
    </r>
    <r>
      <rPr>
        <i/>
        <sz val="10"/>
        <color theme="1"/>
        <rFont val="Times New Roman"/>
        <family val="2"/>
        <charset val="186"/>
      </rPr>
      <t>Algas un soc.nodoklis)</t>
    </r>
  </si>
  <si>
    <r>
      <t>Papildus nepieciešamais finansējums, mainot piesaisti (</t>
    </r>
    <r>
      <rPr>
        <i/>
        <sz val="10"/>
        <color theme="1"/>
        <rFont val="Times New Roman"/>
        <family val="2"/>
        <charset val="186"/>
      </rPr>
      <t>atvaļin.pabalsts 20% no algas)</t>
    </r>
  </si>
  <si>
    <t>Piedāvātais jaunais izdienas piemaksa % no algas</t>
  </si>
  <si>
    <t>Bāzes likme * koeficients</t>
  </si>
  <si>
    <t>9=8*12mēn</t>
  </si>
  <si>
    <t>10= 1966*(3)*(6)*(7)*12mēn*1,2409</t>
  </si>
  <si>
    <t>8=(4)*(6)*(7)*1,2409</t>
  </si>
  <si>
    <t>11=(9) - (10)</t>
  </si>
  <si>
    <t>12= ((4)-(1966*(3))*20%*(7)*1,2409</t>
  </si>
  <si>
    <t>Pašreizējā likumā notektā izdienas piemaksa % no algas</t>
  </si>
  <si>
    <t xml:space="preserve">Prokuratūra </t>
  </si>
  <si>
    <t>kopā prokurori</t>
  </si>
  <si>
    <t>Aprēķināšanas formula</t>
  </si>
  <si>
    <t>7a = (4) + (6)</t>
  </si>
  <si>
    <t>Jaunā alga kopā ar piedāvāto piemaksu 1 personai</t>
  </si>
  <si>
    <t xml:space="preserve">bāzes likme =2019=926*2,91=2695 </t>
  </si>
  <si>
    <t>Pašreizējais finansējums algām un piemaksām visiem ar soc. nodokli 1gadam pie likmes 2695 /absol.sk./</t>
  </si>
  <si>
    <t xml:space="preserve">Pilns finansējums amata vietām 2019.gadā </t>
  </si>
  <si>
    <t>13=(10)+(11)+(12)</t>
  </si>
  <si>
    <t>Jaunā alga kopā ar  piemaksu 1 personai</t>
  </si>
  <si>
    <t>atvaļinājuma nauda 20% no algas</t>
  </si>
  <si>
    <t>8=(4)*20%</t>
  </si>
  <si>
    <t>11=(9)-(10)</t>
  </si>
  <si>
    <t>9=(((7a)*(7))*12+(8))*1,2409</t>
  </si>
  <si>
    <t>10= "2019gads"(13)</t>
  </si>
  <si>
    <t>Papildus nepieciešamais finansējums 2020. un turpmākajiem  gadiem</t>
  </si>
  <si>
    <t xml:space="preserve">Kopsavilkums anotācijai </t>
  </si>
  <si>
    <t>Algu palielinājumam (t.sk. atvaļin.pab. 20%) 2019</t>
  </si>
  <si>
    <r>
      <t>2,8/2+8/2=</t>
    </r>
    <r>
      <rPr>
        <b/>
        <sz val="11"/>
        <color theme="1"/>
        <rFont val="Calibri"/>
        <family val="2"/>
        <charset val="186"/>
        <scheme val="minor"/>
      </rPr>
      <t>5,4%</t>
    </r>
  </si>
  <si>
    <r>
      <t>2,4/2+6/2=</t>
    </r>
    <r>
      <rPr>
        <b/>
        <sz val="11"/>
        <color theme="1"/>
        <rFont val="Calibri"/>
        <family val="2"/>
        <charset val="186"/>
        <scheme val="minor"/>
      </rPr>
      <t>4,2%</t>
    </r>
  </si>
  <si>
    <t xml:space="preserve">Tiesneši kopā </t>
  </si>
  <si>
    <t>Prokuratūra</t>
  </si>
  <si>
    <t xml:space="preserve">Pavisam tiesneši un prokurori kopā </t>
  </si>
  <si>
    <t>Iekšlietu ministrija (saistībā ar piesaisti prokuroru algām)</t>
  </si>
  <si>
    <t>Algu palielinājumam</t>
  </si>
  <si>
    <t xml:space="preserve">FM prognoze"50 / 50 </t>
  </si>
  <si>
    <t>2020.gads</t>
  </si>
  <si>
    <t>2021.gads</t>
  </si>
  <si>
    <r>
      <t>Patēriņa cenu izmaiņas (PCI)(</t>
    </r>
    <r>
      <rPr>
        <i/>
        <sz val="11"/>
        <color theme="1"/>
        <rFont val="Calibri"/>
        <family val="2"/>
        <charset val="186"/>
        <scheme val="minor"/>
      </rPr>
      <t>inflācija)</t>
    </r>
    <r>
      <rPr>
        <sz val="11"/>
        <color theme="1"/>
        <rFont val="Calibri"/>
        <family val="2"/>
        <charset val="186"/>
        <scheme val="minor"/>
      </rPr>
      <t xml:space="preserve"> 2,8 un pieaugums faktiskajās cenās % -  8%</t>
    </r>
  </si>
  <si>
    <r>
      <t>Patēriņa cenu izmaiņas (PCI)(</t>
    </r>
    <r>
      <rPr>
        <i/>
        <sz val="11"/>
        <color theme="1"/>
        <rFont val="Calibri"/>
        <family val="2"/>
        <charset val="186"/>
        <scheme val="minor"/>
      </rPr>
      <t>inflācija)</t>
    </r>
    <r>
      <rPr>
        <sz val="11"/>
        <color theme="1"/>
        <rFont val="Calibri"/>
        <family val="2"/>
        <charset val="186"/>
        <scheme val="minor"/>
      </rPr>
      <t xml:space="preserve"> 2,4 un pieaugums faktiskajās cenās % -  6%</t>
    </r>
  </si>
  <si>
    <t xml:space="preserve">2020 - indeksācijai 50 / 50 </t>
  </si>
  <si>
    <t xml:space="preserve">2021 - indeksācijai 50 / 50 </t>
  </si>
  <si>
    <t>Rādītāji</t>
  </si>
  <si>
    <r>
      <t>Turpmākie trīs gadi (</t>
    </r>
    <r>
      <rPr>
        <i/>
        <sz val="12"/>
        <color rgb="FF414142"/>
        <rFont val="Times New Roman"/>
        <family val="1"/>
        <charset val="186"/>
      </rPr>
      <t>euro</t>
    </r>
    <r>
      <rPr>
        <sz val="12"/>
        <color rgb="FF414142"/>
        <rFont val="Times New Roman"/>
        <family val="1"/>
        <charset val="186"/>
      </rPr>
      <t>)</t>
    </r>
  </si>
  <si>
    <t>saskaņā ar valsts budžetu kārtējam gadam</t>
  </si>
  <si>
    <t>izmaiņas kārtējā gadā, salīdzinot ar valsts budžetu kārtējam gadam</t>
  </si>
  <si>
    <t>saskaņā ar vidēja termiņa budžeta ietvaru</t>
  </si>
  <si>
    <t>izmaiņas, salīdzinot ar vidēja termiņa budžeta ietvaru n+1 gadam</t>
  </si>
  <si>
    <t>izmaiņas, salīdzinot ar vidēja termiņa budžeta ietvaru n+2 gadam</t>
  </si>
  <si>
    <t>1. Budžeta ieņēmumi</t>
  </si>
  <si>
    <t>1.1. valsts pamatbudžets, tai skaitā ieņēmumi no maksas pakalpojumiem un citi pašu ieņēmumi</t>
  </si>
  <si>
    <t xml:space="preserve">Iekšlietu ministrija </t>
  </si>
  <si>
    <t>1.2. valsts speciālais budžets</t>
  </si>
  <si>
    <t>1.3. pašvaldību budžets</t>
  </si>
  <si>
    <t>2. Budžeta izdevumi</t>
  </si>
  <si>
    <t>2.1. valsts pamatbudžets</t>
  </si>
  <si>
    <t>2.3. pašvaldību budžets</t>
  </si>
  <si>
    <t>3. Finansiālā ietekme</t>
  </si>
  <si>
    <t>3.1. valsts pamatbudžets</t>
  </si>
  <si>
    <t>3.2. speciālais budžets</t>
  </si>
  <si>
    <t>3.3. pašvaldību budžets</t>
  </si>
  <si>
    <t>4. Finanšu līdzekļi papildu izdevumu finansēšanai (kompensējošu izdevumu samazinājumu norāda ar "+" zīmi)</t>
  </si>
  <si>
    <t>5. Precizēta finansiālā ietekme</t>
  </si>
  <si>
    <t>5.1. valsts pamatbudžets</t>
  </si>
  <si>
    <t>5.2. speciālais budžets</t>
  </si>
  <si>
    <t>5.3. pašvaldību budžets</t>
  </si>
  <si>
    <t>6. Detalizēts ieņēmumu un izdevumu aprēķins (ja nepieciešams, detalizētu ieņēmumu un izdevumu aprēķinu var pievienot anotācijas pielikumā)</t>
  </si>
  <si>
    <t>6.1. detalizēts ieņēmumu aprēķins</t>
  </si>
  <si>
    <t>6.2. detalizēts izdevumu aprēķins</t>
  </si>
  <si>
    <t>bāzes finansējums pie 2695euro</t>
  </si>
  <si>
    <t>tikai 2020 gads  - bāze 2202</t>
  </si>
  <si>
    <t>uz 1 euro</t>
  </si>
  <si>
    <t>bāze</t>
  </si>
  <si>
    <t>fakt. Vajag</t>
  </si>
  <si>
    <t>2019.gada pilns finansējums algām un piemaksām visām amata vietām ar soc. nodokli 1gadam</t>
  </si>
  <si>
    <t>bāzes finansējums pie 2839 euro</t>
  </si>
  <si>
    <t>Papildus nepieciešamais finansējums 2021. un turpmākajiem  gadiem</t>
  </si>
  <si>
    <t>2020.gada pilns finansējums algām un piemaksām visiem ar soc. nodokli 1gadam</t>
  </si>
  <si>
    <t>rajona tiesneša mēnešalga bez piemaksas</t>
  </si>
  <si>
    <t>bāzes likme =2020=926*(1+ (2,8/2+8/2))*2,91=976,004*2,91=2840,17=2840</t>
  </si>
  <si>
    <t>pamatalga</t>
  </si>
  <si>
    <t>bāzes likme =2021=976,004*(1+2,4/2+6/2)=1017*2,91=2959,459=2959</t>
  </si>
  <si>
    <t xml:space="preserve">tiek īstenota esošo līdzekļu ietvaros </t>
  </si>
  <si>
    <t xml:space="preserve">Prokuroru likme </t>
  </si>
  <si>
    <t xml:space="preserve">koef 2018.gads </t>
  </si>
  <si>
    <t xml:space="preserve">bāzes likme </t>
  </si>
  <si>
    <t xml:space="preserve">Detalizēts aprēķins tiesnešu un prokuroru atlīdzībai 2019.gadam </t>
  </si>
  <si>
    <t xml:space="preserve">Detalizēts aprēķins tiesnešu un prokuroru atlīdzībai 2020.gadam </t>
  </si>
  <si>
    <t>1.pielikums Anotācijai</t>
  </si>
  <si>
    <t xml:space="preserve">1.pielikums Anotācijai </t>
  </si>
  <si>
    <t>Budžetā esošais finasējums, kas tiks novirzīts algu palielinājumam</t>
  </si>
  <si>
    <t xml:space="preserve">2018.gada prioritātei "Tiesnešu atlagojuma palielinājums" 2020.gadam un turpmāk piešķirtais finansējums  </t>
  </si>
  <si>
    <t xml:space="preserve">Papildus nepieciešamais finansējums </t>
  </si>
  <si>
    <t>Kopējais papildus nepieciešamais finansējums, ņeot vērā bāzē piešķirto u.c. korekcijas (anotācijā)</t>
  </si>
  <si>
    <t xml:space="preserve">2018.gada prioritātei "Tiesnešu atlagojuma palielinājums" 2019.gadam un turpmāk piešķirtais finansējums  </t>
  </si>
  <si>
    <t xml:space="preserve">2018.gada prioritātei "Prokuroru atlagojuma palielinājums" 2020.gadam un turpmāk piešķirtais finansējums  </t>
  </si>
  <si>
    <t>Kopējais papildus nepieciešamais finansējums, ņemot vērā bāzē piešķirto u.c. korekcijas (anotācijā)</t>
  </si>
  <si>
    <t>Kopējais papildus nepieciešamais finansējums, ņemot vērā bāzē piešķirto u.c. korekcijas (informācijai)</t>
  </si>
  <si>
    <t>Kopējais papildus nepieciešamais finansējums, ņemot vērā bāzē piešķirto u.c. korekcijas (informācijai anotācijā kopējais)</t>
  </si>
  <si>
    <t>Pavisam kopā (tiesnēsi, prokurori, izmeklētāji)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</si>
</sst>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186"/>
      <scheme val="minor"/>
    </font>
    <font>
      <b/>
      <i/>
      <sz val="12"/>
      <color rgb="FFFF0000"/>
      <name val="Times New Roman"/>
      <family val="1"/>
      <charset val="186"/>
    </font>
    <font>
      <sz val="11"/>
      <color theme="1"/>
      <name val="Times New Roman"/>
      <family val="2"/>
      <charset val="186"/>
    </font>
    <font>
      <b/>
      <sz val="14"/>
      <color rgb="FFFF0000"/>
      <name val="Times New Roman"/>
      <family val="1"/>
      <charset val="186"/>
    </font>
    <font>
      <i/>
      <sz val="11"/>
      <color theme="1"/>
      <name val="Times New Roman"/>
      <family val="2"/>
      <charset val="186"/>
    </font>
    <font>
      <b/>
      <sz val="11"/>
      <color rgb="FFFF0000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2"/>
      <charset val="186"/>
    </font>
    <font>
      <i/>
      <sz val="10"/>
      <color theme="1"/>
      <name val="Times New Roman"/>
      <family val="2"/>
      <charset val="186"/>
    </font>
    <font>
      <b/>
      <sz val="9.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.6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2"/>
      <charset val="186"/>
    </font>
    <font>
      <b/>
      <i/>
      <sz val="9.6"/>
      <color theme="1"/>
      <name val="Times New Roman"/>
      <family val="1"/>
      <charset val="186"/>
    </font>
    <font>
      <sz val="12"/>
      <color theme="4" tint="-0.249977111117893"/>
      <name val="Times New Roman"/>
      <family val="2"/>
      <charset val="186"/>
    </font>
    <font>
      <b/>
      <sz val="12"/>
      <color rgb="FFFF0000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rgb="FF414142"/>
      <name val="Times New Roman"/>
      <family val="1"/>
      <charset val="186"/>
    </font>
    <font>
      <i/>
      <sz val="12"/>
      <color rgb="FF414142"/>
      <name val="Times New Roman"/>
      <family val="1"/>
      <charset val="186"/>
    </font>
    <font>
      <b/>
      <sz val="12"/>
      <color rgb="FF414142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9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2" borderId="0" xfId="0" applyFont="1" applyFill="1"/>
    <xf numFmtId="10" fontId="0" fillId="0" borderId="0" xfId="0" applyNumberFormat="1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9" xfId="0" applyFont="1" applyBorder="1"/>
    <xf numFmtId="2" fontId="6" fillId="0" borderId="10" xfId="0" applyNumberFormat="1" applyFont="1" applyBorder="1"/>
    <xf numFmtId="0" fontId="10" fillId="0" borderId="9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" fontId="10" fillId="0" borderId="9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0" fontId="6" fillId="4" borderId="1" xfId="0" applyFont="1" applyFill="1" applyBorder="1"/>
    <xf numFmtId="2" fontId="6" fillId="0" borderId="2" xfId="0" applyNumberFormat="1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1" xfId="0" applyFont="1" applyBorder="1"/>
    <xf numFmtId="0" fontId="9" fillId="3" borderId="13" xfId="0" applyFont="1" applyFill="1" applyBorder="1" applyAlignment="1">
      <alignment vertical="center" wrapText="1"/>
    </xf>
    <xf numFmtId="2" fontId="6" fillId="0" borderId="1" xfId="0" applyNumberFormat="1" applyFont="1" applyBorder="1"/>
    <xf numFmtId="0" fontId="10" fillId="0" borderId="1" xfId="0" applyFont="1" applyBorder="1"/>
    <xf numFmtId="4" fontId="10" fillId="0" borderId="9" xfId="0" applyNumberFormat="1" applyFont="1" applyBorder="1"/>
    <xf numFmtId="2" fontId="10" fillId="0" borderId="2" xfId="0" applyNumberFormat="1" applyFont="1" applyBorder="1"/>
    <xf numFmtId="0" fontId="10" fillId="4" borderId="1" xfId="0" applyFont="1" applyFill="1" applyBorder="1"/>
    <xf numFmtId="0" fontId="6" fillId="2" borderId="1" xfId="0" applyFont="1" applyFill="1" applyBorder="1" applyAlignment="1">
      <alignment horizontal="center"/>
    </xf>
    <xf numFmtId="3" fontId="0" fillId="0" borderId="0" xfId="0" applyNumberFormat="1"/>
    <xf numFmtId="3" fontId="12" fillId="0" borderId="0" xfId="0" applyNumberFormat="1" applyFont="1"/>
    <xf numFmtId="3" fontId="13" fillId="0" borderId="1" xfId="0" applyNumberFormat="1" applyFont="1" applyBorder="1"/>
    <xf numFmtId="1" fontId="0" fillId="0" borderId="1" xfId="0" applyNumberFormat="1" applyBorder="1"/>
    <xf numFmtId="0" fontId="11" fillId="3" borderId="15" xfId="0" applyFont="1" applyFill="1" applyBorder="1" applyAlignment="1">
      <alignment horizontal="center" vertical="center" wrapText="1"/>
    </xf>
    <xf numFmtId="0" fontId="10" fillId="0" borderId="16" xfId="0" applyFont="1" applyBorder="1"/>
    <xf numFmtId="2" fontId="10" fillId="0" borderId="17" xfId="0" applyNumberFormat="1" applyFont="1" applyBorder="1"/>
    <xf numFmtId="0" fontId="10" fillId="0" borderId="16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3" fontId="10" fillId="0" borderId="16" xfId="0" applyNumberFormat="1" applyFont="1" applyBorder="1"/>
    <xf numFmtId="0" fontId="14" fillId="5" borderId="0" xfId="0" applyFont="1" applyFill="1"/>
    <xf numFmtId="0" fontId="0" fillId="5" borderId="0" xfId="0" applyFill="1"/>
    <xf numFmtId="3" fontId="14" fillId="5" borderId="0" xfId="0" applyNumberFormat="1" applyFont="1" applyFill="1"/>
    <xf numFmtId="0" fontId="0" fillId="3" borderId="0" xfId="0" applyFill="1" applyBorder="1" applyAlignment="1">
      <alignment horizontal="center" vertical="center" textRotation="90"/>
    </xf>
    <xf numFmtId="0" fontId="11" fillId="6" borderId="11" xfId="0" applyFont="1" applyFill="1" applyBorder="1" applyAlignment="1">
      <alignment horizontal="center" vertical="center" wrapText="1"/>
    </xf>
    <xf numFmtId="0" fontId="10" fillId="0" borderId="18" xfId="0" applyFont="1" applyBorder="1"/>
    <xf numFmtId="2" fontId="10" fillId="0" borderId="19" xfId="0" applyNumberFormat="1" applyFont="1" applyBorder="1"/>
    <xf numFmtId="0" fontId="10" fillId="0" borderId="18" xfId="0" applyFont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3" fontId="10" fillId="0" borderId="18" xfId="0" applyNumberFormat="1" applyFont="1" applyBorder="1"/>
    <xf numFmtId="0" fontId="14" fillId="0" borderId="0" xfId="0" applyFont="1"/>
    <xf numFmtId="3" fontId="14" fillId="0" borderId="0" xfId="0" applyNumberFormat="1" applyFont="1"/>
    <xf numFmtId="0" fontId="10" fillId="0" borderId="9" xfId="0" applyFont="1" applyBorder="1"/>
    <xf numFmtId="2" fontId="10" fillId="0" borderId="10" xfId="0" applyNumberFormat="1" applyFont="1" applyBorder="1"/>
    <xf numFmtId="0" fontId="10" fillId="7" borderId="9" xfId="0" applyFont="1" applyFill="1" applyBorder="1" applyAlignment="1">
      <alignment horizontal="center"/>
    </xf>
    <xf numFmtId="0" fontId="0" fillId="6" borderId="0" xfId="0" applyFill="1"/>
    <xf numFmtId="0" fontId="10" fillId="7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right"/>
    </xf>
    <xf numFmtId="0" fontId="11" fillId="8" borderId="20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center"/>
    </xf>
    <xf numFmtId="0" fontId="14" fillId="9" borderId="0" xfId="0" applyFont="1" applyFill="1"/>
    <xf numFmtId="0" fontId="0" fillId="9" borderId="0" xfId="0" applyFill="1"/>
    <xf numFmtId="3" fontId="14" fillId="9" borderId="0" xfId="0" applyNumberFormat="1" applyFont="1" applyFill="1"/>
    <xf numFmtId="0" fontId="0" fillId="8" borderId="0" xfId="0" applyFill="1" applyBorder="1" applyAlignment="1">
      <alignment horizontal="center" vertical="center" textRotation="90"/>
    </xf>
    <xf numFmtId="0" fontId="11" fillId="6" borderId="11" xfId="0" applyFont="1" applyFill="1" applyBorder="1" applyAlignment="1">
      <alignment vertical="center" wrapText="1"/>
    </xf>
    <xf numFmtId="0" fontId="11" fillId="10" borderId="21" xfId="0" applyFont="1" applyFill="1" applyBorder="1" applyAlignment="1">
      <alignment vertical="center" wrapText="1"/>
    </xf>
    <xf numFmtId="3" fontId="0" fillId="0" borderId="1" xfId="0" applyNumberFormat="1" applyBorder="1"/>
    <xf numFmtId="0" fontId="11" fillId="10" borderId="13" xfId="0" applyFont="1" applyFill="1" applyBorder="1" applyAlignment="1">
      <alignment vertical="center" wrapText="1"/>
    </xf>
    <xf numFmtId="0" fontId="11" fillId="10" borderId="20" xfId="0" applyFont="1" applyFill="1" applyBorder="1" applyAlignment="1">
      <alignment vertical="center" wrapText="1"/>
    </xf>
    <xf numFmtId="0" fontId="0" fillId="6" borderId="0" xfId="0" applyFill="1" applyBorder="1" applyAlignment="1">
      <alignment horizontal="center" textRotation="90"/>
    </xf>
    <xf numFmtId="0" fontId="10" fillId="0" borderId="0" xfId="0" applyFont="1" applyBorder="1"/>
    <xf numFmtId="2" fontId="10" fillId="0" borderId="0" xfId="0" applyNumberFormat="1" applyFont="1" applyBorder="1"/>
    <xf numFmtId="3" fontId="10" fillId="0" borderId="22" xfId="0" applyNumberFormat="1" applyFont="1" applyBorder="1"/>
    <xf numFmtId="3" fontId="10" fillId="0" borderId="0" xfId="0" applyNumberFormat="1" applyFont="1" applyBorder="1"/>
    <xf numFmtId="3" fontId="10" fillId="0" borderId="23" xfId="0" applyNumberFormat="1" applyFont="1" applyBorder="1"/>
    <xf numFmtId="3" fontId="10" fillId="0" borderId="5" xfId="0" applyNumberFormat="1" applyFont="1" applyBorder="1"/>
    <xf numFmtId="0" fontId="14" fillId="6" borderId="0" xfId="0" applyFont="1" applyFill="1"/>
    <xf numFmtId="0" fontId="11" fillId="6" borderId="0" xfId="0" applyFont="1" applyFill="1" applyBorder="1" applyAlignment="1">
      <alignment vertical="center" wrapText="1"/>
    </xf>
    <xf numFmtId="0" fontId="10" fillId="6" borderId="0" xfId="0" applyFont="1" applyFill="1" applyBorder="1"/>
    <xf numFmtId="2" fontId="10" fillId="6" borderId="0" xfId="0" applyNumberFormat="1" applyFont="1" applyFill="1" applyBorder="1"/>
    <xf numFmtId="0" fontId="10" fillId="6" borderId="0" xfId="0" applyFont="1" applyFill="1" applyBorder="1" applyAlignment="1">
      <alignment horizontal="center"/>
    </xf>
    <xf numFmtId="3" fontId="10" fillId="6" borderId="0" xfId="0" applyNumberFormat="1" applyFont="1" applyFill="1" applyBorder="1"/>
    <xf numFmtId="0" fontId="14" fillId="10" borderId="0" xfId="0" applyFont="1" applyFill="1"/>
    <xf numFmtId="0" fontId="0" fillId="10" borderId="0" xfId="0" applyFill="1"/>
    <xf numFmtId="3" fontId="14" fillId="10" borderId="0" xfId="0" applyNumberFormat="1" applyFont="1" applyFill="1"/>
    <xf numFmtId="0" fontId="16" fillId="6" borderId="11" xfId="0" applyFont="1" applyFill="1" applyBorder="1" applyAlignment="1">
      <alignment vertical="center" wrapText="1"/>
    </xf>
    <xf numFmtId="0" fontId="10" fillId="0" borderId="0" xfId="0" applyFont="1"/>
    <xf numFmtId="0" fontId="10" fillId="0" borderId="24" xfId="0" applyFont="1" applyBorder="1" applyAlignment="1">
      <alignment horizontal="center"/>
    </xf>
    <xf numFmtId="3" fontId="10" fillId="0" borderId="24" xfId="0" applyNumberFormat="1" applyFont="1" applyBorder="1"/>
    <xf numFmtId="3" fontId="10" fillId="0" borderId="25" xfId="0" applyNumberFormat="1" applyFont="1" applyBorder="1"/>
    <xf numFmtId="0" fontId="17" fillId="0" borderId="0" xfId="0" applyFont="1"/>
    <xf numFmtId="3" fontId="17" fillId="0" borderId="0" xfId="0" applyNumberFormat="1" applyFont="1"/>
    <xf numFmtId="0" fontId="0" fillId="0" borderId="1" xfId="0" applyBorder="1" applyAlignment="1">
      <alignment wrapText="1"/>
    </xf>
    <xf numFmtId="1" fontId="10" fillId="0" borderId="2" xfId="0" applyNumberFormat="1" applyFont="1" applyBorder="1"/>
    <xf numFmtId="0" fontId="10" fillId="9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vertical="center" wrapText="1"/>
    </xf>
    <xf numFmtId="0" fontId="14" fillId="11" borderId="0" xfId="0" applyFont="1" applyFill="1"/>
    <xf numFmtId="0" fontId="0" fillId="11" borderId="0" xfId="0" applyFill="1"/>
    <xf numFmtId="3" fontId="14" fillId="11" borderId="0" xfId="0" applyNumberFormat="1" applyFont="1" applyFill="1"/>
    <xf numFmtId="0" fontId="12" fillId="0" borderId="0" xfId="0" applyFont="1"/>
    <xf numFmtId="0" fontId="2" fillId="0" borderId="0" xfId="0" applyFont="1" applyAlignment="1">
      <alignment horizontal="center"/>
    </xf>
    <xf numFmtId="0" fontId="18" fillId="0" borderId="0" xfId="0" applyFont="1"/>
    <xf numFmtId="3" fontId="18" fillId="0" borderId="0" xfId="0" applyNumberFormat="1" applyFont="1"/>
    <xf numFmtId="0" fontId="19" fillId="0" borderId="0" xfId="1"/>
    <xf numFmtId="0" fontId="19" fillId="0" borderId="0" xfId="1" applyAlignment="1">
      <alignment wrapText="1"/>
    </xf>
    <xf numFmtId="0" fontId="0" fillId="0" borderId="1" xfId="0" applyBorder="1"/>
    <xf numFmtId="0" fontId="12" fillId="0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left"/>
    </xf>
    <xf numFmtId="0" fontId="10" fillId="1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3" fontId="12" fillId="0" borderId="0" xfId="0" applyNumberFormat="1" applyFont="1" applyBorder="1" applyAlignment="1">
      <alignment horizontal="left"/>
    </xf>
    <xf numFmtId="1" fontId="0" fillId="0" borderId="0" xfId="0" applyNumberFormat="1"/>
    <xf numFmtId="3" fontId="12" fillId="0" borderId="1" xfId="0" applyNumberFormat="1" applyFont="1" applyBorder="1"/>
    <xf numFmtId="0" fontId="0" fillId="14" borderId="0" xfId="0" applyFill="1"/>
    <xf numFmtId="0" fontId="7" fillId="14" borderId="5" xfId="0" applyFont="1" applyFill="1" applyBorder="1" applyAlignment="1">
      <alignment horizontal="center"/>
    </xf>
    <xf numFmtId="3" fontId="10" fillId="14" borderId="10" xfId="0" applyNumberFormat="1" applyFont="1" applyFill="1" applyBorder="1"/>
    <xf numFmtId="3" fontId="10" fillId="14" borderId="23" xfId="0" applyNumberFormat="1" applyFont="1" applyFill="1" applyBorder="1"/>
    <xf numFmtId="3" fontId="10" fillId="14" borderId="0" xfId="0" applyNumberFormat="1" applyFont="1" applyFill="1" applyBorder="1"/>
    <xf numFmtId="3" fontId="10" fillId="14" borderId="25" xfId="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15" borderId="0" xfId="0" applyFont="1" applyFill="1"/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24" xfId="0" applyFont="1" applyBorder="1"/>
    <xf numFmtId="2" fontId="6" fillId="0" borderId="25" xfId="0" applyNumberFormat="1" applyFont="1" applyBorder="1"/>
    <xf numFmtId="0" fontId="10" fillId="6" borderId="1" xfId="0" applyFont="1" applyFill="1" applyBorder="1" applyAlignment="1">
      <alignment horizontal="center"/>
    </xf>
    <xf numFmtId="4" fontId="10" fillId="6" borderId="9" xfId="0" applyNumberFormat="1" applyFont="1" applyFill="1" applyBorder="1" applyAlignment="1">
      <alignment horizontal="center"/>
    </xf>
    <xf numFmtId="3" fontId="20" fillId="0" borderId="0" xfId="0" applyNumberFormat="1" applyFont="1"/>
    <xf numFmtId="0" fontId="0" fillId="8" borderId="0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22" fillId="0" borderId="9" xfId="0" applyFont="1" applyBorder="1"/>
    <xf numFmtId="0" fontId="22" fillId="0" borderId="1" xfId="0" applyFont="1" applyBorder="1"/>
    <xf numFmtId="0" fontId="22" fillId="0" borderId="16" xfId="0" applyFont="1" applyBorder="1"/>
    <xf numFmtId="0" fontId="2" fillId="7" borderId="1" xfId="0" applyFont="1" applyFill="1" applyBorder="1" applyAlignment="1">
      <alignment horizontal="center" wrapText="1"/>
    </xf>
    <xf numFmtId="3" fontId="6" fillId="0" borderId="0" xfId="0" applyNumberFormat="1" applyFont="1" applyBorder="1"/>
    <xf numFmtId="3" fontId="6" fillId="0" borderId="18" xfId="0" applyNumberFormat="1" applyFont="1" applyBorder="1"/>
    <xf numFmtId="0" fontId="2" fillId="6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3" fontId="10" fillId="0" borderId="2" xfId="0" applyNumberFormat="1" applyFont="1" applyBorder="1"/>
    <xf numFmtId="3" fontId="10" fillId="0" borderId="26" xfId="0" applyNumberFormat="1" applyFont="1" applyBorder="1"/>
    <xf numFmtId="3" fontId="10" fillId="6" borderId="1" xfId="0" applyNumberFormat="1" applyFont="1" applyFill="1" applyBorder="1"/>
    <xf numFmtId="3" fontId="6" fillId="14" borderId="23" xfId="0" applyNumberFormat="1" applyFont="1" applyFill="1" applyBorder="1"/>
    <xf numFmtId="3" fontId="6" fillId="14" borderId="10" xfId="0" applyNumberFormat="1" applyFont="1" applyFill="1" applyBorder="1"/>
    <xf numFmtId="3" fontId="20" fillId="14" borderId="0" xfId="0" applyNumberFormat="1" applyFont="1" applyFill="1"/>
    <xf numFmtId="0" fontId="20" fillId="0" borderId="1" xfId="0" applyFont="1" applyBorder="1"/>
    <xf numFmtId="3" fontId="20" fillId="0" borderId="1" xfId="0" applyNumberFormat="1" applyFont="1" applyBorder="1"/>
    <xf numFmtId="0" fontId="0" fillId="0" borderId="1" xfId="0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3" fontId="21" fillId="0" borderId="1" xfId="0" applyNumberFormat="1" applyFont="1" applyBorder="1"/>
    <xf numFmtId="3" fontId="23" fillId="0" borderId="1" xfId="0" applyNumberFormat="1" applyFont="1" applyBorder="1"/>
    <xf numFmtId="0" fontId="0" fillId="0" borderId="0" xfId="0" applyBorder="1" applyAlignment="1">
      <alignment horizontal="right" wrapText="1"/>
    </xf>
    <xf numFmtId="0" fontId="9" fillId="6" borderId="11" xfId="0" applyFont="1" applyFill="1" applyBorder="1" applyAlignment="1">
      <alignment horizontal="center" vertical="center" wrapText="1"/>
    </xf>
    <xf numFmtId="3" fontId="6" fillId="0" borderId="9" xfId="0" applyNumberFormat="1" applyFont="1" applyBorder="1"/>
    <xf numFmtId="3" fontId="6" fillId="0" borderId="1" xfId="0" applyNumberFormat="1" applyFont="1" applyBorder="1"/>
    <xf numFmtId="0" fontId="25" fillId="0" borderId="36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right" vertical="center" wrapText="1"/>
    </xf>
    <xf numFmtId="0" fontId="27" fillId="0" borderId="36" xfId="0" applyFont="1" applyBorder="1" applyAlignment="1">
      <alignment vertical="center" wrapText="1"/>
    </xf>
    <xf numFmtId="3" fontId="6" fillId="16" borderId="9" xfId="0" applyNumberFormat="1" applyFont="1" applyFill="1" applyBorder="1"/>
    <xf numFmtId="3" fontId="20" fillId="16" borderId="0" xfId="0" applyNumberFormat="1" applyFont="1" applyFill="1"/>
    <xf numFmtId="0" fontId="25" fillId="0" borderId="36" xfId="0" applyFont="1" applyBorder="1" applyAlignment="1">
      <alignment horizontal="center" vertical="center" wrapText="1"/>
    </xf>
    <xf numFmtId="3" fontId="20" fillId="0" borderId="19" xfId="0" applyNumberFormat="1" applyFont="1" applyFill="1" applyBorder="1"/>
    <xf numFmtId="3" fontId="20" fillId="0" borderId="0" xfId="0" applyNumberFormat="1" applyFont="1" applyFill="1" applyBorder="1"/>
    <xf numFmtId="0" fontId="25" fillId="0" borderId="1" xfId="0" applyFont="1" applyBorder="1" applyAlignment="1">
      <alignment horizontal="center" vertical="center" wrapText="1"/>
    </xf>
    <xf numFmtId="0" fontId="16" fillId="6" borderId="26" xfId="0" applyFont="1" applyFill="1" applyBorder="1" applyAlignment="1">
      <alignment vertical="center" wrapText="1"/>
    </xf>
    <xf numFmtId="0" fontId="22" fillId="6" borderId="2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0" fontId="0" fillId="6" borderId="0" xfId="0" applyNumberFormat="1" applyFill="1"/>
    <xf numFmtId="0" fontId="10" fillId="6" borderId="0" xfId="0" applyFont="1" applyFill="1"/>
    <xf numFmtId="9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0" fillId="4" borderId="26" xfId="0" applyFill="1" applyBorder="1" applyAlignment="1">
      <alignment horizontal="center" vertical="center" textRotation="90"/>
    </xf>
    <xf numFmtId="0" fontId="11" fillId="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0" borderId="0" xfId="0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8" borderId="0" xfId="0" applyFill="1" applyBorder="1" applyAlignment="1">
      <alignment horizontal="center" vertical="center" textRotation="90"/>
    </xf>
    <xf numFmtId="0" fontId="11" fillId="8" borderId="8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3" borderId="0" xfId="0" applyFill="1" applyBorder="1" applyAlignment="1">
      <alignment horizontal="center" vertical="center" textRotation="90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15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8" fillId="0" borderId="1" xfId="0" applyFont="1" applyBorder="1" applyAlignment="1">
      <alignment wrapText="1"/>
    </xf>
    <xf numFmtId="0" fontId="29" fillId="0" borderId="1" xfId="0" applyFont="1" applyBorder="1"/>
    <xf numFmtId="3" fontId="28" fillId="0" borderId="1" xfId="0" applyNumberFormat="1" applyFont="1" applyBorder="1"/>
    <xf numFmtId="0" fontId="30" fillId="0" borderId="0" xfId="0" applyFont="1" applyAlignment="1">
      <alignment wrapText="1"/>
    </xf>
    <xf numFmtId="0" fontId="23" fillId="0" borderId="1" xfId="0" applyFont="1" applyBorder="1"/>
    <xf numFmtId="3" fontId="31" fillId="0" borderId="1" xfId="0" applyNumberFormat="1" applyFont="1" applyBorder="1"/>
    <xf numFmtId="0" fontId="0" fillId="0" borderId="19" xfId="0" applyBorder="1" applyAlignment="1">
      <alignment horizontal="center" wrapText="1"/>
    </xf>
    <xf numFmtId="0" fontId="30" fillId="12" borderId="0" xfId="0" applyFont="1" applyFill="1" applyAlignment="1">
      <alignment wrapText="1"/>
    </xf>
    <xf numFmtId="0" fontId="0" fillId="12" borderId="1" xfId="0" applyFill="1" applyBorder="1"/>
    <xf numFmtId="3" fontId="21" fillId="12" borderId="1" xfId="0" applyNumberFormat="1" applyFont="1" applyFill="1" applyBorder="1"/>
    <xf numFmtId="3" fontId="0" fillId="12" borderId="1" xfId="0" applyNumberFormat="1" applyFill="1" applyBorder="1"/>
    <xf numFmtId="0" fontId="0" fillId="12" borderId="24" xfId="0" applyFill="1" applyBorder="1"/>
    <xf numFmtId="3" fontId="21" fillId="12" borderId="24" xfId="0" applyNumberFormat="1" applyFont="1" applyFill="1" applyBorder="1"/>
    <xf numFmtId="0" fontId="30" fillId="12" borderId="1" xfId="0" applyFont="1" applyFill="1" applyBorder="1" applyAlignment="1">
      <alignment wrapText="1"/>
    </xf>
    <xf numFmtId="0" fontId="32" fillId="11" borderId="1" xfId="0" applyFont="1" applyFill="1" applyBorder="1" applyAlignment="1">
      <alignment wrapText="1"/>
    </xf>
    <xf numFmtId="0" fontId="0" fillId="11" borderId="1" xfId="0" applyFill="1" applyBorder="1"/>
    <xf numFmtId="3" fontId="0" fillId="11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kuratura.gov.lv/lv/prokuratura/prokuraturas-budze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kuratura.gov.lv/lv/prokuratura/prokuraturas-budze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kuratura.gov.lv/lv/prokuratura/prokuraturas-budzet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okuratura.gov.lv/lv/prokuratura/prokuraturas-budzet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topLeftCell="A71" zoomScale="60" zoomScaleNormal="60" workbookViewId="0">
      <selection activeCell="A69" sqref="A1:XFD1048576"/>
    </sheetView>
  </sheetViews>
  <sheetFormatPr defaultRowHeight="15" x14ac:dyDescent="0.25"/>
  <cols>
    <col min="1" max="1" width="4.28515625" customWidth="1"/>
    <col min="2" max="2" width="33.7109375" customWidth="1"/>
    <col min="3" max="3" width="14.42578125" customWidth="1"/>
    <col min="4" max="4" width="11.85546875" customWidth="1"/>
    <col min="5" max="6" width="13.42578125" customWidth="1"/>
    <col min="7" max="7" width="13.7109375" customWidth="1"/>
    <col min="8" max="9" width="20.5703125" customWidth="1"/>
    <col min="10" max="10" width="21.140625" customWidth="1"/>
    <col min="11" max="11" width="21.85546875" customWidth="1"/>
    <col min="12" max="12" width="20.28515625" customWidth="1"/>
    <col min="13" max="13" width="21.85546875" customWidth="1"/>
    <col min="15" max="15" width="12.42578125" customWidth="1"/>
    <col min="16" max="16" width="13.7109375" customWidth="1"/>
    <col min="17" max="17" width="15.85546875" customWidth="1"/>
    <col min="20" max="20" width="18.140625" hidden="1" customWidth="1"/>
    <col min="21" max="21" width="13.140625" hidden="1" customWidth="1"/>
    <col min="22" max="25" width="0" hidden="1" customWidth="1"/>
    <col min="26" max="26" width="15.85546875" customWidth="1"/>
    <col min="27" max="28" width="16" customWidth="1"/>
  </cols>
  <sheetData>
    <row r="1" spans="1:28" ht="15.75" x14ac:dyDescent="0.25">
      <c r="H1" s="1" t="s">
        <v>0</v>
      </c>
    </row>
    <row r="2" spans="1:28" ht="15.75" x14ac:dyDescent="0.25">
      <c r="H2" s="1" t="s">
        <v>1</v>
      </c>
    </row>
    <row r="3" spans="1:28" ht="15.75" x14ac:dyDescent="0.25">
      <c r="H3" s="1" t="s">
        <v>2</v>
      </c>
    </row>
    <row r="4" spans="1:28" ht="15.75" x14ac:dyDescent="0.25">
      <c r="H4" s="1" t="s">
        <v>3</v>
      </c>
    </row>
    <row r="5" spans="1:28" x14ac:dyDescent="0.25">
      <c r="L5" s="2"/>
    </row>
    <row r="6" spans="1:28" ht="18.75" x14ac:dyDescent="0.3">
      <c r="B6" t="s">
        <v>4</v>
      </c>
      <c r="E6" s="3">
        <v>2636</v>
      </c>
      <c r="F6" s="3"/>
      <c r="G6">
        <v>1966</v>
      </c>
      <c r="H6" s="1" t="s">
        <v>5</v>
      </c>
      <c r="I6">
        <f>E6-G6</f>
        <v>670</v>
      </c>
      <c r="J6" s="4">
        <f>E6/G6-1</f>
        <v>0.34079348931841302</v>
      </c>
      <c r="K6" s="4"/>
    </row>
    <row r="8" spans="1:28" s="5" customFormat="1" ht="29.25" customHeight="1" x14ac:dyDescent="0.25">
      <c r="C8" s="222" t="s">
        <v>6</v>
      </c>
      <c r="D8" s="223"/>
      <c r="G8" s="6" t="s">
        <v>7</v>
      </c>
      <c r="H8" s="224" t="s">
        <v>8</v>
      </c>
      <c r="I8" s="225"/>
      <c r="J8" s="226" t="s">
        <v>9</v>
      </c>
      <c r="K8" s="227"/>
      <c r="Z8" s="5">
        <v>1966</v>
      </c>
      <c r="AA8" s="5">
        <v>2636</v>
      </c>
    </row>
    <row r="9" spans="1:28" ht="62.25" customHeight="1" x14ac:dyDescent="0.25">
      <c r="B9" s="2" t="s">
        <v>10</v>
      </c>
      <c r="C9" s="228" t="s">
        <v>11</v>
      </c>
      <c r="D9" s="229"/>
      <c r="E9" s="2" t="s">
        <v>12</v>
      </c>
      <c r="F9" s="2" t="s">
        <v>94</v>
      </c>
      <c r="G9" s="7" t="s">
        <v>13</v>
      </c>
      <c r="H9" s="8" t="s">
        <v>14</v>
      </c>
      <c r="I9" s="2" t="s">
        <v>15</v>
      </c>
      <c r="J9" s="2" t="s">
        <v>16</v>
      </c>
      <c r="K9" s="9" t="s">
        <v>17</v>
      </c>
      <c r="L9" s="10" t="s">
        <v>18</v>
      </c>
      <c r="M9" s="11" t="s">
        <v>19</v>
      </c>
      <c r="Z9" s="121" t="s">
        <v>91</v>
      </c>
      <c r="AA9" s="121" t="s">
        <v>93</v>
      </c>
      <c r="AB9" s="121" t="s">
        <v>92</v>
      </c>
    </row>
    <row r="10" spans="1:28" s="12" customFormat="1" ht="13.5" thickBot="1" x14ac:dyDescent="0.25">
      <c r="A10" s="12">
        <v>1</v>
      </c>
      <c r="B10" s="13">
        <v>2</v>
      </c>
      <c r="C10" s="14">
        <v>3</v>
      </c>
      <c r="D10" s="15">
        <v>4</v>
      </c>
      <c r="E10" s="13">
        <v>5</v>
      </c>
      <c r="F10" s="13"/>
      <c r="G10" s="16">
        <v>6</v>
      </c>
      <c r="H10" s="17">
        <v>7</v>
      </c>
      <c r="I10" s="12">
        <v>8</v>
      </c>
      <c r="J10" s="16">
        <v>9</v>
      </c>
      <c r="K10" s="16"/>
      <c r="L10" s="16">
        <v>10</v>
      </c>
      <c r="M10" s="18"/>
    </row>
    <row r="11" spans="1:28" ht="22.5" customHeight="1" thickBot="1" x14ac:dyDescent="0.3">
      <c r="A11" s="230" t="s">
        <v>20</v>
      </c>
      <c r="B11" s="231" t="s">
        <v>21</v>
      </c>
      <c r="C11" s="19">
        <v>1</v>
      </c>
      <c r="D11" s="20">
        <f>C11*E6</f>
        <v>2636</v>
      </c>
      <c r="E11" s="129">
        <v>35</v>
      </c>
      <c r="F11" s="129">
        <v>15</v>
      </c>
      <c r="G11" s="22">
        <v>26</v>
      </c>
      <c r="H11" s="23">
        <f>(D11*(1+E11/100)*G11)*1.2409</f>
        <v>114812.53524</v>
      </c>
      <c r="I11" s="23">
        <f>H11*12</f>
        <v>1377750.42288</v>
      </c>
      <c r="J11" s="23">
        <f t="shared" ref="J11:J42" si="0">(1966*C11)*(1+E11/100)*G11*12*1.2409</f>
        <v>1027563.47928</v>
      </c>
      <c r="K11" s="24">
        <f t="shared" ref="K11:K21" si="1">1966*C11*G11*1.2409</f>
        <v>63429.844399999994</v>
      </c>
      <c r="L11" s="24">
        <f>I11-J11</f>
        <v>350186.9436</v>
      </c>
      <c r="M11" s="25">
        <f t="shared" ref="M11:M42" si="2">((D11-1966*C11)*20%)*G11*1.2409</f>
        <v>4323.2955999999995</v>
      </c>
      <c r="Z11" s="23">
        <f>(C11*1966)*(1+E11/100)</f>
        <v>2654.1000000000004</v>
      </c>
      <c r="AA11" s="136">
        <f>(C11*2636)*(1+F11/100)</f>
        <v>3031.3999999999996</v>
      </c>
      <c r="AB11" s="38">
        <f>AA11-Z11</f>
        <v>377.29999999999927</v>
      </c>
    </row>
    <row r="12" spans="1:28" ht="22.5" customHeight="1" thickBot="1" x14ac:dyDescent="0.3">
      <c r="A12" s="230"/>
      <c r="B12" s="232"/>
      <c r="C12" s="26">
        <v>1.35</v>
      </c>
      <c r="D12" s="27">
        <f>C12*E6</f>
        <v>3558.6000000000004</v>
      </c>
      <c r="E12" s="102">
        <v>35</v>
      </c>
      <c r="F12" s="102">
        <v>15</v>
      </c>
      <c r="G12" s="29">
        <v>0</v>
      </c>
      <c r="H12" s="23">
        <f>(D12*(1+E12/100)*G12)*1.2409</f>
        <v>0</v>
      </c>
      <c r="I12" s="25">
        <f>H12*12</f>
        <v>0</v>
      </c>
      <c r="J12" s="23">
        <f t="shared" si="0"/>
        <v>0</v>
      </c>
      <c r="K12" s="24">
        <f t="shared" si="1"/>
        <v>0</v>
      </c>
      <c r="L12" s="24">
        <f t="shared" ref="L12:L77" si="3">I12-J12</f>
        <v>0</v>
      </c>
      <c r="M12" s="25">
        <f t="shared" si="2"/>
        <v>0</v>
      </c>
      <c r="Z12" s="23">
        <f t="shared" ref="Z12:Z35" si="4">(C12*1966)*(1+E12/100)</f>
        <v>3583.0350000000008</v>
      </c>
      <c r="AA12" s="136">
        <f t="shared" ref="AA12:AA35" si="5">(C12*2636)*(1+F12/100)</f>
        <v>4092.3900000000003</v>
      </c>
      <c r="AB12" s="38">
        <f t="shared" ref="AB12:AB35" si="6">AA12-Z12</f>
        <v>509.35499999999956</v>
      </c>
    </row>
    <row r="13" spans="1:28" ht="22.5" customHeight="1" thickBot="1" x14ac:dyDescent="0.3">
      <c r="A13" s="230"/>
      <c r="B13" s="232"/>
      <c r="C13" s="26">
        <v>1</v>
      </c>
      <c r="D13" s="27">
        <f>C13*E6</f>
        <v>2636</v>
      </c>
      <c r="E13" s="118">
        <v>28</v>
      </c>
      <c r="F13" s="102">
        <v>15</v>
      </c>
      <c r="G13" s="29">
        <v>53</v>
      </c>
      <c r="H13" s="23">
        <f t="shared" ref="H13:H76" si="7">(D13*(1+E13/100)*G13)*1.2409</f>
        <v>221905.48121599996</v>
      </c>
      <c r="I13" s="25">
        <f>H13*12</f>
        <v>2662865.7745919996</v>
      </c>
      <c r="J13" s="23">
        <f t="shared" si="0"/>
        <v>1986037.2203519999</v>
      </c>
      <c r="K13" s="24">
        <f t="shared" si="1"/>
        <v>129299.29819999999</v>
      </c>
      <c r="L13" s="24">
        <f t="shared" si="3"/>
        <v>676828.55423999974</v>
      </c>
      <c r="M13" s="25">
        <f t="shared" si="2"/>
        <v>8812.871799999999</v>
      </c>
      <c r="Z13" s="23">
        <f t="shared" si="4"/>
        <v>2516.48</v>
      </c>
      <c r="AA13" s="136">
        <f t="shared" si="5"/>
        <v>3031.3999999999996</v>
      </c>
      <c r="AB13" s="38">
        <f t="shared" si="6"/>
        <v>514.91999999999962</v>
      </c>
    </row>
    <row r="14" spans="1:28" ht="22.5" customHeight="1" thickBot="1" x14ac:dyDescent="0.3">
      <c r="A14" s="230"/>
      <c r="B14" s="232"/>
      <c r="C14" s="30">
        <v>1</v>
      </c>
      <c r="D14" s="27">
        <f>C14*E6</f>
        <v>2636</v>
      </c>
      <c r="E14" s="119">
        <v>21</v>
      </c>
      <c r="F14" s="102">
        <v>15</v>
      </c>
      <c r="G14" s="29">
        <v>32</v>
      </c>
      <c r="H14" s="23">
        <f t="shared" si="7"/>
        <v>126653.60012799999</v>
      </c>
      <c r="I14" s="25">
        <f t="shared" ref="I14:I71" si="8">H14*12</f>
        <v>1519843.2015359998</v>
      </c>
      <c r="J14" s="23">
        <f t="shared" si="0"/>
        <v>1133540.1116159998</v>
      </c>
      <c r="K14" s="24">
        <f t="shared" si="1"/>
        <v>78067.500799999994</v>
      </c>
      <c r="L14" s="24">
        <f t="shared" si="3"/>
        <v>386303.08991999994</v>
      </c>
      <c r="M14" s="25">
        <f t="shared" si="2"/>
        <v>5320.9791999999998</v>
      </c>
      <c r="Z14" s="23">
        <f t="shared" si="4"/>
        <v>2378.86</v>
      </c>
      <c r="AA14" s="136">
        <f t="shared" si="5"/>
        <v>3031.3999999999996</v>
      </c>
      <c r="AB14" s="38">
        <f t="shared" si="6"/>
        <v>652.53999999999951</v>
      </c>
    </row>
    <row r="15" spans="1:28" ht="22.5" customHeight="1" thickBot="1" x14ac:dyDescent="0.3">
      <c r="A15" s="230"/>
      <c r="B15" s="232"/>
      <c r="C15" s="30">
        <v>1</v>
      </c>
      <c r="D15" s="27">
        <f>C15*E6</f>
        <v>2636</v>
      </c>
      <c r="E15" s="120">
        <v>14</v>
      </c>
      <c r="F15" s="119">
        <v>10</v>
      </c>
      <c r="G15" s="29">
        <v>86</v>
      </c>
      <c r="H15" s="23">
        <f t="shared" si="7"/>
        <v>320690.055696</v>
      </c>
      <c r="I15" s="25">
        <f t="shared" si="8"/>
        <v>3848280.6683519999</v>
      </c>
      <c r="J15" s="23">
        <f t="shared" si="0"/>
        <v>2870151.6669120002</v>
      </c>
      <c r="K15" s="24">
        <f t="shared" si="1"/>
        <v>209806.40839999999</v>
      </c>
      <c r="L15" s="24">
        <f t="shared" si="3"/>
        <v>978129.00143999979</v>
      </c>
      <c r="M15" s="25">
        <f t="shared" si="2"/>
        <v>14300.131599999999</v>
      </c>
      <c r="Z15" s="23">
        <f t="shared" si="4"/>
        <v>2241.2400000000002</v>
      </c>
      <c r="AA15" s="136">
        <f t="shared" si="5"/>
        <v>2899.6000000000004</v>
      </c>
      <c r="AB15" s="38">
        <f t="shared" si="6"/>
        <v>658.36000000000013</v>
      </c>
    </row>
    <row r="16" spans="1:28" ht="22.5" customHeight="1" thickBot="1" x14ac:dyDescent="0.3">
      <c r="A16" s="230"/>
      <c r="B16" s="232"/>
      <c r="C16" s="30">
        <v>1</v>
      </c>
      <c r="D16" s="27">
        <f>C16*E6</f>
        <v>2636</v>
      </c>
      <c r="E16" s="29">
        <v>7</v>
      </c>
      <c r="F16" s="119">
        <v>10</v>
      </c>
      <c r="G16" s="29">
        <v>31</v>
      </c>
      <c r="H16" s="23">
        <f t="shared" si="7"/>
        <v>108499.48130799999</v>
      </c>
      <c r="I16" s="25">
        <f t="shared" si="8"/>
        <v>1301993.7756959999</v>
      </c>
      <c r="J16" s="23">
        <f t="shared" si="0"/>
        <v>971062.12557600008</v>
      </c>
      <c r="K16" s="24">
        <f t="shared" si="1"/>
        <v>75627.891399999993</v>
      </c>
      <c r="L16" s="24">
        <f t="shared" si="3"/>
        <v>330931.65011999977</v>
      </c>
      <c r="M16" s="25">
        <f t="shared" si="2"/>
        <v>5154.6985999999997</v>
      </c>
      <c r="Z16" s="23">
        <f t="shared" si="4"/>
        <v>2103.6200000000003</v>
      </c>
      <c r="AA16" s="136">
        <f t="shared" si="5"/>
        <v>2899.6000000000004</v>
      </c>
      <c r="AB16" s="38">
        <f t="shared" si="6"/>
        <v>795.98</v>
      </c>
    </row>
    <row r="17" spans="1:28" ht="22.5" customHeight="1" thickBot="1" x14ac:dyDescent="0.3">
      <c r="A17" s="230"/>
      <c r="B17" s="233"/>
      <c r="C17" s="30">
        <v>1</v>
      </c>
      <c r="D17" s="27">
        <f>C17*E6</f>
        <v>2636</v>
      </c>
      <c r="E17" s="28">
        <v>0</v>
      </c>
      <c r="F17" s="28"/>
      <c r="G17" s="29">
        <v>49</v>
      </c>
      <c r="H17" s="23">
        <f t="shared" si="7"/>
        <v>160279.60759999999</v>
      </c>
      <c r="I17" s="25">
        <f t="shared" si="8"/>
        <v>1923355.2911999999</v>
      </c>
      <c r="J17" s="23">
        <f t="shared" si="0"/>
        <v>1434490.3271999999</v>
      </c>
      <c r="K17" s="24">
        <f t="shared" si="1"/>
        <v>119540.86059999999</v>
      </c>
      <c r="L17" s="24">
        <f t="shared" si="3"/>
        <v>488864.96399999992</v>
      </c>
      <c r="M17" s="25">
        <f t="shared" si="2"/>
        <v>8147.7493999999997</v>
      </c>
      <c r="Z17" s="23">
        <f t="shared" si="4"/>
        <v>1966</v>
      </c>
      <c r="AA17" s="136">
        <f t="shared" si="5"/>
        <v>2636</v>
      </c>
      <c r="AB17" s="38">
        <f t="shared" si="6"/>
        <v>670</v>
      </c>
    </row>
    <row r="18" spans="1:28" ht="22.5" customHeight="1" thickBot="1" x14ac:dyDescent="0.3">
      <c r="A18" s="230"/>
      <c r="B18" s="31" t="s">
        <v>22</v>
      </c>
      <c r="C18" s="32">
        <v>0.85001000000000004</v>
      </c>
      <c r="D18" s="27">
        <f>C18*E6</f>
        <v>2240.6263600000002</v>
      </c>
      <c r="E18" s="118">
        <v>28</v>
      </c>
      <c r="F18" s="102">
        <v>15</v>
      </c>
      <c r="G18" s="29">
        <v>0</v>
      </c>
      <c r="H18" s="23">
        <f t="shared" si="7"/>
        <v>0</v>
      </c>
      <c r="I18" s="25">
        <f t="shared" si="8"/>
        <v>0</v>
      </c>
      <c r="J18" s="23">
        <f t="shared" si="0"/>
        <v>0</v>
      </c>
      <c r="K18" s="24">
        <f t="shared" si="1"/>
        <v>0</v>
      </c>
      <c r="L18" s="24">
        <f t="shared" si="3"/>
        <v>0</v>
      </c>
      <c r="M18" s="25">
        <f t="shared" si="2"/>
        <v>0</v>
      </c>
      <c r="Z18" s="23">
        <f t="shared" si="4"/>
        <v>2139.0331648000001</v>
      </c>
      <c r="AA18" s="136">
        <f t="shared" si="5"/>
        <v>2576.7203140000001</v>
      </c>
      <c r="AB18" s="38">
        <f t="shared" si="6"/>
        <v>437.68714920000002</v>
      </c>
    </row>
    <row r="19" spans="1:28" ht="27.75" customHeight="1" thickBot="1" x14ac:dyDescent="0.3">
      <c r="A19" s="230"/>
      <c r="B19" s="220" t="s">
        <v>23</v>
      </c>
      <c r="C19" s="33">
        <v>1.1000000000000001</v>
      </c>
      <c r="D19" s="27">
        <f>C19*E6</f>
        <v>2899.6000000000004</v>
      </c>
      <c r="E19" s="102">
        <v>35</v>
      </c>
      <c r="F19" s="102">
        <v>15</v>
      </c>
      <c r="G19" s="29">
        <v>1</v>
      </c>
      <c r="H19" s="34">
        <f t="shared" si="7"/>
        <v>4857.4534140000005</v>
      </c>
      <c r="I19" s="25">
        <f t="shared" si="8"/>
        <v>58289.44096800001</v>
      </c>
      <c r="J19" s="23">
        <f t="shared" si="0"/>
        <v>43473.839508000012</v>
      </c>
      <c r="K19" s="24">
        <f t="shared" si="1"/>
        <v>2683.5703400000002</v>
      </c>
      <c r="L19" s="24">
        <f t="shared" si="3"/>
        <v>14815.601459999998</v>
      </c>
      <c r="M19" s="25">
        <f t="shared" si="2"/>
        <v>182.90866</v>
      </c>
      <c r="Z19" s="23">
        <f t="shared" si="4"/>
        <v>2919.5100000000007</v>
      </c>
      <c r="AA19" s="136">
        <f t="shared" si="5"/>
        <v>3334.54</v>
      </c>
      <c r="AB19" s="38">
        <f t="shared" si="6"/>
        <v>415.02999999999929</v>
      </c>
    </row>
    <row r="20" spans="1:28" ht="25.5" customHeight="1" thickBot="1" x14ac:dyDescent="0.3">
      <c r="A20" s="230"/>
      <c r="B20" s="234"/>
      <c r="C20" s="33">
        <v>1.1000000000000001</v>
      </c>
      <c r="D20" s="27">
        <f>C20*E6</f>
        <v>2899.6000000000004</v>
      </c>
      <c r="E20" s="118">
        <v>28</v>
      </c>
      <c r="F20" s="102">
        <v>15</v>
      </c>
      <c r="G20" s="29">
        <v>1</v>
      </c>
      <c r="H20" s="23">
        <f t="shared" si="7"/>
        <v>4605.5854592000005</v>
      </c>
      <c r="I20" s="25">
        <f t="shared" si="8"/>
        <v>55267.02551040001</v>
      </c>
      <c r="J20" s="23">
        <f t="shared" si="0"/>
        <v>41219.640422400007</v>
      </c>
      <c r="K20" s="24">
        <f t="shared" si="1"/>
        <v>2683.5703400000002</v>
      </c>
      <c r="L20" s="24">
        <f t="shared" si="3"/>
        <v>14047.385088000003</v>
      </c>
      <c r="M20" s="25">
        <f t="shared" si="2"/>
        <v>182.90866</v>
      </c>
      <c r="Z20" s="23">
        <f t="shared" si="4"/>
        <v>2768.1280000000006</v>
      </c>
      <c r="AA20" s="136">
        <f t="shared" si="5"/>
        <v>3334.54</v>
      </c>
      <c r="AB20" s="38">
        <f t="shared" si="6"/>
        <v>566.41199999999935</v>
      </c>
    </row>
    <row r="21" spans="1:28" ht="24.75" customHeight="1" thickBot="1" x14ac:dyDescent="0.3">
      <c r="A21" s="230"/>
      <c r="B21" s="234"/>
      <c r="C21" s="33">
        <v>1.1000000000000001</v>
      </c>
      <c r="D21" s="35">
        <f>C21*E6</f>
        <v>2899.6000000000004</v>
      </c>
      <c r="E21" s="119">
        <v>21</v>
      </c>
      <c r="F21" s="102">
        <v>15</v>
      </c>
      <c r="G21" s="29">
        <v>2</v>
      </c>
      <c r="H21" s="23">
        <f t="shared" si="7"/>
        <v>8707.435008800001</v>
      </c>
      <c r="I21" s="25">
        <f t="shared" si="8"/>
        <v>104489.22010560002</v>
      </c>
      <c r="J21" s="23">
        <f t="shared" si="0"/>
        <v>77930.882673600005</v>
      </c>
      <c r="K21" s="24">
        <f t="shared" si="1"/>
        <v>5367.1406800000004</v>
      </c>
      <c r="L21" s="24">
        <f t="shared" si="3"/>
        <v>26558.337432000015</v>
      </c>
      <c r="M21" s="25">
        <f t="shared" si="2"/>
        <v>365.81732</v>
      </c>
      <c r="Z21" s="23">
        <f t="shared" si="4"/>
        <v>2616.7460000000005</v>
      </c>
      <c r="AA21" s="136">
        <f t="shared" si="5"/>
        <v>3334.54</v>
      </c>
      <c r="AB21" s="38">
        <f t="shared" si="6"/>
        <v>717.79399999999941</v>
      </c>
    </row>
    <row r="22" spans="1:28" ht="24.75" customHeight="1" thickBot="1" x14ac:dyDescent="0.3">
      <c r="A22" s="230"/>
      <c r="B22" s="234"/>
      <c r="C22" s="33">
        <v>1.1000000000000001</v>
      </c>
      <c r="D22" s="35">
        <f>C22*E6</f>
        <v>2899.6000000000004</v>
      </c>
      <c r="E22" s="120">
        <v>14</v>
      </c>
      <c r="F22" s="119">
        <v>10</v>
      </c>
      <c r="G22" s="29">
        <v>6</v>
      </c>
      <c r="H22" s="23">
        <f t="shared" si="7"/>
        <v>24611.097297600001</v>
      </c>
      <c r="I22" s="25">
        <f t="shared" si="8"/>
        <v>295333.1675712</v>
      </c>
      <c r="J22" s="23">
        <f t="shared" si="0"/>
        <v>220267.45350720003</v>
      </c>
      <c r="K22" s="24">
        <f t="shared" ref="K22" si="9">1647*C22*G22*1.2409</f>
        <v>13488.831179999999</v>
      </c>
      <c r="L22" s="24">
        <f t="shared" si="3"/>
        <v>75065.714063999971</v>
      </c>
      <c r="M22" s="25">
        <f t="shared" si="2"/>
        <v>1097.4519600000001</v>
      </c>
      <c r="Z22" s="23">
        <f t="shared" si="4"/>
        <v>2465.3640000000005</v>
      </c>
      <c r="AA22" s="136">
        <f t="shared" si="5"/>
        <v>3189.5600000000009</v>
      </c>
      <c r="AB22" s="38">
        <f t="shared" si="6"/>
        <v>724.19600000000037</v>
      </c>
    </row>
    <row r="23" spans="1:28" ht="21" customHeight="1" thickBot="1" x14ac:dyDescent="0.3">
      <c r="A23" s="230"/>
      <c r="B23" s="234"/>
      <c r="C23" s="33">
        <v>1.1000000000000001</v>
      </c>
      <c r="D23" s="35">
        <f>C23*E6</f>
        <v>2899.6000000000004</v>
      </c>
      <c r="E23" s="29">
        <v>7</v>
      </c>
      <c r="F23" s="119">
        <v>10</v>
      </c>
      <c r="G23" s="29">
        <v>1</v>
      </c>
      <c r="H23" s="23">
        <f t="shared" si="7"/>
        <v>3849.9815948000005</v>
      </c>
      <c r="I23" s="25">
        <f t="shared" si="8"/>
        <v>46199.77913760001</v>
      </c>
      <c r="J23" s="23">
        <f t="shared" si="0"/>
        <v>34457.043165600007</v>
      </c>
      <c r="K23" s="24">
        <f t="shared" ref="K23:K54" si="10">1966*C23*G23*1.2409</f>
        <v>2683.5703400000002</v>
      </c>
      <c r="L23" s="24">
        <f t="shared" si="3"/>
        <v>11742.735972000002</v>
      </c>
      <c r="M23" s="25">
        <f t="shared" si="2"/>
        <v>182.90866</v>
      </c>
      <c r="Z23" s="23">
        <f t="shared" si="4"/>
        <v>2313.9820000000004</v>
      </c>
      <c r="AA23" s="136">
        <f t="shared" si="5"/>
        <v>3189.5600000000009</v>
      </c>
      <c r="AB23" s="38">
        <f t="shared" si="6"/>
        <v>875.57800000000043</v>
      </c>
    </row>
    <row r="24" spans="1:28" ht="21" customHeight="1" thickBot="1" x14ac:dyDescent="0.3">
      <c r="A24" s="230"/>
      <c r="B24" s="221"/>
      <c r="C24" s="36">
        <v>1.1000000000000001</v>
      </c>
      <c r="D24" s="35">
        <f>C24*E6</f>
        <v>2899.6000000000004</v>
      </c>
      <c r="E24" s="28">
        <v>0</v>
      </c>
      <c r="F24" s="28"/>
      <c r="G24" s="29">
        <v>3</v>
      </c>
      <c r="H24" s="23">
        <f t="shared" si="7"/>
        <v>10794.340920000001</v>
      </c>
      <c r="I24" s="25">
        <f t="shared" si="8"/>
        <v>129532.09104</v>
      </c>
      <c r="J24" s="23">
        <f t="shared" si="0"/>
        <v>96608.53224</v>
      </c>
      <c r="K24" s="24">
        <f t="shared" si="10"/>
        <v>8050.7110200000006</v>
      </c>
      <c r="L24" s="24">
        <f t="shared" si="3"/>
        <v>32923.558799999999</v>
      </c>
      <c r="M24" s="25">
        <f t="shared" si="2"/>
        <v>548.72598000000005</v>
      </c>
      <c r="Z24" s="23">
        <f t="shared" si="4"/>
        <v>2162.6000000000004</v>
      </c>
      <c r="AA24" s="136">
        <f t="shared" si="5"/>
        <v>2899.6000000000004</v>
      </c>
      <c r="AB24" s="38">
        <f t="shared" si="6"/>
        <v>737</v>
      </c>
    </row>
    <row r="25" spans="1:28" ht="28.5" customHeight="1" thickBot="1" x14ac:dyDescent="0.3">
      <c r="A25" s="230"/>
      <c r="B25" s="220" t="s">
        <v>24</v>
      </c>
      <c r="C25" s="33">
        <v>1.2</v>
      </c>
      <c r="D25" s="35">
        <f>C25*E6</f>
        <v>3163.2</v>
      </c>
      <c r="E25" s="102">
        <v>35</v>
      </c>
      <c r="F25" s="102">
        <v>15</v>
      </c>
      <c r="G25" s="29">
        <v>17</v>
      </c>
      <c r="H25" s="23">
        <f t="shared" si="7"/>
        <v>90083.68149599999</v>
      </c>
      <c r="I25" s="25">
        <f t="shared" si="8"/>
        <v>1081004.1779519999</v>
      </c>
      <c r="J25" s="23">
        <f t="shared" si="0"/>
        <v>806242.11451199988</v>
      </c>
      <c r="K25" s="24">
        <f t="shared" si="10"/>
        <v>49768.031759999991</v>
      </c>
      <c r="L25" s="24">
        <f t="shared" si="3"/>
        <v>274762.06344000006</v>
      </c>
      <c r="M25" s="25">
        <f t="shared" si="2"/>
        <v>3392.1242400000001</v>
      </c>
      <c r="Z25" s="23">
        <f t="shared" si="4"/>
        <v>3184.92</v>
      </c>
      <c r="AA25" s="136">
        <f t="shared" si="5"/>
        <v>3637.6799999999994</v>
      </c>
      <c r="AB25" s="38">
        <f t="shared" si="6"/>
        <v>452.75999999999931</v>
      </c>
    </row>
    <row r="26" spans="1:28" ht="21.75" customHeight="1" thickBot="1" x14ac:dyDescent="0.3">
      <c r="A26" s="230"/>
      <c r="B26" s="234"/>
      <c r="C26" s="33">
        <v>1.2</v>
      </c>
      <c r="D26" s="35">
        <f>C26*E6</f>
        <v>3163.2</v>
      </c>
      <c r="E26" s="118">
        <v>28</v>
      </c>
      <c r="F26" s="102">
        <v>15</v>
      </c>
      <c r="G26" s="29">
        <v>7</v>
      </c>
      <c r="H26" s="23">
        <f t="shared" si="7"/>
        <v>35169.925324799995</v>
      </c>
      <c r="I26" s="25">
        <f t="shared" si="8"/>
        <v>422039.10389759997</v>
      </c>
      <c r="J26" s="23">
        <f t="shared" si="0"/>
        <v>314768.16322559997</v>
      </c>
      <c r="K26" s="24">
        <f t="shared" si="10"/>
        <v>20492.718959999995</v>
      </c>
      <c r="L26" s="24">
        <f t="shared" si="3"/>
        <v>107270.940672</v>
      </c>
      <c r="M26" s="25">
        <f t="shared" si="2"/>
        <v>1396.75704</v>
      </c>
      <c r="Z26" s="23">
        <f t="shared" si="4"/>
        <v>3019.7759999999998</v>
      </c>
      <c r="AA26" s="136">
        <f t="shared" si="5"/>
        <v>3637.6799999999994</v>
      </c>
      <c r="AB26" s="38">
        <f t="shared" si="6"/>
        <v>617.90399999999954</v>
      </c>
    </row>
    <row r="27" spans="1:28" ht="19.5" customHeight="1" thickBot="1" x14ac:dyDescent="0.3">
      <c r="A27" s="230"/>
      <c r="B27" s="234"/>
      <c r="C27" s="33">
        <v>1.2</v>
      </c>
      <c r="D27" s="35">
        <f>C27*E6</f>
        <v>3163.2</v>
      </c>
      <c r="E27" s="119">
        <v>21</v>
      </c>
      <c r="F27" s="102">
        <v>15</v>
      </c>
      <c r="G27" s="29">
        <v>2</v>
      </c>
      <c r="H27" s="23">
        <f t="shared" si="7"/>
        <v>9499.020009599999</v>
      </c>
      <c r="I27" s="25">
        <f t="shared" si="8"/>
        <v>113988.24011519999</v>
      </c>
      <c r="J27" s="23">
        <f t="shared" si="0"/>
        <v>85015.508371199976</v>
      </c>
      <c r="K27" s="24">
        <f t="shared" si="10"/>
        <v>5855.0625599999994</v>
      </c>
      <c r="L27" s="24">
        <f t="shared" si="3"/>
        <v>28972.731744000019</v>
      </c>
      <c r="M27" s="25">
        <f t="shared" si="2"/>
        <v>399.07344000000001</v>
      </c>
      <c r="Z27" s="23">
        <f t="shared" si="4"/>
        <v>2854.6319999999996</v>
      </c>
      <c r="AA27" s="136">
        <f t="shared" si="5"/>
        <v>3637.6799999999994</v>
      </c>
      <c r="AB27" s="38">
        <f t="shared" si="6"/>
        <v>783.04799999999977</v>
      </c>
    </row>
    <row r="28" spans="1:28" ht="19.5" customHeight="1" thickBot="1" x14ac:dyDescent="0.3">
      <c r="A28" s="230"/>
      <c r="B28" s="234"/>
      <c r="C28" s="33">
        <v>1.2</v>
      </c>
      <c r="D28" s="35">
        <f>C28*E6</f>
        <v>3163.2</v>
      </c>
      <c r="E28" s="120">
        <v>14</v>
      </c>
      <c r="F28" s="119">
        <v>10</v>
      </c>
      <c r="G28" s="29">
        <v>7</v>
      </c>
      <c r="H28" s="23">
        <f t="shared" si="7"/>
        <v>31323.2147424</v>
      </c>
      <c r="I28" s="25">
        <f t="shared" si="8"/>
        <v>375878.57690879999</v>
      </c>
      <c r="J28" s="23">
        <f t="shared" si="0"/>
        <v>280340.39537280001</v>
      </c>
      <c r="K28" s="24">
        <f t="shared" si="10"/>
        <v>20492.718959999995</v>
      </c>
      <c r="L28" s="24">
        <f t="shared" si="3"/>
        <v>95538.181535999989</v>
      </c>
      <c r="M28" s="25">
        <f t="shared" si="2"/>
        <v>1396.75704</v>
      </c>
      <c r="Z28" s="23">
        <f t="shared" si="4"/>
        <v>2689.4880000000003</v>
      </c>
      <c r="AA28" s="136">
        <f t="shared" si="5"/>
        <v>3479.52</v>
      </c>
      <c r="AB28" s="38">
        <f t="shared" si="6"/>
        <v>790.0319999999997</v>
      </c>
    </row>
    <row r="29" spans="1:28" ht="21" customHeight="1" thickBot="1" x14ac:dyDescent="0.3">
      <c r="A29" s="230"/>
      <c r="B29" s="221"/>
      <c r="C29" s="33">
        <v>1.2</v>
      </c>
      <c r="D29" s="35">
        <f>C29*E6</f>
        <v>3163.2</v>
      </c>
      <c r="E29" s="29">
        <v>7</v>
      </c>
      <c r="F29" s="119">
        <v>10</v>
      </c>
      <c r="G29" s="29">
        <v>0</v>
      </c>
      <c r="H29" s="23">
        <f t="shared" si="7"/>
        <v>0</v>
      </c>
      <c r="I29" s="25">
        <f t="shared" si="8"/>
        <v>0</v>
      </c>
      <c r="J29" s="23">
        <f t="shared" si="0"/>
        <v>0</v>
      </c>
      <c r="K29" s="24">
        <f t="shared" si="10"/>
        <v>0</v>
      </c>
      <c r="L29" s="24">
        <f t="shared" si="3"/>
        <v>0</v>
      </c>
      <c r="M29" s="25">
        <f t="shared" si="2"/>
        <v>0</v>
      </c>
      <c r="Z29" s="23">
        <f t="shared" si="4"/>
        <v>2524.3440000000001</v>
      </c>
      <c r="AA29" s="136">
        <f t="shared" si="5"/>
        <v>3479.52</v>
      </c>
      <c r="AB29" s="38">
        <f t="shared" si="6"/>
        <v>955.17599999999993</v>
      </c>
    </row>
    <row r="30" spans="1:28" ht="22.5" customHeight="1" thickBot="1" x14ac:dyDescent="0.3">
      <c r="A30" s="230"/>
      <c r="B30" s="220" t="s">
        <v>25</v>
      </c>
      <c r="C30" s="33">
        <v>1</v>
      </c>
      <c r="D30" s="35">
        <f>C30*E6</f>
        <v>2636</v>
      </c>
      <c r="E30" s="102">
        <v>35</v>
      </c>
      <c r="F30" s="102">
        <v>15</v>
      </c>
      <c r="G30" s="29">
        <v>7</v>
      </c>
      <c r="H30" s="23">
        <f t="shared" si="7"/>
        <v>30911.067180000002</v>
      </c>
      <c r="I30" s="25">
        <f t="shared" si="8"/>
        <v>370932.80616000004</v>
      </c>
      <c r="J30" s="23">
        <f t="shared" si="0"/>
        <v>276651.70596000005</v>
      </c>
      <c r="K30" s="24">
        <f t="shared" si="10"/>
        <v>17077.265799999997</v>
      </c>
      <c r="L30" s="24">
        <f t="shared" si="3"/>
        <v>94281.100199999986</v>
      </c>
      <c r="M30" s="25">
        <f t="shared" si="2"/>
        <v>1163.9641999999999</v>
      </c>
      <c r="Z30" s="23">
        <f t="shared" si="4"/>
        <v>2654.1000000000004</v>
      </c>
      <c r="AA30" s="136">
        <f t="shared" si="5"/>
        <v>3031.3999999999996</v>
      </c>
      <c r="AB30" s="38">
        <f t="shared" si="6"/>
        <v>377.29999999999927</v>
      </c>
    </row>
    <row r="31" spans="1:28" ht="22.5" customHeight="1" thickBot="1" x14ac:dyDescent="0.3">
      <c r="A31" s="230"/>
      <c r="B31" s="234"/>
      <c r="C31" s="33">
        <v>1</v>
      </c>
      <c r="D31" s="35">
        <f>C31*E6</f>
        <v>2636</v>
      </c>
      <c r="E31" s="118">
        <v>28</v>
      </c>
      <c r="F31" s="102">
        <v>15</v>
      </c>
      <c r="G31" s="29">
        <v>8</v>
      </c>
      <c r="H31" s="23">
        <f t="shared" si="7"/>
        <v>33495.166975999993</v>
      </c>
      <c r="I31" s="25">
        <f t="shared" si="8"/>
        <v>401942.00371199992</v>
      </c>
      <c r="J31" s="23">
        <f t="shared" si="0"/>
        <v>299779.203072</v>
      </c>
      <c r="K31" s="24">
        <f t="shared" si="10"/>
        <v>19516.875199999999</v>
      </c>
      <c r="L31" s="24">
        <f t="shared" si="3"/>
        <v>102162.80063999991</v>
      </c>
      <c r="M31" s="25">
        <f t="shared" si="2"/>
        <v>1330.2447999999999</v>
      </c>
      <c r="Z31" s="23">
        <f t="shared" si="4"/>
        <v>2516.48</v>
      </c>
      <c r="AA31" s="136">
        <f t="shared" si="5"/>
        <v>3031.3999999999996</v>
      </c>
      <c r="AB31" s="38">
        <f t="shared" si="6"/>
        <v>514.91999999999962</v>
      </c>
    </row>
    <row r="32" spans="1:28" ht="22.5" customHeight="1" thickBot="1" x14ac:dyDescent="0.3">
      <c r="A32" s="230"/>
      <c r="B32" s="234"/>
      <c r="C32" s="33">
        <v>1</v>
      </c>
      <c r="D32" s="35">
        <f>C32*E6</f>
        <v>2636</v>
      </c>
      <c r="E32" s="119">
        <v>21</v>
      </c>
      <c r="F32" s="102">
        <v>15</v>
      </c>
      <c r="G32" s="29">
        <v>1</v>
      </c>
      <c r="H32" s="23">
        <f t="shared" si="7"/>
        <v>3957.9250039999997</v>
      </c>
      <c r="I32" s="25">
        <f t="shared" si="8"/>
        <v>47495.100047999993</v>
      </c>
      <c r="J32" s="23">
        <f t="shared" si="0"/>
        <v>35423.128487999995</v>
      </c>
      <c r="K32" s="24">
        <f t="shared" si="10"/>
        <v>2439.6093999999998</v>
      </c>
      <c r="L32" s="24">
        <f t="shared" si="3"/>
        <v>12071.971559999998</v>
      </c>
      <c r="M32" s="25">
        <f t="shared" si="2"/>
        <v>166.28059999999999</v>
      </c>
      <c r="Z32" s="23">
        <f t="shared" si="4"/>
        <v>2378.86</v>
      </c>
      <c r="AA32" s="136">
        <f t="shared" si="5"/>
        <v>3031.3999999999996</v>
      </c>
      <c r="AB32" s="38">
        <f t="shared" si="6"/>
        <v>652.53999999999951</v>
      </c>
    </row>
    <row r="33" spans="1:28" ht="22.5" customHeight="1" thickBot="1" x14ac:dyDescent="0.3">
      <c r="A33" s="230"/>
      <c r="B33" s="234"/>
      <c r="C33" s="33">
        <v>1</v>
      </c>
      <c r="D33" s="35">
        <f>C33*E6</f>
        <v>2636</v>
      </c>
      <c r="E33" s="120">
        <v>14</v>
      </c>
      <c r="F33" s="119">
        <v>10</v>
      </c>
      <c r="G33" s="29">
        <v>23</v>
      </c>
      <c r="H33" s="23">
        <f t="shared" si="7"/>
        <v>85765.945128000007</v>
      </c>
      <c r="I33" s="25">
        <f t="shared" si="8"/>
        <v>1029191.3415360001</v>
      </c>
      <c r="J33" s="23">
        <f t="shared" si="0"/>
        <v>767598.70161599992</v>
      </c>
      <c r="K33" s="24">
        <f t="shared" si="10"/>
        <v>56111.016199999998</v>
      </c>
      <c r="L33" s="24">
        <f t="shared" si="3"/>
        <v>261592.63992000022</v>
      </c>
      <c r="M33" s="25">
        <f t="shared" si="2"/>
        <v>3824.4537999999998</v>
      </c>
      <c r="Z33" s="23">
        <f t="shared" si="4"/>
        <v>2241.2400000000002</v>
      </c>
      <c r="AA33" s="136">
        <f t="shared" si="5"/>
        <v>2899.6000000000004</v>
      </c>
      <c r="AB33" s="38">
        <f t="shared" si="6"/>
        <v>658.36000000000013</v>
      </c>
    </row>
    <row r="34" spans="1:28" ht="22.5" customHeight="1" thickBot="1" x14ac:dyDescent="0.3">
      <c r="A34" s="230"/>
      <c r="B34" s="234"/>
      <c r="C34" s="33">
        <v>1</v>
      </c>
      <c r="D34" s="35">
        <f>C34*E6</f>
        <v>2636</v>
      </c>
      <c r="E34" s="29">
        <v>7</v>
      </c>
      <c r="F34" s="119">
        <v>10</v>
      </c>
      <c r="G34" s="29">
        <v>5</v>
      </c>
      <c r="H34" s="23">
        <f t="shared" si="7"/>
        <v>17499.91634</v>
      </c>
      <c r="I34" s="25">
        <f t="shared" si="8"/>
        <v>209998.99608000001</v>
      </c>
      <c r="J34" s="23">
        <f t="shared" si="0"/>
        <v>156622.92348000003</v>
      </c>
      <c r="K34" s="24">
        <f t="shared" si="10"/>
        <v>12198.046999999999</v>
      </c>
      <c r="L34" s="24">
        <f t="shared" si="3"/>
        <v>53376.072599999985</v>
      </c>
      <c r="M34" s="25">
        <f t="shared" si="2"/>
        <v>831.40299999999991</v>
      </c>
      <c r="Z34" s="23">
        <f t="shared" si="4"/>
        <v>2103.6200000000003</v>
      </c>
      <c r="AA34" s="136">
        <f t="shared" si="5"/>
        <v>2899.6000000000004</v>
      </c>
      <c r="AB34" s="38">
        <f t="shared" si="6"/>
        <v>795.98</v>
      </c>
    </row>
    <row r="35" spans="1:28" ht="22.5" customHeight="1" thickBot="1" x14ac:dyDescent="0.3">
      <c r="A35" s="230"/>
      <c r="B35" s="221"/>
      <c r="C35" s="33">
        <v>1</v>
      </c>
      <c r="D35" s="35">
        <f>C35*E6</f>
        <v>2636</v>
      </c>
      <c r="E35" s="28">
        <v>0</v>
      </c>
      <c r="F35" s="28"/>
      <c r="G35" s="29">
        <v>6</v>
      </c>
      <c r="H35" s="23">
        <f t="shared" si="7"/>
        <v>19626.074399999998</v>
      </c>
      <c r="I35" s="25">
        <f t="shared" si="8"/>
        <v>235512.89279999997</v>
      </c>
      <c r="J35" s="23">
        <f t="shared" si="0"/>
        <v>175651.8768</v>
      </c>
      <c r="K35" s="24">
        <f t="shared" si="10"/>
        <v>14637.656399999998</v>
      </c>
      <c r="L35" s="24">
        <f t="shared" si="3"/>
        <v>59861.015999999974</v>
      </c>
      <c r="M35" s="25">
        <f t="shared" si="2"/>
        <v>997.68359999999996</v>
      </c>
      <c r="Z35" s="23">
        <f t="shared" si="4"/>
        <v>1966</v>
      </c>
      <c r="AA35" s="136">
        <f t="shared" si="5"/>
        <v>2636</v>
      </c>
      <c r="AB35" s="38">
        <f t="shared" si="6"/>
        <v>670</v>
      </c>
    </row>
    <row r="36" spans="1:28" ht="18.75" customHeight="1" thickBot="1" x14ac:dyDescent="0.3">
      <c r="A36" s="230"/>
      <c r="B36" s="220" t="s">
        <v>26</v>
      </c>
      <c r="C36" s="33">
        <v>1.05</v>
      </c>
      <c r="D36" s="35">
        <f>C36*E6</f>
        <v>2767.8</v>
      </c>
      <c r="E36" s="102">
        <v>35</v>
      </c>
      <c r="F36" s="102">
        <v>15</v>
      </c>
      <c r="G36" s="29">
        <v>1</v>
      </c>
      <c r="H36" s="23">
        <f t="shared" si="7"/>
        <v>4636.6600770000005</v>
      </c>
      <c r="I36" s="25">
        <f t="shared" si="8"/>
        <v>55639.920924000005</v>
      </c>
      <c r="J36" s="23">
        <f t="shared" si="0"/>
        <v>41497.755894000002</v>
      </c>
      <c r="K36" s="24">
        <f t="shared" si="10"/>
        <v>2561.5898699999998</v>
      </c>
      <c r="L36" s="24">
        <f t="shared" si="3"/>
        <v>14142.165030000004</v>
      </c>
      <c r="M36" s="25">
        <f t="shared" si="2"/>
        <v>174.59463</v>
      </c>
      <c r="Z36" s="23">
        <f t="shared" ref="Z36:Z55" si="11">(C36*1966)*(1+E36/100)</f>
        <v>2786.8050000000003</v>
      </c>
      <c r="AA36" s="136">
        <f t="shared" ref="AA36:AA55" si="12">(C36*2636)*(1+F36/100)</f>
        <v>3182.97</v>
      </c>
      <c r="AB36" s="38">
        <f t="shared" ref="AB36:AB55" si="13">AA36-Z36</f>
        <v>396.16499999999951</v>
      </c>
    </row>
    <row r="37" spans="1:28" ht="23.25" customHeight="1" thickBot="1" x14ac:dyDescent="0.3">
      <c r="A37" s="230"/>
      <c r="B37" s="221"/>
      <c r="C37" s="33">
        <v>1.05</v>
      </c>
      <c r="D37" s="35">
        <f>C37*E6</f>
        <v>2767.8</v>
      </c>
      <c r="E37" s="120">
        <v>14</v>
      </c>
      <c r="F37" s="120">
        <v>10</v>
      </c>
      <c r="G37" s="29">
        <v>1</v>
      </c>
      <c r="H37" s="23">
        <f t="shared" si="7"/>
        <v>3915.4018427999999</v>
      </c>
      <c r="I37" s="25">
        <f t="shared" si="8"/>
        <v>46984.822113599999</v>
      </c>
      <c r="J37" s="23">
        <f t="shared" si="0"/>
        <v>35042.549421600008</v>
      </c>
      <c r="K37" s="24">
        <f t="shared" si="10"/>
        <v>2561.5898699999998</v>
      </c>
      <c r="L37" s="24">
        <f t="shared" si="3"/>
        <v>11942.272691999991</v>
      </c>
      <c r="M37" s="25">
        <f t="shared" si="2"/>
        <v>174.59463</v>
      </c>
      <c r="Z37" s="23">
        <f t="shared" si="11"/>
        <v>2353.3020000000006</v>
      </c>
      <c r="AA37" s="136">
        <f t="shared" si="12"/>
        <v>3044.5800000000004</v>
      </c>
      <c r="AB37" s="38">
        <f t="shared" si="13"/>
        <v>691.27799999999979</v>
      </c>
    </row>
    <row r="38" spans="1:28" ht="17.25" customHeight="1" thickBot="1" x14ac:dyDescent="0.3">
      <c r="A38" s="230"/>
      <c r="B38" s="220" t="s">
        <v>27</v>
      </c>
      <c r="C38" s="33">
        <v>1.1000000000000001</v>
      </c>
      <c r="D38" s="35">
        <f>C38*E6</f>
        <v>2899.6000000000004</v>
      </c>
      <c r="E38" s="102">
        <v>35</v>
      </c>
      <c r="F38" s="102">
        <v>15</v>
      </c>
      <c r="G38" s="29">
        <v>13</v>
      </c>
      <c r="H38" s="23">
        <f t="shared" si="7"/>
        <v>63146.894382000006</v>
      </c>
      <c r="I38" s="25">
        <f t="shared" si="8"/>
        <v>757762.7325840001</v>
      </c>
      <c r="J38" s="23">
        <f t="shared" si="0"/>
        <v>565159.91360400012</v>
      </c>
      <c r="K38" s="24">
        <f t="shared" si="10"/>
        <v>34886.414420000001</v>
      </c>
      <c r="L38" s="24">
        <f t="shared" si="3"/>
        <v>192602.81897999998</v>
      </c>
      <c r="M38" s="25">
        <f t="shared" si="2"/>
        <v>2377.8125799999998</v>
      </c>
      <c r="Z38" s="23">
        <f t="shared" si="11"/>
        <v>2919.5100000000007</v>
      </c>
      <c r="AA38" s="136">
        <f t="shared" si="12"/>
        <v>3334.54</v>
      </c>
      <c r="AB38" s="38">
        <f t="shared" si="13"/>
        <v>415.02999999999929</v>
      </c>
    </row>
    <row r="39" spans="1:28" ht="20.25" customHeight="1" thickBot="1" x14ac:dyDescent="0.3">
      <c r="A39" s="230"/>
      <c r="B39" s="234"/>
      <c r="C39" s="33">
        <v>1.1000000000000001</v>
      </c>
      <c r="D39" s="35">
        <f>C39*E6</f>
        <v>2899.6000000000004</v>
      </c>
      <c r="E39" s="118">
        <v>28</v>
      </c>
      <c r="F39" s="102">
        <v>15</v>
      </c>
      <c r="G39" s="29">
        <v>5</v>
      </c>
      <c r="H39" s="23">
        <f t="shared" si="7"/>
        <v>23027.927296000002</v>
      </c>
      <c r="I39" s="25">
        <f t="shared" si="8"/>
        <v>276335.12755199999</v>
      </c>
      <c r="J39" s="23">
        <f t="shared" si="0"/>
        <v>206098.20211200006</v>
      </c>
      <c r="K39" s="24">
        <f t="shared" si="10"/>
        <v>13417.851700000001</v>
      </c>
      <c r="L39" s="24">
        <f t="shared" si="3"/>
        <v>70236.925439999934</v>
      </c>
      <c r="M39" s="25">
        <f t="shared" si="2"/>
        <v>914.54329999999993</v>
      </c>
      <c r="Z39" s="23">
        <f t="shared" si="11"/>
        <v>2768.1280000000006</v>
      </c>
      <c r="AA39" s="136">
        <f t="shared" si="12"/>
        <v>3334.54</v>
      </c>
      <c r="AB39" s="38">
        <f t="shared" si="13"/>
        <v>566.41199999999935</v>
      </c>
    </row>
    <row r="40" spans="1:28" ht="17.25" customHeight="1" thickBot="1" x14ac:dyDescent="0.3">
      <c r="A40" s="230"/>
      <c r="B40" s="234"/>
      <c r="C40" s="33">
        <v>1.1000000000000001</v>
      </c>
      <c r="D40" s="35">
        <f>C40*E6</f>
        <v>2899.6000000000004</v>
      </c>
      <c r="E40" s="119">
        <v>21</v>
      </c>
      <c r="F40" s="102">
        <v>15</v>
      </c>
      <c r="G40" s="29">
        <v>1</v>
      </c>
      <c r="H40" s="23">
        <f t="shared" si="7"/>
        <v>4353.7175044000005</v>
      </c>
      <c r="I40" s="25">
        <f t="shared" si="8"/>
        <v>52244.61005280001</v>
      </c>
      <c r="J40" s="23">
        <f t="shared" si="0"/>
        <v>38965.441336800002</v>
      </c>
      <c r="K40" s="24">
        <f t="shared" si="10"/>
        <v>2683.5703400000002</v>
      </c>
      <c r="L40" s="24">
        <f t="shared" si="3"/>
        <v>13279.168716000007</v>
      </c>
      <c r="M40" s="25">
        <f t="shared" si="2"/>
        <v>182.90866</v>
      </c>
      <c r="Z40" s="23">
        <f t="shared" si="11"/>
        <v>2616.7460000000005</v>
      </c>
      <c r="AA40" s="136">
        <f t="shared" si="12"/>
        <v>3334.54</v>
      </c>
      <c r="AB40" s="38">
        <f t="shared" si="13"/>
        <v>717.79399999999941</v>
      </c>
    </row>
    <row r="41" spans="1:28" ht="17.25" customHeight="1" thickBot="1" x14ac:dyDescent="0.3">
      <c r="A41" s="230"/>
      <c r="B41" s="221"/>
      <c r="C41" s="33">
        <v>1.1000000000000001</v>
      </c>
      <c r="D41" s="35">
        <f>C41*E6</f>
        <v>2899.6000000000004</v>
      </c>
      <c r="E41" s="120">
        <v>14</v>
      </c>
      <c r="F41" s="120">
        <v>10</v>
      </c>
      <c r="G41" s="29">
        <v>8</v>
      </c>
      <c r="H41" s="23">
        <f t="shared" si="7"/>
        <v>32814.796396800004</v>
      </c>
      <c r="I41" s="25">
        <f t="shared" si="8"/>
        <v>393777.55676160008</v>
      </c>
      <c r="J41" s="23">
        <f t="shared" si="0"/>
        <v>293689.93800960004</v>
      </c>
      <c r="K41" s="24">
        <f t="shared" si="10"/>
        <v>21468.562720000002</v>
      </c>
      <c r="L41" s="24">
        <f t="shared" si="3"/>
        <v>100087.61875200004</v>
      </c>
      <c r="M41" s="25">
        <f t="shared" si="2"/>
        <v>1463.26928</v>
      </c>
      <c r="Z41" s="23">
        <f t="shared" si="11"/>
        <v>2465.3640000000005</v>
      </c>
      <c r="AA41" s="136">
        <f t="shared" si="12"/>
        <v>3189.5600000000009</v>
      </c>
      <c r="AB41" s="38">
        <f t="shared" si="13"/>
        <v>724.19600000000037</v>
      </c>
    </row>
    <row r="42" spans="1:28" ht="21" customHeight="1" thickBot="1" x14ac:dyDescent="0.3">
      <c r="A42" s="230"/>
      <c r="B42" s="220" t="s">
        <v>28</v>
      </c>
      <c r="C42" s="33">
        <v>1.2</v>
      </c>
      <c r="D42" s="35">
        <f>C42*E6</f>
        <v>3163.2</v>
      </c>
      <c r="E42" s="102">
        <v>35</v>
      </c>
      <c r="F42" s="102">
        <v>15</v>
      </c>
      <c r="G42" s="37">
        <v>51</v>
      </c>
      <c r="H42" s="23">
        <f t="shared" si="7"/>
        <v>270251.04448799993</v>
      </c>
      <c r="I42" s="25">
        <f t="shared" si="8"/>
        <v>3243012.5338559989</v>
      </c>
      <c r="J42" s="23">
        <f t="shared" si="0"/>
        <v>2418726.3435359998</v>
      </c>
      <c r="K42" s="24">
        <f t="shared" si="10"/>
        <v>149304.09527999998</v>
      </c>
      <c r="L42" s="24">
        <f t="shared" si="3"/>
        <v>824286.19031999912</v>
      </c>
      <c r="M42" s="25">
        <f t="shared" si="2"/>
        <v>10176.372720000001</v>
      </c>
      <c r="Z42" s="23">
        <f t="shared" si="11"/>
        <v>3184.92</v>
      </c>
      <c r="AA42" s="136">
        <f t="shared" si="12"/>
        <v>3637.6799999999994</v>
      </c>
      <c r="AB42" s="38">
        <f t="shared" si="13"/>
        <v>452.75999999999931</v>
      </c>
    </row>
    <row r="43" spans="1:28" ht="21" customHeight="1" thickBot="1" x14ac:dyDescent="0.3">
      <c r="A43" s="230"/>
      <c r="B43" s="234"/>
      <c r="C43" s="33">
        <v>1.2</v>
      </c>
      <c r="D43" s="35">
        <f>C43*E6</f>
        <v>3163.2</v>
      </c>
      <c r="E43" s="118">
        <v>28</v>
      </c>
      <c r="F43" s="102">
        <v>15</v>
      </c>
      <c r="G43" s="37">
        <v>39</v>
      </c>
      <c r="H43" s="23">
        <f t="shared" si="7"/>
        <v>195946.72680959996</v>
      </c>
      <c r="I43" s="25">
        <f t="shared" si="8"/>
        <v>2351360.7217151998</v>
      </c>
      <c r="J43" s="23">
        <f t="shared" ref="J43:J71" si="14">(1966*C43)*(1+E43/100)*G43*12*1.2409</f>
        <v>1753708.3379712</v>
      </c>
      <c r="K43" s="24">
        <f t="shared" si="10"/>
        <v>114173.71991999997</v>
      </c>
      <c r="L43" s="24">
        <f t="shared" si="3"/>
        <v>597652.38374399976</v>
      </c>
      <c r="M43" s="25">
        <f t="shared" ref="M43:M71" si="15">((D43-1966*C43)*20%)*G43*1.2409</f>
        <v>7781.9320800000005</v>
      </c>
      <c r="Z43" s="23">
        <f t="shared" si="11"/>
        <v>3019.7759999999998</v>
      </c>
      <c r="AA43" s="136">
        <f t="shared" si="12"/>
        <v>3637.6799999999994</v>
      </c>
      <c r="AB43" s="38">
        <f t="shared" si="13"/>
        <v>617.90399999999954</v>
      </c>
    </row>
    <row r="44" spans="1:28" ht="36" customHeight="1" thickBot="1" x14ac:dyDescent="0.3">
      <c r="A44" s="230"/>
      <c r="B44" s="234"/>
      <c r="C44" s="33">
        <v>1.2</v>
      </c>
      <c r="D44" s="35">
        <f>C44*E6</f>
        <v>3163.2</v>
      </c>
      <c r="E44" s="119">
        <v>21</v>
      </c>
      <c r="F44" s="102">
        <v>15</v>
      </c>
      <c r="G44" s="37">
        <v>11</v>
      </c>
      <c r="H44" s="23">
        <f t="shared" si="7"/>
        <v>52244.610052799988</v>
      </c>
      <c r="I44" s="25">
        <f t="shared" si="8"/>
        <v>626935.32063359988</v>
      </c>
      <c r="J44" s="23">
        <f t="shared" si="14"/>
        <v>467585.29604159994</v>
      </c>
      <c r="K44" s="24">
        <f t="shared" si="10"/>
        <v>32202.844079999995</v>
      </c>
      <c r="L44" s="24">
        <f t="shared" si="3"/>
        <v>159350.02459199994</v>
      </c>
      <c r="M44" s="25">
        <f t="shared" si="15"/>
        <v>2194.9039200000002</v>
      </c>
      <c r="T44" s="121" t="s">
        <v>90</v>
      </c>
      <c r="U44" t="s">
        <v>81</v>
      </c>
      <c r="V44" t="s">
        <v>82</v>
      </c>
      <c r="W44" t="s">
        <v>83</v>
      </c>
      <c r="Z44" s="23">
        <f t="shared" si="11"/>
        <v>2854.6319999999996</v>
      </c>
      <c r="AA44" s="136">
        <f t="shared" si="12"/>
        <v>3637.6799999999994</v>
      </c>
      <c r="AB44" s="38">
        <f t="shared" si="13"/>
        <v>783.04799999999977</v>
      </c>
    </row>
    <row r="45" spans="1:28" ht="21" customHeight="1" thickBot="1" x14ac:dyDescent="0.3">
      <c r="A45" s="230"/>
      <c r="B45" s="234"/>
      <c r="C45" s="33">
        <v>1.2</v>
      </c>
      <c r="D45" s="35">
        <f>C45*E6</f>
        <v>3163.2</v>
      </c>
      <c r="E45" s="120">
        <v>14</v>
      </c>
      <c r="F45" s="120">
        <v>10</v>
      </c>
      <c r="G45" s="37">
        <v>13</v>
      </c>
      <c r="H45" s="23">
        <f t="shared" si="7"/>
        <v>58171.6845216</v>
      </c>
      <c r="I45" s="25">
        <f t="shared" si="8"/>
        <v>698060.21425920003</v>
      </c>
      <c r="J45" s="23">
        <f t="shared" si="14"/>
        <v>520632.16283519997</v>
      </c>
      <c r="K45" s="24">
        <f t="shared" si="10"/>
        <v>38057.906639999994</v>
      </c>
      <c r="L45" s="24">
        <f t="shared" si="3"/>
        <v>177428.05142400006</v>
      </c>
      <c r="M45" s="25">
        <f t="shared" si="15"/>
        <v>2593.9773599999999</v>
      </c>
      <c r="T45" s="122">
        <v>35</v>
      </c>
      <c r="U45" s="115" t="s">
        <v>85</v>
      </c>
      <c r="V45" s="115">
        <f>G66+G64</f>
        <v>0</v>
      </c>
      <c r="W45" s="199">
        <v>0.15</v>
      </c>
      <c r="X45" s="115"/>
      <c r="Z45" s="23">
        <f t="shared" si="11"/>
        <v>2689.4880000000003</v>
      </c>
      <c r="AA45" s="136">
        <f t="shared" si="12"/>
        <v>3479.52</v>
      </c>
      <c r="AB45" s="38">
        <f t="shared" si="13"/>
        <v>790.0319999999997</v>
      </c>
    </row>
    <row r="46" spans="1:28" ht="21" customHeight="1" thickBot="1" x14ac:dyDescent="0.3">
      <c r="A46" s="230"/>
      <c r="B46" s="234"/>
      <c r="C46" s="33">
        <v>1.2</v>
      </c>
      <c r="D46" s="35">
        <f>C46*E6</f>
        <v>3163.2</v>
      </c>
      <c r="E46" s="29">
        <v>7</v>
      </c>
      <c r="F46" s="119">
        <v>10</v>
      </c>
      <c r="G46" s="29">
        <v>3</v>
      </c>
      <c r="H46" s="23">
        <f t="shared" si="7"/>
        <v>12599.939764799998</v>
      </c>
      <c r="I46" s="25">
        <f t="shared" si="8"/>
        <v>151199.27717759996</v>
      </c>
      <c r="J46" s="23">
        <f t="shared" si="14"/>
        <v>112768.5049056</v>
      </c>
      <c r="K46" s="24">
        <f t="shared" si="10"/>
        <v>8782.5938399999977</v>
      </c>
      <c r="L46" s="24">
        <f t="shared" si="3"/>
        <v>38430.772271999958</v>
      </c>
      <c r="M46" s="25">
        <f t="shared" si="15"/>
        <v>598.61015999999995</v>
      </c>
      <c r="T46" s="123">
        <v>28</v>
      </c>
      <c r="U46" s="115" t="s">
        <v>86</v>
      </c>
      <c r="V46" s="115">
        <f>G55+G57+G62</f>
        <v>35</v>
      </c>
      <c r="W46" s="200"/>
      <c r="X46" s="115"/>
      <c r="Z46" s="23">
        <f t="shared" si="11"/>
        <v>2524.3440000000001</v>
      </c>
      <c r="AA46" s="136">
        <f t="shared" si="12"/>
        <v>3479.52</v>
      </c>
      <c r="AB46" s="38">
        <f t="shared" si="13"/>
        <v>955.17599999999993</v>
      </c>
    </row>
    <row r="47" spans="1:28" ht="29.25" customHeight="1" thickBot="1" x14ac:dyDescent="0.3">
      <c r="A47" s="230"/>
      <c r="B47" s="221"/>
      <c r="C47" s="33">
        <v>1.2</v>
      </c>
      <c r="D47" s="35">
        <f>C47*E6</f>
        <v>3163.2</v>
      </c>
      <c r="E47" s="28">
        <v>0</v>
      </c>
      <c r="F47" s="28"/>
      <c r="G47" s="29">
        <v>4</v>
      </c>
      <c r="H47" s="23">
        <f t="shared" si="7"/>
        <v>15700.859519999998</v>
      </c>
      <c r="I47" s="25">
        <f t="shared" si="8"/>
        <v>188410.31423999998</v>
      </c>
      <c r="J47" s="23">
        <f t="shared" si="14"/>
        <v>140521.50143999996</v>
      </c>
      <c r="K47" s="24">
        <f t="shared" si="10"/>
        <v>11710.125119999999</v>
      </c>
      <c r="L47" s="24">
        <f t="shared" si="3"/>
        <v>47888.812800000014</v>
      </c>
      <c r="M47" s="25">
        <f t="shared" si="15"/>
        <v>798.14688000000001</v>
      </c>
      <c r="O47" s="207" t="s">
        <v>29</v>
      </c>
      <c r="P47" s="207"/>
      <c r="Q47" s="38">
        <v>3635545</v>
      </c>
      <c r="T47" s="124">
        <v>21</v>
      </c>
      <c r="U47" s="115" t="s">
        <v>87</v>
      </c>
      <c r="V47" s="115">
        <f>G45+G48+G50+G52+G56+G58+G59+G63+G65</f>
        <v>28</v>
      </c>
      <c r="W47" s="201"/>
      <c r="X47" s="115"/>
      <c r="Z47" s="23">
        <f t="shared" si="11"/>
        <v>2359.1999999999998</v>
      </c>
      <c r="AA47" s="136">
        <f t="shared" si="12"/>
        <v>3163.2</v>
      </c>
      <c r="AB47" s="38">
        <f t="shared" si="13"/>
        <v>804</v>
      </c>
    </row>
    <row r="48" spans="1:28" ht="24" customHeight="1" thickBot="1" x14ac:dyDescent="0.3">
      <c r="A48" s="230"/>
      <c r="B48" s="215" t="s">
        <v>30</v>
      </c>
      <c r="C48" s="33">
        <v>1.28</v>
      </c>
      <c r="D48" s="35">
        <f>C48*E6</f>
        <v>3374.08</v>
      </c>
      <c r="E48" s="102">
        <v>35</v>
      </c>
      <c r="F48" s="102">
        <v>15</v>
      </c>
      <c r="G48" s="29">
        <v>7</v>
      </c>
      <c r="H48" s="23">
        <f t="shared" si="7"/>
        <v>39566.16599039999</v>
      </c>
      <c r="I48" s="25">
        <f t="shared" si="8"/>
        <v>474793.99188479991</v>
      </c>
      <c r="J48" s="23">
        <f t="shared" si="14"/>
        <v>354114.18362879998</v>
      </c>
      <c r="K48" s="24">
        <f t="shared" si="10"/>
        <v>21858.900223999997</v>
      </c>
      <c r="L48" s="24">
        <f t="shared" si="3"/>
        <v>120679.80825599993</v>
      </c>
      <c r="M48" s="25">
        <f t="shared" si="15"/>
        <v>1489.8741759999998</v>
      </c>
      <c r="O48" s="207" t="s">
        <v>31</v>
      </c>
      <c r="P48" s="207"/>
      <c r="Q48" s="39">
        <v>2686509</v>
      </c>
      <c r="S48" s="38"/>
      <c r="T48" s="125">
        <v>14</v>
      </c>
      <c r="U48" s="115" t="s">
        <v>88</v>
      </c>
      <c r="V48" s="115">
        <f>G46+G49+G51+G53+G60</f>
        <v>13</v>
      </c>
      <c r="W48" s="199">
        <v>0.1</v>
      </c>
      <c r="X48" s="115"/>
      <c r="Z48" s="23">
        <f t="shared" si="11"/>
        <v>3397.248</v>
      </c>
      <c r="AA48" s="136">
        <f t="shared" si="12"/>
        <v>3880.1919999999996</v>
      </c>
      <c r="AB48" s="38">
        <f t="shared" si="13"/>
        <v>482.94399999999951</v>
      </c>
    </row>
    <row r="49" spans="1:28" ht="25.5" customHeight="1" thickBot="1" x14ac:dyDescent="0.3">
      <c r="A49" s="230"/>
      <c r="B49" s="216"/>
      <c r="C49" s="33">
        <v>1.28</v>
      </c>
      <c r="D49" s="35">
        <f>C49*E6</f>
        <v>3374.08</v>
      </c>
      <c r="E49" s="118">
        <v>28</v>
      </c>
      <c r="F49" s="102">
        <v>15</v>
      </c>
      <c r="G49" s="29">
        <v>4</v>
      </c>
      <c r="H49" s="23">
        <f t="shared" si="7"/>
        <v>21436.906864639997</v>
      </c>
      <c r="I49" s="25">
        <f t="shared" si="8"/>
        <v>257242.88237567997</v>
      </c>
      <c r="J49" s="23">
        <f t="shared" si="14"/>
        <v>191858.68996607998</v>
      </c>
      <c r="K49" s="24">
        <f t="shared" si="10"/>
        <v>12490.800127999999</v>
      </c>
      <c r="L49" s="24">
        <f t="shared" si="3"/>
        <v>65384.192409599986</v>
      </c>
      <c r="M49" s="25">
        <f t="shared" si="15"/>
        <v>851.35667199999989</v>
      </c>
      <c r="T49" s="126">
        <v>7</v>
      </c>
      <c r="U49" s="115" t="s">
        <v>89</v>
      </c>
      <c r="V49" s="115">
        <f>G47+G54+G61</f>
        <v>550</v>
      </c>
      <c r="W49" s="201"/>
      <c r="X49" s="115"/>
      <c r="Z49" s="23">
        <f t="shared" si="11"/>
        <v>3221.0944</v>
      </c>
      <c r="AA49" s="136">
        <f t="shared" si="12"/>
        <v>3880.1919999999996</v>
      </c>
      <c r="AB49" s="38">
        <f t="shared" si="13"/>
        <v>659.0975999999996</v>
      </c>
    </row>
    <row r="50" spans="1:28" ht="31.5" customHeight="1" thickBot="1" x14ac:dyDescent="0.3">
      <c r="A50" s="230"/>
      <c r="B50" s="217"/>
      <c r="C50" s="33">
        <v>1.28</v>
      </c>
      <c r="D50" s="35">
        <f>C50*E6</f>
        <v>3374.08</v>
      </c>
      <c r="E50" s="119">
        <v>21</v>
      </c>
      <c r="F50" s="102">
        <v>15</v>
      </c>
      <c r="G50" s="29">
        <v>2</v>
      </c>
      <c r="H50" s="23">
        <f t="shared" si="7"/>
        <v>10132.288010239998</v>
      </c>
      <c r="I50" s="25">
        <f t="shared" si="8"/>
        <v>121587.45612287997</v>
      </c>
      <c r="J50" s="23">
        <f t="shared" si="14"/>
        <v>90683.208929279979</v>
      </c>
      <c r="K50" s="24">
        <f t="shared" si="10"/>
        <v>6245.4000639999995</v>
      </c>
      <c r="L50" s="24">
        <f t="shared" si="3"/>
        <v>30904.247193599993</v>
      </c>
      <c r="M50" s="25">
        <f t="shared" si="15"/>
        <v>425.67833599999994</v>
      </c>
      <c r="O50" s="204" t="s">
        <v>32</v>
      </c>
      <c r="P50" s="204"/>
      <c r="Q50" s="40">
        <f>SUM(L11:L53)</f>
        <v>7047793.5867252005</v>
      </c>
      <c r="T50" s="127">
        <v>0</v>
      </c>
      <c r="U50" s="115"/>
      <c r="V50" s="115"/>
      <c r="W50" s="128">
        <v>0</v>
      </c>
      <c r="X50" s="115"/>
      <c r="Z50" s="23">
        <f t="shared" si="11"/>
        <v>3044.9407999999999</v>
      </c>
      <c r="AA50" s="136">
        <f t="shared" si="12"/>
        <v>3880.1919999999996</v>
      </c>
      <c r="AB50" s="38">
        <f t="shared" si="13"/>
        <v>835.2511999999997</v>
      </c>
    </row>
    <row r="51" spans="1:28" ht="49.5" customHeight="1" thickBot="1" x14ac:dyDescent="0.3">
      <c r="A51" s="230"/>
      <c r="B51" s="220" t="s">
        <v>33</v>
      </c>
      <c r="C51" s="33">
        <v>1.35</v>
      </c>
      <c r="D51" s="35">
        <f>C51*E6</f>
        <v>3558.6000000000004</v>
      </c>
      <c r="E51" s="102">
        <v>35</v>
      </c>
      <c r="F51" s="102">
        <v>15</v>
      </c>
      <c r="G51" s="29">
        <v>4</v>
      </c>
      <c r="H51" s="23">
        <f t="shared" si="7"/>
        <v>23845.680396</v>
      </c>
      <c r="I51" s="25">
        <f t="shared" si="8"/>
        <v>286148.16475200001</v>
      </c>
      <c r="J51" s="23">
        <f t="shared" si="14"/>
        <v>213417.03031200005</v>
      </c>
      <c r="K51" s="24">
        <f t="shared" si="10"/>
        <v>13173.89076</v>
      </c>
      <c r="L51" s="24">
        <f t="shared" si="3"/>
        <v>72731.134439999965</v>
      </c>
      <c r="M51" s="25">
        <f t="shared" si="15"/>
        <v>897.91523999999993</v>
      </c>
      <c r="O51" s="204" t="s">
        <v>34</v>
      </c>
      <c r="P51" s="204"/>
      <c r="Q51" s="41">
        <f>SUM(M11:M53)</f>
        <v>97064.637443999993</v>
      </c>
      <c r="T51" s="115" t="s">
        <v>84</v>
      </c>
      <c r="U51" s="115"/>
      <c r="V51" s="115">
        <f>SUM(V45:V50)</f>
        <v>626</v>
      </c>
      <c r="W51" s="115"/>
      <c r="X51" s="115"/>
      <c r="Z51" s="23">
        <f t="shared" si="11"/>
        <v>3583.0350000000008</v>
      </c>
      <c r="AA51" s="136">
        <f t="shared" si="12"/>
        <v>4092.3900000000003</v>
      </c>
      <c r="AB51" s="38">
        <f t="shared" si="13"/>
        <v>509.35499999999956</v>
      </c>
    </row>
    <row r="52" spans="1:28" ht="25.5" customHeight="1" thickBot="1" x14ac:dyDescent="0.3">
      <c r="A52" s="230"/>
      <c r="B52" s="221"/>
      <c r="C52" s="33">
        <v>1.35</v>
      </c>
      <c r="D52" s="35">
        <f>C52*E6</f>
        <v>3558.6000000000004</v>
      </c>
      <c r="E52" s="118">
        <v>28</v>
      </c>
      <c r="F52" s="102">
        <v>15</v>
      </c>
      <c r="G52" s="29">
        <v>2</v>
      </c>
      <c r="H52" s="23">
        <f t="shared" si="7"/>
        <v>11304.618854400002</v>
      </c>
      <c r="I52" s="25">
        <f t="shared" si="8"/>
        <v>135655.42625280001</v>
      </c>
      <c r="J52" s="23">
        <f t="shared" si="14"/>
        <v>101175.48103680002</v>
      </c>
      <c r="K52" s="24">
        <f t="shared" si="10"/>
        <v>6586.9453800000001</v>
      </c>
      <c r="L52" s="24">
        <f t="shared" si="3"/>
        <v>34479.945215999993</v>
      </c>
      <c r="M52" s="25">
        <f t="shared" si="15"/>
        <v>448.95761999999996</v>
      </c>
      <c r="Z52" s="23">
        <f t="shared" si="11"/>
        <v>3397.2480000000005</v>
      </c>
      <c r="AA52" s="136">
        <f t="shared" si="12"/>
        <v>4092.3900000000003</v>
      </c>
      <c r="AB52" s="38">
        <f t="shared" si="13"/>
        <v>695.14199999999983</v>
      </c>
    </row>
    <row r="53" spans="1:28" ht="25.5" customHeight="1" thickBot="1" x14ac:dyDescent="0.3">
      <c r="A53" s="230"/>
      <c r="B53" s="42" t="s">
        <v>35</v>
      </c>
      <c r="C53" s="43">
        <v>1.35</v>
      </c>
      <c r="D53" s="44">
        <f>C53*E6</f>
        <v>3558.6000000000004</v>
      </c>
      <c r="E53" s="130">
        <v>35</v>
      </c>
      <c r="F53" s="130">
        <v>15</v>
      </c>
      <c r="G53" s="46">
        <v>0</v>
      </c>
      <c r="H53" s="23">
        <f t="shared" si="7"/>
        <v>0</v>
      </c>
      <c r="I53" s="47">
        <f t="shared" si="8"/>
        <v>0</v>
      </c>
      <c r="J53" s="23">
        <f t="shared" si="14"/>
        <v>0</v>
      </c>
      <c r="K53" s="24">
        <f t="shared" si="10"/>
        <v>0</v>
      </c>
      <c r="L53" s="24">
        <f t="shared" si="3"/>
        <v>0</v>
      </c>
      <c r="M53" s="25">
        <f t="shared" si="15"/>
        <v>0</v>
      </c>
      <c r="N53" s="48" t="s">
        <v>36</v>
      </c>
      <c r="O53" s="49"/>
      <c r="P53" s="49"/>
      <c r="Q53" s="50">
        <f>Q50+Q51</f>
        <v>7144858.2241692003</v>
      </c>
      <c r="Z53" s="23">
        <f t="shared" si="11"/>
        <v>3583.0350000000008</v>
      </c>
      <c r="AA53" s="136">
        <f t="shared" si="12"/>
        <v>4092.3900000000003</v>
      </c>
      <c r="AB53" s="38">
        <f t="shared" si="13"/>
        <v>509.35499999999956</v>
      </c>
    </row>
    <row r="54" spans="1:28" ht="25.5" customHeight="1" thickBot="1" x14ac:dyDescent="0.3">
      <c r="A54" s="51"/>
      <c r="B54" s="52" t="s">
        <v>37</v>
      </c>
      <c r="C54" s="53"/>
      <c r="D54" s="54"/>
      <c r="E54" s="55"/>
      <c r="F54" s="55"/>
      <c r="G54" s="56">
        <f>SUM(G11:G53)</f>
        <v>543</v>
      </c>
      <c r="H54" s="23">
        <f t="shared" si="7"/>
        <v>0</v>
      </c>
      <c r="I54" s="57"/>
      <c r="J54" s="23">
        <f t="shared" si="14"/>
        <v>0</v>
      </c>
      <c r="K54" s="24">
        <f t="shared" si="10"/>
        <v>0</v>
      </c>
      <c r="L54" s="24">
        <f t="shared" si="3"/>
        <v>0</v>
      </c>
      <c r="M54" s="25">
        <f t="shared" si="15"/>
        <v>0</v>
      </c>
      <c r="N54" s="58"/>
      <c r="Q54" s="59"/>
      <c r="Z54" s="23">
        <f t="shared" si="11"/>
        <v>0</v>
      </c>
      <c r="AA54" s="136">
        <f t="shared" si="12"/>
        <v>0</v>
      </c>
      <c r="AB54" s="38">
        <f t="shared" si="13"/>
        <v>0</v>
      </c>
    </row>
    <row r="55" spans="1:28" ht="33" customHeight="1" thickBot="1" x14ac:dyDescent="0.3">
      <c r="A55" s="210" t="s">
        <v>38</v>
      </c>
      <c r="B55" s="211" t="s">
        <v>39</v>
      </c>
      <c r="C55" s="60">
        <v>1.42</v>
      </c>
      <c r="D55" s="61">
        <f>C55*E6</f>
        <v>3743.12</v>
      </c>
      <c r="E55" s="129">
        <v>35</v>
      </c>
      <c r="F55" s="129">
        <v>15</v>
      </c>
      <c r="G55" s="62">
        <v>31</v>
      </c>
      <c r="H55" s="23">
        <f t="shared" si="7"/>
        <v>194386.45389480001</v>
      </c>
      <c r="I55" s="23">
        <f t="shared" si="8"/>
        <v>2332637.4467376</v>
      </c>
      <c r="J55" s="23">
        <f t="shared" si="14"/>
        <v>1739744.0137655998</v>
      </c>
      <c r="K55" s="24">
        <f t="shared" ref="K55:K71" si="16">1966*C55*G55*1.2409</f>
        <v>107391.60578799999</v>
      </c>
      <c r="L55" s="24">
        <f t="shared" si="3"/>
        <v>592893.43297200021</v>
      </c>
      <c r="M55" s="25">
        <f t="shared" si="15"/>
        <v>7319.6720120000009</v>
      </c>
      <c r="N55" s="63"/>
      <c r="T55" s="121" t="s">
        <v>90</v>
      </c>
      <c r="U55" t="s">
        <v>81</v>
      </c>
      <c r="V55" t="s">
        <v>82</v>
      </c>
      <c r="W55" t="s">
        <v>83</v>
      </c>
      <c r="Z55" s="23">
        <f t="shared" si="11"/>
        <v>3768.8220000000001</v>
      </c>
      <c r="AA55" s="136">
        <f t="shared" si="12"/>
        <v>4304.5879999999997</v>
      </c>
      <c r="AB55" s="38">
        <f t="shared" si="13"/>
        <v>535.76599999999962</v>
      </c>
    </row>
    <row r="56" spans="1:28" ht="27" customHeight="1" thickBot="1" x14ac:dyDescent="0.3">
      <c r="A56" s="210"/>
      <c r="B56" s="212"/>
      <c r="C56" s="33">
        <v>1.42</v>
      </c>
      <c r="D56" s="35">
        <f>C56*E6</f>
        <v>3743.12</v>
      </c>
      <c r="E56" s="118">
        <v>28</v>
      </c>
      <c r="F56" s="102">
        <v>15</v>
      </c>
      <c r="G56" s="64">
        <v>4</v>
      </c>
      <c r="H56" s="23">
        <f t="shared" si="7"/>
        <v>23781.568552959998</v>
      </c>
      <c r="I56" s="25">
        <f t="shared" si="8"/>
        <v>285378.82263551996</v>
      </c>
      <c r="J56" s="23">
        <f t="shared" si="14"/>
        <v>212843.23418111997</v>
      </c>
      <c r="K56" s="24">
        <f t="shared" si="16"/>
        <v>13856.981391999998</v>
      </c>
      <c r="L56" s="24">
        <f t="shared" si="3"/>
        <v>72535.588454399985</v>
      </c>
      <c r="M56" s="25">
        <f t="shared" si="15"/>
        <v>944.47380800000008</v>
      </c>
      <c r="T56" s="122">
        <v>35</v>
      </c>
      <c r="U56" s="115" t="s">
        <v>85</v>
      </c>
      <c r="V56" s="115">
        <f>G77+G75</f>
        <v>26</v>
      </c>
      <c r="W56" s="199">
        <v>0.15</v>
      </c>
      <c r="X56" s="115"/>
      <c r="Z56" s="23">
        <f t="shared" ref="Z56:Z97" si="17">(C56*1966)*(1+E56/100)</f>
        <v>3573.4015999999997</v>
      </c>
      <c r="AA56" s="136">
        <f t="shared" ref="AA56:AA97" si="18">(C56*2636)*(1+F56/100)</f>
        <v>4304.5879999999997</v>
      </c>
      <c r="AB56" s="38">
        <f t="shared" ref="AB56:AB97" si="19">AA56-Z56</f>
        <v>731.18640000000005</v>
      </c>
    </row>
    <row r="57" spans="1:28" ht="27" customHeight="1" thickBot="1" x14ac:dyDescent="0.3">
      <c r="A57" s="210"/>
      <c r="B57" s="212"/>
      <c r="C57" s="33">
        <v>1.42</v>
      </c>
      <c r="D57" s="35">
        <f>C57*E6</f>
        <v>3743.12</v>
      </c>
      <c r="E57" s="119">
        <v>21</v>
      </c>
      <c r="F57" s="102">
        <v>15</v>
      </c>
      <c r="G57" s="64">
        <v>3</v>
      </c>
      <c r="H57" s="23">
        <f t="shared" si="7"/>
        <v>16860.760517039998</v>
      </c>
      <c r="I57" s="25">
        <f t="shared" si="8"/>
        <v>202329.12620447998</v>
      </c>
      <c r="J57" s="23">
        <f t="shared" si="14"/>
        <v>150902.52735887998</v>
      </c>
      <c r="K57" s="24">
        <f t="shared" si="16"/>
        <v>10392.736043999999</v>
      </c>
      <c r="L57" s="24">
        <f t="shared" si="3"/>
        <v>51426.598845600005</v>
      </c>
      <c r="M57" s="25">
        <f t="shared" si="15"/>
        <v>708.35535600000014</v>
      </c>
      <c r="T57" s="123">
        <v>28</v>
      </c>
      <c r="U57" s="115" t="s">
        <v>86</v>
      </c>
      <c r="V57" s="115">
        <f>G66+G68+G73</f>
        <v>45</v>
      </c>
      <c r="W57" s="200"/>
      <c r="X57" s="115"/>
      <c r="Z57" s="23">
        <f t="shared" si="17"/>
        <v>3377.9811999999997</v>
      </c>
      <c r="AA57" s="136">
        <f t="shared" si="18"/>
        <v>4304.5879999999997</v>
      </c>
      <c r="AB57" s="38">
        <f t="shared" si="19"/>
        <v>926.60680000000002</v>
      </c>
    </row>
    <row r="58" spans="1:28" ht="27" customHeight="1" thickBot="1" x14ac:dyDescent="0.3">
      <c r="A58" s="210"/>
      <c r="B58" s="212"/>
      <c r="C58" s="33">
        <v>1.42</v>
      </c>
      <c r="D58" s="35">
        <f>C58*E6</f>
        <v>3743.12</v>
      </c>
      <c r="E58" s="120">
        <v>14</v>
      </c>
      <c r="F58" s="119">
        <v>10</v>
      </c>
      <c r="G58" s="64">
        <v>0</v>
      </c>
      <c r="H58" s="23">
        <f t="shared" si="7"/>
        <v>0</v>
      </c>
      <c r="I58" s="25">
        <f t="shared" si="8"/>
        <v>0</v>
      </c>
      <c r="J58" s="23">
        <f t="shared" si="14"/>
        <v>0</v>
      </c>
      <c r="K58" s="24">
        <f t="shared" si="16"/>
        <v>0</v>
      </c>
      <c r="L58" s="24">
        <f t="shared" si="3"/>
        <v>0</v>
      </c>
      <c r="M58" s="25">
        <f t="shared" si="15"/>
        <v>0</v>
      </c>
      <c r="T58" s="124">
        <v>21</v>
      </c>
      <c r="U58" s="115" t="s">
        <v>87</v>
      </c>
      <c r="V58" s="115">
        <f>G56+G59+G61+G63+G67+G69+G70+G74+G76</f>
        <v>718</v>
      </c>
      <c r="W58" s="201"/>
      <c r="X58" s="115"/>
      <c r="Z58" s="23">
        <f t="shared" si="17"/>
        <v>3182.5608000000002</v>
      </c>
      <c r="AA58" s="136">
        <f t="shared" si="18"/>
        <v>4117.4319999999998</v>
      </c>
      <c r="AB58" s="38">
        <f t="shared" si="19"/>
        <v>934.87119999999959</v>
      </c>
    </row>
    <row r="59" spans="1:28" ht="27" customHeight="1" thickBot="1" x14ac:dyDescent="0.3">
      <c r="A59" s="210"/>
      <c r="B59" s="212"/>
      <c r="C59" s="33">
        <v>1.42</v>
      </c>
      <c r="D59" s="35">
        <f>C59*E6</f>
        <v>3743.12</v>
      </c>
      <c r="E59" s="29">
        <v>7</v>
      </c>
      <c r="F59" s="119">
        <v>10</v>
      </c>
      <c r="G59" s="64">
        <v>0</v>
      </c>
      <c r="H59" s="23">
        <f t="shared" si="7"/>
        <v>0</v>
      </c>
      <c r="I59" s="25">
        <f t="shared" si="8"/>
        <v>0</v>
      </c>
      <c r="J59" s="23">
        <f t="shared" si="14"/>
        <v>0</v>
      </c>
      <c r="K59" s="24">
        <f t="shared" si="16"/>
        <v>0</v>
      </c>
      <c r="L59" s="24">
        <f t="shared" si="3"/>
        <v>0</v>
      </c>
      <c r="M59" s="25">
        <f t="shared" si="15"/>
        <v>0</v>
      </c>
      <c r="O59" s="207" t="s">
        <v>29</v>
      </c>
      <c r="P59" s="207"/>
      <c r="Q59" s="38">
        <v>0</v>
      </c>
      <c r="T59" s="125">
        <v>14</v>
      </c>
      <c r="U59" s="115" t="s">
        <v>88</v>
      </c>
      <c r="V59" s="115">
        <f>G57+G60+G62+G64+G71</f>
        <v>7</v>
      </c>
      <c r="W59" s="199">
        <v>0.1</v>
      </c>
      <c r="X59" s="115"/>
      <c r="Z59" s="23">
        <f t="shared" si="17"/>
        <v>2987.1403999999998</v>
      </c>
      <c r="AA59" s="136">
        <f t="shared" si="18"/>
        <v>4117.4319999999998</v>
      </c>
      <c r="AB59" s="38">
        <f t="shared" si="19"/>
        <v>1130.2916</v>
      </c>
    </row>
    <row r="60" spans="1:28" ht="27" customHeight="1" thickBot="1" x14ac:dyDescent="0.3">
      <c r="A60" s="210"/>
      <c r="B60" s="213"/>
      <c r="C60" s="33">
        <v>1.42</v>
      </c>
      <c r="D60" s="35">
        <f>C60*E6</f>
        <v>3743.12</v>
      </c>
      <c r="E60" s="28">
        <v>0</v>
      </c>
      <c r="F60" s="28"/>
      <c r="G60" s="64">
        <v>2</v>
      </c>
      <c r="H60" s="23">
        <f t="shared" si="7"/>
        <v>9289.6752159999996</v>
      </c>
      <c r="I60" s="25">
        <f t="shared" si="8"/>
        <v>111476.102592</v>
      </c>
      <c r="J60" s="23">
        <f t="shared" si="14"/>
        <v>83141.888351999994</v>
      </c>
      <c r="K60" s="24">
        <f t="shared" si="16"/>
        <v>6928.4906959999989</v>
      </c>
      <c r="L60" s="24">
        <f t="shared" si="3"/>
        <v>28334.214240000001</v>
      </c>
      <c r="M60" s="25">
        <f t="shared" si="15"/>
        <v>472.23690400000004</v>
      </c>
      <c r="O60" s="207" t="s">
        <v>40</v>
      </c>
      <c r="P60" s="207"/>
      <c r="Q60" s="38">
        <v>542787</v>
      </c>
      <c r="T60" s="126">
        <v>7</v>
      </c>
      <c r="U60" s="115" t="s">
        <v>89</v>
      </c>
      <c r="V60" s="115">
        <f>G58+G65+G72</f>
        <v>7</v>
      </c>
      <c r="W60" s="201"/>
      <c r="X60" s="115"/>
      <c r="Z60" s="23">
        <f t="shared" si="17"/>
        <v>2791.72</v>
      </c>
      <c r="AA60" s="136">
        <f t="shared" si="18"/>
        <v>3743.12</v>
      </c>
      <c r="AB60" s="38">
        <f t="shared" si="19"/>
        <v>951.40000000000009</v>
      </c>
    </row>
    <row r="61" spans="1:28" ht="41.25" customHeight="1" thickBot="1" x14ac:dyDescent="0.3">
      <c r="A61" s="210"/>
      <c r="B61" s="214" t="s">
        <v>41</v>
      </c>
      <c r="C61" s="33">
        <v>1.55</v>
      </c>
      <c r="D61" s="35">
        <f>C61*E6</f>
        <v>4085.8</v>
      </c>
      <c r="E61" s="102">
        <v>35</v>
      </c>
      <c r="F61" s="102">
        <v>15</v>
      </c>
      <c r="G61" s="64">
        <v>3</v>
      </c>
      <c r="H61" s="23">
        <f t="shared" si="7"/>
        <v>20533.780341000001</v>
      </c>
      <c r="I61" s="25">
        <f t="shared" si="8"/>
        <v>246405.364092</v>
      </c>
      <c r="J61" s="23">
        <f t="shared" si="14"/>
        <v>183775.77610200003</v>
      </c>
      <c r="K61" s="24">
        <f t="shared" si="16"/>
        <v>11344.183710000001</v>
      </c>
      <c r="L61" s="24">
        <f t="shared" si="3"/>
        <v>62629.587989999971</v>
      </c>
      <c r="M61" s="25">
        <f t="shared" si="15"/>
        <v>773.20479</v>
      </c>
      <c r="O61" s="207" t="s">
        <v>31</v>
      </c>
      <c r="P61" s="207"/>
      <c r="Q61" s="65">
        <v>355843.07299999997</v>
      </c>
      <c r="T61" s="127">
        <v>0</v>
      </c>
      <c r="U61" s="115"/>
      <c r="V61" s="115"/>
      <c r="W61" s="128">
        <v>0</v>
      </c>
      <c r="X61" s="115"/>
      <c r="Z61" s="23">
        <f t="shared" si="17"/>
        <v>4113.8550000000005</v>
      </c>
      <c r="AA61" s="136">
        <f t="shared" si="18"/>
        <v>4698.67</v>
      </c>
      <c r="AB61" s="38">
        <f t="shared" si="19"/>
        <v>584.8149999999996</v>
      </c>
    </row>
    <row r="62" spans="1:28" ht="22.5" customHeight="1" thickBot="1" x14ac:dyDescent="0.3">
      <c r="A62" s="210"/>
      <c r="B62" s="212"/>
      <c r="C62" s="33">
        <v>1.55</v>
      </c>
      <c r="D62" s="35">
        <f>C62*E6</f>
        <v>4085.8</v>
      </c>
      <c r="E62" s="118">
        <v>28</v>
      </c>
      <c r="F62" s="102">
        <v>15</v>
      </c>
      <c r="G62" s="64">
        <v>1</v>
      </c>
      <c r="H62" s="23">
        <f t="shared" si="7"/>
        <v>6489.6886015999999</v>
      </c>
      <c r="I62" s="25">
        <f t="shared" si="8"/>
        <v>77876.263219200002</v>
      </c>
      <c r="J62" s="23">
        <f t="shared" si="14"/>
        <v>58082.2205952</v>
      </c>
      <c r="K62" s="24">
        <f t="shared" si="16"/>
        <v>3781.3945699999999</v>
      </c>
      <c r="L62" s="24">
        <f t="shared" si="3"/>
        <v>19794.042624000002</v>
      </c>
      <c r="M62" s="25">
        <f t="shared" si="15"/>
        <v>257.73493000000002</v>
      </c>
      <c r="T62" s="115" t="s">
        <v>84</v>
      </c>
      <c r="U62" s="115"/>
      <c r="V62" s="115">
        <f>SUM(V56:V61)</f>
        <v>803</v>
      </c>
      <c r="W62" s="115"/>
      <c r="X62" s="115"/>
      <c r="Z62" s="23">
        <f t="shared" si="17"/>
        <v>3900.5440000000003</v>
      </c>
      <c r="AA62" s="136">
        <f t="shared" si="18"/>
        <v>4698.67</v>
      </c>
      <c r="AB62" s="38">
        <f t="shared" si="19"/>
        <v>798.12599999999975</v>
      </c>
    </row>
    <row r="63" spans="1:28" ht="30.75" customHeight="1" thickBot="1" x14ac:dyDescent="0.3">
      <c r="A63" s="210"/>
      <c r="B63" s="212"/>
      <c r="C63" s="33">
        <v>1.55</v>
      </c>
      <c r="D63" s="35">
        <f>C63*E6</f>
        <v>4085.8</v>
      </c>
      <c r="E63" s="119">
        <v>21</v>
      </c>
      <c r="F63" s="102">
        <v>15</v>
      </c>
      <c r="G63" s="64">
        <v>0</v>
      </c>
      <c r="H63" s="23">
        <f t="shared" si="7"/>
        <v>0</v>
      </c>
      <c r="I63" s="25">
        <f t="shared" si="8"/>
        <v>0</v>
      </c>
      <c r="J63" s="23">
        <f t="shared" si="14"/>
        <v>0</v>
      </c>
      <c r="K63" s="24">
        <f t="shared" si="16"/>
        <v>0</v>
      </c>
      <c r="L63" s="24">
        <f t="shared" si="3"/>
        <v>0</v>
      </c>
      <c r="M63" s="25">
        <f t="shared" si="15"/>
        <v>0</v>
      </c>
      <c r="O63" s="204" t="s">
        <v>32</v>
      </c>
      <c r="P63" s="204"/>
      <c r="Q63" s="40">
        <f>SUM(L55:L67)</f>
        <v>850510.30374600017</v>
      </c>
      <c r="Z63" s="23">
        <f t="shared" si="17"/>
        <v>3687.2330000000002</v>
      </c>
      <c r="AA63" s="136">
        <f t="shared" si="18"/>
        <v>4698.67</v>
      </c>
      <c r="AB63" s="38">
        <f t="shared" si="19"/>
        <v>1011.4369999999999</v>
      </c>
    </row>
    <row r="64" spans="1:28" ht="47.25" customHeight="1" thickBot="1" x14ac:dyDescent="0.3">
      <c r="A64" s="210"/>
      <c r="B64" s="212"/>
      <c r="C64" s="33">
        <v>1.55</v>
      </c>
      <c r="D64" s="35">
        <f>C64*E6</f>
        <v>4085.8</v>
      </c>
      <c r="E64" s="120">
        <v>14</v>
      </c>
      <c r="F64" s="119">
        <v>10</v>
      </c>
      <c r="G64" s="64">
        <v>0</v>
      </c>
      <c r="H64" s="23">
        <f t="shared" si="7"/>
        <v>0</v>
      </c>
      <c r="I64" s="25">
        <f t="shared" si="8"/>
        <v>0</v>
      </c>
      <c r="J64" s="23">
        <f t="shared" si="14"/>
        <v>0</v>
      </c>
      <c r="K64" s="24">
        <f t="shared" si="16"/>
        <v>0</v>
      </c>
      <c r="L64" s="24">
        <f t="shared" si="3"/>
        <v>0</v>
      </c>
      <c r="M64" s="25">
        <f t="shared" si="15"/>
        <v>0</v>
      </c>
      <c r="O64" s="204" t="s">
        <v>34</v>
      </c>
      <c r="P64" s="204"/>
      <c r="Q64" s="41">
        <f>SUM(M55:M67)</f>
        <v>10758.35482</v>
      </c>
      <c r="Z64" s="23">
        <f t="shared" si="17"/>
        <v>3473.9220000000005</v>
      </c>
      <c r="AA64" s="136">
        <f t="shared" si="18"/>
        <v>4494.38</v>
      </c>
      <c r="AB64" s="38">
        <f t="shared" si="19"/>
        <v>1020.4579999999996</v>
      </c>
    </row>
    <row r="65" spans="1:28" ht="18.75" customHeight="1" thickBot="1" x14ac:dyDescent="0.3">
      <c r="A65" s="210"/>
      <c r="B65" s="212"/>
      <c r="C65" s="33">
        <v>1.55</v>
      </c>
      <c r="D65" s="35">
        <f>C65*E6</f>
        <v>4085.8</v>
      </c>
      <c r="E65" s="29">
        <v>7</v>
      </c>
      <c r="F65" s="119">
        <v>10</v>
      </c>
      <c r="G65" s="64">
        <v>0</v>
      </c>
      <c r="H65" s="23">
        <f t="shared" si="7"/>
        <v>0</v>
      </c>
      <c r="I65" s="25">
        <f t="shared" si="8"/>
        <v>0</v>
      </c>
      <c r="J65" s="23">
        <f t="shared" si="14"/>
        <v>0</v>
      </c>
      <c r="K65" s="24">
        <f t="shared" si="16"/>
        <v>0</v>
      </c>
      <c r="L65" s="24">
        <f t="shared" si="3"/>
        <v>0</v>
      </c>
      <c r="M65" s="25">
        <f t="shared" si="15"/>
        <v>0</v>
      </c>
      <c r="Z65" s="23">
        <f t="shared" si="17"/>
        <v>3260.6110000000003</v>
      </c>
      <c r="AA65" s="136">
        <f t="shared" si="18"/>
        <v>4494.38</v>
      </c>
      <c r="AB65" s="38">
        <f t="shared" si="19"/>
        <v>1233.7689999999998</v>
      </c>
    </row>
    <row r="66" spans="1:28" ht="16.5" customHeight="1" thickBot="1" x14ac:dyDescent="0.3">
      <c r="A66" s="210"/>
      <c r="B66" s="213"/>
      <c r="C66" s="33">
        <v>1.55</v>
      </c>
      <c r="D66" s="35">
        <f>C66*E6</f>
        <v>4085.8</v>
      </c>
      <c r="E66" s="28">
        <v>0</v>
      </c>
      <c r="F66" s="28"/>
      <c r="G66" s="64">
        <v>0</v>
      </c>
      <c r="H66" s="23">
        <f t="shared" si="7"/>
        <v>0</v>
      </c>
      <c r="I66" s="25">
        <f t="shared" si="8"/>
        <v>0</v>
      </c>
      <c r="J66" s="23">
        <f t="shared" si="14"/>
        <v>0</v>
      </c>
      <c r="K66" s="24">
        <f t="shared" si="16"/>
        <v>0</v>
      </c>
      <c r="L66" s="24">
        <f t="shared" si="3"/>
        <v>0</v>
      </c>
      <c r="M66" s="25">
        <f t="shared" si="15"/>
        <v>0</v>
      </c>
      <c r="Z66" s="23">
        <f t="shared" si="17"/>
        <v>3047.3</v>
      </c>
      <c r="AA66" s="136">
        <f t="shared" si="18"/>
        <v>4085.8</v>
      </c>
      <c r="AB66" s="38">
        <f t="shared" si="19"/>
        <v>1038.5</v>
      </c>
    </row>
    <row r="67" spans="1:28" ht="24" customHeight="1" thickBot="1" x14ac:dyDescent="0.3">
      <c r="A67" s="210"/>
      <c r="B67" s="66" t="s">
        <v>42</v>
      </c>
      <c r="C67" s="43">
        <v>1.7</v>
      </c>
      <c r="D67" s="44">
        <f>C67*E6</f>
        <v>4481.2</v>
      </c>
      <c r="E67" s="130">
        <v>35</v>
      </c>
      <c r="F67" s="130">
        <v>15</v>
      </c>
      <c r="G67" s="67">
        <v>1</v>
      </c>
      <c r="H67" s="23">
        <f t="shared" si="7"/>
        <v>7506.9734579999995</v>
      </c>
      <c r="I67" s="47">
        <f t="shared" si="8"/>
        <v>90083.68149599999</v>
      </c>
      <c r="J67" s="23">
        <f t="shared" si="14"/>
        <v>67186.842875999995</v>
      </c>
      <c r="K67" s="24">
        <f t="shared" si="16"/>
        <v>4147.3359799999998</v>
      </c>
      <c r="L67" s="24">
        <f t="shared" si="3"/>
        <v>22896.838619999995</v>
      </c>
      <c r="M67" s="25">
        <f t="shared" si="15"/>
        <v>282.67701999999997</v>
      </c>
      <c r="N67" s="68" t="s">
        <v>43</v>
      </c>
      <c r="O67" s="69"/>
      <c r="P67" s="69"/>
      <c r="Q67" s="70">
        <f>Q63+Q64</f>
        <v>861268.65856600017</v>
      </c>
      <c r="Z67" s="23">
        <f t="shared" si="17"/>
        <v>4511.97</v>
      </c>
      <c r="AA67" s="136">
        <f t="shared" si="18"/>
        <v>5153.3799999999992</v>
      </c>
      <c r="AB67" s="38">
        <f t="shared" si="19"/>
        <v>641.40999999999894</v>
      </c>
    </row>
    <row r="68" spans="1:28" ht="24" customHeight="1" thickBot="1" x14ac:dyDescent="0.3">
      <c r="A68" s="71"/>
      <c r="B68" s="72" t="s">
        <v>44</v>
      </c>
      <c r="C68" s="53"/>
      <c r="D68" s="54"/>
      <c r="E68" s="55"/>
      <c r="F68" s="55"/>
      <c r="G68" s="56">
        <f>SUM(G55:G67)</f>
        <v>45</v>
      </c>
      <c r="H68" s="23">
        <f t="shared" si="7"/>
        <v>0</v>
      </c>
      <c r="I68" s="57"/>
      <c r="J68" s="23">
        <f t="shared" si="14"/>
        <v>0</v>
      </c>
      <c r="K68" s="24">
        <f t="shared" si="16"/>
        <v>0</v>
      </c>
      <c r="L68" s="24">
        <f t="shared" si="3"/>
        <v>0</v>
      </c>
      <c r="M68" s="25">
        <f t="shared" si="15"/>
        <v>0</v>
      </c>
      <c r="N68" s="58"/>
      <c r="Q68" s="59"/>
      <c r="Z68" s="23">
        <f t="shared" si="17"/>
        <v>0</v>
      </c>
      <c r="AA68" s="136">
        <f t="shared" si="18"/>
        <v>0</v>
      </c>
      <c r="AB68" s="38">
        <f t="shared" si="19"/>
        <v>0</v>
      </c>
    </row>
    <row r="69" spans="1:28" ht="24.75" customHeight="1" thickBot="1" x14ac:dyDescent="0.3">
      <c r="A69" s="208" t="s">
        <v>45</v>
      </c>
      <c r="B69" s="73" t="s">
        <v>46</v>
      </c>
      <c r="C69" s="60">
        <v>2.1</v>
      </c>
      <c r="D69" s="61">
        <f>C69*E6</f>
        <v>5535.6</v>
      </c>
      <c r="E69" s="21">
        <v>0</v>
      </c>
      <c r="F69" s="21"/>
      <c r="G69" s="62">
        <v>5</v>
      </c>
      <c r="H69" s="23">
        <f t="shared" si="7"/>
        <v>34345.6302</v>
      </c>
      <c r="I69" s="23">
        <f t="shared" si="8"/>
        <v>412147.5624</v>
      </c>
      <c r="J69" s="23">
        <f t="shared" si="14"/>
        <v>307390.78439999995</v>
      </c>
      <c r="K69" s="24">
        <f t="shared" si="16"/>
        <v>25615.898699999998</v>
      </c>
      <c r="L69" s="24">
        <f t="shared" si="3"/>
        <v>104756.77800000005</v>
      </c>
      <c r="M69" s="25">
        <f t="shared" si="15"/>
        <v>1745.9463000000001</v>
      </c>
      <c r="N69" s="63"/>
      <c r="O69" s="209" t="s">
        <v>29</v>
      </c>
      <c r="P69" s="209"/>
      <c r="Q69" s="74">
        <v>68429</v>
      </c>
      <c r="Z69" s="23">
        <f t="shared" si="17"/>
        <v>4128.6000000000004</v>
      </c>
      <c r="AA69" s="136">
        <f t="shared" si="18"/>
        <v>5535.6</v>
      </c>
      <c r="AB69" s="38">
        <f t="shared" si="19"/>
        <v>1407</v>
      </c>
    </row>
    <row r="70" spans="1:28" ht="37.5" customHeight="1" thickBot="1" x14ac:dyDescent="0.3">
      <c r="A70" s="208"/>
      <c r="B70" s="75" t="s">
        <v>47</v>
      </c>
      <c r="C70" s="33">
        <v>2.2999999999999998</v>
      </c>
      <c r="D70" s="35">
        <f>C70*E6</f>
        <v>6062.7999999999993</v>
      </c>
      <c r="E70" s="28">
        <v>0</v>
      </c>
      <c r="F70" s="28"/>
      <c r="G70" s="64">
        <v>1</v>
      </c>
      <c r="H70" s="23">
        <f t="shared" si="7"/>
        <v>7523.3285199999982</v>
      </c>
      <c r="I70" s="25">
        <f t="shared" si="8"/>
        <v>90279.942239999975</v>
      </c>
      <c r="J70" s="23">
        <f t="shared" si="14"/>
        <v>67333.219439999986</v>
      </c>
      <c r="K70" s="24">
        <f t="shared" si="16"/>
        <v>5611.1016199999985</v>
      </c>
      <c r="L70" s="24">
        <f t="shared" si="3"/>
        <v>22946.722799999989</v>
      </c>
      <c r="M70" s="25">
        <f t="shared" si="15"/>
        <v>382.44538</v>
      </c>
      <c r="O70" s="209" t="s">
        <v>31</v>
      </c>
      <c r="P70" s="209"/>
      <c r="Q70" s="39">
        <v>55093</v>
      </c>
      <c r="S70" s="38"/>
      <c r="Z70" s="23">
        <f t="shared" si="17"/>
        <v>4521.7999999999993</v>
      </c>
      <c r="AA70" s="136">
        <f t="shared" si="18"/>
        <v>6062.7999999999993</v>
      </c>
      <c r="AB70" s="38">
        <f t="shared" si="19"/>
        <v>1541</v>
      </c>
    </row>
    <row r="71" spans="1:28" ht="27" customHeight="1" thickBot="1" x14ac:dyDescent="0.3">
      <c r="A71" s="208"/>
      <c r="B71" s="76" t="s">
        <v>48</v>
      </c>
      <c r="C71" s="43">
        <v>2.62</v>
      </c>
      <c r="D71" s="44">
        <f>C71*E6</f>
        <v>6906.3200000000006</v>
      </c>
      <c r="E71" s="45">
        <v>0</v>
      </c>
      <c r="F71" s="45"/>
      <c r="G71" s="67">
        <v>1</v>
      </c>
      <c r="H71" s="23">
        <f t="shared" si="7"/>
        <v>8570.0524879999994</v>
      </c>
      <c r="I71" s="47">
        <f t="shared" si="8"/>
        <v>102840.62985599999</v>
      </c>
      <c r="J71" s="23">
        <f t="shared" si="14"/>
        <v>76701.319535999995</v>
      </c>
      <c r="K71" s="24">
        <f t="shared" si="16"/>
        <v>6391.7766279999996</v>
      </c>
      <c r="L71" s="24">
        <f t="shared" si="3"/>
        <v>26139.31031999999</v>
      </c>
      <c r="M71" s="25">
        <f t="shared" si="15"/>
        <v>435.65517200000016</v>
      </c>
      <c r="O71" s="204" t="s">
        <v>32</v>
      </c>
      <c r="P71" s="204"/>
      <c r="Q71" s="40">
        <f>SUM(L69:L71)</f>
        <v>153842.81112000003</v>
      </c>
      <c r="Z71" s="23">
        <f t="shared" si="17"/>
        <v>5150.92</v>
      </c>
      <c r="AA71" s="136">
        <f t="shared" si="18"/>
        <v>6906.3200000000006</v>
      </c>
      <c r="AB71" s="38">
        <f t="shared" si="19"/>
        <v>1755.4000000000005</v>
      </c>
    </row>
    <row r="72" spans="1:28" ht="27" customHeight="1" thickBot="1" x14ac:dyDescent="0.3">
      <c r="A72" s="77"/>
      <c r="B72" s="72" t="s">
        <v>49</v>
      </c>
      <c r="C72" s="78"/>
      <c r="D72" s="79"/>
      <c r="E72" s="55"/>
      <c r="F72" s="131"/>
      <c r="G72">
        <f>SUM(G69:G71)</f>
        <v>7</v>
      </c>
      <c r="H72" s="80"/>
      <c r="I72" s="81"/>
      <c r="J72" s="23"/>
      <c r="K72" s="82"/>
      <c r="L72" s="82"/>
      <c r="M72" s="83"/>
      <c r="N72" s="84"/>
      <c r="O72" s="204" t="s">
        <v>34</v>
      </c>
      <c r="P72" s="204"/>
      <c r="Q72" s="41">
        <f>SUM(M69:M71)</f>
        <v>2564.0468520000004</v>
      </c>
      <c r="Z72" s="23">
        <f t="shared" si="17"/>
        <v>0</v>
      </c>
      <c r="AA72" s="136">
        <f t="shared" si="18"/>
        <v>0</v>
      </c>
      <c r="AB72" s="38">
        <f t="shared" si="19"/>
        <v>0</v>
      </c>
    </row>
    <row r="73" spans="1:28" ht="27" customHeight="1" thickBot="1" x14ac:dyDescent="0.3">
      <c r="A73" s="77"/>
      <c r="B73" s="85"/>
      <c r="C73" s="86"/>
      <c r="D73" s="87"/>
      <c r="E73" s="88"/>
      <c r="F73" s="88"/>
      <c r="G73" s="88"/>
      <c r="H73" s="89"/>
      <c r="I73" s="89"/>
      <c r="J73" s="23"/>
      <c r="K73" s="89"/>
      <c r="L73" s="89"/>
      <c r="M73" s="89"/>
      <c r="N73" s="90" t="s">
        <v>49</v>
      </c>
      <c r="O73" s="91"/>
      <c r="P73" s="91"/>
      <c r="Q73" s="92">
        <f>Q71+Q72</f>
        <v>156406.85797200003</v>
      </c>
      <c r="Z73" s="23">
        <f t="shared" si="17"/>
        <v>0</v>
      </c>
      <c r="AA73" s="136">
        <f t="shared" si="18"/>
        <v>0</v>
      </c>
      <c r="AB73" s="38">
        <f t="shared" si="19"/>
        <v>0</v>
      </c>
    </row>
    <row r="74" spans="1:28" ht="16.5" thickBot="1" x14ac:dyDescent="0.3">
      <c r="B74" s="93" t="s">
        <v>50</v>
      </c>
      <c r="C74" s="94"/>
      <c r="D74" s="94"/>
      <c r="E74" s="95"/>
      <c r="F74" s="95"/>
      <c r="G74" s="95">
        <f>SUM(G11:G71)-G54-G68</f>
        <v>595</v>
      </c>
      <c r="H74" s="96">
        <f>(D74*(1+E74/100)*G74)*1.2409</f>
        <v>0</v>
      </c>
      <c r="I74" s="94"/>
      <c r="J74" s="23"/>
      <c r="K74" s="97"/>
      <c r="L74" s="97"/>
      <c r="M74" s="96">
        <f>((D74-1647*C74)*20%)*G74*1.2409</f>
        <v>0</v>
      </c>
      <c r="N74" s="98" t="s">
        <v>51</v>
      </c>
      <c r="O74" s="98"/>
      <c r="P74" s="98"/>
      <c r="Q74" s="99">
        <f>Q73+Q67+Q53</f>
        <v>8162533.7407072</v>
      </c>
      <c r="Z74" s="23">
        <f t="shared" si="17"/>
        <v>0</v>
      </c>
      <c r="AA74" s="136">
        <f t="shared" si="18"/>
        <v>0</v>
      </c>
      <c r="AB74" s="38">
        <f t="shared" si="19"/>
        <v>0</v>
      </c>
    </row>
    <row r="75" spans="1:28" ht="35.25" customHeight="1" thickBot="1" x14ac:dyDescent="0.3">
      <c r="B75" s="100" t="s">
        <v>10</v>
      </c>
      <c r="C75" s="218" t="s">
        <v>11</v>
      </c>
      <c r="D75" s="219"/>
      <c r="E75" s="28"/>
      <c r="F75" s="28"/>
      <c r="G75" s="28"/>
      <c r="H75" s="23">
        <f t="shared" si="7"/>
        <v>0</v>
      </c>
      <c r="I75" s="94"/>
      <c r="J75" s="23"/>
      <c r="K75" s="24"/>
      <c r="L75" s="24"/>
      <c r="M75" s="25"/>
      <c r="T75" s="121" t="s">
        <v>90</v>
      </c>
      <c r="U75" t="s">
        <v>81</v>
      </c>
      <c r="V75" t="s">
        <v>82</v>
      </c>
      <c r="W75" t="s">
        <v>83</v>
      </c>
      <c r="Z75" s="23"/>
      <c r="AA75" s="136"/>
      <c r="AB75" s="38"/>
    </row>
    <row r="76" spans="1:28" ht="15.75" thickBot="1" x14ac:dyDescent="0.3">
      <c r="A76" s="205" t="s">
        <v>52</v>
      </c>
      <c r="B76" s="202" t="s">
        <v>53</v>
      </c>
      <c r="C76" s="33">
        <v>0.98</v>
      </c>
      <c r="D76" s="101">
        <f>C76*E6</f>
        <v>2583.2799999999997</v>
      </c>
      <c r="E76" s="119">
        <v>21</v>
      </c>
      <c r="F76" s="102">
        <v>15</v>
      </c>
      <c r="G76" s="102">
        <v>109</v>
      </c>
      <c r="H76" s="23">
        <f t="shared" si="7"/>
        <v>422785.54892727989</v>
      </c>
      <c r="I76" s="25">
        <f>H76*12</f>
        <v>5073426.5871273587</v>
      </c>
      <c r="J76" s="23">
        <f t="shared" ref="J76:J97" si="20">(1966*C76)*(1+E76/100)*G76*12*1.2409</f>
        <v>3783898.5850881599</v>
      </c>
      <c r="K76" s="24">
        <f t="shared" ref="K76:K97" si="21">1966*C76*G76*1.2409</f>
        <v>260599.07610799998</v>
      </c>
      <c r="L76" s="24">
        <f t="shared" si="3"/>
        <v>1289528.0020391988</v>
      </c>
      <c r="M76" s="25">
        <f t="shared" ref="M76:M97" si="22">((D76-1966*C76)*20%)*G76*1.2409</f>
        <v>17762.093691999991</v>
      </c>
      <c r="T76" s="122">
        <v>35</v>
      </c>
      <c r="U76" s="115" t="s">
        <v>85</v>
      </c>
      <c r="V76" s="115">
        <f>G97+G95</f>
        <v>3</v>
      </c>
      <c r="W76" s="199">
        <v>0.15</v>
      </c>
      <c r="X76" s="115"/>
      <c r="Z76" s="23">
        <f t="shared" si="17"/>
        <v>2331.2828</v>
      </c>
      <c r="AA76" s="136">
        <f t="shared" si="18"/>
        <v>2970.7719999999995</v>
      </c>
      <c r="AB76" s="38">
        <f t="shared" si="19"/>
        <v>639.48919999999953</v>
      </c>
    </row>
    <row r="77" spans="1:28" ht="15.75" thickBot="1" x14ac:dyDescent="0.3">
      <c r="A77" s="205"/>
      <c r="B77" s="206"/>
      <c r="C77" s="33">
        <v>0.98</v>
      </c>
      <c r="D77" s="101">
        <f>C77*E6</f>
        <v>2583.2799999999997</v>
      </c>
      <c r="E77" s="120">
        <v>14</v>
      </c>
      <c r="F77" s="119">
        <v>10</v>
      </c>
      <c r="G77" s="102">
        <v>26</v>
      </c>
      <c r="H77" s="23">
        <f t="shared" ref="H77:H97" si="23">(D77*(1+E77/100)*G77)*1.2409</f>
        <v>95013.751385279989</v>
      </c>
      <c r="I77" s="25">
        <f t="shared" ref="I77:I97" si="24">H77*12</f>
        <v>1140165.0166233599</v>
      </c>
      <c r="J77" s="23">
        <f t="shared" si="20"/>
        <v>850365.86596416007</v>
      </c>
      <c r="K77" s="24">
        <f t="shared" si="21"/>
        <v>62161.247511999994</v>
      </c>
      <c r="L77" s="24">
        <f t="shared" si="3"/>
        <v>289799.1506591998</v>
      </c>
      <c r="M77" s="25">
        <f t="shared" si="22"/>
        <v>4236.829687999998</v>
      </c>
      <c r="T77" s="123">
        <v>28</v>
      </c>
      <c r="U77" s="115" t="s">
        <v>86</v>
      </c>
      <c r="V77" s="115">
        <f>G86+G88+G93</f>
        <v>13</v>
      </c>
      <c r="W77" s="200"/>
      <c r="X77" s="115"/>
      <c r="Z77" s="23">
        <f t="shared" si="17"/>
        <v>2196.4152000000004</v>
      </c>
      <c r="AA77" s="136">
        <f t="shared" si="18"/>
        <v>2841.6080000000002</v>
      </c>
      <c r="AB77" s="38">
        <f t="shared" si="19"/>
        <v>645.19279999999981</v>
      </c>
    </row>
    <row r="78" spans="1:28" ht="15.75" thickBot="1" x14ac:dyDescent="0.3">
      <c r="A78" s="205"/>
      <c r="B78" s="203"/>
      <c r="C78" s="33">
        <v>0.98</v>
      </c>
      <c r="D78" s="101">
        <f>C78*E6</f>
        <v>2583.2799999999997</v>
      </c>
      <c r="E78" s="29">
        <v>7</v>
      </c>
      <c r="F78" s="119">
        <v>10</v>
      </c>
      <c r="G78" s="102">
        <v>138</v>
      </c>
      <c r="H78" s="23">
        <f t="shared" si="23"/>
        <v>473337.73716431996</v>
      </c>
      <c r="I78" s="25">
        <f t="shared" si="24"/>
        <v>5680052.8459718395</v>
      </c>
      <c r="J78" s="23">
        <f t="shared" si="20"/>
        <v>4236336.8342870409</v>
      </c>
      <c r="K78" s="24">
        <f t="shared" si="21"/>
        <v>329932.77525599999</v>
      </c>
      <c r="L78" s="24">
        <f t="shared" ref="L78:L97" si="25">I78-J78</f>
        <v>1443716.0116847986</v>
      </c>
      <c r="M78" s="25">
        <f t="shared" si="22"/>
        <v>22487.78834399999</v>
      </c>
      <c r="T78" s="124">
        <v>21</v>
      </c>
      <c r="U78" s="115" t="s">
        <v>87</v>
      </c>
      <c r="V78" s="115">
        <f>G76+G79+G81+G83+G87+G89+G90+G94+G96</f>
        <v>265</v>
      </c>
      <c r="W78" s="201"/>
      <c r="X78" s="115"/>
      <c r="Z78" s="23">
        <f t="shared" si="17"/>
        <v>2061.5476000000003</v>
      </c>
      <c r="AA78" s="136">
        <f t="shared" si="18"/>
        <v>2841.6080000000002</v>
      </c>
      <c r="AB78" s="38">
        <f t="shared" si="19"/>
        <v>780.06039999999985</v>
      </c>
    </row>
    <row r="79" spans="1:28" ht="15.75" thickBot="1" x14ac:dyDescent="0.3">
      <c r="A79" s="205"/>
      <c r="B79" s="202" t="s">
        <v>54</v>
      </c>
      <c r="C79" s="33">
        <v>1.05</v>
      </c>
      <c r="D79" s="101">
        <f>C79*E6</f>
        <v>2767.8</v>
      </c>
      <c r="E79" s="119">
        <v>21</v>
      </c>
      <c r="F79" s="102">
        <v>15</v>
      </c>
      <c r="G79" s="102">
        <v>5</v>
      </c>
      <c r="H79" s="23">
        <f t="shared" si="23"/>
        <v>20779.106270999997</v>
      </c>
      <c r="I79" s="25">
        <f t="shared" si="24"/>
        <v>249349.27525199996</v>
      </c>
      <c r="J79" s="23">
        <f t="shared" si="20"/>
        <v>185971.424562</v>
      </c>
      <c r="K79" s="24">
        <f t="shared" si="21"/>
        <v>12807.949349999999</v>
      </c>
      <c r="L79" s="24">
        <f t="shared" si="25"/>
        <v>63377.850689999963</v>
      </c>
      <c r="M79" s="25">
        <f t="shared" si="22"/>
        <v>872.97315000000003</v>
      </c>
      <c r="T79" s="125">
        <v>14</v>
      </c>
      <c r="U79" s="115" t="s">
        <v>88</v>
      </c>
      <c r="V79" s="115">
        <f>G77+G80+G82+G84+G91</f>
        <v>56</v>
      </c>
      <c r="W79" s="199">
        <v>0.1</v>
      </c>
      <c r="X79" s="115"/>
      <c r="Z79" s="23">
        <f t="shared" si="17"/>
        <v>2497.8030000000003</v>
      </c>
      <c r="AA79" s="136">
        <f t="shared" si="18"/>
        <v>3182.97</v>
      </c>
      <c r="AB79" s="38">
        <f t="shared" si="19"/>
        <v>685.16699999999946</v>
      </c>
    </row>
    <row r="80" spans="1:28" ht="29.25" customHeight="1" thickBot="1" x14ac:dyDescent="0.3">
      <c r="A80" s="205"/>
      <c r="B80" s="203"/>
      <c r="C80" s="33">
        <v>1.05</v>
      </c>
      <c r="D80" s="101">
        <f>C80*E6</f>
        <v>2767.8</v>
      </c>
      <c r="E80" s="120">
        <v>14</v>
      </c>
      <c r="F80" s="120">
        <v>10</v>
      </c>
      <c r="G80" s="102">
        <v>1</v>
      </c>
      <c r="H80" s="23">
        <f t="shared" si="23"/>
        <v>3915.4018427999999</v>
      </c>
      <c r="I80" s="25">
        <f t="shared" si="24"/>
        <v>46984.822113599999</v>
      </c>
      <c r="J80" s="23">
        <f t="shared" si="20"/>
        <v>35042.549421600008</v>
      </c>
      <c r="K80" s="24">
        <f t="shared" si="21"/>
        <v>2561.5898699999998</v>
      </c>
      <c r="L80" s="24">
        <f t="shared" si="25"/>
        <v>11942.272691999991</v>
      </c>
      <c r="M80" s="25">
        <f t="shared" si="22"/>
        <v>174.59463</v>
      </c>
      <c r="T80" s="126">
        <v>7</v>
      </c>
      <c r="U80" s="115" t="s">
        <v>89</v>
      </c>
      <c r="V80" s="115">
        <f>G78+G85+G92</f>
        <v>162</v>
      </c>
      <c r="W80" s="201"/>
      <c r="X80" s="115"/>
      <c r="Z80" s="23">
        <f t="shared" si="17"/>
        <v>2353.3020000000006</v>
      </c>
      <c r="AA80" s="136">
        <f t="shared" si="18"/>
        <v>3044.5800000000004</v>
      </c>
      <c r="AB80" s="38">
        <f t="shared" si="19"/>
        <v>691.27799999999979</v>
      </c>
    </row>
    <row r="81" spans="1:28" ht="18.75" customHeight="1" thickBot="1" x14ac:dyDescent="0.3">
      <c r="A81" s="205"/>
      <c r="B81" s="202" t="s">
        <v>55</v>
      </c>
      <c r="C81" s="33">
        <v>1.1399999999999999</v>
      </c>
      <c r="D81" s="101">
        <f>C81*E6</f>
        <v>3005.04</v>
      </c>
      <c r="E81" s="119">
        <v>21</v>
      </c>
      <c r="F81" s="102">
        <v>15</v>
      </c>
      <c r="G81" s="102">
        <v>34</v>
      </c>
      <c r="H81" s="23">
        <f t="shared" si="23"/>
        <v>153409.17315503999</v>
      </c>
      <c r="I81" s="25">
        <f t="shared" si="24"/>
        <v>1840910.0778604797</v>
      </c>
      <c r="J81" s="23">
        <f t="shared" si="20"/>
        <v>1373000.4601948797</v>
      </c>
      <c r="K81" s="24">
        <f t="shared" si="21"/>
        <v>94559.26034399998</v>
      </c>
      <c r="L81" s="24">
        <f t="shared" si="25"/>
        <v>467909.61766560003</v>
      </c>
      <c r="M81" s="25">
        <f t="shared" si="22"/>
        <v>6445.0360560000017</v>
      </c>
      <c r="T81" s="127">
        <v>0</v>
      </c>
      <c r="U81" s="115"/>
      <c r="V81" s="115"/>
      <c r="W81" s="128">
        <v>0</v>
      </c>
      <c r="X81" s="115"/>
      <c r="Z81" s="23">
        <f t="shared" si="17"/>
        <v>2711.9003999999995</v>
      </c>
      <c r="AA81" s="136">
        <f t="shared" si="18"/>
        <v>3455.7959999999998</v>
      </c>
      <c r="AB81" s="38">
        <f t="shared" si="19"/>
        <v>743.89560000000029</v>
      </c>
    </row>
    <row r="82" spans="1:28" ht="15.75" thickBot="1" x14ac:dyDescent="0.3">
      <c r="A82" s="205"/>
      <c r="B82" s="203"/>
      <c r="C82" s="33">
        <v>1.1399999999999999</v>
      </c>
      <c r="D82" s="101">
        <f>C82*E6</f>
        <v>3005.04</v>
      </c>
      <c r="E82" s="120">
        <v>14</v>
      </c>
      <c r="F82" s="120">
        <v>10</v>
      </c>
      <c r="G82" s="102">
        <v>3</v>
      </c>
      <c r="H82" s="23">
        <f t="shared" si="23"/>
        <v>12753.02314512</v>
      </c>
      <c r="I82" s="25">
        <f t="shared" si="24"/>
        <v>153036.27774143999</v>
      </c>
      <c r="J82" s="23">
        <f t="shared" si="20"/>
        <v>114138.58954464</v>
      </c>
      <c r="K82" s="24">
        <f t="shared" si="21"/>
        <v>8343.4641479999991</v>
      </c>
      <c r="L82" s="24">
        <f t="shared" si="25"/>
        <v>38897.688196799994</v>
      </c>
      <c r="M82" s="25">
        <f t="shared" si="22"/>
        <v>568.67965200000015</v>
      </c>
      <c r="T82" s="115" t="s">
        <v>84</v>
      </c>
      <c r="U82" s="115"/>
      <c r="V82" s="115">
        <f>SUM(V76:V81)</f>
        <v>499</v>
      </c>
      <c r="W82" s="115"/>
      <c r="X82" s="115"/>
      <c r="Z82" s="23">
        <f t="shared" si="17"/>
        <v>2555.0136000000002</v>
      </c>
      <c r="AA82" s="136">
        <f t="shared" si="18"/>
        <v>3305.5440000000003</v>
      </c>
      <c r="AB82" s="38">
        <f t="shared" si="19"/>
        <v>750.5304000000001</v>
      </c>
    </row>
    <row r="83" spans="1:28" ht="15.75" thickBot="1" x14ac:dyDescent="0.3">
      <c r="A83" s="205"/>
      <c r="B83" s="202" t="s">
        <v>56</v>
      </c>
      <c r="C83" s="33">
        <v>1.08</v>
      </c>
      <c r="D83" s="101">
        <f>C83*E6</f>
        <v>2846.88</v>
      </c>
      <c r="E83" s="119">
        <v>21</v>
      </c>
      <c r="F83" s="102">
        <v>15</v>
      </c>
      <c r="G83" s="102">
        <v>52</v>
      </c>
      <c r="H83" s="23">
        <f t="shared" si="23"/>
        <v>222277.06822463995</v>
      </c>
      <c r="I83" s="25">
        <f t="shared" si="24"/>
        <v>2667324.8186956793</v>
      </c>
      <c r="J83" s="23">
        <f t="shared" si="20"/>
        <v>1989362.8958860803</v>
      </c>
      <c r="K83" s="24">
        <f t="shared" si="21"/>
        <v>137008.463904</v>
      </c>
      <c r="L83" s="24">
        <f t="shared" si="25"/>
        <v>677961.92280959897</v>
      </c>
      <c r="M83" s="25">
        <f t="shared" si="22"/>
        <v>9338.318495999998</v>
      </c>
      <c r="Z83" s="23">
        <f t="shared" si="17"/>
        <v>2569.1688000000004</v>
      </c>
      <c r="AA83" s="136">
        <f t="shared" si="18"/>
        <v>3273.9119999999998</v>
      </c>
      <c r="AB83" s="38">
        <f t="shared" si="19"/>
        <v>704.74319999999943</v>
      </c>
    </row>
    <row r="84" spans="1:28" ht="15.75" thickBot="1" x14ac:dyDescent="0.3">
      <c r="A84" s="205"/>
      <c r="B84" s="206"/>
      <c r="C84" s="33">
        <v>1.08</v>
      </c>
      <c r="D84" s="101">
        <f>C84*E6</f>
        <v>2846.88</v>
      </c>
      <c r="E84" s="120">
        <v>14</v>
      </c>
      <c r="F84" s="119">
        <v>10</v>
      </c>
      <c r="G84" s="102">
        <v>10</v>
      </c>
      <c r="H84" s="23">
        <f t="shared" si="23"/>
        <v>40272.704668800005</v>
      </c>
      <c r="I84" s="25">
        <f t="shared" si="24"/>
        <v>483272.45602560008</v>
      </c>
      <c r="J84" s="23">
        <f t="shared" si="20"/>
        <v>360437.65119360009</v>
      </c>
      <c r="K84" s="24">
        <f t="shared" si="21"/>
        <v>26347.78152</v>
      </c>
      <c r="L84" s="24">
        <f t="shared" si="25"/>
        <v>122834.80483199999</v>
      </c>
      <c r="M84" s="25">
        <f t="shared" si="22"/>
        <v>1795.8304799999999</v>
      </c>
      <c r="Z84" s="23">
        <f t="shared" si="17"/>
        <v>2420.5392000000006</v>
      </c>
      <c r="AA84" s="136">
        <f t="shared" si="18"/>
        <v>3131.5680000000002</v>
      </c>
      <c r="AB84" s="38">
        <f t="shared" si="19"/>
        <v>711.02879999999959</v>
      </c>
    </row>
    <row r="85" spans="1:28" ht="15.75" thickBot="1" x14ac:dyDescent="0.3">
      <c r="A85" s="205"/>
      <c r="B85" s="203"/>
      <c r="C85" s="33">
        <v>1.08</v>
      </c>
      <c r="D85" s="101">
        <f>C85*E6</f>
        <v>2846.88</v>
      </c>
      <c r="E85" s="29">
        <v>7</v>
      </c>
      <c r="F85" s="119">
        <v>10</v>
      </c>
      <c r="G85" s="102">
        <v>23</v>
      </c>
      <c r="H85" s="23">
        <f t="shared" si="23"/>
        <v>86939.584377120002</v>
      </c>
      <c r="I85" s="25">
        <f t="shared" si="24"/>
        <v>1043275.01252544</v>
      </c>
      <c r="J85" s="23">
        <f t="shared" si="20"/>
        <v>778102.68384863995</v>
      </c>
      <c r="K85" s="24">
        <f t="shared" si="21"/>
        <v>60599.897495999998</v>
      </c>
      <c r="L85" s="24">
        <f t="shared" si="25"/>
        <v>265172.32867680001</v>
      </c>
      <c r="M85" s="25">
        <f t="shared" si="22"/>
        <v>4130.4101039999996</v>
      </c>
      <c r="Z85" s="23">
        <f t="shared" si="17"/>
        <v>2271.9096000000004</v>
      </c>
      <c r="AA85" s="136">
        <f t="shared" si="18"/>
        <v>3131.5680000000002</v>
      </c>
      <c r="AB85" s="38">
        <f t="shared" si="19"/>
        <v>859.6583999999998</v>
      </c>
    </row>
    <row r="86" spans="1:28" ht="15.75" thickBot="1" x14ac:dyDescent="0.3">
      <c r="A86" s="205"/>
      <c r="B86" s="202" t="s">
        <v>57</v>
      </c>
      <c r="C86" s="33">
        <v>1.1499999999999999</v>
      </c>
      <c r="D86" s="101">
        <f>C86*E6</f>
        <v>3031.3999999999996</v>
      </c>
      <c r="E86" s="118">
        <v>28</v>
      </c>
      <c r="F86" s="102">
        <v>15</v>
      </c>
      <c r="G86" s="102">
        <v>3</v>
      </c>
      <c r="H86" s="23">
        <f t="shared" si="23"/>
        <v>14444.790758399997</v>
      </c>
      <c r="I86" s="25">
        <f t="shared" si="24"/>
        <v>173337.48910079995</v>
      </c>
      <c r="J86" s="23">
        <f t="shared" si="20"/>
        <v>129279.78132479999</v>
      </c>
      <c r="K86" s="24">
        <f t="shared" si="21"/>
        <v>8416.6524299999983</v>
      </c>
      <c r="L86" s="24">
        <f t="shared" si="25"/>
        <v>44057.707775999967</v>
      </c>
      <c r="M86" s="25">
        <f t="shared" si="22"/>
        <v>573.66807000000006</v>
      </c>
      <c r="O86" s="207" t="s">
        <v>29</v>
      </c>
      <c r="P86" s="207"/>
      <c r="Q86" s="38">
        <v>3204432</v>
      </c>
      <c r="Z86" s="23">
        <f t="shared" si="17"/>
        <v>2893.9519999999998</v>
      </c>
      <c r="AA86" s="136">
        <f t="shared" si="18"/>
        <v>3486.1099999999992</v>
      </c>
      <c r="AB86" s="38">
        <f t="shared" si="19"/>
        <v>592.15799999999945</v>
      </c>
    </row>
    <row r="87" spans="1:28" ht="15.75" thickBot="1" x14ac:dyDescent="0.3">
      <c r="A87" s="205"/>
      <c r="B87" s="203"/>
      <c r="C87" s="33">
        <v>1.1499999999999999</v>
      </c>
      <c r="D87" s="101">
        <f>C87*E6</f>
        <v>3031.3999999999996</v>
      </c>
      <c r="E87" s="119">
        <v>21</v>
      </c>
      <c r="F87" s="102">
        <v>15</v>
      </c>
      <c r="G87" s="102">
        <v>1</v>
      </c>
      <c r="H87" s="23">
        <f t="shared" si="23"/>
        <v>4551.6137545999991</v>
      </c>
      <c r="I87" s="25">
        <f t="shared" si="24"/>
        <v>54619.365055199989</v>
      </c>
      <c r="J87" s="23">
        <f t="shared" si="20"/>
        <v>40736.597761199992</v>
      </c>
      <c r="K87" s="24">
        <f t="shared" si="21"/>
        <v>2805.5508099999993</v>
      </c>
      <c r="L87" s="24">
        <f t="shared" si="25"/>
        <v>13882.767293999997</v>
      </c>
      <c r="M87" s="25">
        <f t="shared" si="22"/>
        <v>191.22269</v>
      </c>
      <c r="O87" s="207" t="s">
        <v>58</v>
      </c>
      <c r="P87" s="207"/>
      <c r="Q87" s="38">
        <v>2335486</v>
      </c>
      <c r="Z87" s="23">
        <f t="shared" si="17"/>
        <v>2735.6889999999994</v>
      </c>
      <c r="AA87" s="136">
        <f t="shared" si="18"/>
        <v>3486.1099999999992</v>
      </c>
      <c r="AB87" s="38">
        <f t="shared" si="19"/>
        <v>750.42099999999982</v>
      </c>
    </row>
    <row r="88" spans="1:28" ht="15.75" thickBot="1" x14ac:dyDescent="0.3">
      <c r="A88" s="205"/>
      <c r="B88" s="202" t="s">
        <v>59</v>
      </c>
      <c r="C88" s="33">
        <v>1.22</v>
      </c>
      <c r="D88" s="101">
        <f>C88*E6</f>
        <v>3215.92</v>
      </c>
      <c r="E88" s="118">
        <v>28</v>
      </c>
      <c r="F88" s="102">
        <v>15</v>
      </c>
      <c r="G88" s="102">
        <v>4</v>
      </c>
      <c r="H88" s="23">
        <f t="shared" si="23"/>
        <v>20432.051855359998</v>
      </c>
      <c r="I88" s="25">
        <f t="shared" si="24"/>
        <v>245184.62226431997</v>
      </c>
      <c r="J88" s="23">
        <f t="shared" si="20"/>
        <v>182865.31387392001</v>
      </c>
      <c r="K88" s="24">
        <f t="shared" si="21"/>
        <v>11905.293871999998</v>
      </c>
      <c r="L88" s="24">
        <f t="shared" si="25"/>
        <v>62319.308390399965</v>
      </c>
      <c r="M88" s="25">
        <f t="shared" si="22"/>
        <v>811.44932800000004</v>
      </c>
      <c r="O88" s="103"/>
      <c r="P88" s="103"/>
      <c r="Q88" s="38"/>
      <c r="Z88" s="23">
        <f t="shared" si="17"/>
        <v>3070.1055999999999</v>
      </c>
      <c r="AA88" s="136">
        <f t="shared" si="18"/>
        <v>3698.308</v>
      </c>
      <c r="AB88" s="38">
        <f t="shared" si="19"/>
        <v>628.20240000000013</v>
      </c>
    </row>
    <row r="89" spans="1:28" ht="15.75" thickBot="1" x14ac:dyDescent="0.3">
      <c r="A89" s="205"/>
      <c r="B89" s="203"/>
      <c r="C89" s="33">
        <v>1.22</v>
      </c>
      <c r="D89" s="101">
        <f>C89*E6</f>
        <v>3215.92</v>
      </c>
      <c r="E89" s="119">
        <v>21</v>
      </c>
      <c r="F89" s="102">
        <v>15</v>
      </c>
      <c r="G89" s="102">
        <v>2</v>
      </c>
      <c r="H89" s="23">
        <f t="shared" si="23"/>
        <v>9657.3370097599982</v>
      </c>
      <c r="I89" s="25">
        <f t="shared" si="24"/>
        <v>115888.04411711998</v>
      </c>
      <c r="J89" s="23">
        <f t="shared" si="20"/>
        <v>86432.433510719988</v>
      </c>
      <c r="K89" s="24">
        <f t="shared" si="21"/>
        <v>5952.6469359999992</v>
      </c>
      <c r="L89" s="24">
        <f t="shared" si="25"/>
        <v>29455.610606399991</v>
      </c>
      <c r="M89" s="25">
        <f t="shared" si="22"/>
        <v>405.72466400000002</v>
      </c>
      <c r="Z89" s="23">
        <f t="shared" si="17"/>
        <v>2902.2091999999998</v>
      </c>
      <c r="AA89" s="136">
        <f t="shared" si="18"/>
        <v>3698.308</v>
      </c>
      <c r="AB89" s="38">
        <f t="shared" si="19"/>
        <v>796.09880000000021</v>
      </c>
    </row>
    <row r="90" spans="1:28" ht="15.75" thickBot="1" x14ac:dyDescent="0.3">
      <c r="A90" s="205"/>
      <c r="B90" s="202" t="s">
        <v>60</v>
      </c>
      <c r="C90" s="33">
        <v>1.22</v>
      </c>
      <c r="D90" s="101">
        <f>C90*E6</f>
        <v>3215.92</v>
      </c>
      <c r="E90" s="119">
        <v>21</v>
      </c>
      <c r="F90" s="102">
        <v>15</v>
      </c>
      <c r="G90" s="102">
        <v>60</v>
      </c>
      <c r="H90" s="23">
        <f t="shared" si="23"/>
        <v>289720.11029279995</v>
      </c>
      <c r="I90" s="25">
        <f t="shared" si="24"/>
        <v>3476641.3235135991</v>
      </c>
      <c r="J90" s="23">
        <f t="shared" si="20"/>
        <v>2592973.0053215995</v>
      </c>
      <c r="K90" s="24">
        <f t="shared" si="21"/>
        <v>178579.40807999999</v>
      </c>
      <c r="L90" s="24">
        <f t="shared" si="25"/>
        <v>883668.31819199957</v>
      </c>
      <c r="M90" s="25">
        <f t="shared" si="22"/>
        <v>12171.73992</v>
      </c>
      <c r="Z90" s="23">
        <f t="shared" si="17"/>
        <v>2902.2091999999998</v>
      </c>
      <c r="AA90" s="136">
        <f t="shared" si="18"/>
        <v>3698.308</v>
      </c>
      <c r="AB90" s="38">
        <f t="shared" si="19"/>
        <v>796.09880000000021</v>
      </c>
    </row>
    <row r="91" spans="1:28" ht="34.5" customHeight="1" thickBot="1" x14ac:dyDescent="0.3">
      <c r="A91" s="205"/>
      <c r="B91" s="206"/>
      <c r="C91" s="33">
        <v>1.22</v>
      </c>
      <c r="D91" s="101">
        <f>C91*E6</f>
        <v>3215.92</v>
      </c>
      <c r="E91" s="120">
        <v>14</v>
      </c>
      <c r="F91" s="119">
        <v>10</v>
      </c>
      <c r="G91" s="102">
        <v>16</v>
      </c>
      <c r="H91" s="23">
        <f t="shared" si="23"/>
        <v>72789.184734719995</v>
      </c>
      <c r="I91" s="25">
        <f t="shared" si="24"/>
        <v>873470.21681663999</v>
      </c>
      <c r="J91" s="23">
        <f t="shared" si="20"/>
        <v>651457.68067584001</v>
      </c>
      <c r="K91" s="24">
        <f t="shared" si="21"/>
        <v>47621.175487999993</v>
      </c>
      <c r="L91" s="24">
        <f t="shared" si="25"/>
        <v>222012.53614079999</v>
      </c>
      <c r="M91" s="25">
        <f t="shared" si="22"/>
        <v>3245.7973120000001</v>
      </c>
      <c r="O91" s="204" t="s">
        <v>32</v>
      </c>
      <c r="P91" s="204"/>
      <c r="Q91" s="40">
        <f>SUM(L76:L97)</f>
        <v>6147292.3508339971</v>
      </c>
      <c r="Z91" s="23">
        <f t="shared" si="17"/>
        <v>2734.3128000000002</v>
      </c>
      <c r="AA91" s="136">
        <f t="shared" si="18"/>
        <v>3537.5120000000002</v>
      </c>
      <c r="AB91" s="38">
        <f t="shared" si="19"/>
        <v>803.19920000000002</v>
      </c>
    </row>
    <row r="92" spans="1:28" ht="26.25" customHeight="1" thickBot="1" x14ac:dyDescent="0.3">
      <c r="A92" s="205"/>
      <c r="B92" s="203"/>
      <c r="C92" s="33">
        <v>1.22</v>
      </c>
      <c r="D92" s="101">
        <f>C92*E6</f>
        <v>3215.92</v>
      </c>
      <c r="E92" s="29">
        <v>7</v>
      </c>
      <c r="F92" s="119">
        <v>10</v>
      </c>
      <c r="G92" s="102">
        <v>1</v>
      </c>
      <c r="H92" s="23">
        <f t="shared" si="23"/>
        <v>4269.9795869600002</v>
      </c>
      <c r="I92" s="25">
        <f t="shared" si="24"/>
        <v>51239.755043520003</v>
      </c>
      <c r="J92" s="23">
        <f t="shared" si="20"/>
        <v>38215.99332912</v>
      </c>
      <c r="K92" s="24">
        <f t="shared" si="21"/>
        <v>2976.3234679999996</v>
      </c>
      <c r="L92" s="24">
        <f t="shared" si="25"/>
        <v>13023.761714400003</v>
      </c>
      <c r="M92" s="25">
        <f t="shared" si="22"/>
        <v>202.86233200000001</v>
      </c>
      <c r="O92" s="104"/>
      <c r="P92" s="104"/>
      <c r="Q92" s="40"/>
      <c r="Z92" s="23">
        <f t="shared" si="17"/>
        <v>2566.4164000000001</v>
      </c>
      <c r="AA92" s="136">
        <f t="shared" si="18"/>
        <v>3537.5120000000002</v>
      </c>
      <c r="AB92" s="38">
        <f t="shared" si="19"/>
        <v>971.0956000000001</v>
      </c>
    </row>
    <row r="93" spans="1:28" ht="25.5" customHeight="1" thickBot="1" x14ac:dyDescent="0.3">
      <c r="A93" s="205"/>
      <c r="B93" s="202" t="s">
        <v>61</v>
      </c>
      <c r="C93" s="33">
        <v>1.42</v>
      </c>
      <c r="D93" s="101">
        <f>C93*E6</f>
        <v>3743.12</v>
      </c>
      <c r="E93" s="118">
        <v>28</v>
      </c>
      <c r="F93" s="102">
        <v>15</v>
      </c>
      <c r="G93" s="102">
        <v>6</v>
      </c>
      <c r="H93" s="23">
        <f t="shared" si="23"/>
        <v>35672.352829439995</v>
      </c>
      <c r="I93" s="25">
        <f t="shared" si="24"/>
        <v>428068.23395327991</v>
      </c>
      <c r="J93" s="23">
        <f t="shared" si="20"/>
        <v>319264.85127167997</v>
      </c>
      <c r="K93" s="24">
        <f t="shared" si="21"/>
        <v>20785.472087999999</v>
      </c>
      <c r="L93" s="24">
        <f t="shared" si="25"/>
        <v>108803.38268159993</v>
      </c>
      <c r="M93" s="25">
        <f t="shared" si="22"/>
        <v>1416.7107120000003</v>
      </c>
      <c r="O93" s="204" t="s">
        <v>34</v>
      </c>
      <c r="P93" s="204"/>
      <c r="Q93" s="41">
        <f>SUM(M76:M97)</f>
        <v>88103.775909999938</v>
      </c>
      <c r="Z93" s="23">
        <f t="shared" si="17"/>
        <v>3573.4015999999997</v>
      </c>
      <c r="AA93" s="136">
        <f t="shared" si="18"/>
        <v>4304.5879999999997</v>
      </c>
      <c r="AB93" s="38">
        <f t="shared" si="19"/>
        <v>731.18640000000005</v>
      </c>
    </row>
    <row r="94" spans="1:28" ht="15.75" thickBot="1" x14ac:dyDescent="0.3">
      <c r="A94" s="205"/>
      <c r="B94" s="203"/>
      <c r="C94" s="33">
        <v>1.42</v>
      </c>
      <c r="D94" s="101">
        <f>C94*E6</f>
        <v>3743.12</v>
      </c>
      <c r="E94" s="119">
        <v>21</v>
      </c>
      <c r="F94" s="102">
        <v>15</v>
      </c>
      <c r="G94" s="102">
        <v>1</v>
      </c>
      <c r="H94" s="23">
        <f t="shared" si="23"/>
        <v>5620.2535056799989</v>
      </c>
      <c r="I94" s="25">
        <f t="shared" si="24"/>
        <v>67443.042068159994</v>
      </c>
      <c r="J94" s="23">
        <f t="shared" si="20"/>
        <v>50300.842452959987</v>
      </c>
      <c r="K94" s="24">
        <f t="shared" si="21"/>
        <v>3464.2453479999995</v>
      </c>
      <c r="L94" s="24">
        <f t="shared" si="25"/>
        <v>17142.199615200007</v>
      </c>
      <c r="M94" s="25">
        <f t="shared" si="22"/>
        <v>236.11845200000002</v>
      </c>
      <c r="Z94" s="23">
        <f t="shared" si="17"/>
        <v>3377.9811999999997</v>
      </c>
      <c r="AA94" s="136">
        <f t="shared" si="18"/>
        <v>4304.5879999999997</v>
      </c>
      <c r="AB94" s="38">
        <f t="shared" si="19"/>
        <v>926.60680000000002</v>
      </c>
    </row>
    <row r="95" spans="1:28" ht="18" customHeight="1" thickBot="1" x14ac:dyDescent="0.3">
      <c r="A95" s="205"/>
      <c r="B95" s="202" t="s">
        <v>62</v>
      </c>
      <c r="C95" s="33">
        <v>1.52</v>
      </c>
      <c r="D95" s="101">
        <f>C95*E6</f>
        <v>4006.7200000000003</v>
      </c>
      <c r="E95" s="102">
        <v>35</v>
      </c>
      <c r="F95" s="102">
        <v>15</v>
      </c>
      <c r="G95" s="102">
        <v>2</v>
      </c>
      <c r="H95" s="23">
        <f t="shared" si="23"/>
        <v>13424.234889600002</v>
      </c>
      <c r="I95" s="25">
        <f t="shared" si="24"/>
        <v>161090.81867520002</v>
      </c>
      <c r="J95" s="23">
        <f t="shared" si="20"/>
        <v>120145.88373120001</v>
      </c>
      <c r="K95" s="24">
        <f t="shared" si="21"/>
        <v>7416.4125759999997</v>
      </c>
      <c r="L95" s="24">
        <f t="shared" si="25"/>
        <v>40944.934944000008</v>
      </c>
      <c r="M95" s="25">
        <f t="shared" si="22"/>
        <v>505.49302400000005</v>
      </c>
      <c r="Z95" s="23">
        <f t="shared" si="17"/>
        <v>4034.2320000000004</v>
      </c>
      <c r="AA95" s="136">
        <f t="shared" si="18"/>
        <v>4607.7280000000001</v>
      </c>
      <c r="AB95" s="38">
        <f t="shared" si="19"/>
        <v>573.49599999999964</v>
      </c>
    </row>
    <row r="96" spans="1:28" ht="15.75" thickBot="1" x14ac:dyDescent="0.3">
      <c r="A96" s="205"/>
      <c r="B96" s="203"/>
      <c r="C96" s="33">
        <v>1.52</v>
      </c>
      <c r="D96" s="101">
        <f>C96*E6</f>
        <v>4006.7200000000003</v>
      </c>
      <c r="E96" s="119">
        <v>21</v>
      </c>
      <c r="F96" s="102">
        <v>15</v>
      </c>
      <c r="G96" s="102">
        <v>1</v>
      </c>
      <c r="H96" s="23">
        <f t="shared" si="23"/>
        <v>6016.0460060799996</v>
      </c>
      <c r="I96" s="25">
        <f t="shared" si="24"/>
        <v>72192.552072959996</v>
      </c>
      <c r="J96" s="23">
        <f t="shared" si="20"/>
        <v>53843.155301759994</v>
      </c>
      <c r="K96" s="24">
        <f t="shared" si="21"/>
        <v>3708.2062879999999</v>
      </c>
      <c r="L96" s="24">
        <f t="shared" si="25"/>
        <v>18349.396771200001</v>
      </c>
      <c r="M96" s="25">
        <f t="shared" si="22"/>
        <v>252.74651200000002</v>
      </c>
      <c r="Z96" s="23">
        <f t="shared" si="17"/>
        <v>3615.8672000000001</v>
      </c>
      <c r="AA96" s="136">
        <f t="shared" si="18"/>
        <v>4607.7280000000001</v>
      </c>
      <c r="AB96" s="38">
        <f t="shared" si="19"/>
        <v>991.86079999999993</v>
      </c>
    </row>
    <row r="97" spans="1:28" ht="15.75" x14ac:dyDescent="0.25">
      <c r="A97" s="205"/>
      <c r="B97" s="105" t="s">
        <v>63</v>
      </c>
      <c r="C97" s="33">
        <v>1.67</v>
      </c>
      <c r="D97" s="101">
        <f>C97*E6</f>
        <v>4402.12</v>
      </c>
      <c r="E97" s="102">
        <v>35</v>
      </c>
      <c r="F97" s="102">
        <v>15</v>
      </c>
      <c r="G97" s="102">
        <v>1</v>
      </c>
      <c r="H97" s="23">
        <f t="shared" si="23"/>
        <v>7374.4974557999994</v>
      </c>
      <c r="I97" s="25">
        <f t="shared" si="24"/>
        <v>88493.969469599993</v>
      </c>
      <c r="J97" s="23">
        <f t="shared" si="20"/>
        <v>66001.192707599985</v>
      </c>
      <c r="K97" s="24">
        <f t="shared" si="21"/>
        <v>4074.1476979999993</v>
      </c>
      <c r="L97" s="24">
        <f t="shared" si="25"/>
        <v>22492.776762000009</v>
      </c>
      <c r="M97" s="25">
        <f t="shared" si="22"/>
        <v>277.688602</v>
      </c>
      <c r="N97" s="106" t="s">
        <v>64</v>
      </c>
      <c r="O97" s="107"/>
      <c r="P97" s="107"/>
      <c r="Q97" s="108">
        <f>Q91+Q93</f>
        <v>6235396.1267439974</v>
      </c>
      <c r="Z97" s="23">
        <f t="shared" si="17"/>
        <v>4432.3469999999998</v>
      </c>
      <c r="AA97" s="136">
        <f t="shared" si="18"/>
        <v>5062.4379999999992</v>
      </c>
      <c r="AB97" s="38">
        <f t="shared" si="19"/>
        <v>630.09099999999944</v>
      </c>
    </row>
    <row r="98" spans="1:28" ht="15.75" x14ac:dyDescent="0.25">
      <c r="B98" s="109"/>
      <c r="G98" s="110">
        <f>SUM(G76:G97)</f>
        <v>499</v>
      </c>
    </row>
    <row r="99" spans="1:28" ht="15.75" x14ac:dyDescent="0.25">
      <c r="B99" t="s">
        <v>65</v>
      </c>
      <c r="N99" s="111" t="s">
        <v>66</v>
      </c>
      <c r="O99" s="111"/>
      <c r="Q99" s="112">
        <f>Q74+Q97</f>
        <v>14397929.867451198</v>
      </c>
    </row>
    <row r="100" spans="1:28" x14ac:dyDescent="0.25">
      <c r="B100" t="s">
        <v>67</v>
      </c>
      <c r="C100" t="s">
        <v>68</v>
      </c>
    </row>
    <row r="102" spans="1:28" x14ac:dyDescent="0.25">
      <c r="B102" t="s">
        <v>69</v>
      </c>
    </row>
    <row r="103" spans="1:28" ht="15.75" x14ac:dyDescent="0.25">
      <c r="B103" s="113" t="s">
        <v>70</v>
      </c>
    </row>
    <row r="104" spans="1:28" ht="63" x14ac:dyDescent="0.25">
      <c r="B104" s="114" t="s">
        <v>71</v>
      </c>
    </row>
    <row r="105" spans="1:28" x14ac:dyDescent="0.25">
      <c r="B105" t="s">
        <v>72</v>
      </c>
    </row>
    <row r="107" spans="1:28" x14ac:dyDescent="0.25">
      <c r="B107" t="s">
        <v>73</v>
      </c>
    </row>
    <row r="108" spans="1:28" x14ac:dyDescent="0.25">
      <c r="B108" s="115" t="s">
        <v>74</v>
      </c>
      <c r="C108" s="115">
        <v>2018</v>
      </c>
      <c r="D108" s="115">
        <v>2019</v>
      </c>
      <c r="E108" s="115">
        <v>2020</v>
      </c>
      <c r="F108" s="132"/>
    </row>
    <row r="109" spans="1:28" ht="15.75" x14ac:dyDescent="0.25">
      <c r="B109" s="115" t="s">
        <v>75</v>
      </c>
      <c r="C109" s="74">
        <v>3635545</v>
      </c>
      <c r="D109" s="74">
        <v>3635545</v>
      </c>
      <c r="E109" s="65">
        <v>2690868.8597999997</v>
      </c>
      <c r="F109" s="133"/>
    </row>
    <row r="110" spans="1:28" ht="15.75" x14ac:dyDescent="0.25">
      <c r="B110" s="115" t="s">
        <v>76</v>
      </c>
      <c r="C110" s="74">
        <v>0</v>
      </c>
      <c r="D110" s="74">
        <v>542787</v>
      </c>
      <c r="E110" s="65">
        <v>355843.07299999997</v>
      </c>
      <c r="F110" s="133"/>
    </row>
    <row r="111" spans="1:28" ht="15.75" x14ac:dyDescent="0.25">
      <c r="B111" s="115" t="s">
        <v>77</v>
      </c>
      <c r="C111" s="74">
        <v>68429</v>
      </c>
      <c r="D111" s="74">
        <v>68429</v>
      </c>
      <c r="E111" s="65">
        <v>50732.503799999999</v>
      </c>
      <c r="F111" s="133"/>
    </row>
    <row r="112" spans="1:28" ht="15.75" x14ac:dyDescent="0.25">
      <c r="B112" s="115" t="s">
        <v>78</v>
      </c>
      <c r="C112" s="74">
        <v>3204432</v>
      </c>
      <c r="D112" s="74">
        <v>3204432</v>
      </c>
      <c r="E112" s="65">
        <v>2335485.5634000003</v>
      </c>
      <c r="F112" s="133"/>
    </row>
    <row r="113" spans="2:6" x14ac:dyDescent="0.25">
      <c r="B113" s="115" t="s">
        <v>79</v>
      </c>
      <c r="C113" s="74">
        <f>SUM(C109:C112)</f>
        <v>6908406</v>
      </c>
      <c r="D113" s="74">
        <f t="shared" ref="D113:E113" si="26">SUM(D109:D112)</f>
        <v>7451193</v>
      </c>
      <c r="E113" s="74">
        <f t="shared" si="26"/>
        <v>5432930</v>
      </c>
      <c r="F113" s="134"/>
    </row>
    <row r="114" spans="2:6" ht="15.75" x14ac:dyDescent="0.25">
      <c r="B114" s="116" t="s">
        <v>80</v>
      </c>
      <c r="C114" s="117">
        <v>1966</v>
      </c>
      <c r="D114" s="117">
        <v>1966</v>
      </c>
      <c r="E114" s="117">
        <v>2202</v>
      </c>
      <c r="F114" s="135"/>
    </row>
  </sheetData>
  <mergeCells count="52">
    <mergeCell ref="C8:D8"/>
    <mergeCell ref="H8:I8"/>
    <mergeCell ref="J8:K8"/>
    <mergeCell ref="C9:D9"/>
    <mergeCell ref="A11:A53"/>
    <mergeCell ref="B11:B17"/>
    <mergeCell ref="B19:B24"/>
    <mergeCell ref="B25:B29"/>
    <mergeCell ref="B30:B35"/>
    <mergeCell ref="B36:B37"/>
    <mergeCell ref="B38:B41"/>
    <mergeCell ref="B42:B47"/>
    <mergeCell ref="O47:P47"/>
    <mergeCell ref="B48:B50"/>
    <mergeCell ref="O48:P48"/>
    <mergeCell ref="O50:P50"/>
    <mergeCell ref="C75:D75"/>
    <mergeCell ref="B51:B52"/>
    <mergeCell ref="O51:P51"/>
    <mergeCell ref="A55:A67"/>
    <mergeCell ref="B55:B60"/>
    <mergeCell ref="O59:P59"/>
    <mergeCell ref="O60:P60"/>
    <mergeCell ref="B61:B66"/>
    <mergeCell ref="O61:P61"/>
    <mergeCell ref="O63:P63"/>
    <mergeCell ref="O64:P64"/>
    <mergeCell ref="A69:A71"/>
    <mergeCell ref="O69:P69"/>
    <mergeCell ref="O70:P70"/>
    <mergeCell ref="O71:P71"/>
    <mergeCell ref="O72:P72"/>
    <mergeCell ref="B93:B94"/>
    <mergeCell ref="O93:P93"/>
    <mergeCell ref="A76:A97"/>
    <mergeCell ref="B76:B78"/>
    <mergeCell ref="B79:B80"/>
    <mergeCell ref="B81:B82"/>
    <mergeCell ref="B83:B85"/>
    <mergeCell ref="B86:B87"/>
    <mergeCell ref="B95:B96"/>
    <mergeCell ref="O86:P86"/>
    <mergeCell ref="O87:P87"/>
    <mergeCell ref="B88:B89"/>
    <mergeCell ref="B90:B92"/>
    <mergeCell ref="O91:P91"/>
    <mergeCell ref="W76:W78"/>
    <mergeCell ref="W79:W80"/>
    <mergeCell ref="W56:W58"/>
    <mergeCell ref="W59:W60"/>
    <mergeCell ref="W45:W47"/>
    <mergeCell ref="W48:W49"/>
  </mergeCells>
  <hyperlinks>
    <hyperlink ref="B10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opLeftCell="A5" zoomScale="70" zoomScaleNormal="70" workbookViewId="0">
      <pane ySplit="3945" topLeftCell="A63" activePane="bottomLeft"/>
      <selection activeCell="A5" sqref="A5"/>
      <selection pane="bottomLeft" activeCell="N69" sqref="N69"/>
    </sheetView>
  </sheetViews>
  <sheetFormatPr defaultRowHeight="15" x14ac:dyDescent="0.25"/>
  <cols>
    <col min="1" max="1" width="4.28515625" customWidth="1"/>
    <col min="2" max="2" width="33.7109375" customWidth="1"/>
    <col min="3" max="3" width="14.42578125" customWidth="1"/>
    <col min="4" max="4" width="11.85546875" customWidth="1"/>
    <col min="5" max="6" width="13.42578125" customWidth="1"/>
    <col min="7" max="8" width="13.7109375" customWidth="1"/>
    <col min="9" max="10" width="20.5703125" customWidth="1"/>
    <col min="11" max="11" width="21.140625" customWidth="1"/>
    <col min="12" max="12" width="21.85546875" style="138" customWidth="1"/>
    <col min="13" max="13" width="20.28515625" customWidth="1"/>
    <col min="14" max="14" width="19.42578125" customWidth="1"/>
    <col min="15" max="16" width="23.42578125" customWidth="1"/>
    <col min="17" max="17" width="11.85546875" customWidth="1"/>
  </cols>
  <sheetData>
    <row r="1" spans="1:16" ht="15.75" hidden="1" x14ac:dyDescent="0.25">
      <c r="I1" s="1" t="s">
        <v>0</v>
      </c>
    </row>
    <row r="2" spans="1:16" ht="15.75" hidden="1" x14ac:dyDescent="0.25">
      <c r="I2" s="1" t="s">
        <v>1</v>
      </c>
    </row>
    <row r="3" spans="1:16" ht="15.75" hidden="1" x14ac:dyDescent="0.25">
      <c r="I3" s="1" t="s">
        <v>2</v>
      </c>
    </row>
    <row r="4" spans="1:16" ht="15.75" hidden="1" x14ac:dyDescent="0.25">
      <c r="I4" s="1" t="s">
        <v>3</v>
      </c>
    </row>
    <row r="5" spans="1:16" ht="15.75" x14ac:dyDescent="0.25">
      <c r="I5" s="1"/>
      <c r="N5" t="s">
        <v>188</v>
      </c>
    </row>
    <row r="6" spans="1:16" ht="15.75" x14ac:dyDescent="0.25">
      <c r="I6" s="1"/>
    </row>
    <row r="7" spans="1:16" ht="15.75" customHeight="1" x14ac:dyDescent="0.25">
      <c r="B7" s="235" t="s">
        <v>186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6" ht="15.75" x14ac:dyDescent="0.25">
      <c r="I8" s="1"/>
      <c r="L8" s="63"/>
    </row>
    <row r="9" spans="1:16" x14ac:dyDescent="0.25">
      <c r="L9" s="63"/>
      <c r="M9" s="2"/>
    </row>
    <row r="10" spans="1:16" ht="18.75" x14ac:dyDescent="0.3">
      <c r="B10" t="s">
        <v>4</v>
      </c>
      <c r="E10" s="146"/>
      <c r="F10" s="3">
        <v>2695</v>
      </c>
      <c r="G10">
        <v>1966</v>
      </c>
      <c r="I10" s="1" t="s">
        <v>5</v>
      </c>
      <c r="J10">
        <f>F10-G10</f>
        <v>729</v>
      </c>
      <c r="K10" s="4">
        <f>F10/G10-1</f>
        <v>0.37080366225839279</v>
      </c>
      <c r="L10" s="197"/>
    </row>
    <row r="11" spans="1:16" x14ac:dyDescent="0.25">
      <c r="L11" s="63"/>
    </row>
    <row r="12" spans="1:16" s="5" customFormat="1" ht="29.25" customHeight="1" x14ac:dyDescent="0.25">
      <c r="C12" s="222" t="s">
        <v>6</v>
      </c>
      <c r="D12" s="223"/>
      <c r="G12" s="6" t="s">
        <v>7</v>
      </c>
      <c r="H12" s="6"/>
      <c r="I12" s="224" t="s">
        <v>8</v>
      </c>
      <c r="J12" s="225"/>
      <c r="K12" s="144" t="s">
        <v>9</v>
      </c>
      <c r="L12" s="145"/>
    </row>
    <row r="13" spans="1:16" ht="62.25" customHeight="1" x14ac:dyDescent="0.25">
      <c r="B13" s="247" t="s">
        <v>112</v>
      </c>
      <c r="C13" s="228" t="s">
        <v>103</v>
      </c>
      <c r="D13" s="229"/>
      <c r="E13" s="247" t="s">
        <v>109</v>
      </c>
      <c r="F13" s="247" t="s">
        <v>102</v>
      </c>
      <c r="G13" s="236" t="s">
        <v>13</v>
      </c>
      <c r="H13" s="236" t="s">
        <v>114</v>
      </c>
      <c r="I13" s="238" t="s">
        <v>14</v>
      </c>
      <c r="J13" s="240" t="s">
        <v>98</v>
      </c>
      <c r="K13" s="242" t="s">
        <v>99</v>
      </c>
      <c r="L13" s="245" t="s">
        <v>17</v>
      </c>
      <c r="M13" s="244" t="s">
        <v>100</v>
      </c>
      <c r="N13" s="244" t="s">
        <v>101</v>
      </c>
      <c r="O13" s="242" t="s">
        <v>117</v>
      </c>
      <c r="P13" s="164"/>
    </row>
    <row r="14" spans="1:16" ht="62.25" customHeight="1" x14ac:dyDescent="0.25">
      <c r="B14" s="248"/>
      <c r="C14" s="147" t="s">
        <v>95</v>
      </c>
      <c r="D14" s="147" t="s">
        <v>96</v>
      </c>
      <c r="E14" s="248"/>
      <c r="F14" s="248"/>
      <c r="G14" s="237"/>
      <c r="H14" s="249"/>
      <c r="I14" s="239"/>
      <c r="J14" s="241"/>
      <c r="K14" s="243"/>
      <c r="L14" s="246"/>
      <c r="M14" s="244"/>
      <c r="N14" s="244"/>
      <c r="O14" s="243"/>
      <c r="P14" s="164"/>
    </row>
    <row r="15" spans="1:16" s="12" customFormat="1" ht="45.75" customHeight="1" thickBot="1" x14ac:dyDescent="0.25">
      <c r="A15" s="12">
        <v>1</v>
      </c>
      <c r="B15" s="13">
        <v>2</v>
      </c>
      <c r="C15" s="150">
        <v>3</v>
      </c>
      <c r="D15" s="148" t="s">
        <v>97</v>
      </c>
      <c r="E15" s="13">
        <v>5</v>
      </c>
      <c r="F15" s="13">
        <v>6</v>
      </c>
      <c r="G15" s="16">
        <v>7</v>
      </c>
      <c r="H15" s="18" t="s">
        <v>113</v>
      </c>
      <c r="I15" s="17" t="s">
        <v>106</v>
      </c>
      <c r="J15" s="12" t="s">
        <v>104</v>
      </c>
      <c r="K15" s="13" t="s">
        <v>105</v>
      </c>
      <c r="L15" s="139"/>
      <c r="M15" s="150" t="s">
        <v>107</v>
      </c>
      <c r="N15" s="165" t="s">
        <v>108</v>
      </c>
      <c r="O15" s="148" t="s">
        <v>118</v>
      </c>
      <c r="P15" s="149"/>
    </row>
    <row r="16" spans="1:16" ht="22.5" customHeight="1" thickBot="1" x14ac:dyDescent="0.3">
      <c r="A16" s="230" t="s">
        <v>20</v>
      </c>
      <c r="B16" s="231" t="s">
        <v>21</v>
      </c>
      <c r="C16" s="151">
        <v>1</v>
      </c>
      <c r="D16" s="152">
        <f>C16*F10</f>
        <v>2695</v>
      </c>
      <c r="E16" s="21">
        <v>35</v>
      </c>
      <c r="F16" s="129">
        <v>10</v>
      </c>
      <c r="G16" s="22">
        <v>69</v>
      </c>
      <c r="H16" s="154">
        <f>D16*(1+F16/100)</f>
        <v>2964.5000000000005</v>
      </c>
      <c r="I16" s="23">
        <f>(D16*(1+F16/100)*G16)*1.2409</f>
        <v>253826.71545000002</v>
      </c>
      <c r="J16" s="23">
        <f>I16*12</f>
        <v>3045920.5854000002</v>
      </c>
      <c r="K16" s="23">
        <f t="shared" ref="K16:K56" si="0">(1966*C16)*(1+E16/100)*G16*12*1.2409</f>
        <v>2726995.3873200002</v>
      </c>
      <c r="L16" s="140">
        <f>1966*C16*G16*1.2409</f>
        <v>168333.04859999998</v>
      </c>
      <c r="M16" s="97">
        <f>J16-K16</f>
        <v>318925.19808</v>
      </c>
      <c r="N16" s="97">
        <f t="shared" ref="N16:N45" si="1">((D16-1966*C16)*20%)*G16*1.2409</f>
        <v>12483.70218</v>
      </c>
      <c r="O16" s="25">
        <f>K16+M16+N16</f>
        <v>3058404.2875800002</v>
      </c>
      <c r="P16" s="81"/>
    </row>
    <row r="17" spans="1:16" ht="22.5" customHeight="1" thickBot="1" x14ac:dyDescent="0.3">
      <c r="A17" s="230"/>
      <c r="B17" s="232"/>
      <c r="C17" s="26">
        <v>1</v>
      </c>
      <c r="D17" s="27">
        <f>C17*F10</f>
        <v>2695</v>
      </c>
      <c r="E17" s="28">
        <v>28</v>
      </c>
      <c r="F17" s="102">
        <v>10</v>
      </c>
      <c r="G17" s="29">
        <v>29</v>
      </c>
      <c r="H17" s="154">
        <f t="shared" ref="H17:H68" si="2">D17*(1+F17/100)</f>
        <v>2964.5000000000005</v>
      </c>
      <c r="I17" s="23">
        <f t="shared" ref="I17:I45" si="3">(D17*(1+F17/100)*G17)*1.2409</f>
        <v>106680.79345000001</v>
      </c>
      <c r="J17" s="25">
        <f>I17*12</f>
        <v>1280169.5214000002</v>
      </c>
      <c r="K17" s="23">
        <f t="shared" si="0"/>
        <v>1086699.6111359999</v>
      </c>
      <c r="L17" s="140">
        <f t="shared" ref="L17:L24" si="4">1966*C17*G17*1.2409</f>
        <v>70748.672599999991</v>
      </c>
      <c r="M17" s="24">
        <f t="shared" ref="M17:M76" si="5">J17-K17</f>
        <v>193469.9102640003</v>
      </c>
      <c r="N17" s="166">
        <f t="shared" si="1"/>
        <v>5246.7733800000005</v>
      </c>
      <c r="O17" s="25">
        <f t="shared" ref="O17:O68" si="6">K17+M17+N17</f>
        <v>1285416.2947800001</v>
      </c>
      <c r="P17" s="81"/>
    </row>
    <row r="18" spans="1:16" ht="22.5" customHeight="1" thickBot="1" x14ac:dyDescent="0.3">
      <c r="A18" s="230"/>
      <c r="B18" s="232"/>
      <c r="C18" s="30">
        <v>1</v>
      </c>
      <c r="D18" s="27">
        <f>C18*F10</f>
        <v>2695</v>
      </c>
      <c r="E18" s="28">
        <v>21</v>
      </c>
      <c r="F18" s="102">
        <v>10</v>
      </c>
      <c r="G18" s="29">
        <v>81</v>
      </c>
      <c r="H18" s="154">
        <f t="shared" si="2"/>
        <v>2964.5000000000005</v>
      </c>
      <c r="I18" s="23">
        <f t="shared" si="3"/>
        <v>297970.49205</v>
      </c>
      <c r="J18" s="25">
        <f t="shared" ref="J18:J68" si="7">I18*12</f>
        <v>3575645.9046</v>
      </c>
      <c r="K18" s="23">
        <f t="shared" si="0"/>
        <v>2869273.4075279995</v>
      </c>
      <c r="L18" s="140">
        <f t="shared" si="4"/>
        <v>197608.36139999999</v>
      </c>
      <c r="M18" s="24">
        <f t="shared" si="5"/>
        <v>706372.49707200052</v>
      </c>
      <c r="N18" s="166">
        <f t="shared" si="1"/>
        <v>14654.78082</v>
      </c>
      <c r="O18" s="25">
        <f t="shared" si="6"/>
        <v>3590300.68542</v>
      </c>
      <c r="P18" s="81"/>
    </row>
    <row r="19" spans="1:16" ht="22.5" customHeight="1" thickBot="1" x14ac:dyDescent="0.3">
      <c r="A19" s="230"/>
      <c r="B19" s="232"/>
      <c r="C19" s="30">
        <v>1</v>
      </c>
      <c r="D19" s="27">
        <f>C19*F10</f>
        <v>2695</v>
      </c>
      <c r="E19" s="28">
        <v>14</v>
      </c>
      <c r="F19" s="120">
        <v>5</v>
      </c>
      <c r="G19" s="29">
        <v>46</v>
      </c>
      <c r="H19" s="154">
        <f t="shared" si="2"/>
        <v>2829.75</v>
      </c>
      <c r="I19" s="23">
        <f t="shared" si="3"/>
        <v>161526.09164999999</v>
      </c>
      <c r="J19" s="25">
        <f t="shared" si="7"/>
        <v>1938313.0998</v>
      </c>
      <c r="K19" s="23">
        <f t="shared" si="0"/>
        <v>1535197.4032319998</v>
      </c>
      <c r="L19" s="140">
        <f t="shared" si="4"/>
        <v>112222.0324</v>
      </c>
      <c r="M19" s="24">
        <f t="shared" si="5"/>
        <v>403115.69656800013</v>
      </c>
      <c r="N19" s="166">
        <f t="shared" si="1"/>
        <v>8322.4681199999995</v>
      </c>
      <c r="O19" s="25">
        <f t="shared" si="6"/>
        <v>1946635.5679200001</v>
      </c>
      <c r="P19" s="81"/>
    </row>
    <row r="20" spans="1:16" ht="22.5" customHeight="1" thickBot="1" x14ac:dyDescent="0.3">
      <c r="A20" s="230"/>
      <c r="B20" s="232"/>
      <c r="C20" s="30">
        <v>1</v>
      </c>
      <c r="D20" s="27">
        <f>C20*F10</f>
        <v>2695</v>
      </c>
      <c r="E20" s="28">
        <v>7</v>
      </c>
      <c r="F20" s="153">
        <v>0</v>
      </c>
      <c r="G20" s="29">
        <v>32</v>
      </c>
      <c r="H20" s="154">
        <f t="shared" si="2"/>
        <v>2695</v>
      </c>
      <c r="I20" s="23">
        <f t="shared" si="3"/>
        <v>107015.21599999999</v>
      </c>
      <c r="J20" s="25">
        <f t="shared" si="7"/>
        <v>1284182.5919999997</v>
      </c>
      <c r="K20" s="23">
        <f t="shared" si="0"/>
        <v>1002386.7102720001</v>
      </c>
      <c r="L20" s="140">
        <f t="shared" si="4"/>
        <v>78067.500799999994</v>
      </c>
      <c r="M20" s="24">
        <f t="shared" si="5"/>
        <v>281795.88172799966</v>
      </c>
      <c r="N20" s="166">
        <f t="shared" si="1"/>
        <v>5789.5430399999996</v>
      </c>
      <c r="O20" s="25">
        <f t="shared" si="6"/>
        <v>1289972.1350399996</v>
      </c>
      <c r="P20" s="81"/>
    </row>
    <row r="21" spans="1:16" ht="22.5" customHeight="1" thickBot="1" x14ac:dyDescent="0.3">
      <c r="A21" s="230"/>
      <c r="B21" s="233"/>
      <c r="C21" s="30">
        <v>1</v>
      </c>
      <c r="D21" s="27">
        <f>C21*F10</f>
        <v>2695</v>
      </c>
      <c r="E21" s="28">
        <v>0</v>
      </c>
      <c r="F21" s="28">
        <v>0</v>
      </c>
      <c r="G21" s="29">
        <v>44</v>
      </c>
      <c r="H21" s="154">
        <f t="shared" si="2"/>
        <v>2695</v>
      </c>
      <c r="I21" s="23">
        <f t="shared" si="3"/>
        <v>147145.92199999999</v>
      </c>
      <c r="J21" s="25">
        <f t="shared" si="7"/>
        <v>1765751.0639999998</v>
      </c>
      <c r="K21" s="23">
        <f t="shared" si="0"/>
        <v>1288113.7631999999</v>
      </c>
      <c r="L21" s="140">
        <f t="shared" si="4"/>
        <v>107342.81359999999</v>
      </c>
      <c r="M21" s="24">
        <f t="shared" si="5"/>
        <v>477637.30079999985</v>
      </c>
      <c r="N21" s="166">
        <f t="shared" si="1"/>
        <v>7960.6216800000002</v>
      </c>
      <c r="O21" s="25">
        <f t="shared" si="6"/>
        <v>1773711.6856799999</v>
      </c>
      <c r="P21" s="81"/>
    </row>
    <row r="22" spans="1:16" ht="27.75" customHeight="1" thickBot="1" x14ac:dyDescent="0.3">
      <c r="A22" s="230"/>
      <c r="B22" s="220" t="s">
        <v>23</v>
      </c>
      <c r="C22" s="33">
        <v>1.1000000000000001</v>
      </c>
      <c r="D22" s="27">
        <f>C22*F10</f>
        <v>2964.5000000000005</v>
      </c>
      <c r="E22" s="28">
        <v>35</v>
      </c>
      <c r="F22" s="102">
        <v>10</v>
      </c>
      <c r="G22" s="29">
        <v>5</v>
      </c>
      <c r="H22" s="154">
        <f t="shared" si="2"/>
        <v>3260.9500000000007</v>
      </c>
      <c r="I22" s="23">
        <f t="shared" si="3"/>
        <v>20232.564275000004</v>
      </c>
      <c r="J22" s="25">
        <f t="shared" si="7"/>
        <v>242790.77130000005</v>
      </c>
      <c r="K22" s="23">
        <f t="shared" si="0"/>
        <v>217369.19754000002</v>
      </c>
      <c r="L22" s="140">
        <f t="shared" si="4"/>
        <v>13417.851700000001</v>
      </c>
      <c r="M22" s="24">
        <f t="shared" si="5"/>
        <v>25421.573760000028</v>
      </c>
      <c r="N22" s="166">
        <f t="shared" si="1"/>
        <v>995.07771000000002</v>
      </c>
      <c r="O22" s="25">
        <f t="shared" si="6"/>
        <v>243785.84901000006</v>
      </c>
      <c r="P22" s="81"/>
    </row>
    <row r="23" spans="1:16" ht="25.5" customHeight="1" thickBot="1" x14ac:dyDescent="0.3">
      <c r="A23" s="230"/>
      <c r="B23" s="234"/>
      <c r="C23" s="33">
        <v>1.1000000000000001</v>
      </c>
      <c r="D23" s="27">
        <f>C23*F10</f>
        <v>2964.5000000000005</v>
      </c>
      <c r="E23" s="28">
        <v>28</v>
      </c>
      <c r="F23" s="102">
        <v>10</v>
      </c>
      <c r="G23" s="29">
        <v>2</v>
      </c>
      <c r="H23" s="154">
        <f t="shared" si="2"/>
        <v>3260.9500000000007</v>
      </c>
      <c r="I23" s="23">
        <f t="shared" si="3"/>
        <v>8093.0257100000008</v>
      </c>
      <c r="J23" s="25">
        <f t="shared" si="7"/>
        <v>97116.308520000006</v>
      </c>
      <c r="K23" s="23">
        <f t="shared" si="0"/>
        <v>82439.280844800014</v>
      </c>
      <c r="L23" s="140">
        <f t="shared" si="4"/>
        <v>5367.1406800000004</v>
      </c>
      <c r="M23" s="24">
        <f t="shared" si="5"/>
        <v>14677.027675199992</v>
      </c>
      <c r="N23" s="166">
        <f t="shared" si="1"/>
        <v>398.03108400000002</v>
      </c>
      <c r="O23" s="25">
        <f t="shared" si="6"/>
        <v>97514.339604000008</v>
      </c>
      <c r="P23" s="81"/>
    </row>
    <row r="24" spans="1:16" ht="24.75" customHeight="1" thickBot="1" x14ac:dyDescent="0.3">
      <c r="A24" s="230"/>
      <c r="B24" s="234"/>
      <c r="C24" s="33">
        <v>1.1000000000000001</v>
      </c>
      <c r="D24" s="35">
        <f>C24*F10</f>
        <v>2964.5000000000005</v>
      </c>
      <c r="E24" s="28">
        <v>21</v>
      </c>
      <c r="F24" s="102">
        <v>10</v>
      </c>
      <c r="G24" s="29">
        <v>3</v>
      </c>
      <c r="H24" s="154">
        <f t="shared" si="2"/>
        <v>3260.9500000000007</v>
      </c>
      <c r="I24" s="23">
        <f t="shared" si="3"/>
        <v>12139.538565000001</v>
      </c>
      <c r="J24" s="25">
        <f t="shared" si="7"/>
        <v>145674.46278</v>
      </c>
      <c r="K24" s="23">
        <f t="shared" si="0"/>
        <v>116896.32401040001</v>
      </c>
      <c r="L24" s="140">
        <f t="shared" si="4"/>
        <v>8050.7110200000006</v>
      </c>
      <c r="M24" s="24">
        <f t="shared" si="5"/>
        <v>28778.138769599987</v>
      </c>
      <c r="N24" s="166">
        <f t="shared" si="1"/>
        <v>597.04662600000006</v>
      </c>
      <c r="O24" s="25">
        <f t="shared" si="6"/>
        <v>146271.509406</v>
      </c>
      <c r="P24" s="81"/>
    </row>
    <row r="25" spans="1:16" ht="24.75" customHeight="1" thickBot="1" x14ac:dyDescent="0.3">
      <c r="A25" s="230"/>
      <c r="B25" s="234"/>
      <c r="C25" s="33">
        <v>1.1000000000000001</v>
      </c>
      <c r="D25" s="35">
        <f>C25*F10</f>
        <v>2964.5000000000005</v>
      </c>
      <c r="E25" s="28">
        <v>14</v>
      </c>
      <c r="F25" s="120">
        <v>5</v>
      </c>
      <c r="G25" s="29">
        <v>5</v>
      </c>
      <c r="H25" s="154">
        <f t="shared" si="2"/>
        <v>3112.7250000000008</v>
      </c>
      <c r="I25" s="23">
        <f t="shared" si="3"/>
        <v>19312.902262500003</v>
      </c>
      <c r="J25" s="25">
        <f t="shared" si="7"/>
        <v>231754.82715000003</v>
      </c>
      <c r="K25" s="23">
        <f t="shared" si="0"/>
        <v>183556.21125600001</v>
      </c>
      <c r="L25" s="140">
        <f>1647*C25*G25*1.2409</f>
        <v>11240.692649999999</v>
      </c>
      <c r="M25" s="24">
        <f t="shared" si="5"/>
        <v>48198.615894000017</v>
      </c>
      <c r="N25" s="166">
        <f t="shared" si="1"/>
        <v>995.07771000000002</v>
      </c>
      <c r="O25" s="25">
        <f t="shared" si="6"/>
        <v>232749.90486000004</v>
      </c>
      <c r="P25" s="81"/>
    </row>
    <row r="26" spans="1:16" ht="21" customHeight="1" thickBot="1" x14ac:dyDescent="0.3">
      <c r="A26" s="230"/>
      <c r="B26" s="234"/>
      <c r="C26" s="33">
        <v>1.1000000000000001</v>
      </c>
      <c r="D26" s="35">
        <f>C26*F10</f>
        <v>2964.5000000000005</v>
      </c>
      <c r="E26" s="28">
        <v>7</v>
      </c>
      <c r="F26" s="153">
        <v>0</v>
      </c>
      <c r="G26" s="29">
        <v>2</v>
      </c>
      <c r="H26" s="154">
        <f t="shared" si="2"/>
        <v>2964.5000000000005</v>
      </c>
      <c r="I26" s="23">
        <f t="shared" si="3"/>
        <v>7357.2961000000005</v>
      </c>
      <c r="J26" s="25">
        <f t="shared" si="7"/>
        <v>88287.553200000009</v>
      </c>
      <c r="K26" s="23">
        <f t="shared" si="0"/>
        <v>68914.086331200015</v>
      </c>
      <c r="L26" s="140">
        <f t="shared" ref="L26:L56" si="8">1966*C26*G26*1.2409</f>
        <v>5367.1406800000004</v>
      </c>
      <c r="M26" s="24">
        <f t="shared" si="5"/>
        <v>19373.466868799995</v>
      </c>
      <c r="N26" s="166">
        <f t="shared" si="1"/>
        <v>398.03108400000002</v>
      </c>
      <c r="O26" s="25">
        <f t="shared" si="6"/>
        <v>88685.584284000011</v>
      </c>
      <c r="P26" s="81"/>
    </row>
    <row r="27" spans="1:16" ht="21" customHeight="1" thickBot="1" x14ac:dyDescent="0.3">
      <c r="A27" s="230"/>
      <c r="B27" s="221"/>
      <c r="C27" s="36">
        <v>1.1000000000000001</v>
      </c>
      <c r="D27" s="35">
        <f>C27*F10</f>
        <v>2964.5000000000005</v>
      </c>
      <c r="E27" s="28">
        <v>0</v>
      </c>
      <c r="F27" s="28">
        <v>0</v>
      </c>
      <c r="G27" s="29">
        <v>0</v>
      </c>
      <c r="H27" s="154">
        <f t="shared" si="2"/>
        <v>2964.5000000000005</v>
      </c>
      <c r="I27" s="23">
        <f t="shared" si="3"/>
        <v>0</v>
      </c>
      <c r="J27" s="25">
        <f t="shared" si="7"/>
        <v>0</v>
      </c>
      <c r="K27" s="23">
        <f t="shared" si="0"/>
        <v>0</v>
      </c>
      <c r="L27" s="140">
        <f t="shared" si="8"/>
        <v>0</v>
      </c>
      <c r="M27" s="24">
        <f t="shared" si="5"/>
        <v>0</v>
      </c>
      <c r="N27" s="166">
        <f t="shared" si="1"/>
        <v>0</v>
      </c>
      <c r="O27" s="25">
        <f t="shared" si="6"/>
        <v>0</v>
      </c>
      <c r="P27" s="81"/>
    </row>
    <row r="28" spans="1:16" ht="28.5" customHeight="1" thickBot="1" x14ac:dyDescent="0.3">
      <c r="A28" s="230"/>
      <c r="B28" s="220" t="s">
        <v>24</v>
      </c>
      <c r="C28" s="33">
        <v>1.2</v>
      </c>
      <c r="D28" s="35">
        <f>C28*F10</f>
        <v>3234</v>
      </c>
      <c r="E28" s="28">
        <v>35</v>
      </c>
      <c r="F28" s="102">
        <v>10</v>
      </c>
      <c r="G28" s="29">
        <v>3</v>
      </c>
      <c r="H28" s="154">
        <f t="shared" si="2"/>
        <v>3557.4</v>
      </c>
      <c r="I28" s="23">
        <f t="shared" si="3"/>
        <v>13243.13298</v>
      </c>
      <c r="J28" s="25">
        <f t="shared" si="7"/>
        <v>158917.59576</v>
      </c>
      <c r="K28" s="23">
        <f t="shared" si="0"/>
        <v>142278.02020799997</v>
      </c>
      <c r="L28" s="140">
        <f t="shared" si="8"/>
        <v>8782.5938399999977</v>
      </c>
      <c r="M28" s="24">
        <f t="shared" si="5"/>
        <v>16639.575552000024</v>
      </c>
      <c r="N28" s="166">
        <f t="shared" si="1"/>
        <v>651.32359200000008</v>
      </c>
      <c r="O28" s="25">
        <f t="shared" si="6"/>
        <v>159568.919352</v>
      </c>
      <c r="P28" s="81"/>
    </row>
    <row r="29" spans="1:16" ht="21.75" customHeight="1" thickBot="1" x14ac:dyDescent="0.3">
      <c r="A29" s="230"/>
      <c r="B29" s="234"/>
      <c r="C29" s="33">
        <v>1.2</v>
      </c>
      <c r="D29" s="35">
        <f>C29*F10</f>
        <v>3234</v>
      </c>
      <c r="E29" s="28">
        <v>28</v>
      </c>
      <c r="F29" s="102">
        <v>10</v>
      </c>
      <c r="G29" s="29">
        <v>5</v>
      </c>
      <c r="H29" s="154">
        <f t="shared" si="2"/>
        <v>3557.4</v>
      </c>
      <c r="I29" s="23">
        <f t="shared" si="3"/>
        <v>22071.888299999999</v>
      </c>
      <c r="J29" s="25">
        <f t="shared" si="7"/>
        <v>264862.65960000001</v>
      </c>
      <c r="K29" s="23">
        <f t="shared" si="0"/>
        <v>224834.40230399999</v>
      </c>
      <c r="L29" s="140">
        <f t="shared" si="8"/>
        <v>14637.656399999998</v>
      </c>
      <c r="M29" s="24">
        <f t="shared" si="5"/>
        <v>40028.257296000025</v>
      </c>
      <c r="N29" s="166">
        <f t="shared" si="1"/>
        <v>1085.5393200000001</v>
      </c>
      <c r="O29" s="25">
        <f t="shared" si="6"/>
        <v>265948.19892</v>
      </c>
      <c r="P29" s="81"/>
    </row>
    <row r="30" spans="1:16" ht="19.5" customHeight="1" thickBot="1" x14ac:dyDescent="0.3">
      <c r="A30" s="230"/>
      <c r="B30" s="234"/>
      <c r="C30" s="33">
        <v>1.2</v>
      </c>
      <c r="D30" s="35">
        <f>C30*F10</f>
        <v>3234</v>
      </c>
      <c r="E30" s="28">
        <v>21</v>
      </c>
      <c r="F30" s="102">
        <v>10</v>
      </c>
      <c r="G30" s="29">
        <v>1</v>
      </c>
      <c r="H30" s="154">
        <f t="shared" si="2"/>
        <v>3557.4</v>
      </c>
      <c r="I30" s="23">
        <f t="shared" si="3"/>
        <v>4414.3776600000001</v>
      </c>
      <c r="J30" s="25">
        <f t="shared" si="7"/>
        <v>52972.531920000001</v>
      </c>
      <c r="K30" s="23">
        <f t="shared" si="0"/>
        <v>42507.754185599988</v>
      </c>
      <c r="L30" s="140">
        <f t="shared" si="8"/>
        <v>2927.5312799999997</v>
      </c>
      <c r="M30" s="24">
        <f t="shared" si="5"/>
        <v>10464.777734400013</v>
      </c>
      <c r="N30" s="166">
        <f t="shared" si="1"/>
        <v>217.10786400000003</v>
      </c>
      <c r="O30" s="25">
        <f t="shared" si="6"/>
        <v>53189.639783999999</v>
      </c>
      <c r="P30" s="81"/>
    </row>
    <row r="31" spans="1:16" ht="19.5" customHeight="1" thickBot="1" x14ac:dyDescent="0.3">
      <c r="A31" s="230"/>
      <c r="B31" s="234"/>
      <c r="C31" s="33">
        <v>1.2</v>
      </c>
      <c r="D31" s="35">
        <f>C31*F10</f>
        <v>3234</v>
      </c>
      <c r="E31" s="28">
        <v>7</v>
      </c>
      <c r="F31" s="153">
        <v>0</v>
      </c>
      <c r="G31" s="29">
        <v>1</v>
      </c>
      <c r="H31" s="154">
        <f t="shared" si="2"/>
        <v>3234</v>
      </c>
      <c r="I31" s="23">
        <f t="shared" si="3"/>
        <v>4013.0705999999996</v>
      </c>
      <c r="J31" s="25">
        <f t="shared" si="7"/>
        <v>48156.847199999997</v>
      </c>
      <c r="K31" s="23">
        <f t="shared" si="0"/>
        <v>37589.501635199995</v>
      </c>
      <c r="L31" s="140">
        <f t="shared" si="8"/>
        <v>2927.5312799999997</v>
      </c>
      <c r="M31" s="24">
        <f t="shared" si="5"/>
        <v>10567.345564800002</v>
      </c>
      <c r="N31" s="166">
        <f t="shared" si="1"/>
        <v>217.10786400000003</v>
      </c>
      <c r="O31" s="25">
        <f t="shared" si="6"/>
        <v>48373.955063999994</v>
      </c>
      <c r="P31" s="81"/>
    </row>
    <row r="32" spans="1:16" ht="22.5" customHeight="1" thickBot="1" x14ac:dyDescent="0.3">
      <c r="A32" s="230"/>
      <c r="B32" s="220" t="s">
        <v>25</v>
      </c>
      <c r="C32" s="33">
        <v>1</v>
      </c>
      <c r="D32" s="35">
        <f>C32*F10</f>
        <v>2695</v>
      </c>
      <c r="E32" s="28">
        <v>35</v>
      </c>
      <c r="F32" s="102">
        <v>10</v>
      </c>
      <c r="G32" s="29">
        <v>25</v>
      </c>
      <c r="H32" s="154">
        <f t="shared" si="2"/>
        <v>2964.5000000000005</v>
      </c>
      <c r="I32" s="23">
        <f t="shared" si="3"/>
        <v>91966.201250000013</v>
      </c>
      <c r="J32" s="25">
        <f t="shared" si="7"/>
        <v>1103594.415</v>
      </c>
      <c r="K32" s="23">
        <f t="shared" si="0"/>
        <v>988041.80700000015</v>
      </c>
      <c r="L32" s="140">
        <f t="shared" si="8"/>
        <v>60990.234999999993</v>
      </c>
      <c r="M32" s="24">
        <f t="shared" si="5"/>
        <v>115552.60799999989</v>
      </c>
      <c r="N32" s="166">
        <f t="shared" si="1"/>
        <v>4523.0805</v>
      </c>
      <c r="O32" s="25">
        <f t="shared" si="6"/>
        <v>1108117.4955</v>
      </c>
      <c r="P32" s="81"/>
    </row>
    <row r="33" spans="1:16" ht="22.5" customHeight="1" thickBot="1" x14ac:dyDescent="0.3">
      <c r="A33" s="230"/>
      <c r="B33" s="234"/>
      <c r="C33" s="33">
        <v>1</v>
      </c>
      <c r="D33" s="35">
        <f>C33*F10</f>
        <v>2695</v>
      </c>
      <c r="E33" s="28">
        <v>28</v>
      </c>
      <c r="F33" s="102">
        <v>10</v>
      </c>
      <c r="G33" s="29">
        <v>1</v>
      </c>
      <c r="H33" s="154">
        <f t="shared" si="2"/>
        <v>2964.5000000000005</v>
      </c>
      <c r="I33" s="23">
        <f t="shared" si="3"/>
        <v>3678.6480500000002</v>
      </c>
      <c r="J33" s="25">
        <f t="shared" si="7"/>
        <v>44143.776600000005</v>
      </c>
      <c r="K33" s="23">
        <f t="shared" si="0"/>
        <v>37472.400384</v>
      </c>
      <c r="L33" s="140">
        <f t="shared" si="8"/>
        <v>2439.6093999999998</v>
      </c>
      <c r="M33" s="24">
        <f t="shared" si="5"/>
        <v>6671.3762160000042</v>
      </c>
      <c r="N33" s="166">
        <f t="shared" si="1"/>
        <v>180.92321999999999</v>
      </c>
      <c r="O33" s="25">
        <f t="shared" si="6"/>
        <v>44324.699820000002</v>
      </c>
      <c r="P33" s="81"/>
    </row>
    <row r="34" spans="1:16" ht="22.5" customHeight="1" thickBot="1" x14ac:dyDescent="0.3">
      <c r="A34" s="230"/>
      <c r="B34" s="234"/>
      <c r="C34" s="33">
        <v>1</v>
      </c>
      <c r="D34" s="35">
        <f>C34*F10</f>
        <v>2695</v>
      </c>
      <c r="E34" s="28">
        <v>21</v>
      </c>
      <c r="F34" s="102">
        <v>10</v>
      </c>
      <c r="G34" s="29">
        <v>22</v>
      </c>
      <c r="H34" s="154">
        <f t="shared" si="2"/>
        <v>2964.5000000000005</v>
      </c>
      <c r="I34" s="23">
        <f t="shared" si="3"/>
        <v>80930.257100000003</v>
      </c>
      <c r="J34" s="25">
        <f t="shared" si="7"/>
        <v>971163.08520000009</v>
      </c>
      <c r="K34" s="23">
        <f t="shared" si="0"/>
        <v>779308.82673600002</v>
      </c>
      <c r="L34" s="140">
        <f t="shared" si="8"/>
        <v>53671.406799999997</v>
      </c>
      <c r="M34" s="24">
        <f t="shared" si="5"/>
        <v>191854.25846400007</v>
      </c>
      <c r="N34" s="166">
        <f t="shared" si="1"/>
        <v>3980.3108400000001</v>
      </c>
      <c r="O34" s="25">
        <f t="shared" si="6"/>
        <v>975143.39604000014</v>
      </c>
      <c r="P34" s="81"/>
    </row>
    <row r="35" spans="1:16" ht="22.5" customHeight="1" thickBot="1" x14ac:dyDescent="0.3">
      <c r="A35" s="230"/>
      <c r="B35" s="234"/>
      <c r="C35" s="33">
        <v>1</v>
      </c>
      <c r="D35" s="35">
        <f>C35*F10</f>
        <v>2695</v>
      </c>
      <c r="E35" s="28">
        <v>14</v>
      </c>
      <c r="F35" s="102">
        <v>10</v>
      </c>
      <c r="G35" s="29">
        <v>11</v>
      </c>
      <c r="H35" s="154">
        <f t="shared" si="2"/>
        <v>2964.5000000000005</v>
      </c>
      <c r="I35" s="23">
        <f t="shared" si="3"/>
        <v>40465.128550000001</v>
      </c>
      <c r="J35" s="25">
        <f t="shared" si="7"/>
        <v>485581.54260000004</v>
      </c>
      <c r="K35" s="23">
        <f t="shared" si="0"/>
        <v>367112.42251200002</v>
      </c>
      <c r="L35" s="140">
        <f t="shared" si="8"/>
        <v>26835.703399999999</v>
      </c>
      <c r="M35" s="24">
        <f t="shared" si="5"/>
        <v>118469.12008800003</v>
      </c>
      <c r="N35" s="166">
        <f t="shared" si="1"/>
        <v>1990.15542</v>
      </c>
      <c r="O35" s="25">
        <f t="shared" si="6"/>
        <v>487571.69802000007</v>
      </c>
      <c r="P35" s="81"/>
    </row>
    <row r="36" spans="1:16" ht="22.5" customHeight="1" thickBot="1" x14ac:dyDescent="0.3">
      <c r="A36" s="230"/>
      <c r="B36" s="234"/>
      <c r="C36" s="33">
        <v>1</v>
      </c>
      <c r="D36" s="35">
        <f>C36*F10</f>
        <v>2695</v>
      </c>
      <c r="E36" s="28">
        <v>7</v>
      </c>
      <c r="F36" s="153">
        <v>0</v>
      </c>
      <c r="G36" s="29">
        <v>2</v>
      </c>
      <c r="H36" s="154">
        <f t="shared" si="2"/>
        <v>2695</v>
      </c>
      <c r="I36" s="23">
        <f t="shared" si="3"/>
        <v>6688.4509999999991</v>
      </c>
      <c r="J36" s="25">
        <f t="shared" si="7"/>
        <v>80261.411999999982</v>
      </c>
      <c r="K36" s="23">
        <f t="shared" si="0"/>
        <v>62649.169392000003</v>
      </c>
      <c r="L36" s="140">
        <f t="shared" si="8"/>
        <v>4879.2187999999996</v>
      </c>
      <c r="M36" s="24">
        <f t="shared" si="5"/>
        <v>17612.242607999979</v>
      </c>
      <c r="N36" s="166">
        <f t="shared" si="1"/>
        <v>361.84643999999997</v>
      </c>
      <c r="O36" s="25">
        <f t="shared" si="6"/>
        <v>80623.258439999976</v>
      </c>
      <c r="P36" s="81"/>
    </row>
    <row r="37" spans="1:16" ht="22.5" customHeight="1" thickBot="1" x14ac:dyDescent="0.3">
      <c r="A37" s="230"/>
      <c r="B37" s="221"/>
      <c r="C37" s="33">
        <v>1</v>
      </c>
      <c r="D37" s="35">
        <f>C37*F10</f>
        <v>2695</v>
      </c>
      <c r="E37" s="28">
        <v>0</v>
      </c>
      <c r="F37" s="28">
        <v>0</v>
      </c>
      <c r="G37" s="29">
        <v>7</v>
      </c>
      <c r="H37" s="154">
        <f t="shared" si="2"/>
        <v>2695</v>
      </c>
      <c r="I37" s="23">
        <f t="shared" si="3"/>
        <v>23409.5785</v>
      </c>
      <c r="J37" s="25">
        <f t="shared" si="7"/>
        <v>280914.94199999998</v>
      </c>
      <c r="K37" s="23">
        <f t="shared" si="0"/>
        <v>204927.18959999998</v>
      </c>
      <c r="L37" s="140">
        <f t="shared" si="8"/>
        <v>17077.265799999997</v>
      </c>
      <c r="M37" s="24">
        <f t="shared" si="5"/>
        <v>75987.752399999998</v>
      </c>
      <c r="N37" s="166">
        <f t="shared" si="1"/>
        <v>1266.46254</v>
      </c>
      <c r="O37" s="25">
        <f t="shared" si="6"/>
        <v>282181.40453999996</v>
      </c>
      <c r="P37" s="81"/>
    </row>
    <row r="38" spans="1:16" ht="18.75" customHeight="1" thickBot="1" x14ac:dyDescent="0.3">
      <c r="A38" s="230"/>
      <c r="B38" s="220" t="s">
        <v>26</v>
      </c>
      <c r="C38" s="33">
        <v>1.05</v>
      </c>
      <c r="D38" s="35">
        <f>C38*F10</f>
        <v>2829.75</v>
      </c>
      <c r="E38" s="28">
        <v>35</v>
      </c>
      <c r="F38" s="102">
        <v>10</v>
      </c>
      <c r="G38" s="29">
        <v>1</v>
      </c>
      <c r="H38" s="154">
        <f t="shared" si="2"/>
        <v>3112.7250000000004</v>
      </c>
      <c r="I38" s="23">
        <f t="shared" si="3"/>
        <v>3862.5804525000003</v>
      </c>
      <c r="J38" s="25">
        <f t="shared" si="7"/>
        <v>46350.965430000004</v>
      </c>
      <c r="K38" s="23">
        <f t="shared" si="0"/>
        <v>41497.755894000002</v>
      </c>
      <c r="L38" s="140">
        <f t="shared" si="8"/>
        <v>2561.5898699999998</v>
      </c>
      <c r="M38" s="24">
        <f t="shared" si="5"/>
        <v>4853.2095360000021</v>
      </c>
      <c r="N38" s="166">
        <f t="shared" si="1"/>
        <v>189.96938099999994</v>
      </c>
      <c r="O38" s="25">
        <f t="shared" si="6"/>
        <v>46540.934811000006</v>
      </c>
      <c r="P38" s="81"/>
    </row>
    <row r="39" spans="1:16" ht="33.75" customHeight="1" thickBot="1" x14ac:dyDescent="0.3">
      <c r="A39" s="230"/>
      <c r="B39" s="221"/>
      <c r="C39" s="33">
        <v>1.05</v>
      </c>
      <c r="D39" s="35">
        <f>C39*F10</f>
        <v>2829.75</v>
      </c>
      <c r="E39" s="28">
        <v>14</v>
      </c>
      <c r="F39" s="120">
        <v>5</v>
      </c>
      <c r="G39" s="29">
        <v>1</v>
      </c>
      <c r="H39" s="154">
        <f t="shared" si="2"/>
        <v>2971.2375000000002</v>
      </c>
      <c r="I39" s="23">
        <f t="shared" si="3"/>
        <v>3687.0086137499998</v>
      </c>
      <c r="J39" s="25">
        <f t="shared" si="7"/>
        <v>44244.103364999995</v>
      </c>
      <c r="K39" s="23">
        <f t="shared" si="0"/>
        <v>35042.549421600008</v>
      </c>
      <c r="L39" s="140">
        <f t="shared" si="8"/>
        <v>2561.5898699999998</v>
      </c>
      <c r="M39" s="24">
        <f t="shared" si="5"/>
        <v>9201.5539433999875</v>
      </c>
      <c r="N39" s="166">
        <f t="shared" si="1"/>
        <v>189.96938099999994</v>
      </c>
      <c r="O39" s="25">
        <f t="shared" si="6"/>
        <v>44434.072745999998</v>
      </c>
      <c r="P39" s="81"/>
    </row>
    <row r="40" spans="1:16" ht="27.75" customHeight="1" thickBot="1" x14ac:dyDescent="0.3">
      <c r="A40" s="230"/>
      <c r="B40" s="220" t="s">
        <v>27</v>
      </c>
      <c r="C40" s="33">
        <v>1.1000000000000001</v>
      </c>
      <c r="D40" s="35">
        <f>C40*F10</f>
        <v>2964.5000000000005</v>
      </c>
      <c r="E40" s="28">
        <v>35</v>
      </c>
      <c r="F40" s="102">
        <v>10</v>
      </c>
      <c r="G40" s="29">
        <v>3</v>
      </c>
      <c r="H40" s="154">
        <f t="shared" si="2"/>
        <v>3260.9500000000007</v>
      </c>
      <c r="I40" s="23">
        <f t="shared" si="3"/>
        <v>12139.538565000001</v>
      </c>
      <c r="J40" s="25">
        <f t="shared" si="7"/>
        <v>145674.46278</v>
      </c>
      <c r="K40" s="23">
        <f t="shared" si="0"/>
        <v>130421.51852400003</v>
      </c>
      <c r="L40" s="140">
        <f t="shared" si="8"/>
        <v>8050.7110200000006</v>
      </c>
      <c r="M40" s="24">
        <f t="shared" si="5"/>
        <v>15252.944255999973</v>
      </c>
      <c r="N40" s="166">
        <f t="shared" si="1"/>
        <v>597.04662600000006</v>
      </c>
      <c r="O40" s="25">
        <f t="shared" si="6"/>
        <v>146271.509406</v>
      </c>
      <c r="P40" s="81"/>
    </row>
    <row r="41" spans="1:16" ht="20.25" customHeight="1" thickBot="1" x14ac:dyDescent="0.3">
      <c r="A41" s="230"/>
      <c r="B41" s="234"/>
      <c r="C41" s="33">
        <v>1.1000000000000001</v>
      </c>
      <c r="D41" s="35">
        <f>C41*F10</f>
        <v>2964.5000000000005</v>
      </c>
      <c r="E41" s="28">
        <v>28</v>
      </c>
      <c r="F41" s="102">
        <v>10</v>
      </c>
      <c r="G41" s="29">
        <v>0</v>
      </c>
      <c r="H41" s="154">
        <f t="shared" si="2"/>
        <v>3260.9500000000007</v>
      </c>
      <c r="I41" s="23">
        <f t="shared" si="3"/>
        <v>0</v>
      </c>
      <c r="J41" s="25">
        <f t="shared" si="7"/>
        <v>0</v>
      </c>
      <c r="K41" s="23">
        <f t="shared" si="0"/>
        <v>0</v>
      </c>
      <c r="L41" s="140">
        <f t="shared" si="8"/>
        <v>0</v>
      </c>
      <c r="M41" s="24">
        <f t="shared" si="5"/>
        <v>0</v>
      </c>
      <c r="N41" s="166">
        <f t="shared" si="1"/>
        <v>0</v>
      </c>
      <c r="O41" s="25">
        <f t="shared" si="6"/>
        <v>0</v>
      </c>
      <c r="P41" s="81"/>
    </row>
    <row r="42" spans="1:16" ht="17.25" customHeight="1" thickBot="1" x14ac:dyDescent="0.3">
      <c r="A42" s="230"/>
      <c r="B42" s="234"/>
      <c r="C42" s="33">
        <v>1.1000000000000001</v>
      </c>
      <c r="D42" s="35">
        <f>C42*F10</f>
        <v>2964.5000000000005</v>
      </c>
      <c r="E42" s="28">
        <v>21</v>
      </c>
      <c r="F42" s="102">
        <v>10</v>
      </c>
      <c r="G42" s="29">
        <v>3</v>
      </c>
      <c r="H42" s="154">
        <f t="shared" si="2"/>
        <v>3260.9500000000007</v>
      </c>
      <c r="I42" s="23">
        <f t="shared" si="3"/>
        <v>12139.538565000001</v>
      </c>
      <c r="J42" s="25">
        <f t="shared" si="7"/>
        <v>145674.46278</v>
      </c>
      <c r="K42" s="23">
        <f t="shared" si="0"/>
        <v>116896.32401040001</v>
      </c>
      <c r="L42" s="140">
        <f t="shared" si="8"/>
        <v>8050.7110200000006</v>
      </c>
      <c r="M42" s="24">
        <f t="shared" si="5"/>
        <v>28778.138769599987</v>
      </c>
      <c r="N42" s="166">
        <f t="shared" si="1"/>
        <v>597.04662600000006</v>
      </c>
      <c r="O42" s="25">
        <f t="shared" si="6"/>
        <v>146271.509406</v>
      </c>
      <c r="P42" s="81"/>
    </row>
    <row r="43" spans="1:16" ht="17.25" customHeight="1" thickBot="1" x14ac:dyDescent="0.3">
      <c r="A43" s="230"/>
      <c r="B43" s="221"/>
      <c r="C43" s="33">
        <v>1.1000000000000001</v>
      </c>
      <c r="D43" s="35">
        <f>C43*F10</f>
        <v>2964.5000000000005</v>
      </c>
      <c r="E43" s="28">
        <v>14</v>
      </c>
      <c r="F43" s="120">
        <v>5</v>
      </c>
      <c r="G43" s="29">
        <v>1</v>
      </c>
      <c r="H43" s="154">
        <f t="shared" si="2"/>
        <v>3112.7250000000008</v>
      </c>
      <c r="I43" s="23">
        <f t="shared" si="3"/>
        <v>3862.5804525000008</v>
      </c>
      <c r="J43" s="25">
        <f t="shared" si="7"/>
        <v>46350.965430000011</v>
      </c>
      <c r="K43" s="23">
        <f t="shared" si="0"/>
        <v>36711.242251200005</v>
      </c>
      <c r="L43" s="140">
        <f t="shared" si="8"/>
        <v>2683.5703400000002</v>
      </c>
      <c r="M43" s="24">
        <f t="shared" si="5"/>
        <v>9639.7231788000063</v>
      </c>
      <c r="N43" s="166">
        <f t="shared" si="1"/>
        <v>199.01554200000001</v>
      </c>
      <c r="O43" s="25">
        <f t="shared" si="6"/>
        <v>46549.980972000012</v>
      </c>
      <c r="P43" s="81"/>
    </row>
    <row r="44" spans="1:16" ht="21" customHeight="1" thickBot="1" x14ac:dyDescent="0.3">
      <c r="A44" s="230"/>
      <c r="B44" s="220" t="s">
        <v>28</v>
      </c>
      <c r="C44" s="33">
        <v>1.2</v>
      </c>
      <c r="D44" s="35">
        <f>C44*F10</f>
        <v>3234</v>
      </c>
      <c r="E44" s="28">
        <v>35</v>
      </c>
      <c r="F44" s="102">
        <v>10</v>
      </c>
      <c r="G44" s="37">
        <v>65</v>
      </c>
      <c r="H44" s="154">
        <f t="shared" si="2"/>
        <v>3557.4</v>
      </c>
      <c r="I44" s="23">
        <f t="shared" si="3"/>
        <v>286934.54789999995</v>
      </c>
      <c r="J44" s="25">
        <f t="shared" si="7"/>
        <v>3443214.5747999996</v>
      </c>
      <c r="K44" s="23">
        <f t="shared" si="0"/>
        <v>3082690.4378399998</v>
      </c>
      <c r="L44" s="140">
        <f t="shared" si="8"/>
        <v>190289.53319999998</v>
      </c>
      <c r="M44" s="24">
        <f t="shared" si="5"/>
        <v>360524.1369599998</v>
      </c>
      <c r="N44" s="166">
        <f t="shared" si="1"/>
        <v>14112.01116</v>
      </c>
      <c r="O44" s="25">
        <f t="shared" si="6"/>
        <v>3457326.5859599998</v>
      </c>
      <c r="P44" s="81"/>
    </row>
    <row r="45" spans="1:16" ht="21" customHeight="1" thickBot="1" x14ac:dyDescent="0.3">
      <c r="A45" s="230"/>
      <c r="B45" s="234"/>
      <c r="C45" s="33">
        <v>1.35</v>
      </c>
      <c r="D45" s="35">
        <f>C45*F10</f>
        <v>3638.2500000000005</v>
      </c>
      <c r="E45" s="28">
        <v>35</v>
      </c>
      <c r="F45" s="102">
        <v>10</v>
      </c>
      <c r="G45" s="37">
        <v>4</v>
      </c>
      <c r="H45" s="154">
        <f t="shared" si="2"/>
        <v>4002.0750000000007</v>
      </c>
      <c r="I45" s="23">
        <f t="shared" si="3"/>
        <v>19864.699470000003</v>
      </c>
      <c r="J45" s="25">
        <f t="shared" si="7"/>
        <v>238376.39364000002</v>
      </c>
      <c r="K45" s="23">
        <f>(1966*C45)*(1+E45/100)*G45*12*1.2409</f>
        <v>213417.03031200005</v>
      </c>
      <c r="L45" s="140">
        <f>1966*C45*G45*1.2409</f>
        <v>13173.89076</v>
      </c>
      <c r="M45" s="24">
        <f>J45-K45</f>
        <v>24959.363327999978</v>
      </c>
      <c r="N45" s="166">
        <f t="shared" si="1"/>
        <v>976.98538800000017</v>
      </c>
      <c r="O45" s="25">
        <f>K45+M45+N45</f>
        <v>239353.37902800002</v>
      </c>
      <c r="P45" s="81"/>
    </row>
    <row r="46" spans="1:16" ht="21" customHeight="1" thickBot="1" x14ac:dyDescent="0.3">
      <c r="A46" s="230"/>
      <c r="B46" s="234"/>
      <c r="C46" s="33">
        <v>1.2</v>
      </c>
      <c r="D46" s="35">
        <f>C46*F10</f>
        <v>3234</v>
      </c>
      <c r="E46" s="28">
        <v>28</v>
      </c>
      <c r="F46" s="102">
        <v>10</v>
      </c>
      <c r="G46" s="37">
        <v>25</v>
      </c>
      <c r="H46" s="154">
        <f t="shared" si="2"/>
        <v>3557.4</v>
      </c>
      <c r="I46" s="23">
        <f t="shared" ref="I46:I68" si="9">(D46*(1+F46/100)*G46)*1.2409</f>
        <v>110359.44149999999</v>
      </c>
      <c r="J46" s="25">
        <f t="shared" si="7"/>
        <v>1324313.298</v>
      </c>
      <c r="K46" s="23">
        <f t="shared" si="0"/>
        <v>1124172.0115199997</v>
      </c>
      <c r="L46" s="140">
        <f t="shared" si="8"/>
        <v>73188.281999999977</v>
      </c>
      <c r="M46" s="24">
        <f t="shared" si="5"/>
        <v>200141.28648000024</v>
      </c>
      <c r="N46" s="166">
        <f t="shared" ref="N46:N68" si="10">((D46-1966*C46)*20%)*G46*1.2409</f>
        <v>5427.6966000000002</v>
      </c>
      <c r="O46" s="25">
        <f t="shared" si="6"/>
        <v>1329740.9945999999</v>
      </c>
      <c r="P46" s="81"/>
    </row>
    <row r="47" spans="1:16" ht="21" customHeight="1" thickBot="1" x14ac:dyDescent="0.3">
      <c r="A47" s="230"/>
      <c r="B47" s="234"/>
      <c r="C47" s="33">
        <v>1.35</v>
      </c>
      <c r="D47" s="35">
        <f>C47*F10</f>
        <v>3638.2500000000005</v>
      </c>
      <c r="E47" s="28">
        <v>28</v>
      </c>
      <c r="F47" s="102">
        <v>10</v>
      </c>
      <c r="G47" s="37">
        <v>1</v>
      </c>
      <c r="H47" s="154">
        <f t="shared" si="2"/>
        <v>4002.0750000000007</v>
      </c>
      <c r="I47" s="23">
        <f t="shared" si="9"/>
        <v>4966.1748675000008</v>
      </c>
      <c r="J47" s="25">
        <f t="shared" si="7"/>
        <v>59594.098410000006</v>
      </c>
      <c r="K47" s="23">
        <f t="shared" si="0"/>
        <v>50587.740518400009</v>
      </c>
      <c r="L47" s="140">
        <f t="shared" si="8"/>
        <v>3293.4726900000001</v>
      </c>
      <c r="M47" s="24">
        <f t="shared" si="5"/>
        <v>9006.3578915999969</v>
      </c>
      <c r="N47" s="166">
        <f t="shared" si="10"/>
        <v>244.24634700000004</v>
      </c>
      <c r="O47" s="25">
        <f t="shared" si="6"/>
        <v>59838.344757000006</v>
      </c>
      <c r="P47" s="81"/>
    </row>
    <row r="48" spans="1:16" ht="36" customHeight="1" thickBot="1" x14ac:dyDescent="0.3">
      <c r="A48" s="230"/>
      <c r="B48" s="234"/>
      <c r="C48" s="33">
        <v>1.2</v>
      </c>
      <c r="D48" s="35">
        <f>C48*F10</f>
        <v>3234</v>
      </c>
      <c r="E48" s="28">
        <v>21</v>
      </c>
      <c r="F48" s="102">
        <v>10</v>
      </c>
      <c r="G48" s="37">
        <v>18</v>
      </c>
      <c r="H48" s="154">
        <f t="shared" si="2"/>
        <v>3557.4</v>
      </c>
      <c r="I48" s="23">
        <f t="shared" si="9"/>
        <v>79458.797879999998</v>
      </c>
      <c r="J48" s="25">
        <f t="shared" si="7"/>
        <v>953505.57455999998</v>
      </c>
      <c r="K48" s="23">
        <f t="shared" si="0"/>
        <v>765139.57534079975</v>
      </c>
      <c r="L48" s="140">
        <f t="shared" si="8"/>
        <v>52695.563039999994</v>
      </c>
      <c r="M48" s="24">
        <f t="shared" si="5"/>
        <v>188365.99921920022</v>
      </c>
      <c r="N48" s="166">
        <f t="shared" si="10"/>
        <v>3907.9415520000007</v>
      </c>
      <c r="O48" s="25">
        <f t="shared" si="6"/>
        <v>957413.51611199998</v>
      </c>
      <c r="P48" s="81"/>
    </row>
    <row r="49" spans="1:16" ht="21" customHeight="1" thickBot="1" x14ac:dyDescent="0.3">
      <c r="A49" s="230"/>
      <c r="B49" s="234"/>
      <c r="C49" s="33">
        <v>1.2</v>
      </c>
      <c r="D49" s="35">
        <f>C49*F10</f>
        <v>3234</v>
      </c>
      <c r="E49" s="28">
        <v>14</v>
      </c>
      <c r="F49" s="120">
        <v>5</v>
      </c>
      <c r="G49" s="37">
        <v>9</v>
      </c>
      <c r="H49" s="154">
        <f t="shared" si="2"/>
        <v>3395.7000000000003</v>
      </c>
      <c r="I49" s="23">
        <f t="shared" si="9"/>
        <v>37923.517169999999</v>
      </c>
      <c r="J49" s="25">
        <f t="shared" si="7"/>
        <v>455082.20603999996</v>
      </c>
      <c r="K49" s="23">
        <f t="shared" si="0"/>
        <v>360437.65119359997</v>
      </c>
      <c r="L49" s="140">
        <f t="shared" si="8"/>
        <v>26347.781519999997</v>
      </c>
      <c r="M49" s="24">
        <f t="shared" si="5"/>
        <v>94644.554846399988</v>
      </c>
      <c r="N49" s="166">
        <f t="shared" si="10"/>
        <v>1953.9707760000003</v>
      </c>
      <c r="O49" s="25">
        <f t="shared" si="6"/>
        <v>457036.17681599996</v>
      </c>
      <c r="P49" s="81"/>
    </row>
    <row r="50" spans="1:16" ht="21" customHeight="1" thickBot="1" x14ac:dyDescent="0.3">
      <c r="A50" s="230"/>
      <c r="B50" s="234"/>
      <c r="C50" s="33">
        <v>1.2</v>
      </c>
      <c r="D50" s="35">
        <f>C50*F10</f>
        <v>3234</v>
      </c>
      <c r="E50" s="28">
        <v>7</v>
      </c>
      <c r="F50" s="153">
        <v>0</v>
      </c>
      <c r="G50" s="29">
        <v>0</v>
      </c>
      <c r="H50" s="154">
        <f t="shared" si="2"/>
        <v>3234</v>
      </c>
      <c r="I50" s="23">
        <f t="shared" si="9"/>
        <v>0</v>
      </c>
      <c r="J50" s="25">
        <f t="shared" si="7"/>
        <v>0</v>
      </c>
      <c r="K50" s="23">
        <f t="shared" si="0"/>
        <v>0</v>
      </c>
      <c r="L50" s="140">
        <f t="shared" si="8"/>
        <v>0</v>
      </c>
      <c r="M50" s="24">
        <f t="shared" si="5"/>
        <v>0</v>
      </c>
      <c r="N50" s="166">
        <f t="shared" si="10"/>
        <v>0</v>
      </c>
      <c r="O50" s="25">
        <f t="shared" si="6"/>
        <v>0</v>
      </c>
    </row>
    <row r="51" spans="1:16" ht="29.25" customHeight="1" thickBot="1" x14ac:dyDescent="0.3">
      <c r="A51" s="230"/>
      <c r="B51" s="221"/>
      <c r="C51" s="33">
        <v>1.2</v>
      </c>
      <c r="D51" s="35">
        <f>C51*F10</f>
        <v>3234</v>
      </c>
      <c r="E51" s="28">
        <v>0</v>
      </c>
      <c r="F51" s="28">
        <v>0</v>
      </c>
      <c r="G51" s="29">
        <v>0</v>
      </c>
      <c r="H51" s="154">
        <f t="shared" si="2"/>
        <v>3234</v>
      </c>
      <c r="I51" s="23">
        <f t="shared" si="9"/>
        <v>0</v>
      </c>
      <c r="J51" s="25">
        <f t="shared" si="7"/>
        <v>0</v>
      </c>
      <c r="K51" s="23">
        <f t="shared" si="0"/>
        <v>0</v>
      </c>
      <c r="L51" s="140">
        <f t="shared" si="8"/>
        <v>0</v>
      </c>
      <c r="M51" s="24">
        <f t="shared" si="5"/>
        <v>0</v>
      </c>
      <c r="N51" s="166">
        <f t="shared" si="10"/>
        <v>0</v>
      </c>
      <c r="O51" s="25">
        <f t="shared" si="6"/>
        <v>0</v>
      </c>
      <c r="P51" s="81"/>
    </row>
    <row r="52" spans="1:16" ht="24" customHeight="1" thickBot="1" x14ac:dyDescent="0.3">
      <c r="A52" s="230"/>
      <c r="B52" s="215" t="s">
        <v>30</v>
      </c>
      <c r="C52" s="33">
        <v>1.28</v>
      </c>
      <c r="D52" s="35">
        <f>C52*F10</f>
        <v>3449.6</v>
      </c>
      <c r="E52" s="28">
        <v>35</v>
      </c>
      <c r="F52" s="102">
        <v>10</v>
      </c>
      <c r="G52" s="29">
        <v>7</v>
      </c>
      <c r="H52" s="154">
        <f t="shared" si="2"/>
        <v>3794.5600000000004</v>
      </c>
      <c r="I52" s="23">
        <f t="shared" si="9"/>
        <v>32960.686527999998</v>
      </c>
      <c r="J52" s="25">
        <f t="shared" si="7"/>
        <v>395528.23833600001</v>
      </c>
      <c r="K52" s="23">
        <f t="shared" si="0"/>
        <v>354114.18362879998</v>
      </c>
      <c r="L52" s="140">
        <f t="shared" si="8"/>
        <v>21858.900223999997</v>
      </c>
      <c r="M52" s="24">
        <f t="shared" si="5"/>
        <v>41414.054707200034</v>
      </c>
      <c r="N52" s="166">
        <f t="shared" si="10"/>
        <v>1621.0720511999998</v>
      </c>
      <c r="O52" s="25">
        <f t="shared" si="6"/>
        <v>397149.31038720004</v>
      </c>
      <c r="P52" s="81"/>
    </row>
    <row r="53" spans="1:16" ht="40.5" customHeight="1" thickBot="1" x14ac:dyDescent="0.3">
      <c r="A53" s="230"/>
      <c r="B53" s="216"/>
      <c r="C53" s="33">
        <v>1.28</v>
      </c>
      <c r="D53" s="35">
        <f>C53*F10</f>
        <v>3449.6</v>
      </c>
      <c r="E53" s="28">
        <v>28</v>
      </c>
      <c r="F53" s="102">
        <v>10</v>
      </c>
      <c r="G53" s="29">
        <v>5</v>
      </c>
      <c r="H53" s="154">
        <f t="shared" si="2"/>
        <v>3794.5600000000004</v>
      </c>
      <c r="I53" s="23">
        <f t="shared" si="9"/>
        <v>23543.347520000003</v>
      </c>
      <c r="J53" s="25">
        <f t="shared" si="7"/>
        <v>282520.17024000001</v>
      </c>
      <c r="K53" s="23">
        <f t="shared" si="0"/>
        <v>239823.36245759996</v>
      </c>
      <c r="L53" s="140">
        <f t="shared" si="8"/>
        <v>15613.500159999998</v>
      </c>
      <c r="M53" s="24">
        <f t="shared" si="5"/>
        <v>42696.80778240005</v>
      </c>
      <c r="N53" s="166">
        <f t="shared" si="10"/>
        <v>1157.908608</v>
      </c>
      <c r="O53" s="25">
        <f t="shared" si="6"/>
        <v>283678.07884800003</v>
      </c>
      <c r="P53" s="81"/>
    </row>
    <row r="54" spans="1:16" ht="31.5" customHeight="1" thickBot="1" x14ac:dyDescent="0.3">
      <c r="A54" s="230"/>
      <c r="B54" s="217"/>
      <c r="C54" s="33">
        <v>1.28</v>
      </c>
      <c r="D54" s="35">
        <f>C54*F10</f>
        <v>3449.6</v>
      </c>
      <c r="E54" s="28">
        <v>21</v>
      </c>
      <c r="F54" s="102">
        <v>10</v>
      </c>
      <c r="G54" s="29">
        <v>1</v>
      </c>
      <c r="H54" s="154">
        <f t="shared" si="2"/>
        <v>3794.5600000000004</v>
      </c>
      <c r="I54" s="23">
        <f t="shared" si="9"/>
        <v>4708.6695040000004</v>
      </c>
      <c r="J54" s="25">
        <f t="shared" si="7"/>
        <v>56504.034048000001</v>
      </c>
      <c r="K54" s="23">
        <f t="shared" si="0"/>
        <v>45341.60446463999</v>
      </c>
      <c r="L54" s="140">
        <f t="shared" si="8"/>
        <v>3122.7000319999997</v>
      </c>
      <c r="M54" s="24">
        <f t="shared" si="5"/>
        <v>11162.429583360012</v>
      </c>
      <c r="N54" s="166">
        <f t="shared" si="10"/>
        <v>231.58172159999998</v>
      </c>
      <c r="O54" s="25">
        <f t="shared" si="6"/>
        <v>56735.615769600001</v>
      </c>
      <c r="P54" s="81"/>
    </row>
    <row r="55" spans="1:16" ht="49.5" customHeight="1" thickBot="1" x14ac:dyDescent="0.3">
      <c r="A55" s="230"/>
      <c r="B55" s="220" t="s">
        <v>33</v>
      </c>
      <c r="C55" s="33">
        <v>1.35</v>
      </c>
      <c r="D55" s="35">
        <f>C55*F10</f>
        <v>3638.2500000000005</v>
      </c>
      <c r="E55" s="28">
        <v>35</v>
      </c>
      <c r="F55" s="102">
        <v>10</v>
      </c>
      <c r="G55" s="29">
        <v>5</v>
      </c>
      <c r="H55" s="154">
        <f t="shared" si="2"/>
        <v>4002.0750000000007</v>
      </c>
      <c r="I55" s="23">
        <f t="shared" si="9"/>
        <v>24830.874337500001</v>
      </c>
      <c r="J55" s="25">
        <f t="shared" si="7"/>
        <v>297970.49205</v>
      </c>
      <c r="K55" s="23">
        <f t="shared" si="0"/>
        <v>266771.28789000004</v>
      </c>
      <c r="L55" s="140">
        <f t="shared" si="8"/>
        <v>16467.363450000001</v>
      </c>
      <c r="M55" s="24">
        <f t="shared" si="5"/>
        <v>31199.204159999965</v>
      </c>
      <c r="N55" s="166">
        <f t="shared" si="10"/>
        <v>1221.2317350000001</v>
      </c>
      <c r="O55" s="25">
        <f t="shared" si="6"/>
        <v>299191.72378499998</v>
      </c>
      <c r="P55" s="81"/>
    </row>
    <row r="56" spans="1:16" ht="25.5" customHeight="1" thickBot="1" x14ac:dyDescent="0.3">
      <c r="A56" s="230"/>
      <c r="B56" s="221"/>
      <c r="C56" s="33">
        <v>1.35</v>
      </c>
      <c r="D56" s="35">
        <f>C56*F10</f>
        <v>3638.2500000000005</v>
      </c>
      <c r="E56" s="28">
        <v>28</v>
      </c>
      <c r="F56" s="102">
        <v>10</v>
      </c>
      <c r="G56" s="29">
        <v>1</v>
      </c>
      <c r="H56" s="154">
        <f t="shared" si="2"/>
        <v>4002.0750000000007</v>
      </c>
      <c r="I56" s="23">
        <f t="shared" si="9"/>
        <v>4966.1748675000008</v>
      </c>
      <c r="J56" s="25">
        <f t="shared" si="7"/>
        <v>59594.098410000006</v>
      </c>
      <c r="K56" s="23">
        <f t="shared" si="0"/>
        <v>50587.740518400009</v>
      </c>
      <c r="L56" s="140">
        <f t="shared" si="8"/>
        <v>3293.4726900000001</v>
      </c>
      <c r="M56" s="24">
        <f t="shared" si="5"/>
        <v>9006.3578915999969</v>
      </c>
      <c r="N56" s="166">
        <f t="shared" si="10"/>
        <v>244.24634700000004</v>
      </c>
      <c r="O56" s="25">
        <f t="shared" si="6"/>
        <v>59838.344757000006</v>
      </c>
      <c r="P56" s="81"/>
    </row>
    <row r="57" spans="1:16" ht="25.5" customHeight="1" thickBot="1" x14ac:dyDescent="0.3">
      <c r="A57" s="51"/>
      <c r="B57" s="179" t="s">
        <v>37</v>
      </c>
      <c r="C57" s="53"/>
      <c r="D57" s="54"/>
      <c r="E57" s="55"/>
      <c r="F57" s="55"/>
      <c r="G57" s="56">
        <f>SUM(G16:G56)</f>
        <v>546</v>
      </c>
      <c r="H57" s="154"/>
      <c r="I57" s="23"/>
      <c r="J57" s="57"/>
      <c r="K57" s="188">
        <f>SUM(K16:K56)</f>
        <v>20978214.892412633</v>
      </c>
      <c r="L57" s="140"/>
      <c r="M57" s="188">
        <f>SUM(M16:M56)</f>
        <v>4202458.7439363608</v>
      </c>
      <c r="N57" s="188">
        <f>SUM(N16:N56)</f>
        <v>105186.95087579994</v>
      </c>
      <c r="O57" s="180">
        <f>SUM(O16:O56)</f>
        <v>25285860.587224808</v>
      </c>
      <c r="P57" s="81">
        <f>M57+N57</f>
        <v>4307645.6948121609</v>
      </c>
    </row>
    <row r="58" spans="1:16" ht="33" customHeight="1" thickBot="1" x14ac:dyDescent="0.3">
      <c r="A58" s="210" t="s">
        <v>38</v>
      </c>
      <c r="B58" s="211" t="s">
        <v>39</v>
      </c>
      <c r="C58" s="60">
        <v>1.42</v>
      </c>
      <c r="D58" s="61">
        <f>C58*F10</f>
        <v>3826.8999999999996</v>
      </c>
      <c r="E58" s="21">
        <v>35</v>
      </c>
      <c r="F58" s="129">
        <v>10</v>
      </c>
      <c r="G58" s="62">
        <v>31</v>
      </c>
      <c r="H58" s="154">
        <f t="shared" si="2"/>
        <v>4209.59</v>
      </c>
      <c r="I58" s="23">
        <f t="shared" si="9"/>
        <v>161934.087161</v>
      </c>
      <c r="J58" s="23">
        <f t="shared" si="7"/>
        <v>1943209.045932</v>
      </c>
      <c r="K58" s="23">
        <f t="shared" ref="K58:K64" si="11">(1966*C58)*(1+E58/100)*G58*12*1.2409</f>
        <v>1739744.0137655998</v>
      </c>
      <c r="L58" s="140">
        <f t="shared" ref="L58:L68" si="12">1966*C58*G58*1.2409</f>
        <v>107391.60578799999</v>
      </c>
      <c r="M58" s="24">
        <f t="shared" si="5"/>
        <v>203465.03216640023</v>
      </c>
      <c r="N58" s="166">
        <f t="shared" si="10"/>
        <v>7964.2401443999979</v>
      </c>
      <c r="O58" s="25">
        <f t="shared" si="6"/>
        <v>1951173.2860764</v>
      </c>
      <c r="P58" s="81"/>
    </row>
    <row r="59" spans="1:16" ht="27" customHeight="1" thickBot="1" x14ac:dyDescent="0.3">
      <c r="A59" s="210"/>
      <c r="B59" s="212"/>
      <c r="C59" s="33">
        <v>1.42</v>
      </c>
      <c r="D59" s="35">
        <f>C59*F10</f>
        <v>3826.8999999999996</v>
      </c>
      <c r="E59" s="28">
        <v>28</v>
      </c>
      <c r="F59" s="102">
        <v>10</v>
      </c>
      <c r="G59" s="64">
        <v>4</v>
      </c>
      <c r="H59" s="154">
        <f t="shared" si="2"/>
        <v>4209.59</v>
      </c>
      <c r="I59" s="23">
        <f t="shared" si="9"/>
        <v>20894.720923999997</v>
      </c>
      <c r="J59" s="25">
        <f t="shared" si="7"/>
        <v>250736.65108799998</v>
      </c>
      <c r="K59" s="23">
        <f t="shared" si="11"/>
        <v>212843.23418111997</v>
      </c>
      <c r="L59" s="140">
        <f t="shared" si="12"/>
        <v>13856.981391999998</v>
      </c>
      <c r="M59" s="24">
        <f t="shared" si="5"/>
        <v>37893.416906880011</v>
      </c>
      <c r="N59" s="166">
        <f t="shared" si="10"/>
        <v>1027.6438895999997</v>
      </c>
      <c r="O59" s="25">
        <f t="shared" si="6"/>
        <v>251764.29497759999</v>
      </c>
      <c r="P59" s="81"/>
    </row>
    <row r="60" spans="1:16" ht="27" customHeight="1" thickBot="1" x14ac:dyDescent="0.3">
      <c r="A60" s="210"/>
      <c r="B60" s="212"/>
      <c r="C60" s="33">
        <v>1.42</v>
      </c>
      <c r="D60" s="35">
        <f>C60*F10</f>
        <v>3826.8999999999996</v>
      </c>
      <c r="E60" s="28">
        <v>21</v>
      </c>
      <c r="F60" s="102">
        <v>10</v>
      </c>
      <c r="G60" s="64">
        <v>3</v>
      </c>
      <c r="H60" s="154">
        <f t="shared" si="2"/>
        <v>4209.59</v>
      </c>
      <c r="I60" s="23">
        <f t="shared" si="9"/>
        <v>15671.040692999999</v>
      </c>
      <c r="J60" s="25">
        <f t="shared" si="7"/>
        <v>188052.48831599997</v>
      </c>
      <c r="K60" s="23">
        <f t="shared" si="11"/>
        <v>150902.52735887998</v>
      </c>
      <c r="L60" s="140">
        <f t="shared" si="12"/>
        <v>10392.736043999999</v>
      </c>
      <c r="M60" s="24">
        <f t="shared" si="5"/>
        <v>37149.960957119998</v>
      </c>
      <c r="N60" s="166">
        <f t="shared" si="10"/>
        <v>770.73291719999986</v>
      </c>
      <c r="O60" s="25">
        <f t="shared" si="6"/>
        <v>188823.22123319996</v>
      </c>
      <c r="P60" s="81"/>
    </row>
    <row r="61" spans="1:16" ht="27" customHeight="1" thickBot="1" x14ac:dyDescent="0.3">
      <c r="A61" s="210"/>
      <c r="B61" s="213"/>
      <c r="C61" s="33">
        <v>1.42</v>
      </c>
      <c r="D61" s="35">
        <f>C61*F10</f>
        <v>3826.8999999999996</v>
      </c>
      <c r="E61" s="28">
        <v>0</v>
      </c>
      <c r="F61" s="28">
        <v>0</v>
      </c>
      <c r="G61" s="64">
        <v>2</v>
      </c>
      <c r="H61" s="154">
        <f t="shared" si="2"/>
        <v>3826.8999999999996</v>
      </c>
      <c r="I61" s="23">
        <f t="shared" si="9"/>
        <v>9497.6004199999988</v>
      </c>
      <c r="J61" s="25">
        <f t="shared" si="7"/>
        <v>113971.20503999999</v>
      </c>
      <c r="K61" s="23">
        <f t="shared" si="11"/>
        <v>83141.888351999994</v>
      </c>
      <c r="L61" s="140">
        <f t="shared" si="12"/>
        <v>6928.4906959999989</v>
      </c>
      <c r="M61" s="24">
        <f t="shared" si="5"/>
        <v>30829.316687999992</v>
      </c>
      <c r="N61" s="166">
        <f t="shared" si="10"/>
        <v>513.82194479999987</v>
      </c>
      <c r="O61" s="25">
        <f t="shared" si="6"/>
        <v>114485.02698479999</v>
      </c>
      <c r="P61" s="81"/>
    </row>
    <row r="62" spans="1:16" ht="41.25" customHeight="1" thickBot="1" x14ac:dyDescent="0.3">
      <c r="A62" s="210"/>
      <c r="B62" s="214" t="s">
        <v>41</v>
      </c>
      <c r="C62" s="33">
        <v>1.55</v>
      </c>
      <c r="D62" s="35">
        <f>C62*F10</f>
        <v>4177.25</v>
      </c>
      <c r="E62" s="28">
        <v>35</v>
      </c>
      <c r="F62" s="102">
        <v>10</v>
      </c>
      <c r="G62" s="64">
        <v>3</v>
      </c>
      <c r="H62" s="154">
        <f t="shared" si="2"/>
        <v>4594.9750000000004</v>
      </c>
      <c r="I62" s="23">
        <f t="shared" si="9"/>
        <v>17105.713432500001</v>
      </c>
      <c r="J62" s="25">
        <f t="shared" si="7"/>
        <v>205268.56119000001</v>
      </c>
      <c r="K62" s="23">
        <f t="shared" si="11"/>
        <v>183775.77610200003</v>
      </c>
      <c r="L62" s="140">
        <f t="shared" si="12"/>
        <v>11344.183710000001</v>
      </c>
      <c r="M62" s="24">
        <f t="shared" si="5"/>
        <v>21492.785087999975</v>
      </c>
      <c r="N62" s="166">
        <f t="shared" si="10"/>
        <v>841.29297299999985</v>
      </c>
      <c r="O62" s="25">
        <f t="shared" si="6"/>
        <v>206109.85416300001</v>
      </c>
      <c r="P62" s="81"/>
    </row>
    <row r="63" spans="1:16" ht="22.5" customHeight="1" thickBot="1" x14ac:dyDescent="0.3">
      <c r="A63" s="210"/>
      <c r="B63" s="212"/>
      <c r="C63" s="33">
        <v>1.55</v>
      </c>
      <c r="D63" s="35">
        <f>C63*F10</f>
        <v>4177.25</v>
      </c>
      <c r="E63" s="28">
        <v>28</v>
      </c>
      <c r="F63" s="102">
        <v>10</v>
      </c>
      <c r="G63" s="64">
        <v>1</v>
      </c>
      <c r="H63" s="154">
        <f t="shared" si="2"/>
        <v>4594.9750000000004</v>
      </c>
      <c r="I63" s="23">
        <f t="shared" si="9"/>
        <v>5701.9044775000002</v>
      </c>
      <c r="J63" s="25">
        <f t="shared" si="7"/>
        <v>68422.853730000003</v>
      </c>
      <c r="K63" s="23">
        <f t="shared" si="11"/>
        <v>58082.2205952</v>
      </c>
      <c r="L63" s="140">
        <f t="shared" si="12"/>
        <v>3781.3945699999999</v>
      </c>
      <c r="M63" s="24">
        <f t="shared" si="5"/>
        <v>10340.633134800002</v>
      </c>
      <c r="N63" s="166">
        <f t="shared" si="10"/>
        <v>280.43099099999995</v>
      </c>
      <c r="O63" s="25">
        <f t="shared" si="6"/>
        <v>68703.284721000004</v>
      </c>
      <c r="P63" s="81"/>
    </row>
    <row r="64" spans="1:16" ht="24" customHeight="1" thickBot="1" x14ac:dyDescent="0.3">
      <c r="A64" s="210"/>
      <c r="B64" s="66" t="s">
        <v>42</v>
      </c>
      <c r="C64" s="160">
        <v>1.77</v>
      </c>
      <c r="D64" s="44">
        <f>C64*F10</f>
        <v>4770.1499999999996</v>
      </c>
      <c r="E64" s="45">
        <v>35</v>
      </c>
      <c r="F64" s="130">
        <v>10</v>
      </c>
      <c r="G64" s="67">
        <v>1</v>
      </c>
      <c r="H64" s="154">
        <f t="shared" si="2"/>
        <v>5247.165</v>
      </c>
      <c r="I64" s="23">
        <f t="shared" si="9"/>
        <v>6511.2070484999995</v>
      </c>
      <c r="J64" s="47">
        <f t="shared" si="7"/>
        <v>78134.48458199999</v>
      </c>
      <c r="K64" s="23">
        <f t="shared" si="11"/>
        <v>69953.35993559999</v>
      </c>
      <c r="L64" s="140">
        <f t="shared" si="12"/>
        <v>4318.1086379999997</v>
      </c>
      <c r="M64" s="24">
        <f t="shared" si="5"/>
        <v>8181.1246463999996</v>
      </c>
      <c r="N64" s="166">
        <f t="shared" si="10"/>
        <v>320.23409939999988</v>
      </c>
      <c r="O64" s="25">
        <f t="shared" si="6"/>
        <v>78454.718681399987</v>
      </c>
      <c r="P64" s="81"/>
    </row>
    <row r="65" spans="1:17" ht="24" customHeight="1" thickBot="1" x14ac:dyDescent="0.3">
      <c r="A65" s="71"/>
      <c r="B65" s="72" t="s">
        <v>44</v>
      </c>
      <c r="C65" s="53"/>
      <c r="D65" s="54"/>
      <c r="E65" s="55"/>
      <c r="F65" s="55"/>
      <c r="G65" s="56">
        <f>SUM(G58:G64)</f>
        <v>45</v>
      </c>
      <c r="H65" s="154"/>
      <c r="I65" s="23"/>
      <c r="J65" s="57"/>
      <c r="K65" s="188">
        <f>SUM(K58:K64)</f>
        <v>2498443.0202903999</v>
      </c>
      <c r="L65" s="140"/>
      <c r="M65" s="188">
        <f>SUM(M58:M64)</f>
        <v>349352.26958760025</v>
      </c>
      <c r="N65" s="188">
        <f>SUM(N58:N64)</f>
        <v>11718.396959399995</v>
      </c>
      <c r="O65" s="180">
        <f>SUM(O58:O64)</f>
        <v>2859513.6868374003</v>
      </c>
      <c r="P65" s="81">
        <f>M65+N65</f>
        <v>361070.66654700023</v>
      </c>
    </row>
    <row r="66" spans="1:17" ht="24.75" customHeight="1" thickBot="1" x14ac:dyDescent="0.3">
      <c r="A66" s="208" t="s">
        <v>45</v>
      </c>
      <c r="B66" s="73" t="s">
        <v>46</v>
      </c>
      <c r="C66" s="158">
        <v>1.8</v>
      </c>
      <c r="D66" s="61">
        <f>C66*F10</f>
        <v>4851</v>
      </c>
      <c r="E66" s="21">
        <v>0</v>
      </c>
      <c r="F66" s="21">
        <v>0</v>
      </c>
      <c r="G66" s="62">
        <v>5</v>
      </c>
      <c r="H66" s="154">
        <f t="shared" si="2"/>
        <v>4851</v>
      </c>
      <c r="I66" s="23">
        <f t="shared" si="9"/>
        <v>30098.029499999997</v>
      </c>
      <c r="J66" s="23">
        <f t="shared" si="7"/>
        <v>361176.35399999993</v>
      </c>
      <c r="K66" s="23">
        <f>(1966*2.1)*(1+E66/100)*G66*12*1.2409</f>
        <v>307390.78439999995</v>
      </c>
      <c r="L66" s="140">
        <f>1966*2.1*G66*1.2409</f>
        <v>25615.898699999998</v>
      </c>
      <c r="M66" s="24">
        <f t="shared" si="5"/>
        <v>53785.569599999988</v>
      </c>
      <c r="N66" s="166">
        <f>((D66-1966*2.1)*20%)*G66*1.2409</f>
        <v>896.42615999999953</v>
      </c>
      <c r="O66" s="25">
        <f t="shared" si="6"/>
        <v>362072.78015999991</v>
      </c>
      <c r="P66" s="81"/>
    </row>
    <row r="67" spans="1:17" ht="37.5" customHeight="1" thickBot="1" x14ac:dyDescent="0.3">
      <c r="A67" s="208"/>
      <c r="B67" s="75" t="s">
        <v>47</v>
      </c>
      <c r="C67" s="159">
        <v>1.98</v>
      </c>
      <c r="D67" s="35">
        <f>C67*F10</f>
        <v>5336.1</v>
      </c>
      <c r="E67" s="28">
        <v>0</v>
      </c>
      <c r="F67" s="28">
        <v>0</v>
      </c>
      <c r="G67" s="64">
        <v>1</v>
      </c>
      <c r="H67" s="154">
        <f t="shared" si="2"/>
        <v>5336.1</v>
      </c>
      <c r="I67" s="23">
        <f t="shared" si="9"/>
        <v>6621.5664900000002</v>
      </c>
      <c r="J67" s="25">
        <f t="shared" si="7"/>
        <v>79458.797879999998</v>
      </c>
      <c r="K67" s="23">
        <f>(1966*2.3)*(1+E67/100)*G67*12*1.2409</f>
        <v>67333.219439999986</v>
      </c>
      <c r="L67" s="140">
        <f>1966*2.3*G67*1.2409</f>
        <v>5611.1016199999985</v>
      </c>
      <c r="M67" s="24">
        <f t="shared" si="5"/>
        <v>12125.578440000012</v>
      </c>
      <c r="N67" s="166">
        <f>((D67-1966*2.3)*20%)*G67*1.2409</f>
        <v>202.09297400000028</v>
      </c>
      <c r="O67" s="25">
        <f t="shared" si="6"/>
        <v>79660.890853999997</v>
      </c>
      <c r="P67" s="81"/>
    </row>
    <row r="68" spans="1:17" ht="27" customHeight="1" thickBot="1" x14ac:dyDescent="0.3">
      <c r="A68" s="208"/>
      <c r="B68" s="76" t="s">
        <v>48</v>
      </c>
      <c r="C68" s="160">
        <v>2.25</v>
      </c>
      <c r="D68" s="44">
        <f>C68*F10</f>
        <v>6063.75</v>
      </c>
      <c r="E68" s="45">
        <v>0</v>
      </c>
      <c r="F68" s="45">
        <v>0</v>
      </c>
      <c r="G68" s="67">
        <v>1</v>
      </c>
      <c r="H68" s="154">
        <f t="shared" si="2"/>
        <v>6063.75</v>
      </c>
      <c r="I68" s="23">
        <f t="shared" si="9"/>
        <v>7524.5073749999992</v>
      </c>
      <c r="J68" s="47">
        <f t="shared" si="7"/>
        <v>90294.088499999983</v>
      </c>
      <c r="K68" s="23">
        <f>(1966*2.62)*(1+E68/100)*G68*12*1.2409</f>
        <v>76701.319535999995</v>
      </c>
      <c r="L68" s="140">
        <f>1966*2.62*G68*1.2409</f>
        <v>6391.7766279999996</v>
      </c>
      <c r="M68" s="24">
        <f t="shared" si="5"/>
        <v>13592.768963999988</v>
      </c>
      <c r="N68" s="166">
        <f>((D68-1966*2.62)*20%)*G68*1.2409</f>
        <v>226.54614939999999</v>
      </c>
      <c r="O68" s="25">
        <f t="shared" si="6"/>
        <v>90520.634649399988</v>
      </c>
      <c r="P68" s="81"/>
    </row>
    <row r="69" spans="1:17" ht="27" customHeight="1" thickBot="1" x14ac:dyDescent="0.3">
      <c r="A69" s="77"/>
      <c r="B69" s="72" t="s">
        <v>49</v>
      </c>
      <c r="C69" s="78"/>
      <c r="D69" s="79"/>
      <c r="E69" s="55"/>
      <c r="F69" s="55"/>
      <c r="G69">
        <f>SUM(G66:G68)</f>
        <v>7</v>
      </c>
      <c r="H69" s="154"/>
      <c r="I69" s="80"/>
      <c r="J69" s="81"/>
      <c r="K69" s="188">
        <f>SUM(K66:K68)</f>
        <v>451425.32337599993</v>
      </c>
      <c r="L69" s="141"/>
      <c r="M69" s="188">
        <f>SUM(M66:M68)</f>
        <v>79503.917003999988</v>
      </c>
      <c r="N69" s="188">
        <f>SUM(N66:N68)</f>
        <v>1325.0652833999998</v>
      </c>
      <c r="O69" s="181">
        <f>SUM(O66:O68)</f>
        <v>532254.30566339986</v>
      </c>
      <c r="P69" s="167">
        <f>M69+N69</f>
        <v>80828.982287399995</v>
      </c>
    </row>
    <row r="70" spans="1:17" ht="27" customHeight="1" thickBot="1" x14ac:dyDescent="0.3">
      <c r="A70" s="77"/>
      <c r="B70" s="85"/>
      <c r="C70" s="86"/>
      <c r="D70" s="87"/>
      <c r="E70" s="88"/>
      <c r="F70" s="88"/>
      <c r="G70" s="88"/>
      <c r="H70" s="154"/>
      <c r="I70" s="89"/>
      <c r="J70" s="89"/>
      <c r="K70" s="23"/>
      <c r="L70" s="142"/>
      <c r="M70" s="89"/>
      <c r="N70" s="89"/>
      <c r="O70" s="168"/>
      <c r="P70" s="89"/>
    </row>
    <row r="71" spans="1:17" ht="15.75" thickBot="1" x14ac:dyDescent="0.3">
      <c r="B71" s="93" t="s">
        <v>50</v>
      </c>
      <c r="C71" s="94"/>
      <c r="D71" s="94"/>
      <c r="E71" s="95"/>
      <c r="F71" s="195"/>
      <c r="G71" s="95">
        <f>SUM(G16:G68)-G57-G65</f>
        <v>598</v>
      </c>
      <c r="H71" s="154"/>
      <c r="I71" s="96"/>
      <c r="J71" s="94"/>
      <c r="K71" s="23"/>
      <c r="L71" s="143"/>
      <c r="M71" s="97"/>
      <c r="N71" s="97">
        <f>((D71-1647*C71)*20%)*G71*1.2409</f>
        <v>0</v>
      </c>
      <c r="O71" s="25"/>
      <c r="P71" s="81"/>
    </row>
    <row r="72" spans="1:17" ht="23.25" customHeight="1" thickBot="1" x14ac:dyDescent="0.3">
      <c r="B72" s="194"/>
      <c r="C72" s="94"/>
      <c r="D72" s="94"/>
      <c r="E72" s="95"/>
      <c r="F72" s="195"/>
      <c r="G72" s="95"/>
      <c r="H72" s="154"/>
      <c r="I72" s="96"/>
      <c r="J72" s="94"/>
      <c r="K72" s="23"/>
      <c r="L72" s="143"/>
      <c r="M72" s="97"/>
      <c r="N72" s="97"/>
      <c r="O72" s="25"/>
      <c r="P72" s="81"/>
    </row>
    <row r="73" spans="1:17" ht="19.5" thickBot="1" x14ac:dyDescent="0.35">
      <c r="B73" s="194" t="s">
        <v>183</v>
      </c>
      <c r="C73" s="94"/>
      <c r="D73" s="94" t="s">
        <v>185</v>
      </c>
      <c r="E73" s="95"/>
      <c r="F73" s="196">
        <v>2639</v>
      </c>
      <c r="G73" s="95">
        <v>1966</v>
      </c>
      <c r="H73" s="154"/>
      <c r="I73" s="1" t="s">
        <v>5</v>
      </c>
      <c r="J73">
        <f>F73-G73</f>
        <v>673</v>
      </c>
      <c r="K73" s="4">
        <f>F73/G73-1</f>
        <v>0.34231943031536116</v>
      </c>
      <c r="L73" s="143"/>
      <c r="M73" s="97"/>
      <c r="N73" s="97"/>
      <c r="O73" s="25"/>
      <c r="P73" s="81"/>
    </row>
    <row r="74" spans="1:17" ht="35.25" customHeight="1" thickBot="1" x14ac:dyDescent="0.3">
      <c r="B74" s="100" t="s">
        <v>10</v>
      </c>
      <c r="C74" s="218" t="s">
        <v>11</v>
      </c>
      <c r="D74" s="219"/>
      <c r="E74" s="28"/>
      <c r="F74" s="28"/>
      <c r="G74" s="28"/>
      <c r="H74" s="154"/>
      <c r="I74" s="23"/>
      <c r="J74" s="94"/>
      <c r="K74" s="23"/>
      <c r="L74" s="140"/>
      <c r="M74" s="24"/>
      <c r="N74" s="166"/>
      <c r="O74" s="25"/>
      <c r="P74" s="81"/>
      <c r="Q74" t="s">
        <v>184</v>
      </c>
    </row>
    <row r="75" spans="1:17" ht="15.75" thickBot="1" x14ac:dyDescent="0.3">
      <c r="A75" s="205" t="s">
        <v>52</v>
      </c>
      <c r="B75" s="202" t="s">
        <v>53</v>
      </c>
      <c r="C75" s="115">
        <v>1</v>
      </c>
      <c r="D75" s="101">
        <f>C75*F73</f>
        <v>2639</v>
      </c>
      <c r="E75" s="28">
        <v>21</v>
      </c>
      <c r="F75" s="102">
        <v>10</v>
      </c>
      <c r="G75" s="102">
        <v>109</v>
      </c>
      <c r="H75" s="154">
        <f>D75*(1+F75/100)</f>
        <v>2902.9</v>
      </c>
      <c r="I75" s="23">
        <f>(D75*(1+F75/100)*G75)*1.2409</f>
        <v>392640.73849000002</v>
      </c>
      <c r="J75" s="25">
        <f>I75*12</f>
        <v>4711688.8618800007</v>
      </c>
      <c r="K75" s="23">
        <f t="shared" ref="K75:K96" si="13">(1966*Q75)*(1+E75/100)*G75*12*1.2409</f>
        <v>3783898.5850881599</v>
      </c>
      <c r="L75" s="140">
        <f t="shared" ref="L75:L96" si="14">1966*Q75*G75*1.2409</f>
        <v>260599.07610799998</v>
      </c>
      <c r="M75" s="24">
        <f>J75-K75</f>
        <v>927790.27679184079</v>
      </c>
      <c r="N75" s="166">
        <f t="shared" ref="N75:N96" si="15">((D75-1966*Q75)*20%)*G75*1.2409</f>
        <v>19269.409958399996</v>
      </c>
      <c r="O75" s="25">
        <f t="shared" ref="O75:O96" si="16">K75+M75+N75</f>
        <v>4730958.2718384005</v>
      </c>
      <c r="Q75" s="33">
        <v>0.98</v>
      </c>
    </row>
    <row r="76" spans="1:17" ht="15.75" thickBot="1" x14ac:dyDescent="0.3">
      <c r="A76" s="205"/>
      <c r="B76" s="206"/>
      <c r="C76" s="115">
        <v>1</v>
      </c>
      <c r="D76" s="101">
        <f>C76*F73</f>
        <v>2639</v>
      </c>
      <c r="E76" s="28">
        <v>14</v>
      </c>
      <c r="F76" s="120">
        <v>5</v>
      </c>
      <c r="G76" s="102">
        <v>26</v>
      </c>
      <c r="H76" s="154">
        <f t="shared" ref="H76:H96" si="17">D76*(1+F76/100)</f>
        <v>2770.9500000000003</v>
      </c>
      <c r="I76" s="23">
        <f t="shared" ref="I76:I96" si="18">(D76*(1+F76/100)*G76)*1.2409</f>
        <v>89400.268230000001</v>
      </c>
      <c r="J76" s="25">
        <f t="shared" ref="J76:J96" si="19">I76*12</f>
        <v>1072803.2187600001</v>
      </c>
      <c r="K76" s="23">
        <f t="shared" si="13"/>
        <v>850365.86596416007</v>
      </c>
      <c r="L76" s="140">
        <f t="shared" si="14"/>
        <v>62161.247511999994</v>
      </c>
      <c r="M76" s="24">
        <f t="shared" si="5"/>
        <v>222437.35279584001</v>
      </c>
      <c r="N76" s="166">
        <f t="shared" si="15"/>
        <v>4596.373017599999</v>
      </c>
      <c r="O76" s="25">
        <f t="shared" si="16"/>
        <v>1077399.5917776001</v>
      </c>
      <c r="Q76" s="33">
        <v>0.98</v>
      </c>
    </row>
    <row r="77" spans="1:17" ht="15.75" thickBot="1" x14ac:dyDescent="0.3">
      <c r="A77" s="205"/>
      <c r="B77" s="203"/>
      <c r="C77" s="115">
        <v>1</v>
      </c>
      <c r="D77" s="101">
        <f>C77*F73</f>
        <v>2639</v>
      </c>
      <c r="E77" s="28">
        <v>7</v>
      </c>
      <c r="F77" s="153">
        <v>0</v>
      </c>
      <c r="G77" s="102">
        <v>138</v>
      </c>
      <c r="H77" s="154">
        <f t="shared" si="17"/>
        <v>2639</v>
      </c>
      <c r="I77" s="23">
        <f t="shared" si="18"/>
        <v>451913.44379999995</v>
      </c>
      <c r="J77" s="25">
        <f t="shared" si="19"/>
        <v>5422961.3255999992</v>
      </c>
      <c r="K77" s="23">
        <f t="shared" si="13"/>
        <v>4236336.8342870409</v>
      </c>
      <c r="L77" s="140">
        <f t="shared" si="14"/>
        <v>329932.77525599999</v>
      </c>
      <c r="M77" s="24">
        <f t="shared" ref="M77:M96" si="20">J77-K77</f>
        <v>1186624.4913129583</v>
      </c>
      <c r="N77" s="166">
        <f t="shared" si="15"/>
        <v>24396.133708799996</v>
      </c>
      <c r="O77" s="25">
        <f t="shared" si="16"/>
        <v>5447357.4593087994</v>
      </c>
      <c r="Q77" s="33">
        <v>0.98</v>
      </c>
    </row>
    <row r="78" spans="1:17" ht="15.75" thickBot="1" x14ac:dyDescent="0.3">
      <c r="A78" s="205"/>
      <c r="B78" s="202" t="s">
        <v>54</v>
      </c>
      <c r="C78" s="115">
        <v>1.07</v>
      </c>
      <c r="D78" s="101">
        <f>C78*F73</f>
        <v>2823.73</v>
      </c>
      <c r="E78" s="28">
        <v>21</v>
      </c>
      <c r="F78" s="102">
        <v>10</v>
      </c>
      <c r="G78" s="102">
        <v>5</v>
      </c>
      <c r="H78" s="154">
        <f t="shared" si="17"/>
        <v>3106.1030000000001</v>
      </c>
      <c r="I78" s="23">
        <f t="shared" si="18"/>
        <v>19271.816063499999</v>
      </c>
      <c r="J78" s="25">
        <f t="shared" si="19"/>
        <v>231261.792762</v>
      </c>
      <c r="K78" s="23">
        <f t="shared" si="13"/>
        <v>185971.424562</v>
      </c>
      <c r="L78" s="140">
        <f t="shared" si="14"/>
        <v>12807.949349999999</v>
      </c>
      <c r="M78" s="24">
        <f t="shared" si="20"/>
        <v>45290.368199999997</v>
      </c>
      <c r="N78" s="166">
        <f t="shared" si="15"/>
        <v>942.37668699999972</v>
      </c>
      <c r="O78" s="25">
        <f t="shared" si="16"/>
        <v>232204.16944900001</v>
      </c>
      <c r="Q78" s="33">
        <v>1.05</v>
      </c>
    </row>
    <row r="79" spans="1:17" ht="15.75" thickBot="1" x14ac:dyDescent="0.3">
      <c r="A79" s="205"/>
      <c r="B79" s="203"/>
      <c r="C79" s="115">
        <v>1.07</v>
      </c>
      <c r="D79" s="101">
        <f>C79*F73</f>
        <v>2823.73</v>
      </c>
      <c r="E79" s="28">
        <v>14</v>
      </c>
      <c r="F79" s="120">
        <v>5</v>
      </c>
      <c r="G79" s="102">
        <v>1</v>
      </c>
      <c r="H79" s="154">
        <f t="shared" si="17"/>
        <v>2964.9165000000003</v>
      </c>
      <c r="I79" s="23">
        <f t="shared" si="18"/>
        <v>3679.1648848499999</v>
      </c>
      <c r="J79" s="25">
        <f t="shared" si="19"/>
        <v>44149.978618199995</v>
      </c>
      <c r="K79" s="23">
        <f t="shared" si="13"/>
        <v>35042.549421600008</v>
      </c>
      <c r="L79" s="140">
        <f t="shared" si="14"/>
        <v>2561.5898699999998</v>
      </c>
      <c r="M79" s="24">
        <f>J79-K79</f>
        <v>9107.4291965999873</v>
      </c>
      <c r="N79" s="166">
        <f t="shared" si="15"/>
        <v>188.47533739999994</v>
      </c>
      <c r="O79" s="25">
        <f>K79+M79+N79</f>
        <v>44338.453955599995</v>
      </c>
      <c r="Q79" s="33">
        <v>1.05</v>
      </c>
    </row>
    <row r="80" spans="1:17" ht="18.75" customHeight="1" thickBot="1" x14ac:dyDescent="0.3">
      <c r="A80" s="205"/>
      <c r="B80" s="202" t="s">
        <v>55</v>
      </c>
      <c r="C80" s="115">
        <v>1.1599999999999999</v>
      </c>
      <c r="D80" s="101">
        <f>C80*F73</f>
        <v>3061.24</v>
      </c>
      <c r="E80" s="28">
        <v>21</v>
      </c>
      <c r="F80" s="102">
        <v>10</v>
      </c>
      <c r="G80" s="102">
        <v>34</v>
      </c>
      <c r="H80" s="154">
        <f t="shared" si="17"/>
        <v>3367.364</v>
      </c>
      <c r="I80" s="23">
        <f t="shared" si="18"/>
        <v>142071.1075784</v>
      </c>
      <c r="J80" s="25">
        <f t="shared" si="19"/>
        <v>1704853.2909408</v>
      </c>
      <c r="K80" s="23">
        <f t="shared" si="13"/>
        <v>1373000.4601948797</v>
      </c>
      <c r="L80" s="140">
        <f t="shared" si="14"/>
        <v>94559.26034399998</v>
      </c>
      <c r="M80" s="24">
        <f t="shared" si="20"/>
        <v>331852.83074592031</v>
      </c>
      <c r="N80" s="166">
        <f t="shared" si="15"/>
        <v>6919.2583999999997</v>
      </c>
      <c r="O80" s="25">
        <f t="shared" si="16"/>
        <v>1711772.5493407999</v>
      </c>
      <c r="Q80" s="33">
        <v>1.1399999999999999</v>
      </c>
    </row>
    <row r="81" spans="1:17" ht="15.75" thickBot="1" x14ac:dyDescent="0.3">
      <c r="A81" s="205"/>
      <c r="B81" s="203"/>
      <c r="C81" s="115">
        <v>1.1599999999999999</v>
      </c>
      <c r="D81" s="101">
        <f>C81*F73</f>
        <v>3061.24</v>
      </c>
      <c r="E81" s="28">
        <v>14</v>
      </c>
      <c r="F81" s="120">
        <v>5</v>
      </c>
      <c r="G81" s="102">
        <v>3</v>
      </c>
      <c r="H81" s="154">
        <f t="shared" si="17"/>
        <v>3214.3019999999997</v>
      </c>
      <c r="I81" s="23">
        <f t="shared" si="18"/>
        <v>11965.882055399998</v>
      </c>
      <c r="J81" s="25">
        <f t="shared" si="19"/>
        <v>143590.58466479997</v>
      </c>
      <c r="K81" s="23">
        <f t="shared" si="13"/>
        <v>114138.58954464</v>
      </c>
      <c r="L81" s="140">
        <f t="shared" si="14"/>
        <v>8343.4641479999991</v>
      </c>
      <c r="M81" s="24">
        <f t="shared" si="20"/>
        <v>29451.995120159976</v>
      </c>
      <c r="N81" s="166">
        <f t="shared" si="15"/>
        <v>610.52279999999996</v>
      </c>
      <c r="O81" s="25">
        <f t="shared" si="16"/>
        <v>144201.10746479998</v>
      </c>
      <c r="Q81" s="33">
        <v>1.1399999999999999</v>
      </c>
    </row>
    <row r="82" spans="1:17" ht="15.75" thickBot="1" x14ac:dyDescent="0.3">
      <c r="A82" s="205"/>
      <c r="B82" s="202" t="s">
        <v>56</v>
      </c>
      <c r="C82" s="115">
        <v>1.1000000000000001</v>
      </c>
      <c r="D82" s="101">
        <f>C82*F73</f>
        <v>2902.9</v>
      </c>
      <c r="E82" s="28">
        <v>21</v>
      </c>
      <c r="F82" s="102">
        <v>10</v>
      </c>
      <c r="G82" s="102">
        <v>52</v>
      </c>
      <c r="H82" s="154">
        <f t="shared" si="17"/>
        <v>3193.1900000000005</v>
      </c>
      <c r="I82" s="23">
        <f t="shared" si="18"/>
        <v>206046.33249200002</v>
      </c>
      <c r="J82" s="25">
        <f t="shared" si="19"/>
        <v>2472555.9899040004</v>
      </c>
      <c r="K82" s="23">
        <f t="shared" si="13"/>
        <v>1989362.8958860803</v>
      </c>
      <c r="L82" s="140">
        <f t="shared" si="14"/>
        <v>137008.463904</v>
      </c>
      <c r="M82" s="24">
        <f t="shared" si="20"/>
        <v>483193.09401792008</v>
      </c>
      <c r="N82" s="166">
        <f t="shared" si="15"/>
        <v>10061.276763199998</v>
      </c>
      <c r="O82" s="25">
        <f t="shared" si="16"/>
        <v>2482617.2666672003</v>
      </c>
      <c r="Q82" s="33">
        <v>1.08</v>
      </c>
    </row>
    <row r="83" spans="1:17" ht="15.75" thickBot="1" x14ac:dyDescent="0.3">
      <c r="A83" s="205"/>
      <c r="B83" s="206"/>
      <c r="C83" s="115">
        <v>1.1000000000000001</v>
      </c>
      <c r="D83" s="101">
        <f>C83*F73</f>
        <v>2902.9</v>
      </c>
      <c r="E83" s="28">
        <v>14</v>
      </c>
      <c r="F83" s="120">
        <v>5</v>
      </c>
      <c r="G83" s="102">
        <v>10</v>
      </c>
      <c r="H83" s="154">
        <f t="shared" si="17"/>
        <v>3048.0450000000001</v>
      </c>
      <c r="I83" s="23">
        <f t="shared" si="18"/>
        <v>37823.190405000001</v>
      </c>
      <c r="J83" s="25">
        <f t="shared" si="19"/>
        <v>453878.28486000001</v>
      </c>
      <c r="K83" s="23">
        <f t="shared" si="13"/>
        <v>360437.65119360009</v>
      </c>
      <c r="L83" s="140">
        <f t="shared" si="14"/>
        <v>26347.78152</v>
      </c>
      <c r="M83" s="24">
        <f t="shared" si="20"/>
        <v>93440.633666399925</v>
      </c>
      <c r="N83" s="166">
        <f t="shared" si="15"/>
        <v>1934.8609159999996</v>
      </c>
      <c r="O83" s="25">
        <f t="shared" si="16"/>
        <v>455813.14577599999</v>
      </c>
      <c r="Q83" s="33">
        <v>1.08</v>
      </c>
    </row>
    <row r="84" spans="1:17" ht="15.75" thickBot="1" x14ac:dyDescent="0.3">
      <c r="A84" s="205"/>
      <c r="B84" s="203"/>
      <c r="C84" s="115">
        <v>1.1000000000000001</v>
      </c>
      <c r="D84" s="101">
        <f>C84*F73</f>
        <v>2902.9</v>
      </c>
      <c r="E84" s="28">
        <v>7</v>
      </c>
      <c r="F84" s="153">
        <v>0</v>
      </c>
      <c r="G84" s="102">
        <v>23</v>
      </c>
      <c r="H84" s="154">
        <f t="shared" si="17"/>
        <v>2902.9</v>
      </c>
      <c r="I84" s="23">
        <f t="shared" si="18"/>
        <v>82850.798029999991</v>
      </c>
      <c r="J84" s="25">
        <f t="shared" si="19"/>
        <v>994209.57635999983</v>
      </c>
      <c r="K84" s="23">
        <f t="shared" si="13"/>
        <v>778102.68384863995</v>
      </c>
      <c r="L84" s="140">
        <f t="shared" si="14"/>
        <v>60599.897495999998</v>
      </c>
      <c r="M84" s="24">
        <f t="shared" si="20"/>
        <v>216106.89251135988</v>
      </c>
      <c r="N84" s="166">
        <f t="shared" si="15"/>
        <v>4450.1801067999986</v>
      </c>
      <c r="O84" s="25">
        <f t="shared" si="16"/>
        <v>998659.75646679988</v>
      </c>
      <c r="Q84" s="33">
        <v>1.08</v>
      </c>
    </row>
    <row r="85" spans="1:17" ht="15.75" thickBot="1" x14ac:dyDescent="0.3">
      <c r="A85" s="205"/>
      <c r="B85" s="202" t="s">
        <v>57</v>
      </c>
      <c r="C85" s="115">
        <v>1.17</v>
      </c>
      <c r="D85" s="101">
        <f>C85*F73</f>
        <v>3087.6299999999997</v>
      </c>
      <c r="E85" s="28">
        <v>28</v>
      </c>
      <c r="F85" s="102">
        <v>10</v>
      </c>
      <c r="G85" s="102">
        <v>3</v>
      </c>
      <c r="H85" s="154">
        <f t="shared" si="17"/>
        <v>3396.393</v>
      </c>
      <c r="I85" s="23">
        <f t="shared" si="18"/>
        <v>12643.7522211</v>
      </c>
      <c r="J85" s="25">
        <f t="shared" si="19"/>
        <v>151725.02665319998</v>
      </c>
      <c r="K85" s="23">
        <f t="shared" si="13"/>
        <v>129279.78132479999</v>
      </c>
      <c r="L85" s="140">
        <f t="shared" si="14"/>
        <v>8416.6524299999983</v>
      </c>
      <c r="M85" s="24">
        <f t="shared" si="20"/>
        <v>22445.245328399993</v>
      </c>
      <c r="N85" s="166">
        <f t="shared" si="15"/>
        <v>615.53355419999991</v>
      </c>
      <c r="O85" s="25">
        <f t="shared" si="16"/>
        <v>152340.56020739998</v>
      </c>
      <c r="Q85" s="33">
        <v>1.1499999999999999</v>
      </c>
    </row>
    <row r="86" spans="1:17" ht="15.75" thickBot="1" x14ac:dyDescent="0.3">
      <c r="A86" s="205"/>
      <c r="B86" s="203"/>
      <c r="C86" s="115">
        <v>1.17</v>
      </c>
      <c r="D86" s="101">
        <f>C86*F73</f>
        <v>3087.6299999999997</v>
      </c>
      <c r="E86" s="28">
        <v>21</v>
      </c>
      <c r="F86" s="102">
        <v>10</v>
      </c>
      <c r="G86" s="102">
        <v>1</v>
      </c>
      <c r="H86" s="154">
        <f t="shared" si="17"/>
        <v>3396.393</v>
      </c>
      <c r="I86" s="23">
        <f t="shared" si="18"/>
        <v>4214.5840736999999</v>
      </c>
      <c r="J86" s="25">
        <f t="shared" si="19"/>
        <v>50575.008884399998</v>
      </c>
      <c r="K86" s="23">
        <f t="shared" si="13"/>
        <v>40736.597761199992</v>
      </c>
      <c r="L86" s="140">
        <f t="shared" si="14"/>
        <v>2805.5508099999993</v>
      </c>
      <c r="M86" s="24">
        <f t="shared" si="20"/>
        <v>9838.4111232000068</v>
      </c>
      <c r="N86" s="166">
        <f t="shared" si="15"/>
        <v>205.17785139999998</v>
      </c>
      <c r="O86" s="25">
        <f t="shared" si="16"/>
        <v>50780.186735800002</v>
      </c>
      <c r="Q86" s="33">
        <v>1.1499999999999999</v>
      </c>
    </row>
    <row r="87" spans="1:17" ht="15.75" thickBot="1" x14ac:dyDescent="0.3">
      <c r="A87" s="205"/>
      <c r="B87" s="202" t="s">
        <v>59</v>
      </c>
      <c r="C87" s="115">
        <v>1.24</v>
      </c>
      <c r="D87" s="101">
        <f>C87*F73</f>
        <v>3272.36</v>
      </c>
      <c r="E87" s="28">
        <v>28</v>
      </c>
      <c r="F87" s="102">
        <v>10</v>
      </c>
      <c r="G87" s="102">
        <v>4</v>
      </c>
      <c r="H87" s="154">
        <f t="shared" si="17"/>
        <v>3599.5960000000005</v>
      </c>
      <c r="I87" s="23">
        <f t="shared" si="18"/>
        <v>17866.954705600001</v>
      </c>
      <c r="J87" s="25">
        <f t="shared" si="19"/>
        <v>214403.45646720001</v>
      </c>
      <c r="K87" s="23">
        <f t="shared" si="13"/>
        <v>182865.31387392001</v>
      </c>
      <c r="L87" s="140">
        <f t="shared" si="14"/>
        <v>11905.293871999998</v>
      </c>
      <c r="M87" s="24">
        <f t="shared" si="20"/>
        <v>31538.142593280005</v>
      </c>
      <c r="N87" s="166">
        <f t="shared" si="15"/>
        <v>867.47844480000003</v>
      </c>
      <c r="O87" s="25">
        <f t="shared" si="16"/>
        <v>215270.93491200003</v>
      </c>
      <c r="Q87" s="33">
        <v>1.22</v>
      </c>
    </row>
    <row r="88" spans="1:17" ht="15.75" thickBot="1" x14ac:dyDescent="0.3">
      <c r="A88" s="205"/>
      <c r="B88" s="203"/>
      <c r="C88" s="115">
        <v>1.24</v>
      </c>
      <c r="D88" s="101">
        <f>C88*F73</f>
        <v>3272.36</v>
      </c>
      <c r="E88" s="28">
        <v>21</v>
      </c>
      <c r="F88" s="102">
        <v>10</v>
      </c>
      <c r="G88" s="102">
        <v>2</v>
      </c>
      <c r="H88" s="154">
        <f t="shared" si="17"/>
        <v>3599.5960000000005</v>
      </c>
      <c r="I88" s="23">
        <f t="shared" si="18"/>
        <v>8933.4773528000005</v>
      </c>
      <c r="J88" s="25">
        <f t="shared" si="19"/>
        <v>107201.72823360001</v>
      </c>
      <c r="K88" s="23">
        <f t="shared" si="13"/>
        <v>86432.433510719988</v>
      </c>
      <c r="L88" s="140">
        <f t="shared" si="14"/>
        <v>5952.6469359999992</v>
      </c>
      <c r="M88" s="24">
        <f t="shared" si="20"/>
        <v>20769.294722880019</v>
      </c>
      <c r="N88" s="166">
        <f t="shared" si="15"/>
        <v>433.73922240000002</v>
      </c>
      <c r="O88" s="25">
        <f t="shared" si="16"/>
        <v>107635.46745600001</v>
      </c>
      <c r="Q88" s="33">
        <v>1.22</v>
      </c>
    </row>
    <row r="89" spans="1:17" ht="15.75" thickBot="1" x14ac:dyDescent="0.3">
      <c r="A89" s="205"/>
      <c r="B89" s="202" t="s">
        <v>60</v>
      </c>
      <c r="C89" s="115">
        <v>1.24</v>
      </c>
      <c r="D89" s="101">
        <f>C89*F73</f>
        <v>3272.36</v>
      </c>
      <c r="E89" s="28">
        <v>21</v>
      </c>
      <c r="F89" s="102">
        <v>10</v>
      </c>
      <c r="G89" s="102">
        <v>60</v>
      </c>
      <c r="H89" s="154">
        <f t="shared" si="17"/>
        <v>3599.5960000000005</v>
      </c>
      <c r="I89" s="23">
        <f t="shared" si="18"/>
        <v>268004.32058400003</v>
      </c>
      <c r="J89" s="25">
        <f t="shared" si="19"/>
        <v>3216051.8470080001</v>
      </c>
      <c r="K89" s="23">
        <f t="shared" si="13"/>
        <v>2592973.0053215995</v>
      </c>
      <c r="L89" s="140">
        <f t="shared" si="14"/>
        <v>178579.40807999999</v>
      </c>
      <c r="M89" s="24">
        <f t="shared" si="20"/>
        <v>623078.84168640058</v>
      </c>
      <c r="N89" s="166">
        <f t="shared" si="15"/>
        <v>13012.176672000001</v>
      </c>
      <c r="O89" s="25">
        <f t="shared" si="16"/>
        <v>3229064.0236800001</v>
      </c>
      <c r="Q89" s="33">
        <v>1.22</v>
      </c>
    </row>
    <row r="90" spans="1:17" ht="34.5" customHeight="1" thickBot="1" x14ac:dyDescent="0.3">
      <c r="A90" s="205"/>
      <c r="B90" s="206"/>
      <c r="C90" s="115">
        <v>1.24</v>
      </c>
      <c r="D90" s="101">
        <f>C90*F73</f>
        <v>3272.36</v>
      </c>
      <c r="E90" s="28">
        <v>14</v>
      </c>
      <c r="F90" s="120">
        <v>5</v>
      </c>
      <c r="G90" s="102">
        <v>16</v>
      </c>
      <c r="H90" s="154">
        <f t="shared" si="17"/>
        <v>3435.9780000000001</v>
      </c>
      <c r="I90" s="23">
        <f t="shared" si="18"/>
        <v>68219.281603199997</v>
      </c>
      <c r="J90" s="25">
        <f t="shared" si="19"/>
        <v>818631.37923839991</v>
      </c>
      <c r="K90" s="23">
        <f t="shared" si="13"/>
        <v>651457.68067584001</v>
      </c>
      <c r="L90" s="140">
        <f t="shared" si="14"/>
        <v>47621.175487999993</v>
      </c>
      <c r="M90" s="24">
        <f t="shared" si="20"/>
        <v>167173.6985625599</v>
      </c>
      <c r="N90" s="166">
        <f t="shared" si="15"/>
        <v>3469.9137792000001</v>
      </c>
      <c r="O90" s="25">
        <f t="shared" si="16"/>
        <v>822101.29301759996</v>
      </c>
      <c r="Q90" s="33">
        <v>1.22</v>
      </c>
    </row>
    <row r="91" spans="1:17" ht="26.25" customHeight="1" thickBot="1" x14ac:dyDescent="0.3">
      <c r="A91" s="205"/>
      <c r="B91" s="203"/>
      <c r="C91" s="115">
        <v>1.24</v>
      </c>
      <c r="D91" s="101">
        <f>C91*F73</f>
        <v>3272.36</v>
      </c>
      <c r="E91" s="28">
        <v>7</v>
      </c>
      <c r="F91" s="153">
        <v>0</v>
      </c>
      <c r="G91" s="102">
        <v>1</v>
      </c>
      <c r="H91" s="154">
        <f t="shared" si="17"/>
        <v>3272.36</v>
      </c>
      <c r="I91" s="23">
        <f t="shared" si="18"/>
        <v>4060.6715239999999</v>
      </c>
      <c r="J91" s="25">
        <f t="shared" si="19"/>
        <v>48728.058288</v>
      </c>
      <c r="K91" s="23">
        <f t="shared" si="13"/>
        <v>38215.99332912</v>
      </c>
      <c r="L91" s="140">
        <f t="shared" si="14"/>
        <v>2976.3234679999996</v>
      </c>
      <c r="M91" s="24">
        <f t="shared" si="20"/>
        <v>10512.064958880001</v>
      </c>
      <c r="N91" s="166">
        <f t="shared" si="15"/>
        <v>216.86961120000001</v>
      </c>
      <c r="O91" s="25">
        <f t="shared" si="16"/>
        <v>48944.927899200004</v>
      </c>
      <c r="Q91" s="33">
        <v>1.22</v>
      </c>
    </row>
    <row r="92" spans="1:17" ht="33" customHeight="1" thickBot="1" x14ac:dyDescent="0.3">
      <c r="A92" s="205"/>
      <c r="B92" s="202" t="s">
        <v>61</v>
      </c>
      <c r="C92" s="115">
        <v>1.45</v>
      </c>
      <c r="D92" s="101">
        <f>C92*F73</f>
        <v>3826.5499999999997</v>
      </c>
      <c r="E92" s="28">
        <v>28</v>
      </c>
      <c r="F92" s="102">
        <v>10</v>
      </c>
      <c r="G92" s="102">
        <v>6</v>
      </c>
      <c r="H92" s="154">
        <f t="shared" si="17"/>
        <v>4209.2049999999999</v>
      </c>
      <c r="I92" s="23">
        <f t="shared" si="18"/>
        <v>31339.214906999998</v>
      </c>
      <c r="J92" s="25">
        <f t="shared" si="19"/>
        <v>376070.57888399996</v>
      </c>
      <c r="K92" s="23">
        <f t="shared" si="13"/>
        <v>319264.85127167997</v>
      </c>
      <c r="L92" s="140">
        <f t="shared" si="14"/>
        <v>20785.472087999999</v>
      </c>
      <c r="M92" s="24">
        <f t="shared" si="20"/>
        <v>56805.727612319984</v>
      </c>
      <c r="N92" s="166">
        <f t="shared" si="15"/>
        <v>1540.9446564</v>
      </c>
      <c r="O92" s="25">
        <f t="shared" si="16"/>
        <v>377611.52354039997</v>
      </c>
      <c r="Q92" s="33">
        <v>1.42</v>
      </c>
    </row>
    <row r="93" spans="1:17" ht="15.75" thickBot="1" x14ac:dyDescent="0.3">
      <c r="A93" s="205"/>
      <c r="B93" s="203"/>
      <c r="C93" s="115">
        <v>1.45</v>
      </c>
      <c r="D93" s="101">
        <f>C93*F73</f>
        <v>3826.5499999999997</v>
      </c>
      <c r="E93" s="28">
        <v>21</v>
      </c>
      <c r="F93" s="102">
        <v>10</v>
      </c>
      <c r="G93" s="102">
        <v>1</v>
      </c>
      <c r="H93" s="154">
        <f t="shared" si="17"/>
        <v>4209.2049999999999</v>
      </c>
      <c r="I93" s="23">
        <f t="shared" si="18"/>
        <v>5223.2024844999996</v>
      </c>
      <c r="J93" s="25">
        <f t="shared" si="19"/>
        <v>62678.429813999996</v>
      </c>
      <c r="K93" s="23">
        <f t="shared" si="13"/>
        <v>50300.842452959987</v>
      </c>
      <c r="L93" s="140">
        <f t="shared" si="14"/>
        <v>3464.2453479999995</v>
      </c>
      <c r="M93" s="24">
        <f t="shared" si="20"/>
        <v>12377.587361040009</v>
      </c>
      <c r="N93" s="166">
        <f t="shared" si="15"/>
        <v>256.8241094</v>
      </c>
      <c r="O93" s="25">
        <f t="shared" si="16"/>
        <v>62935.253923399992</v>
      </c>
      <c r="Q93" s="33">
        <v>1.42</v>
      </c>
    </row>
    <row r="94" spans="1:17" ht="72" customHeight="1" thickBot="1" x14ac:dyDescent="0.3">
      <c r="A94" s="205"/>
      <c r="B94" s="202" t="s">
        <v>62</v>
      </c>
      <c r="C94" s="115">
        <v>1.55</v>
      </c>
      <c r="D94" s="101">
        <f>C94*F73</f>
        <v>4090.4500000000003</v>
      </c>
      <c r="E94" s="28">
        <v>35</v>
      </c>
      <c r="F94" s="102">
        <v>10</v>
      </c>
      <c r="G94" s="102">
        <v>2</v>
      </c>
      <c r="H94" s="154">
        <f t="shared" si="17"/>
        <v>4499.4950000000008</v>
      </c>
      <c r="I94" s="23">
        <f t="shared" si="18"/>
        <v>11166.846691000001</v>
      </c>
      <c r="J94" s="25">
        <f t="shared" si="19"/>
        <v>134002.16029200002</v>
      </c>
      <c r="K94" s="23">
        <f t="shared" si="13"/>
        <v>120145.88373120001</v>
      </c>
      <c r="L94" s="140">
        <f t="shared" si="14"/>
        <v>7416.4125759999997</v>
      </c>
      <c r="M94" s="24">
        <f t="shared" si="20"/>
        <v>13856.276560800005</v>
      </c>
      <c r="N94" s="166">
        <f t="shared" si="15"/>
        <v>547.05324680000001</v>
      </c>
      <c r="O94" s="25">
        <f t="shared" si="16"/>
        <v>134549.21353880002</v>
      </c>
      <c r="Q94" s="33">
        <v>1.52</v>
      </c>
    </row>
    <row r="95" spans="1:17" ht="15.75" thickBot="1" x14ac:dyDescent="0.3">
      <c r="A95" s="205"/>
      <c r="B95" s="203"/>
      <c r="C95" s="115">
        <v>1.55</v>
      </c>
      <c r="D95" s="101">
        <f>C95*F73</f>
        <v>4090.4500000000003</v>
      </c>
      <c r="E95" s="28">
        <v>21</v>
      </c>
      <c r="F95" s="102">
        <v>10</v>
      </c>
      <c r="G95" s="102">
        <v>1</v>
      </c>
      <c r="H95" s="154">
        <f t="shared" si="17"/>
        <v>4499.4950000000008</v>
      </c>
      <c r="I95" s="23">
        <f t="shared" si="18"/>
        <v>5583.4233455000003</v>
      </c>
      <c r="J95" s="25">
        <f t="shared" si="19"/>
        <v>67001.080146000008</v>
      </c>
      <c r="K95" s="23">
        <f t="shared" si="13"/>
        <v>53843.155301759994</v>
      </c>
      <c r="L95" s="140">
        <f t="shared" si="14"/>
        <v>3708.2062879999999</v>
      </c>
      <c r="M95" s="24">
        <f t="shared" si="20"/>
        <v>13157.924844240013</v>
      </c>
      <c r="N95" s="166">
        <f t="shared" si="15"/>
        <v>273.52662340000001</v>
      </c>
      <c r="O95" s="25">
        <f t="shared" si="16"/>
        <v>67274.606769400008</v>
      </c>
      <c r="Q95" s="33">
        <v>1.52</v>
      </c>
    </row>
    <row r="96" spans="1:17" x14ac:dyDescent="0.25">
      <c r="A96" s="205"/>
      <c r="B96" s="105" t="s">
        <v>63</v>
      </c>
      <c r="C96" s="115">
        <v>1.75</v>
      </c>
      <c r="D96" s="101">
        <f>Q96*F10</f>
        <v>4635.3999999999996</v>
      </c>
      <c r="E96" s="28">
        <v>35</v>
      </c>
      <c r="F96" s="102">
        <v>10</v>
      </c>
      <c r="G96" s="102">
        <v>1</v>
      </c>
      <c r="H96" s="154">
        <f t="shared" si="17"/>
        <v>5098.9399999999996</v>
      </c>
      <c r="I96" s="23">
        <f t="shared" si="18"/>
        <v>6327.2746459999989</v>
      </c>
      <c r="J96" s="25">
        <f t="shared" si="19"/>
        <v>75927.295751999991</v>
      </c>
      <c r="K96" s="23">
        <f t="shared" si="13"/>
        <v>67977.276321600002</v>
      </c>
      <c r="L96" s="140">
        <f t="shared" si="14"/>
        <v>4196.1281679999993</v>
      </c>
      <c r="M96" s="24">
        <f t="shared" si="20"/>
        <v>7950.0194303999888</v>
      </c>
      <c r="N96" s="166">
        <f t="shared" si="15"/>
        <v>311.18793839999989</v>
      </c>
      <c r="O96" s="25">
        <f t="shared" si="16"/>
        <v>76238.483690399997</v>
      </c>
      <c r="Q96" s="159">
        <v>1.72</v>
      </c>
    </row>
    <row r="97" spans="2:16" ht="15.75" x14ac:dyDescent="0.25">
      <c r="B97" s="109" t="s">
        <v>111</v>
      </c>
      <c r="G97" s="110">
        <f>SUM(G75:G96)</f>
        <v>499</v>
      </c>
      <c r="H97" s="110"/>
      <c r="K97" s="189">
        <f>SUM(K75:K96)</f>
        <v>18040150.354867205</v>
      </c>
      <c r="M97" s="189">
        <f>SUM(M75:M96)</f>
        <v>4534798.599143398</v>
      </c>
      <c r="N97" s="189">
        <f>SUM(N75:N96)</f>
        <v>95119.293404800002</v>
      </c>
      <c r="O97" s="173">
        <f>SUM(O75:O96)</f>
        <v>22670068.247415405</v>
      </c>
      <c r="P97" s="38">
        <f>M97+N97</f>
        <v>4629917.8925481979</v>
      </c>
    </row>
    <row r="98" spans="2:16" x14ac:dyDescent="0.25">
      <c r="B98" t="s">
        <v>65</v>
      </c>
    </row>
    <row r="99" spans="2:16" x14ac:dyDescent="0.25">
      <c r="B99" t="s">
        <v>67</v>
      </c>
      <c r="C99" t="s">
        <v>68</v>
      </c>
    </row>
    <row r="100" spans="2:16" ht="28.5" customHeight="1" x14ac:dyDescent="0.25"/>
    <row r="101" spans="2:16" x14ac:dyDescent="0.25">
      <c r="B101" t="s">
        <v>69</v>
      </c>
    </row>
    <row r="102" spans="2:16" ht="15.75" x14ac:dyDescent="0.25">
      <c r="B102" s="113" t="s">
        <v>70</v>
      </c>
    </row>
    <row r="103" spans="2:16" ht="63" x14ac:dyDescent="0.25">
      <c r="B103" s="114" t="s">
        <v>71</v>
      </c>
    </row>
    <row r="104" spans="2:16" x14ac:dyDescent="0.25">
      <c r="B104" t="s">
        <v>72</v>
      </c>
    </row>
    <row r="106" spans="2:16" hidden="1" x14ac:dyDescent="0.25">
      <c r="B106" t="s">
        <v>73</v>
      </c>
    </row>
    <row r="107" spans="2:16" hidden="1" x14ac:dyDescent="0.25">
      <c r="B107" s="115" t="s">
        <v>74</v>
      </c>
      <c r="C107" s="115">
        <v>2018</v>
      </c>
      <c r="D107" s="115">
        <v>2019</v>
      </c>
      <c r="E107" s="115">
        <v>2020</v>
      </c>
      <c r="F107" s="115">
        <v>2020</v>
      </c>
    </row>
    <row r="108" spans="2:16" ht="15.75" hidden="1" x14ac:dyDescent="0.25">
      <c r="B108" s="115" t="s">
        <v>75</v>
      </c>
      <c r="C108" s="74">
        <v>3635545</v>
      </c>
      <c r="D108" s="74">
        <v>3635545</v>
      </c>
      <c r="E108" s="65">
        <v>2686509</v>
      </c>
      <c r="F108" s="137">
        <v>2686509</v>
      </c>
      <c r="G108" s="39"/>
      <c r="H108" s="39"/>
    </row>
    <row r="109" spans="2:16" ht="15.75" hidden="1" x14ac:dyDescent="0.25">
      <c r="B109" s="115" t="s">
        <v>76</v>
      </c>
      <c r="C109" s="74">
        <v>0</v>
      </c>
      <c r="D109" s="74">
        <v>542787</v>
      </c>
      <c r="E109" s="65">
        <v>355843.07299999997</v>
      </c>
      <c r="F109" s="65">
        <v>355843.07299999997</v>
      </c>
    </row>
    <row r="110" spans="2:16" ht="15.75" hidden="1" x14ac:dyDescent="0.25">
      <c r="B110" s="115" t="s">
        <v>77</v>
      </c>
      <c r="C110" s="74">
        <v>68429</v>
      </c>
      <c r="D110" s="74">
        <v>68429</v>
      </c>
      <c r="E110" s="65">
        <v>55093</v>
      </c>
      <c r="F110" s="137">
        <v>55093</v>
      </c>
      <c r="G110" s="39"/>
      <c r="H110" s="39"/>
    </row>
    <row r="111" spans="2:16" ht="15.75" hidden="1" x14ac:dyDescent="0.25">
      <c r="B111" s="115" t="s">
        <v>78</v>
      </c>
      <c r="C111" s="74">
        <v>3204432</v>
      </c>
      <c r="D111" s="74">
        <v>3204432</v>
      </c>
      <c r="E111" s="65">
        <v>2335485.5634000003</v>
      </c>
      <c r="F111" s="65">
        <v>2335485.5634000003</v>
      </c>
    </row>
    <row r="112" spans="2:16" hidden="1" x14ac:dyDescent="0.25">
      <c r="B112" s="115" t="s">
        <v>79</v>
      </c>
      <c r="C112" s="74">
        <f>SUM(C108:C111)</f>
        <v>6908406</v>
      </c>
      <c r="D112" s="74">
        <f t="shared" ref="D112" si="21">SUM(D108:D111)</f>
        <v>7451193</v>
      </c>
      <c r="E112" s="74">
        <v>5432930</v>
      </c>
      <c r="F112" s="74">
        <v>5432930</v>
      </c>
    </row>
    <row r="113" spans="2:6" ht="15.75" hidden="1" x14ac:dyDescent="0.25">
      <c r="B113" s="116" t="s">
        <v>80</v>
      </c>
      <c r="C113" s="117">
        <v>1966</v>
      </c>
      <c r="D113" s="117">
        <v>1966</v>
      </c>
      <c r="E113" s="117">
        <v>2202</v>
      </c>
      <c r="F113" s="117">
        <v>2202</v>
      </c>
    </row>
  </sheetData>
  <mergeCells count="41">
    <mergeCell ref="F13:F14"/>
    <mergeCell ref="A66:A68"/>
    <mergeCell ref="A58:A64"/>
    <mergeCell ref="B58:B61"/>
    <mergeCell ref="B62:B63"/>
    <mergeCell ref="B52:B54"/>
    <mergeCell ref="A16:A56"/>
    <mergeCell ref="B16:B21"/>
    <mergeCell ref="B22:B27"/>
    <mergeCell ref="B28:B31"/>
    <mergeCell ref="B32:B37"/>
    <mergeCell ref="B38:B39"/>
    <mergeCell ref="B40:B43"/>
    <mergeCell ref="B44:B51"/>
    <mergeCell ref="B55:B56"/>
    <mergeCell ref="A75:A96"/>
    <mergeCell ref="B75:B77"/>
    <mergeCell ref="B78:B79"/>
    <mergeCell ref="B80:B81"/>
    <mergeCell ref="B82:B84"/>
    <mergeCell ref="B85:B86"/>
    <mergeCell ref="B94:B95"/>
    <mergeCell ref="B87:B88"/>
    <mergeCell ref="B89:B91"/>
    <mergeCell ref="B92:B93"/>
    <mergeCell ref="B7:O7"/>
    <mergeCell ref="C74:D74"/>
    <mergeCell ref="G13:G14"/>
    <mergeCell ref="I13:I14"/>
    <mergeCell ref="J13:J14"/>
    <mergeCell ref="O13:O14"/>
    <mergeCell ref="K13:K14"/>
    <mergeCell ref="M13:M14"/>
    <mergeCell ref="N13:N14"/>
    <mergeCell ref="L13:L14"/>
    <mergeCell ref="C12:D12"/>
    <mergeCell ref="I12:J12"/>
    <mergeCell ref="C13:D13"/>
    <mergeCell ref="B13:B14"/>
    <mergeCell ref="H13:H14"/>
    <mergeCell ref="E13:E14"/>
  </mergeCells>
  <hyperlinks>
    <hyperlink ref="B102" r:id="rId1"/>
  </hyperlinks>
  <pageMargins left="0" right="0" top="0" bottom="0" header="0" footer="0.11811023622047245"/>
  <pageSetup paperSize="9" scale="53" orientation="landscape" r:id="rId2"/>
  <headerFooter>
    <oddFooter>&amp;L&amp;A</oddFooter>
  </headerFooter>
  <rowBreaks count="2" manualBreakCount="2">
    <brk id="49" max="14" man="1"/>
    <brk id="71" max="14" man="1"/>
  </rowBreaks>
  <colBreaks count="1" manualBreakCount="1">
    <brk id="15" max="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opLeftCell="A5" zoomScale="80" zoomScaleNormal="80" workbookViewId="0">
      <pane ySplit="4980" topLeftCell="A65" activePane="bottomLeft"/>
      <selection activeCell="A5" sqref="A5"/>
      <selection pane="bottomLeft" activeCell="I69" sqref="I69"/>
    </sheetView>
  </sheetViews>
  <sheetFormatPr defaultRowHeight="15" x14ac:dyDescent="0.25"/>
  <cols>
    <col min="1" max="1" width="4.28515625" customWidth="1"/>
    <col min="2" max="2" width="33.7109375" customWidth="1"/>
    <col min="3" max="3" width="14.42578125" customWidth="1"/>
    <col min="4" max="4" width="11.85546875" customWidth="1"/>
    <col min="5" max="5" width="13.42578125" customWidth="1"/>
    <col min="6" max="7" width="13.7109375" customWidth="1"/>
    <col min="8" max="9" width="20.5703125" customWidth="1"/>
    <col min="10" max="10" width="21.140625" customWidth="1"/>
    <col min="11" max="11" width="21.85546875" style="138" customWidth="1"/>
    <col min="12" max="12" width="20.28515625" hidden="1" customWidth="1"/>
    <col min="13" max="13" width="19.42578125" hidden="1" customWidth="1"/>
    <col min="14" max="15" width="23.42578125" hidden="1" customWidth="1"/>
    <col min="17" max="17" width="15.5703125" customWidth="1"/>
  </cols>
  <sheetData>
    <row r="1" spans="2:18" ht="15.75" hidden="1" x14ac:dyDescent="0.25">
      <c r="H1" s="1" t="s">
        <v>0</v>
      </c>
    </row>
    <row r="2" spans="2:18" ht="15.75" hidden="1" x14ac:dyDescent="0.25">
      <c r="H2" s="1" t="s">
        <v>1</v>
      </c>
    </row>
    <row r="3" spans="2:18" ht="15.75" hidden="1" x14ac:dyDescent="0.25">
      <c r="H3" s="1" t="s">
        <v>2</v>
      </c>
    </row>
    <row r="4" spans="2:18" ht="15.75" hidden="1" x14ac:dyDescent="0.25">
      <c r="H4" s="1" t="s">
        <v>3</v>
      </c>
    </row>
    <row r="5" spans="2:18" ht="15.75" x14ac:dyDescent="0.25">
      <c r="H5" s="1"/>
      <c r="K5" s="198" t="s">
        <v>189</v>
      </c>
    </row>
    <row r="6" spans="2:18" ht="15.75" x14ac:dyDescent="0.25">
      <c r="H6" s="1"/>
      <c r="K6" s="63"/>
    </row>
    <row r="7" spans="2:18" x14ac:dyDescent="0.25">
      <c r="B7" s="235" t="s">
        <v>187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2:18" ht="15.75" x14ac:dyDescent="0.25">
      <c r="H8" s="1"/>
      <c r="K8" s="63"/>
    </row>
    <row r="9" spans="2:18" ht="15.75" x14ac:dyDescent="0.25">
      <c r="B9" t="s">
        <v>4</v>
      </c>
      <c r="H9" s="1"/>
      <c r="K9" s="63"/>
    </row>
    <row r="10" spans="2:18" ht="15.75" x14ac:dyDescent="0.25">
      <c r="B10" t="s">
        <v>115</v>
      </c>
      <c r="H10" s="1"/>
      <c r="K10" s="63"/>
    </row>
    <row r="11" spans="2:18" x14ac:dyDescent="0.25">
      <c r="B11" t="s">
        <v>179</v>
      </c>
      <c r="K11" s="63"/>
      <c r="L11" s="2"/>
      <c r="Q11" t="s">
        <v>172</v>
      </c>
      <c r="R11" t="s">
        <v>180</v>
      </c>
    </row>
    <row r="12" spans="2:18" ht="18.75" x14ac:dyDescent="0.3">
      <c r="E12" s="3">
        <v>2840</v>
      </c>
      <c r="F12">
        <v>2695</v>
      </c>
      <c r="H12" s="1" t="s">
        <v>5</v>
      </c>
      <c r="I12">
        <f>E12-F12</f>
        <v>145</v>
      </c>
      <c r="J12" s="4">
        <f>E12/F12-1</f>
        <v>5.3803339517625171E-2</v>
      </c>
      <c r="K12" s="197"/>
      <c r="Q12">
        <f>926*1.054</f>
        <v>976.00400000000002</v>
      </c>
      <c r="R12">
        <f>Q12*2.91</f>
        <v>2840.17164</v>
      </c>
    </row>
    <row r="13" spans="2:18" x14ac:dyDescent="0.25">
      <c r="K13" s="63"/>
    </row>
    <row r="14" spans="2:18" s="5" customFormat="1" ht="29.25" customHeight="1" x14ac:dyDescent="0.25">
      <c r="C14" s="222" t="s">
        <v>6</v>
      </c>
      <c r="D14" s="223"/>
      <c r="F14" s="6" t="s">
        <v>7</v>
      </c>
      <c r="G14" s="6"/>
      <c r="H14" s="224" t="s">
        <v>8</v>
      </c>
      <c r="I14" s="225"/>
      <c r="J14" s="144" t="s">
        <v>169</v>
      </c>
      <c r="K14" s="145"/>
    </row>
    <row r="15" spans="2:18" ht="62.25" customHeight="1" x14ac:dyDescent="0.25">
      <c r="B15" s="247" t="s">
        <v>112</v>
      </c>
      <c r="C15" s="253" t="s">
        <v>103</v>
      </c>
      <c r="D15" s="254"/>
      <c r="E15" s="250" t="s">
        <v>102</v>
      </c>
      <c r="F15" s="255" t="s">
        <v>13</v>
      </c>
      <c r="G15" s="255" t="s">
        <v>119</v>
      </c>
      <c r="H15" s="238" t="s">
        <v>120</v>
      </c>
      <c r="I15" s="258" t="s">
        <v>98</v>
      </c>
      <c r="J15" s="242" t="s">
        <v>174</v>
      </c>
      <c r="K15" s="245" t="s">
        <v>125</v>
      </c>
      <c r="L15" s="252" t="s">
        <v>100</v>
      </c>
      <c r="M15" s="252" t="s">
        <v>101</v>
      </c>
      <c r="N15" s="250" t="s">
        <v>116</v>
      </c>
      <c r="O15" s="250" t="s">
        <v>116</v>
      </c>
    </row>
    <row r="16" spans="2:18" ht="62.25" customHeight="1" x14ac:dyDescent="0.25">
      <c r="B16" s="248"/>
      <c r="C16" s="161" t="s">
        <v>95</v>
      </c>
      <c r="D16" s="161" t="s">
        <v>96</v>
      </c>
      <c r="E16" s="251"/>
      <c r="F16" s="256"/>
      <c r="G16" s="257"/>
      <c r="H16" s="239"/>
      <c r="I16" s="259"/>
      <c r="J16" s="243"/>
      <c r="K16" s="246"/>
      <c r="L16" s="252"/>
      <c r="M16" s="252"/>
      <c r="N16" s="251"/>
      <c r="O16" s="251"/>
    </row>
    <row r="17" spans="1:15" s="12" customFormat="1" ht="45.75" customHeight="1" thickBot="1" x14ac:dyDescent="0.25">
      <c r="A17" s="12">
        <v>1</v>
      </c>
      <c r="B17" s="13">
        <v>2</v>
      </c>
      <c r="C17" s="150">
        <v>3</v>
      </c>
      <c r="D17" s="148" t="s">
        <v>97</v>
      </c>
      <c r="E17" s="13">
        <v>6</v>
      </c>
      <c r="F17" s="16">
        <v>7</v>
      </c>
      <c r="G17" s="18" t="s">
        <v>113</v>
      </c>
      <c r="H17" s="17" t="s">
        <v>121</v>
      </c>
      <c r="I17" s="17" t="s">
        <v>123</v>
      </c>
      <c r="J17" s="13" t="s">
        <v>124</v>
      </c>
      <c r="K17" s="139" t="s">
        <v>122</v>
      </c>
      <c r="L17" s="150" t="s">
        <v>107</v>
      </c>
      <c r="M17" s="148" t="s">
        <v>108</v>
      </c>
      <c r="N17" s="149"/>
      <c r="O17" s="149"/>
    </row>
    <row r="18" spans="1:15" ht="22.5" customHeight="1" thickBot="1" x14ac:dyDescent="0.3">
      <c r="A18" s="230" t="s">
        <v>20</v>
      </c>
      <c r="B18" s="231" t="s">
        <v>21</v>
      </c>
      <c r="C18" s="151">
        <v>1</v>
      </c>
      <c r="D18" s="152">
        <f>C18*E12</f>
        <v>2840</v>
      </c>
      <c r="E18" s="129">
        <v>10</v>
      </c>
      <c r="F18" s="22">
        <v>69</v>
      </c>
      <c r="G18" s="154">
        <f t="shared" ref="G18:G58" si="0">D18*(1+E18/100)</f>
        <v>3124.0000000000005</v>
      </c>
      <c r="H18" s="23">
        <f>D18*20%</f>
        <v>568</v>
      </c>
      <c r="I18" s="23">
        <f>((G18*F18)*12+H18)*1.2409</f>
        <v>3210506.1160000004</v>
      </c>
      <c r="J18" s="23">
        <f>'2019 gads'!O16</f>
        <v>3058404.2875800002</v>
      </c>
      <c r="K18" s="140">
        <f>I18-J18</f>
        <v>152101.82842000015</v>
      </c>
      <c r="L18" s="97">
        <f>I18-J18</f>
        <v>152101.82842000015</v>
      </c>
      <c r="M18" s="96">
        <f t="shared" ref="M18:M58" si="1">((D18-1966*C18)*20%)*F18*1.2409</f>
        <v>14966.74308</v>
      </c>
      <c r="N18" s="81">
        <v>1147738.1916</v>
      </c>
      <c r="O18" s="81">
        <f>J18+L18+M18</f>
        <v>3225472.8590800003</v>
      </c>
    </row>
    <row r="19" spans="1:15" ht="22.5" customHeight="1" thickBot="1" x14ac:dyDescent="0.3">
      <c r="A19" s="230"/>
      <c r="B19" s="232"/>
      <c r="C19" s="26">
        <v>1</v>
      </c>
      <c r="D19" s="27">
        <f>C19*E12</f>
        <v>2840</v>
      </c>
      <c r="E19" s="102">
        <v>10</v>
      </c>
      <c r="F19" s="29">
        <v>29</v>
      </c>
      <c r="G19" s="154">
        <f t="shared" si="0"/>
        <v>3124.0000000000005</v>
      </c>
      <c r="H19" s="23">
        <f t="shared" ref="H19:H70" si="2">D19*20%</f>
        <v>568</v>
      </c>
      <c r="I19" s="23">
        <f t="shared" ref="I19:I70" si="3">((G19*F19)*12+H19)*1.2409</f>
        <v>1349751.7480000001</v>
      </c>
      <c r="J19" s="23">
        <f>'2019 gads'!O17</f>
        <v>1285416.2947800001</v>
      </c>
      <c r="K19" s="140">
        <f t="shared" ref="K19:K70" si="4">I19-J19</f>
        <v>64335.453220000025</v>
      </c>
      <c r="L19" s="24">
        <f t="shared" ref="L19:L79" si="5">I19-J19</f>
        <v>64335.453220000025</v>
      </c>
      <c r="M19" s="25">
        <f t="shared" si="1"/>
        <v>6290.3702800000001</v>
      </c>
      <c r="N19" s="81">
        <v>2339620.1598000005</v>
      </c>
      <c r="O19" s="81">
        <f t="shared" ref="O19:O70" si="6">J19+L19+M19</f>
        <v>1356042.1182800001</v>
      </c>
    </row>
    <row r="20" spans="1:15" ht="22.5" customHeight="1" thickBot="1" x14ac:dyDescent="0.3">
      <c r="A20" s="230"/>
      <c r="B20" s="232"/>
      <c r="C20" s="30">
        <v>1</v>
      </c>
      <c r="D20" s="27">
        <f>C20*E12</f>
        <v>2840</v>
      </c>
      <c r="E20" s="102">
        <v>10</v>
      </c>
      <c r="F20" s="29">
        <v>81</v>
      </c>
      <c r="G20" s="154">
        <f t="shared" si="0"/>
        <v>3124.0000000000005</v>
      </c>
      <c r="H20" s="23">
        <f t="shared" si="2"/>
        <v>568</v>
      </c>
      <c r="I20" s="23">
        <f t="shared" si="3"/>
        <v>3768732.4264000002</v>
      </c>
      <c r="J20" s="23">
        <f>'2019 gads'!O18</f>
        <v>3590300.68542</v>
      </c>
      <c r="K20" s="140">
        <f t="shared" si="4"/>
        <v>178431.74098000024</v>
      </c>
      <c r="L20" s="24">
        <f t="shared" si="5"/>
        <v>178431.74098000024</v>
      </c>
      <c r="M20" s="25">
        <f t="shared" si="1"/>
        <v>17569.654920000001</v>
      </c>
      <c r="N20" s="81">
        <v>1412600.8512000002</v>
      </c>
      <c r="O20" s="81">
        <f t="shared" si="6"/>
        <v>3786302.0813200003</v>
      </c>
    </row>
    <row r="21" spans="1:15" ht="22.5" customHeight="1" thickBot="1" x14ac:dyDescent="0.3">
      <c r="A21" s="230"/>
      <c r="B21" s="232"/>
      <c r="C21" s="30">
        <v>1</v>
      </c>
      <c r="D21" s="27">
        <f>C21*E12</f>
        <v>2840</v>
      </c>
      <c r="E21" s="120">
        <v>5</v>
      </c>
      <c r="F21" s="29">
        <v>46</v>
      </c>
      <c r="G21" s="154">
        <f t="shared" si="0"/>
        <v>2982</v>
      </c>
      <c r="H21" s="23">
        <f t="shared" si="2"/>
        <v>568</v>
      </c>
      <c r="I21" s="23">
        <f t="shared" si="3"/>
        <v>2043305.6487999998</v>
      </c>
      <c r="J21" s="23">
        <f>'2019 gads'!O19</f>
        <v>1946635.5679200001</v>
      </c>
      <c r="K21" s="140">
        <f t="shared" si="4"/>
        <v>96670.08087999979</v>
      </c>
      <c r="L21" s="24">
        <f t="shared" si="5"/>
        <v>96670.08087999979</v>
      </c>
      <c r="M21" s="25">
        <f t="shared" si="1"/>
        <v>9977.8287199999995</v>
      </c>
      <c r="N21" s="81">
        <v>3623802.7517999997</v>
      </c>
      <c r="O21" s="81">
        <f t="shared" si="6"/>
        <v>2053283.47752</v>
      </c>
    </row>
    <row r="22" spans="1:15" ht="22.5" customHeight="1" thickBot="1" x14ac:dyDescent="0.3">
      <c r="A22" s="230"/>
      <c r="B22" s="232"/>
      <c r="C22" s="30">
        <v>1</v>
      </c>
      <c r="D22" s="27">
        <f>C22*E12</f>
        <v>2840</v>
      </c>
      <c r="E22" s="153">
        <v>0</v>
      </c>
      <c r="F22" s="29">
        <v>32</v>
      </c>
      <c r="G22" s="154">
        <f t="shared" si="0"/>
        <v>2840</v>
      </c>
      <c r="H22" s="23">
        <f t="shared" si="2"/>
        <v>568</v>
      </c>
      <c r="I22" s="23">
        <f t="shared" si="3"/>
        <v>1353980.7352</v>
      </c>
      <c r="J22" s="23">
        <f>'2019 gads'!O20</f>
        <v>1289972.1350399996</v>
      </c>
      <c r="K22" s="140">
        <f t="shared" si="4"/>
        <v>64008.60016000038</v>
      </c>
      <c r="L22" s="24">
        <f t="shared" si="5"/>
        <v>64008.60016000038</v>
      </c>
      <c r="M22" s="25">
        <f t="shared" si="1"/>
        <v>6941.0982400000003</v>
      </c>
      <c r="N22" s="81">
        <v>1244051.8859999999</v>
      </c>
      <c r="O22" s="81">
        <f t="shared" si="6"/>
        <v>1360921.83344</v>
      </c>
    </row>
    <row r="23" spans="1:15" ht="22.5" customHeight="1" thickBot="1" x14ac:dyDescent="0.3">
      <c r="A23" s="230"/>
      <c r="B23" s="233"/>
      <c r="C23" s="30">
        <v>1</v>
      </c>
      <c r="D23" s="27">
        <f>C23*E12</f>
        <v>2840</v>
      </c>
      <c r="E23" s="28">
        <v>0</v>
      </c>
      <c r="F23" s="29">
        <v>44</v>
      </c>
      <c r="G23" s="154">
        <f t="shared" si="0"/>
        <v>2840</v>
      </c>
      <c r="H23" s="23">
        <f t="shared" si="2"/>
        <v>568</v>
      </c>
      <c r="I23" s="23">
        <f t="shared" si="3"/>
        <v>1861459.1991999999</v>
      </c>
      <c r="J23" s="23">
        <f>'2019 gads'!O21</f>
        <v>1773711.6856799999</v>
      </c>
      <c r="K23" s="140">
        <f t="shared" si="4"/>
        <v>87747.513520000037</v>
      </c>
      <c r="L23" s="24">
        <f t="shared" si="5"/>
        <v>87747.513520000037</v>
      </c>
      <c r="M23" s="25">
        <f t="shared" si="1"/>
        <v>9544.01008</v>
      </c>
      <c r="N23" s="81">
        <v>1966404.594</v>
      </c>
      <c r="O23" s="81">
        <f t="shared" si="6"/>
        <v>1871003.2092799998</v>
      </c>
    </row>
    <row r="24" spans="1:15" ht="27.75" customHeight="1" thickBot="1" x14ac:dyDescent="0.3">
      <c r="A24" s="230"/>
      <c r="B24" s="220" t="s">
        <v>23</v>
      </c>
      <c r="C24" s="33">
        <v>1.1000000000000001</v>
      </c>
      <c r="D24" s="27">
        <f>C24*E12</f>
        <v>3124.0000000000005</v>
      </c>
      <c r="E24" s="102">
        <v>10</v>
      </c>
      <c r="F24" s="29">
        <v>5</v>
      </c>
      <c r="G24" s="154">
        <f t="shared" si="0"/>
        <v>3436.400000000001</v>
      </c>
      <c r="H24" s="23">
        <f t="shared" si="2"/>
        <v>624.80000000000018</v>
      </c>
      <c r="I24" s="23">
        <f t="shared" si="3"/>
        <v>256629.03992000004</v>
      </c>
      <c r="J24" s="23">
        <f>'2019 gads'!O22</f>
        <v>243785.84901000006</v>
      </c>
      <c r="K24" s="140">
        <f t="shared" si="4"/>
        <v>12843.190909999976</v>
      </c>
      <c r="L24" s="24">
        <f t="shared" si="5"/>
        <v>12843.190909999976</v>
      </c>
      <c r="M24" s="25">
        <f t="shared" si="1"/>
        <v>1193.00126</v>
      </c>
      <c r="N24" s="81">
        <v>48558.154260000003</v>
      </c>
      <c r="O24" s="81">
        <f t="shared" si="6"/>
        <v>257822.04118000003</v>
      </c>
    </row>
    <row r="25" spans="1:15" ht="25.5" customHeight="1" thickBot="1" x14ac:dyDescent="0.3">
      <c r="A25" s="230"/>
      <c r="B25" s="234"/>
      <c r="C25" s="33">
        <v>1.1000000000000001</v>
      </c>
      <c r="D25" s="27">
        <f>C25*E12</f>
        <v>3124.0000000000005</v>
      </c>
      <c r="E25" s="102">
        <v>10</v>
      </c>
      <c r="F25" s="29">
        <v>2</v>
      </c>
      <c r="G25" s="154">
        <f t="shared" si="0"/>
        <v>3436.400000000001</v>
      </c>
      <c r="H25" s="23">
        <f t="shared" si="2"/>
        <v>624.80000000000018</v>
      </c>
      <c r="I25" s="23">
        <f t="shared" si="3"/>
        <v>103116.80456000002</v>
      </c>
      <c r="J25" s="23">
        <f>'2019 gads'!O23</f>
        <v>97514.339604000008</v>
      </c>
      <c r="K25" s="140">
        <f t="shared" si="4"/>
        <v>5602.4649560000107</v>
      </c>
      <c r="L25" s="24">
        <f t="shared" si="5"/>
        <v>5602.4649560000107</v>
      </c>
      <c r="M25" s="25">
        <f t="shared" si="1"/>
        <v>477.20050400000002</v>
      </c>
      <c r="N25" s="81">
        <v>48558.154260000003</v>
      </c>
      <c r="O25" s="81">
        <f t="shared" si="6"/>
        <v>103594.00506400001</v>
      </c>
    </row>
    <row r="26" spans="1:15" ht="24.75" customHeight="1" thickBot="1" x14ac:dyDescent="0.3">
      <c r="A26" s="230"/>
      <c r="B26" s="234"/>
      <c r="C26" s="33">
        <v>1.1000000000000001</v>
      </c>
      <c r="D26" s="35">
        <f>C26*E12</f>
        <v>3124.0000000000005</v>
      </c>
      <c r="E26" s="102">
        <v>10</v>
      </c>
      <c r="F26" s="29">
        <v>3</v>
      </c>
      <c r="G26" s="154">
        <f t="shared" si="0"/>
        <v>3436.400000000001</v>
      </c>
      <c r="H26" s="23">
        <f t="shared" si="2"/>
        <v>624.80000000000018</v>
      </c>
      <c r="I26" s="23">
        <f t="shared" si="3"/>
        <v>154287.54968000003</v>
      </c>
      <c r="J26" s="23">
        <f>'2019 gads'!O24</f>
        <v>146271.509406</v>
      </c>
      <c r="K26" s="140">
        <f t="shared" si="4"/>
        <v>8016.0402740000281</v>
      </c>
      <c r="L26" s="24">
        <f t="shared" si="5"/>
        <v>8016.0402740000281</v>
      </c>
      <c r="M26" s="25">
        <f t="shared" si="1"/>
        <v>715.80075600000009</v>
      </c>
      <c r="N26" s="81">
        <v>97116.308520000006</v>
      </c>
      <c r="O26" s="81">
        <f t="shared" si="6"/>
        <v>155003.35043600004</v>
      </c>
    </row>
    <row r="27" spans="1:15" ht="24.75" customHeight="1" thickBot="1" x14ac:dyDescent="0.3">
      <c r="A27" s="230"/>
      <c r="B27" s="234"/>
      <c r="C27" s="33">
        <v>1.1000000000000001</v>
      </c>
      <c r="D27" s="35">
        <f>C27*E12</f>
        <v>3124.0000000000005</v>
      </c>
      <c r="E27" s="120">
        <v>5</v>
      </c>
      <c r="F27" s="29">
        <v>5</v>
      </c>
      <c r="G27" s="154">
        <f t="shared" si="0"/>
        <v>3280.2000000000007</v>
      </c>
      <c r="H27" s="23">
        <f t="shared" si="2"/>
        <v>624.80000000000018</v>
      </c>
      <c r="I27" s="23">
        <f t="shared" si="3"/>
        <v>244999.32512000002</v>
      </c>
      <c r="J27" s="23">
        <f>'2019 gads'!O25</f>
        <v>232749.90486000004</v>
      </c>
      <c r="K27" s="140">
        <f t="shared" si="4"/>
        <v>12249.420259999984</v>
      </c>
      <c r="L27" s="24">
        <f t="shared" si="5"/>
        <v>12249.420259999984</v>
      </c>
      <c r="M27" s="25">
        <f t="shared" si="1"/>
        <v>1193.00126</v>
      </c>
      <c r="N27" s="81">
        <v>278105.79258000007</v>
      </c>
      <c r="O27" s="81">
        <f t="shared" si="6"/>
        <v>246192.32638000001</v>
      </c>
    </row>
    <row r="28" spans="1:15" ht="21" customHeight="1" thickBot="1" x14ac:dyDescent="0.3">
      <c r="A28" s="230"/>
      <c r="B28" s="234"/>
      <c r="C28" s="33">
        <v>1.1000000000000001</v>
      </c>
      <c r="D28" s="35">
        <f>C28*E12</f>
        <v>3124.0000000000005</v>
      </c>
      <c r="E28" s="153">
        <v>0</v>
      </c>
      <c r="F28" s="29">
        <v>2</v>
      </c>
      <c r="G28" s="154">
        <f t="shared" si="0"/>
        <v>3124.0000000000005</v>
      </c>
      <c r="H28" s="23">
        <f t="shared" si="2"/>
        <v>624.80000000000018</v>
      </c>
      <c r="I28" s="23">
        <f t="shared" si="3"/>
        <v>93813.032720000017</v>
      </c>
      <c r="J28" s="23">
        <f>'2019 gads'!O26</f>
        <v>88685.584284000011</v>
      </c>
      <c r="K28" s="140">
        <f t="shared" si="4"/>
        <v>5127.448436000006</v>
      </c>
      <c r="L28" s="24">
        <f t="shared" si="5"/>
        <v>5127.448436000006</v>
      </c>
      <c r="M28" s="25">
        <f t="shared" si="1"/>
        <v>477.20050400000002</v>
      </c>
      <c r="N28" s="81">
        <v>44143.776600000005</v>
      </c>
      <c r="O28" s="81">
        <f t="shared" si="6"/>
        <v>94290.233224000011</v>
      </c>
    </row>
    <row r="29" spans="1:15" ht="21" customHeight="1" thickBot="1" x14ac:dyDescent="0.3">
      <c r="A29" s="230"/>
      <c r="B29" s="221"/>
      <c r="C29" s="36">
        <v>1.1000000000000001</v>
      </c>
      <c r="D29" s="35">
        <f>C29*E12</f>
        <v>3124.0000000000005</v>
      </c>
      <c r="E29" s="28">
        <v>0</v>
      </c>
      <c r="F29" s="29">
        <v>0</v>
      </c>
      <c r="G29" s="154">
        <f t="shared" si="0"/>
        <v>3124.0000000000005</v>
      </c>
      <c r="H29" s="23">
        <f t="shared" si="2"/>
        <v>624.80000000000018</v>
      </c>
      <c r="I29" s="23">
        <f t="shared" si="3"/>
        <v>775.31432000000018</v>
      </c>
      <c r="J29" s="23">
        <f>'2019 gads'!O27</f>
        <v>0</v>
      </c>
      <c r="K29" s="140">
        <f t="shared" si="4"/>
        <v>775.31432000000018</v>
      </c>
      <c r="L29" s="24">
        <f t="shared" si="5"/>
        <v>775.31432000000018</v>
      </c>
      <c r="M29" s="25">
        <f t="shared" si="1"/>
        <v>0</v>
      </c>
      <c r="N29" s="81">
        <v>132431.32980000001</v>
      </c>
      <c r="O29" s="81">
        <f t="shared" si="6"/>
        <v>775.31432000000018</v>
      </c>
    </row>
    <row r="30" spans="1:15" ht="28.5" customHeight="1" thickBot="1" x14ac:dyDescent="0.3">
      <c r="A30" s="230"/>
      <c r="B30" s="220" t="s">
        <v>24</v>
      </c>
      <c r="C30" s="33">
        <v>1.2</v>
      </c>
      <c r="D30" s="35">
        <f>C30*E12</f>
        <v>3408</v>
      </c>
      <c r="E30" s="102">
        <v>10</v>
      </c>
      <c r="F30" s="29">
        <v>3</v>
      </c>
      <c r="G30" s="154">
        <f t="shared" si="0"/>
        <v>3748.8</v>
      </c>
      <c r="H30" s="23">
        <f t="shared" si="2"/>
        <v>681.6</v>
      </c>
      <c r="I30" s="23">
        <f t="shared" si="3"/>
        <v>168313.69056000002</v>
      </c>
      <c r="J30" s="23">
        <f>'2019 gads'!O28</f>
        <v>159568.919352</v>
      </c>
      <c r="K30" s="140">
        <f t="shared" si="4"/>
        <v>8744.7712080000201</v>
      </c>
      <c r="L30" s="24">
        <f t="shared" si="5"/>
        <v>8744.7712080000201</v>
      </c>
      <c r="M30" s="25">
        <f t="shared" si="1"/>
        <v>780.87355200000013</v>
      </c>
      <c r="N30" s="81">
        <v>900533.04264</v>
      </c>
      <c r="O30" s="81">
        <f t="shared" si="6"/>
        <v>169094.56411200002</v>
      </c>
    </row>
    <row r="31" spans="1:15" ht="21.75" customHeight="1" thickBot="1" x14ac:dyDescent="0.3">
      <c r="A31" s="230"/>
      <c r="B31" s="234"/>
      <c r="C31" s="33">
        <v>1.2</v>
      </c>
      <c r="D31" s="35">
        <f>C31*E12</f>
        <v>3408</v>
      </c>
      <c r="E31" s="102">
        <v>10</v>
      </c>
      <c r="F31" s="29">
        <v>5</v>
      </c>
      <c r="G31" s="154">
        <f t="shared" si="0"/>
        <v>3748.8</v>
      </c>
      <c r="H31" s="23">
        <f t="shared" si="2"/>
        <v>681.6</v>
      </c>
      <c r="I31" s="23">
        <f t="shared" si="3"/>
        <v>279958.95263999997</v>
      </c>
      <c r="J31" s="23">
        <f>'2019 gads'!O29</f>
        <v>265948.19892</v>
      </c>
      <c r="K31" s="140">
        <f t="shared" si="4"/>
        <v>14010.753719999979</v>
      </c>
      <c r="L31" s="24">
        <f t="shared" si="5"/>
        <v>14010.753719999979</v>
      </c>
      <c r="M31" s="25">
        <f t="shared" si="1"/>
        <v>1301.4559200000001</v>
      </c>
      <c r="N31" s="81">
        <v>370807.72343999997</v>
      </c>
      <c r="O31" s="81">
        <f t="shared" si="6"/>
        <v>281260.40855999995</v>
      </c>
    </row>
    <row r="32" spans="1:15" ht="19.5" customHeight="1" thickBot="1" x14ac:dyDescent="0.3">
      <c r="A32" s="230"/>
      <c r="B32" s="234"/>
      <c r="C32" s="33">
        <v>1.2</v>
      </c>
      <c r="D32" s="35">
        <f>C32*E12</f>
        <v>3408</v>
      </c>
      <c r="E32" s="102">
        <v>10</v>
      </c>
      <c r="F32" s="29">
        <v>1</v>
      </c>
      <c r="G32" s="154">
        <f t="shared" si="0"/>
        <v>3748.8</v>
      </c>
      <c r="H32" s="23">
        <f t="shared" si="2"/>
        <v>681.6</v>
      </c>
      <c r="I32" s="23">
        <f t="shared" si="3"/>
        <v>56668.428480000002</v>
      </c>
      <c r="J32" s="23">
        <f>'2019 gads'!O30</f>
        <v>53189.639783999999</v>
      </c>
      <c r="K32" s="140">
        <f t="shared" si="4"/>
        <v>3478.7886960000033</v>
      </c>
      <c r="L32" s="24">
        <f t="shared" si="5"/>
        <v>3478.7886960000033</v>
      </c>
      <c r="M32" s="25">
        <f t="shared" si="1"/>
        <v>260.29118400000004</v>
      </c>
      <c r="N32" s="81">
        <v>105945.06384</v>
      </c>
      <c r="O32" s="81">
        <f t="shared" si="6"/>
        <v>56928.719664000004</v>
      </c>
    </row>
    <row r="33" spans="1:15" ht="19.5" customHeight="1" thickBot="1" x14ac:dyDescent="0.3">
      <c r="A33" s="230"/>
      <c r="B33" s="234"/>
      <c r="C33" s="33">
        <v>1.2</v>
      </c>
      <c r="D33" s="35">
        <f>C33*E12</f>
        <v>3408</v>
      </c>
      <c r="E33" s="153">
        <v>0</v>
      </c>
      <c r="F33" s="29">
        <v>1</v>
      </c>
      <c r="G33" s="154">
        <f t="shared" si="0"/>
        <v>3408</v>
      </c>
      <c r="H33" s="23">
        <f t="shared" si="2"/>
        <v>681.6</v>
      </c>
      <c r="I33" s="23">
        <f t="shared" si="3"/>
        <v>51593.643839999997</v>
      </c>
      <c r="J33" s="23">
        <f>'2019 gads'!O31</f>
        <v>48373.955063999994</v>
      </c>
      <c r="K33" s="140">
        <f t="shared" si="4"/>
        <v>3219.6887760000027</v>
      </c>
      <c r="L33" s="24">
        <f t="shared" si="5"/>
        <v>3219.6887760000027</v>
      </c>
      <c r="M33" s="25">
        <f t="shared" si="1"/>
        <v>260.29118400000004</v>
      </c>
      <c r="N33" s="81">
        <v>353952.82691999996</v>
      </c>
      <c r="O33" s="81">
        <f t="shared" si="6"/>
        <v>51853.935023999999</v>
      </c>
    </row>
    <row r="34" spans="1:15" ht="22.5" customHeight="1" thickBot="1" x14ac:dyDescent="0.3">
      <c r="A34" s="230"/>
      <c r="B34" s="220" t="s">
        <v>25</v>
      </c>
      <c r="C34" s="33">
        <v>1</v>
      </c>
      <c r="D34" s="35">
        <f>C34*E12</f>
        <v>2840</v>
      </c>
      <c r="E34" s="102">
        <v>10</v>
      </c>
      <c r="F34" s="29">
        <v>25</v>
      </c>
      <c r="G34" s="154">
        <f t="shared" si="0"/>
        <v>3124.0000000000005</v>
      </c>
      <c r="H34" s="23">
        <f t="shared" si="2"/>
        <v>568</v>
      </c>
      <c r="I34" s="23">
        <f t="shared" si="3"/>
        <v>1163676.3112000001</v>
      </c>
      <c r="J34" s="23">
        <f>'2019 gads'!O32</f>
        <v>1108117.4955</v>
      </c>
      <c r="K34" s="140">
        <f t="shared" si="4"/>
        <v>55558.815700000152</v>
      </c>
      <c r="L34" s="24">
        <f t="shared" si="5"/>
        <v>55558.815700000152</v>
      </c>
      <c r="M34" s="25">
        <f t="shared" si="1"/>
        <v>5422.7329999999993</v>
      </c>
      <c r="N34" s="81">
        <v>309006.4362</v>
      </c>
      <c r="O34" s="81">
        <f t="shared" si="6"/>
        <v>1169099.0442000001</v>
      </c>
    </row>
    <row r="35" spans="1:15" ht="22.5" customHeight="1" thickBot="1" x14ac:dyDescent="0.3">
      <c r="A35" s="230"/>
      <c r="B35" s="234"/>
      <c r="C35" s="33">
        <v>1</v>
      </c>
      <c r="D35" s="35">
        <f>C35*E12</f>
        <v>2840</v>
      </c>
      <c r="E35" s="102">
        <v>10</v>
      </c>
      <c r="F35" s="29">
        <v>1</v>
      </c>
      <c r="G35" s="154">
        <f t="shared" si="0"/>
        <v>3124.0000000000005</v>
      </c>
      <c r="H35" s="23">
        <f t="shared" si="2"/>
        <v>568</v>
      </c>
      <c r="I35" s="23">
        <f t="shared" si="3"/>
        <v>47223.690400000007</v>
      </c>
      <c r="J35" s="23">
        <f>'2019 gads'!O33</f>
        <v>44324.699820000002</v>
      </c>
      <c r="K35" s="140">
        <f t="shared" si="4"/>
        <v>2898.9905800000051</v>
      </c>
      <c r="L35" s="24">
        <f t="shared" si="5"/>
        <v>2898.9905800000051</v>
      </c>
      <c r="M35" s="25">
        <f t="shared" si="1"/>
        <v>216.90932000000001</v>
      </c>
      <c r="N35" s="81">
        <v>353150.21280000004</v>
      </c>
      <c r="O35" s="81">
        <f t="shared" si="6"/>
        <v>47440.599720000006</v>
      </c>
    </row>
    <row r="36" spans="1:15" ht="22.5" customHeight="1" thickBot="1" x14ac:dyDescent="0.3">
      <c r="A36" s="230"/>
      <c r="B36" s="234"/>
      <c r="C36" s="33">
        <v>1</v>
      </c>
      <c r="D36" s="35">
        <f>C36*E12</f>
        <v>2840</v>
      </c>
      <c r="E36" s="102">
        <v>10</v>
      </c>
      <c r="F36" s="29">
        <v>22</v>
      </c>
      <c r="G36" s="154">
        <f t="shared" si="0"/>
        <v>3124.0000000000005</v>
      </c>
      <c r="H36" s="23">
        <f t="shared" si="2"/>
        <v>568</v>
      </c>
      <c r="I36" s="23">
        <f t="shared" si="3"/>
        <v>1024119.7336000002</v>
      </c>
      <c r="J36" s="23">
        <f>'2019 gads'!O34</f>
        <v>975143.39604000014</v>
      </c>
      <c r="K36" s="140">
        <f t="shared" si="4"/>
        <v>48976.337560000014</v>
      </c>
      <c r="L36" s="24">
        <f t="shared" si="5"/>
        <v>48976.337560000014</v>
      </c>
      <c r="M36" s="25">
        <f t="shared" si="1"/>
        <v>4772.00504</v>
      </c>
      <c r="N36" s="81">
        <v>44143.776600000005</v>
      </c>
      <c r="O36" s="81">
        <f t="shared" si="6"/>
        <v>1028891.7386400001</v>
      </c>
    </row>
    <row r="37" spans="1:15" ht="22.5" customHeight="1" thickBot="1" x14ac:dyDescent="0.3">
      <c r="A37" s="230"/>
      <c r="B37" s="234"/>
      <c r="C37" s="33">
        <v>1</v>
      </c>
      <c r="D37" s="35">
        <f>C37*E12</f>
        <v>2840</v>
      </c>
      <c r="E37" s="102">
        <v>10</v>
      </c>
      <c r="F37" s="29">
        <v>11</v>
      </c>
      <c r="G37" s="154">
        <f t="shared" si="0"/>
        <v>3124.0000000000005</v>
      </c>
      <c r="H37" s="23">
        <f t="shared" si="2"/>
        <v>568</v>
      </c>
      <c r="I37" s="23">
        <f t="shared" si="3"/>
        <v>512412.28240000008</v>
      </c>
      <c r="J37" s="23">
        <f>'2019 gads'!O35</f>
        <v>487571.69802000007</v>
      </c>
      <c r="K37" s="140">
        <f t="shared" si="4"/>
        <v>24840.584380000015</v>
      </c>
      <c r="L37" s="24">
        <f t="shared" si="5"/>
        <v>24840.584380000015</v>
      </c>
      <c r="M37" s="25">
        <f t="shared" si="1"/>
        <v>2386.00252</v>
      </c>
      <c r="N37" s="81">
        <v>1015306.8618000001</v>
      </c>
      <c r="O37" s="81">
        <f t="shared" si="6"/>
        <v>514798.28492000006</v>
      </c>
    </row>
    <row r="38" spans="1:15" ht="22.5" customHeight="1" thickBot="1" x14ac:dyDescent="0.3">
      <c r="A38" s="230"/>
      <c r="B38" s="234"/>
      <c r="C38" s="33">
        <v>1</v>
      </c>
      <c r="D38" s="35">
        <f>C38*E12</f>
        <v>2840</v>
      </c>
      <c r="E38" s="153">
        <v>0</v>
      </c>
      <c r="F38" s="29">
        <v>2</v>
      </c>
      <c r="G38" s="154">
        <f t="shared" si="0"/>
        <v>2840</v>
      </c>
      <c r="H38" s="23">
        <f t="shared" si="2"/>
        <v>568</v>
      </c>
      <c r="I38" s="23">
        <f t="shared" si="3"/>
        <v>85284.575199999992</v>
      </c>
      <c r="J38" s="23">
        <f>'2019 gads'!O36</f>
        <v>80623.258439999976</v>
      </c>
      <c r="K38" s="140">
        <f t="shared" si="4"/>
        <v>4661.3167600000161</v>
      </c>
      <c r="L38" s="24">
        <f t="shared" si="5"/>
        <v>4661.3167600000161</v>
      </c>
      <c r="M38" s="25">
        <f t="shared" si="1"/>
        <v>433.81864000000002</v>
      </c>
      <c r="N38" s="81">
        <v>200653.52999999997</v>
      </c>
      <c r="O38" s="81">
        <f t="shared" si="6"/>
        <v>85718.39383999999</v>
      </c>
    </row>
    <row r="39" spans="1:15" ht="22.5" customHeight="1" thickBot="1" x14ac:dyDescent="0.3">
      <c r="A39" s="230"/>
      <c r="B39" s="221"/>
      <c r="C39" s="33">
        <v>1</v>
      </c>
      <c r="D39" s="35">
        <f>C39*E12</f>
        <v>2840</v>
      </c>
      <c r="E39" s="28">
        <v>0</v>
      </c>
      <c r="F39" s="29">
        <v>7</v>
      </c>
      <c r="G39" s="154">
        <f t="shared" si="0"/>
        <v>2840</v>
      </c>
      <c r="H39" s="23">
        <f t="shared" si="2"/>
        <v>568</v>
      </c>
      <c r="I39" s="23">
        <f t="shared" si="3"/>
        <v>296733.93519999995</v>
      </c>
      <c r="J39" s="23">
        <f>'2019 gads'!O37</f>
        <v>282181.40453999996</v>
      </c>
      <c r="K39" s="140">
        <f t="shared" si="4"/>
        <v>14552.530659999989</v>
      </c>
      <c r="L39" s="24">
        <f t="shared" si="5"/>
        <v>14552.530659999989</v>
      </c>
      <c r="M39" s="25">
        <f t="shared" si="1"/>
        <v>1518.3652400000001</v>
      </c>
      <c r="N39" s="81">
        <v>240784.23599999998</v>
      </c>
      <c r="O39" s="81">
        <f t="shared" si="6"/>
        <v>298252.30043999996</v>
      </c>
    </row>
    <row r="40" spans="1:15" ht="18.75" customHeight="1" thickBot="1" x14ac:dyDescent="0.3">
      <c r="A40" s="230"/>
      <c r="B40" s="220" t="s">
        <v>26</v>
      </c>
      <c r="C40" s="33">
        <v>1.05</v>
      </c>
      <c r="D40" s="35">
        <f>C40*E12</f>
        <v>2982</v>
      </c>
      <c r="E40" s="102">
        <v>10</v>
      </c>
      <c r="F40" s="29">
        <v>1</v>
      </c>
      <c r="G40" s="154">
        <f t="shared" si="0"/>
        <v>3280.2000000000003</v>
      </c>
      <c r="H40" s="23">
        <f t="shared" si="2"/>
        <v>596.4</v>
      </c>
      <c r="I40" s="23">
        <f t="shared" si="3"/>
        <v>49584.874920000002</v>
      </c>
      <c r="J40" s="23">
        <f>'2019 gads'!O38</f>
        <v>46540.934811000006</v>
      </c>
      <c r="K40" s="140">
        <f t="shared" si="4"/>
        <v>3043.9401089999956</v>
      </c>
      <c r="L40" s="24">
        <f t="shared" si="5"/>
        <v>3043.9401089999956</v>
      </c>
      <c r="M40" s="25">
        <f t="shared" si="1"/>
        <v>227.75478599999994</v>
      </c>
      <c r="N40" s="81">
        <v>46350.965430000004</v>
      </c>
      <c r="O40" s="81">
        <f t="shared" si="6"/>
        <v>49812.629706</v>
      </c>
    </row>
    <row r="41" spans="1:15" ht="23.25" customHeight="1" thickBot="1" x14ac:dyDescent="0.3">
      <c r="A41" s="230"/>
      <c r="B41" s="221"/>
      <c r="C41" s="33">
        <v>1.05</v>
      </c>
      <c r="D41" s="35">
        <f>C41*E12</f>
        <v>2982</v>
      </c>
      <c r="E41" s="120">
        <v>5</v>
      </c>
      <c r="F41" s="29">
        <v>1</v>
      </c>
      <c r="G41" s="154">
        <f t="shared" si="0"/>
        <v>3131.1</v>
      </c>
      <c r="H41" s="23">
        <f t="shared" si="2"/>
        <v>596.4</v>
      </c>
      <c r="I41" s="23">
        <f t="shared" si="3"/>
        <v>47364.656639999994</v>
      </c>
      <c r="J41" s="23">
        <f>'2019 gads'!O39</f>
        <v>44434.072745999998</v>
      </c>
      <c r="K41" s="140">
        <f t="shared" si="4"/>
        <v>2930.5838939999958</v>
      </c>
      <c r="L41" s="24">
        <f t="shared" si="5"/>
        <v>2930.5838939999958</v>
      </c>
      <c r="M41" s="25">
        <f t="shared" si="1"/>
        <v>227.75478599999994</v>
      </c>
      <c r="N41" s="81">
        <v>44244.103364999995</v>
      </c>
      <c r="O41" s="81">
        <f t="shared" si="6"/>
        <v>47592.411425999991</v>
      </c>
    </row>
    <row r="42" spans="1:15" ht="17.25" customHeight="1" thickBot="1" x14ac:dyDescent="0.3">
      <c r="A42" s="230"/>
      <c r="B42" s="220" t="s">
        <v>27</v>
      </c>
      <c r="C42" s="33">
        <v>1.1000000000000001</v>
      </c>
      <c r="D42" s="35">
        <f>C42*E12</f>
        <v>3124.0000000000005</v>
      </c>
      <c r="E42" s="102">
        <v>10</v>
      </c>
      <c r="F42" s="29">
        <v>3</v>
      </c>
      <c r="G42" s="154">
        <f t="shared" si="0"/>
        <v>3436.400000000001</v>
      </c>
      <c r="H42" s="23">
        <f t="shared" si="2"/>
        <v>624.80000000000018</v>
      </c>
      <c r="I42" s="23">
        <f t="shared" si="3"/>
        <v>154287.54968000003</v>
      </c>
      <c r="J42" s="23">
        <f>'2019 gads'!O40</f>
        <v>146271.509406</v>
      </c>
      <c r="K42" s="140">
        <f t="shared" si="4"/>
        <v>8016.0402740000281</v>
      </c>
      <c r="L42" s="24">
        <f t="shared" si="5"/>
        <v>8016.0402740000281</v>
      </c>
      <c r="M42" s="25">
        <f t="shared" si="1"/>
        <v>715.80075600000009</v>
      </c>
      <c r="N42" s="81">
        <v>631256.00537999999</v>
      </c>
      <c r="O42" s="81">
        <f t="shared" si="6"/>
        <v>155003.35043600004</v>
      </c>
    </row>
    <row r="43" spans="1:15" ht="20.25" customHeight="1" thickBot="1" x14ac:dyDescent="0.3">
      <c r="A43" s="230"/>
      <c r="B43" s="234"/>
      <c r="C43" s="33">
        <v>1.1000000000000001</v>
      </c>
      <c r="D43" s="35">
        <f>C43*E12</f>
        <v>3124.0000000000005</v>
      </c>
      <c r="E43" s="102">
        <v>10</v>
      </c>
      <c r="F43" s="29">
        <v>0</v>
      </c>
      <c r="G43" s="154">
        <f t="shared" si="0"/>
        <v>3436.400000000001</v>
      </c>
      <c r="H43" s="23">
        <f t="shared" si="2"/>
        <v>624.80000000000018</v>
      </c>
      <c r="I43" s="23">
        <f t="shared" si="3"/>
        <v>775.31432000000018</v>
      </c>
      <c r="J43" s="23">
        <f>'2019 gads'!O41</f>
        <v>0</v>
      </c>
      <c r="K43" s="140">
        <f t="shared" si="4"/>
        <v>775.31432000000018</v>
      </c>
      <c r="L43" s="24">
        <f t="shared" si="5"/>
        <v>775.31432000000018</v>
      </c>
      <c r="M43" s="25">
        <f t="shared" si="1"/>
        <v>0</v>
      </c>
      <c r="N43" s="81">
        <v>242790.77130000005</v>
      </c>
      <c r="O43" s="81">
        <f t="shared" si="6"/>
        <v>775.31432000000018</v>
      </c>
    </row>
    <row r="44" spans="1:15" ht="17.25" customHeight="1" thickBot="1" x14ac:dyDescent="0.3">
      <c r="A44" s="230"/>
      <c r="B44" s="234"/>
      <c r="C44" s="33">
        <v>1.1000000000000001</v>
      </c>
      <c r="D44" s="35">
        <f>C44*E12</f>
        <v>3124.0000000000005</v>
      </c>
      <c r="E44" s="102">
        <v>10</v>
      </c>
      <c r="F44" s="29">
        <v>3</v>
      </c>
      <c r="G44" s="154">
        <f t="shared" si="0"/>
        <v>3436.400000000001</v>
      </c>
      <c r="H44" s="23">
        <f t="shared" si="2"/>
        <v>624.80000000000018</v>
      </c>
      <c r="I44" s="23">
        <f t="shared" si="3"/>
        <v>154287.54968000003</v>
      </c>
      <c r="J44" s="23">
        <f>'2019 gads'!O42</f>
        <v>146271.509406</v>
      </c>
      <c r="K44" s="140">
        <f t="shared" si="4"/>
        <v>8016.0402740000281</v>
      </c>
      <c r="L44" s="24">
        <f t="shared" si="5"/>
        <v>8016.0402740000281</v>
      </c>
      <c r="M44" s="25">
        <f t="shared" si="1"/>
        <v>715.80075600000009</v>
      </c>
      <c r="N44" s="81">
        <v>48558.154260000003</v>
      </c>
      <c r="O44" s="81">
        <f t="shared" si="6"/>
        <v>155003.35043600004</v>
      </c>
    </row>
    <row r="45" spans="1:15" ht="17.25" customHeight="1" thickBot="1" x14ac:dyDescent="0.3">
      <c r="A45" s="230"/>
      <c r="B45" s="221"/>
      <c r="C45" s="33">
        <v>1.1000000000000001</v>
      </c>
      <c r="D45" s="35">
        <f>C45*E12</f>
        <v>3124.0000000000005</v>
      </c>
      <c r="E45" s="120">
        <v>5</v>
      </c>
      <c r="F45" s="29">
        <v>1</v>
      </c>
      <c r="G45" s="154">
        <f t="shared" si="0"/>
        <v>3280.2000000000007</v>
      </c>
      <c r="H45" s="23">
        <f t="shared" si="2"/>
        <v>624.80000000000018</v>
      </c>
      <c r="I45" s="23">
        <f t="shared" si="3"/>
        <v>49620.116480000012</v>
      </c>
      <c r="J45" s="23">
        <f>'2019 gads'!O43</f>
        <v>46549.980972000012</v>
      </c>
      <c r="K45" s="140">
        <f t="shared" si="4"/>
        <v>3070.1355079999994</v>
      </c>
      <c r="L45" s="24">
        <f t="shared" si="5"/>
        <v>3070.1355079999994</v>
      </c>
      <c r="M45" s="25">
        <f t="shared" si="1"/>
        <v>238.60025200000001</v>
      </c>
      <c r="N45" s="81">
        <v>370807.72344000009</v>
      </c>
      <c r="O45" s="81">
        <f t="shared" si="6"/>
        <v>49858.716732000008</v>
      </c>
    </row>
    <row r="46" spans="1:15" ht="21" customHeight="1" thickBot="1" x14ac:dyDescent="0.3">
      <c r="A46" s="230"/>
      <c r="B46" s="220" t="s">
        <v>28</v>
      </c>
      <c r="C46" s="33">
        <v>1.2</v>
      </c>
      <c r="D46" s="35">
        <f>C46*E12</f>
        <v>3408</v>
      </c>
      <c r="E46" s="102">
        <v>10</v>
      </c>
      <c r="F46" s="37">
        <v>65</v>
      </c>
      <c r="G46" s="154">
        <f t="shared" si="0"/>
        <v>3748.8</v>
      </c>
      <c r="H46" s="23">
        <f t="shared" si="2"/>
        <v>681.6</v>
      </c>
      <c r="I46" s="23">
        <f t="shared" si="3"/>
        <v>3629316.8150399998</v>
      </c>
      <c r="J46" s="23">
        <f>'2019 gads'!O44</f>
        <v>3457326.5859599998</v>
      </c>
      <c r="K46" s="140">
        <f t="shared" si="4"/>
        <v>171990.22907999996</v>
      </c>
      <c r="L46" s="24">
        <f t="shared" si="5"/>
        <v>171990.22907999996</v>
      </c>
      <c r="M46" s="25">
        <f t="shared" si="1"/>
        <v>16918.926960000004</v>
      </c>
      <c r="N46" s="81">
        <v>2701599.1279199999</v>
      </c>
      <c r="O46" s="81">
        <f t="shared" si="6"/>
        <v>3646235.7419999996</v>
      </c>
    </row>
    <row r="47" spans="1:15" ht="21" customHeight="1" thickBot="1" x14ac:dyDescent="0.3">
      <c r="A47" s="230"/>
      <c r="B47" s="234"/>
      <c r="C47" s="33">
        <v>1.35</v>
      </c>
      <c r="D47" s="35">
        <f>C47*E12</f>
        <v>3834.0000000000005</v>
      </c>
      <c r="E47" s="102">
        <v>10</v>
      </c>
      <c r="F47" s="37">
        <v>4</v>
      </c>
      <c r="G47" s="154">
        <f t="shared" si="0"/>
        <v>4217.4000000000005</v>
      </c>
      <c r="H47" s="23">
        <f t="shared" si="2"/>
        <v>766.80000000000018</v>
      </c>
      <c r="I47" s="23">
        <f t="shared" si="3"/>
        <v>252153.36179999998</v>
      </c>
      <c r="J47" s="23">
        <f>'2019 gads'!O45</f>
        <v>239353.37902800002</v>
      </c>
      <c r="K47" s="140">
        <f t="shared" si="4"/>
        <v>12799.982771999959</v>
      </c>
      <c r="L47" s="24"/>
      <c r="M47" s="25">
        <f t="shared" si="1"/>
        <v>1171.310328</v>
      </c>
      <c r="N47" s="81"/>
      <c r="O47" s="81"/>
    </row>
    <row r="48" spans="1:15" ht="21" customHeight="1" thickBot="1" x14ac:dyDescent="0.3">
      <c r="A48" s="230"/>
      <c r="B48" s="234"/>
      <c r="C48" s="33">
        <v>1.2</v>
      </c>
      <c r="D48" s="35">
        <f>C48*E12</f>
        <v>3408</v>
      </c>
      <c r="E48" s="102">
        <v>10</v>
      </c>
      <c r="F48" s="37">
        <v>25</v>
      </c>
      <c r="G48" s="154">
        <f t="shared" si="0"/>
        <v>3748.8</v>
      </c>
      <c r="H48" s="23">
        <f t="shared" si="2"/>
        <v>681.6</v>
      </c>
      <c r="I48" s="23">
        <f t="shared" si="3"/>
        <v>1396411.5734399999</v>
      </c>
      <c r="J48" s="23">
        <f>'2019 gads'!O46</f>
        <v>1329740.9945999999</v>
      </c>
      <c r="K48" s="140">
        <f t="shared" si="4"/>
        <v>66670.578840000089</v>
      </c>
      <c r="L48" s="24">
        <f t="shared" si="5"/>
        <v>66670.578840000089</v>
      </c>
      <c r="M48" s="25">
        <f t="shared" si="1"/>
        <v>6507.2796000000008</v>
      </c>
      <c r="N48" s="81">
        <v>2065928.7448799999</v>
      </c>
      <c r="O48" s="81">
        <f t="shared" si="6"/>
        <v>1402918.85304</v>
      </c>
    </row>
    <row r="49" spans="1:15" ht="21" customHeight="1" thickBot="1" x14ac:dyDescent="0.3">
      <c r="A49" s="230"/>
      <c r="B49" s="234"/>
      <c r="C49" s="33">
        <v>1.35</v>
      </c>
      <c r="D49" s="35">
        <f>C49*E12</f>
        <v>3834.0000000000005</v>
      </c>
      <c r="E49" s="102">
        <v>10</v>
      </c>
      <c r="F49" s="37">
        <v>1</v>
      </c>
      <c r="G49" s="154">
        <f t="shared" si="0"/>
        <v>4217.4000000000005</v>
      </c>
      <c r="H49" s="23">
        <f t="shared" si="2"/>
        <v>766.80000000000018</v>
      </c>
      <c r="I49" s="23">
        <f t="shared" si="3"/>
        <v>63751.982040000003</v>
      </c>
      <c r="J49" s="23">
        <f>'2019 gads'!O47</f>
        <v>59838.344757000006</v>
      </c>
      <c r="K49" s="140">
        <f t="shared" si="4"/>
        <v>3913.6372829999964</v>
      </c>
      <c r="L49" s="24"/>
      <c r="M49" s="25">
        <f t="shared" si="1"/>
        <v>292.82758200000001</v>
      </c>
      <c r="N49" s="81"/>
      <c r="O49" s="81"/>
    </row>
    <row r="50" spans="1:15" ht="36" customHeight="1" thickBot="1" x14ac:dyDescent="0.3">
      <c r="A50" s="230"/>
      <c r="B50" s="234"/>
      <c r="C50" s="33">
        <v>1.2</v>
      </c>
      <c r="D50" s="35">
        <f>C50*E12</f>
        <v>3408</v>
      </c>
      <c r="E50" s="102">
        <v>10</v>
      </c>
      <c r="F50" s="37">
        <v>18</v>
      </c>
      <c r="G50" s="154">
        <f t="shared" si="0"/>
        <v>3748.8</v>
      </c>
      <c r="H50" s="23">
        <f t="shared" si="2"/>
        <v>681.6</v>
      </c>
      <c r="I50" s="23">
        <f t="shared" si="3"/>
        <v>1005653.1561599999</v>
      </c>
      <c r="J50" s="23">
        <f>'2019 gads'!O48</f>
        <v>957413.51611199998</v>
      </c>
      <c r="K50" s="140">
        <f t="shared" si="4"/>
        <v>48239.640047999914</v>
      </c>
      <c r="L50" s="24">
        <f t="shared" si="5"/>
        <v>48239.640047999914</v>
      </c>
      <c r="M50" s="25">
        <f t="shared" si="1"/>
        <v>4685.2413120000001</v>
      </c>
      <c r="N50" s="81">
        <v>582697.85112000001</v>
      </c>
      <c r="O50" s="81">
        <f t="shared" si="6"/>
        <v>1010338.3974719999</v>
      </c>
    </row>
    <row r="51" spans="1:15" ht="21" customHeight="1" thickBot="1" x14ac:dyDescent="0.3">
      <c r="A51" s="230"/>
      <c r="B51" s="234"/>
      <c r="C51" s="33">
        <v>1.2</v>
      </c>
      <c r="D51" s="35">
        <f>C51*E12</f>
        <v>3408</v>
      </c>
      <c r="E51" s="120">
        <v>5</v>
      </c>
      <c r="F51" s="37">
        <v>9</v>
      </c>
      <c r="G51" s="154">
        <f t="shared" si="0"/>
        <v>3578.4</v>
      </c>
      <c r="H51" s="23">
        <f t="shared" si="2"/>
        <v>681.6</v>
      </c>
      <c r="I51" s="23">
        <f t="shared" si="3"/>
        <v>480412.94591999997</v>
      </c>
      <c r="J51" s="23">
        <f>'2019 gads'!O49</f>
        <v>457036.17681599996</v>
      </c>
      <c r="K51" s="140">
        <f t="shared" si="4"/>
        <v>23376.769104000006</v>
      </c>
      <c r="L51" s="24">
        <f t="shared" si="5"/>
        <v>23376.769104000006</v>
      </c>
      <c r="M51" s="25">
        <f t="shared" si="1"/>
        <v>2342.6206560000001</v>
      </c>
      <c r="N51" s="81">
        <v>657340.96427999996</v>
      </c>
      <c r="O51" s="81">
        <f t="shared" si="6"/>
        <v>482755.56657599995</v>
      </c>
    </row>
    <row r="52" spans="1:15" ht="21" customHeight="1" thickBot="1" x14ac:dyDescent="0.3">
      <c r="A52" s="230"/>
      <c r="B52" s="234"/>
      <c r="C52" s="33">
        <v>1.2</v>
      </c>
      <c r="D52" s="35">
        <f>C52*E12</f>
        <v>3408</v>
      </c>
      <c r="E52" s="153">
        <v>0</v>
      </c>
      <c r="F52" s="29">
        <v>0</v>
      </c>
      <c r="G52" s="154">
        <f t="shared" si="0"/>
        <v>3408</v>
      </c>
      <c r="H52" s="23">
        <f t="shared" si="2"/>
        <v>681.6</v>
      </c>
      <c r="I52" s="23">
        <f t="shared" si="3"/>
        <v>845.79743999999994</v>
      </c>
      <c r="J52" s="23">
        <f>'2019 gads'!O50</f>
        <v>0</v>
      </c>
      <c r="K52" s="140">
        <f t="shared" si="4"/>
        <v>845.79743999999994</v>
      </c>
      <c r="L52" s="24">
        <f t="shared" si="5"/>
        <v>845.79743999999994</v>
      </c>
      <c r="M52" s="25">
        <f t="shared" si="1"/>
        <v>0</v>
      </c>
      <c r="N52" s="38">
        <v>144470.5416</v>
      </c>
      <c r="O52" s="81">
        <f t="shared" si="6"/>
        <v>845.79743999999994</v>
      </c>
    </row>
    <row r="53" spans="1:15" ht="29.25" customHeight="1" thickBot="1" x14ac:dyDescent="0.3">
      <c r="A53" s="230"/>
      <c r="B53" s="221"/>
      <c r="C53" s="33">
        <v>1.2</v>
      </c>
      <c r="D53" s="35">
        <f>C53*E12</f>
        <v>3408</v>
      </c>
      <c r="E53" s="28">
        <v>0</v>
      </c>
      <c r="F53" s="29">
        <v>0</v>
      </c>
      <c r="G53" s="154">
        <f t="shared" si="0"/>
        <v>3408</v>
      </c>
      <c r="H53" s="23">
        <f t="shared" si="2"/>
        <v>681.6</v>
      </c>
      <c r="I53" s="23">
        <f t="shared" si="3"/>
        <v>845.79743999999994</v>
      </c>
      <c r="J53" s="23">
        <f>'2019 gads'!O51</f>
        <v>0</v>
      </c>
      <c r="K53" s="140">
        <f t="shared" si="4"/>
        <v>845.79743999999994</v>
      </c>
      <c r="L53" s="24">
        <f t="shared" si="5"/>
        <v>845.79743999999994</v>
      </c>
      <c r="M53" s="25">
        <f t="shared" si="1"/>
        <v>0</v>
      </c>
      <c r="N53" s="81">
        <v>192627.38879999999</v>
      </c>
      <c r="O53" s="81">
        <f t="shared" si="6"/>
        <v>845.79743999999994</v>
      </c>
    </row>
    <row r="54" spans="1:15" ht="24" customHeight="1" thickBot="1" x14ac:dyDescent="0.3">
      <c r="A54" s="230"/>
      <c r="B54" s="215" t="s">
        <v>30</v>
      </c>
      <c r="C54" s="33">
        <v>1.28</v>
      </c>
      <c r="D54" s="35">
        <f>C54*E12</f>
        <v>3635.2000000000003</v>
      </c>
      <c r="E54" s="102">
        <v>10</v>
      </c>
      <c r="F54" s="29">
        <v>7</v>
      </c>
      <c r="G54" s="154">
        <f t="shared" si="0"/>
        <v>3998.7200000000007</v>
      </c>
      <c r="H54" s="23">
        <f t="shared" si="2"/>
        <v>727.04000000000008</v>
      </c>
      <c r="I54" s="23">
        <f t="shared" si="3"/>
        <v>417711.16236799996</v>
      </c>
      <c r="J54" s="23">
        <f>'2019 gads'!O52</f>
        <v>397149.31038720004</v>
      </c>
      <c r="K54" s="140">
        <f t="shared" si="4"/>
        <v>20561.851980799926</v>
      </c>
      <c r="L54" s="24">
        <f t="shared" si="5"/>
        <v>20561.851980799926</v>
      </c>
      <c r="M54" s="25">
        <f t="shared" si="1"/>
        <v>1943.5075072000002</v>
      </c>
      <c r="N54" s="81">
        <v>395528.23833600001</v>
      </c>
      <c r="O54" s="81">
        <f t="shared" si="6"/>
        <v>419654.66987519996</v>
      </c>
    </row>
    <row r="55" spans="1:15" ht="40.5" customHeight="1" thickBot="1" x14ac:dyDescent="0.3">
      <c r="A55" s="230"/>
      <c r="B55" s="216"/>
      <c r="C55" s="33">
        <v>1.28</v>
      </c>
      <c r="D55" s="35">
        <f>C55*E12</f>
        <v>3635.2000000000003</v>
      </c>
      <c r="E55" s="102">
        <v>10</v>
      </c>
      <c r="F55" s="29">
        <v>5</v>
      </c>
      <c r="G55" s="154">
        <f t="shared" si="0"/>
        <v>3998.7200000000007</v>
      </c>
      <c r="H55" s="23">
        <f t="shared" si="2"/>
        <v>727.04000000000008</v>
      </c>
      <c r="I55" s="23">
        <f t="shared" si="3"/>
        <v>298622.88281600003</v>
      </c>
      <c r="J55" s="23">
        <f>'2019 gads'!O53</f>
        <v>283678.07884800003</v>
      </c>
      <c r="K55" s="140">
        <f t="shared" si="4"/>
        <v>14944.803967999993</v>
      </c>
      <c r="L55" s="24">
        <f t="shared" si="5"/>
        <v>14944.803967999993</v>
      </c>
      <c r="M55" s="25">
        <f t="shared" si="1"/>
        <v>1388.2196480000002</v>
      </c>
      <c r="N55" s="81">
        <v>226016.13619200001</v>
      </c>
      <c r="O55" s="81">
        <f t="shared" si="6"/>
        <v>300011.10246400005</v>
      </c>
    </row>
    <row r="56" spans="1:15" ht="31.5" customHeight="1" thickBot="1" x14ac:dyDescent="0.3">
      <c r="A56" s="230"/>
      <c r="B56" s="217"/>
      <c r="C56" s="33">
        <v>1.28</v>
      </c>
      <c r="D56" s="35">
        <f>C56*E12</f>
        <v>3635.2000000000003</v>
      </c>
      <c r="E56" s="102">
        <v>10</v>
      </c>
      <c r="F56" s="29">
        <v>1</v>
      </c>
      <c r="G56" s="154">
        <f t="shared" si="0"/>
        <v>3998.7200000000007</v>
      </c>
      <c r="H56" s="23">
        <f t="shared" si="2"/>
        <v>727.04000000000008</v>
      </c>
      <c r="I56" s="23">
        <f t="shared" si="3"/>
        <v>60446.323712000005</v>
      </c>
      <c r="J56" s="23">
        <f>'2019 gads'!O54</f>
        <v>56735.615769600001</v>
      </c>
      <c r="K56" s="140">
        <f t="shared" si="4"/>
        <v>3710.707942400004</v>
      </c>
      <c r="L56" s="24">
        <f t="shared" si="5"/>
        <v>3710.707942400004</v>
      </c>
      <c r="M56" s="25">
        <f t="shared" si="1"/>
        <v>277.64392960000004</v>
      </c>
      <c r="N56" s="25">
        <v>113008.068096</v>
      </c>
      <c r="O56" s="81">
        <f t="shared" si="6"/>
        <v>60723.967641600007</v>
      </c>
    </row>
    <row r="57" spans="1:15" ht="49.5" customHeight="1" thickBot="1" x14ac:dyDescent="0.3">
      <c r="A57" s="230"/>
      <c r="B57" s="220" t="s">
        <v>33</v>
      </c>
      <c r="C57" s="33">
        <v>1.35</v>
      </c>
      <c r="D57" s="35">
        <f>C57*E12</f>
        <v>3834.0000000000005</v>
      </c>
      <c r="E57" s="102">
        <v>10</v>
      </c>
      <c r="F57" s="29">
        <v>5</v>
      </c>
      <c r="G57" s="154">
        <f t="shared" si="0"/>
        <v>4217.4000000000005</v>
      </c>
      <c r="H57" s="23">
        <f t="shared" si="2"/>
        <v>766.80000000000018</v>
      </c>
      <c r="I57" s="23">
        <f t="shared" si="3"/>
        <v>314953.82172000001</v>
      </c>
      <c r="J57" s="23">
        <f>'2019 gads'!O55</f>
        <v>299191.72378499998</v>
      </c>
      <c r="K57" s="140">
        <f t="shared" si="4"/>
        <v>15762.097935000027</v>
      </c>
      <c r="L57" s="24">
        <f t="shared" si="5"/>
        <v>15762.097935000027</v>
      </c>
      <c r="M57" s="25">
        <f t="shared" si="1"/>
        <v>1464.1379099999999</v>
      </c>
      <c r="N57" s="25">
        <v>238376.39364000002</v>
      </c>
      <c r="O57" s="81">
        <f t="shared" si="6"/>
        <v>316417.95963</v>
      </c>
    </row>
    <row r="58" spans="1:15" ht="25.5" customHeight="1" thickBot="1" x14ac:dyDescent="0.3">
      <c r="A58" s="230"/>
      <c r="B58" s="221"/>
      <c r="C58" s="33">
        <v>1.35</v>
      </c>
      <c r="D58" s="35">
        <f>C58*E12</f>
        <v>3834.0000000000005</v>
      </c>
      <c r="E58" s="102">
        <v>10</v>
      </c>
      <c r="F58" s="29">
        <v>1</v>
      </c>
      <c r="G58" s="154">
        <f t="shared" si="0"/>
        <v>4217.4000000000005</v>
      </c>
      <c r="H58" s="23">
        <f t="shared" si="2"/>
        <v>766.80000000000018</v>
      </c>
      <c r="I58" s="23">
        <f t="shared" si="3"/>
        <v>63751.982040000003</v>
      </c>
      <c r="J58" s="23">
        <f>'2019 gads'!O56</f>
        <v>59838.344757000006</v>
      </c>
      <c r="K58" s="140">
        <f t="shared" si="4"/>
        <v>3913.6372829999964</v>
      </c>
      <c r="L58" s="24">
        <f t="shared" si="5"/>
        <v>3913.6372829999964</v>
      </c>
      <c r="M58" s="25">
        <f t="shared" si="1"/>
        <v>292.82758200000001</v>
      </c>
      <c r="N58" s="81">
        <v>119188.19682000001</v>
      </c>
      <c r="O58" s="81">
        <f t="shared" si="6"/>
        <v>64044.809622000001</v>
      </c>
    </row>
    <row r="59" spans="1:15" ht="25.5" customHeight="1" thickBot="1" x14ac:dyDescent="0.3">
      <c r="A59" s="157"/>
      <c r="B59" s="52" t="s">
        <v>37</v>
      </c>
      <c r="C59" s="53"/>
      <c r="D59" s="54"/>
      <c r="E59" s="55"/>
      <c r="F59" s="56">
        <f>SUM(F18:F58)</f>
        <v>546</v>
      </c>
      <c r="G59" s="154"/>
      <c r="H59" s="23"/>
      <c r="I59" s="57"/>
      <c r="J59" s="180">
        <f>SUM(J18:J58)</f>
        <v>25285860.587224808</v>
      </c>
      <c r="K59" s="170">
        <f>SUM(K18:K58)</f>
        <v>1282279.2598712009</v>
      </c>
      <c r="L59" s="24"/>
      <c r="M59" s="25"/>
      <c r="N59" s="162">
        <f>SUM(N18:N58)</f>
        <v>25098205.035518993</v>
      </c>
      <c r="O59" s="162">
        <f>SUM(O18:O58)</f>
        <v>26376879.274900798</v>
      </c>
    </row>
    <row r="60" spans="1:15" ht="33" customHeight="1" thickBot="1" x14ac:dyDescent="0.3">
      <c r="A60" s="210" t="s">
        <v>38</v>
      </c>
      <c r="B60" s="211" t="s">
        <v>39</v>
      </c>
      <c r="C60" s="60">
        <v>1.42</v>
      </c>
      <c r="D60" s="61">
        <f>C60*E12</f>
        <v>4032.7999999999997</v>
      </c>
      <c r="E60" s="129">
        <v>10</v>
      </c>
      <c r="F60" s="62">
        <v>31</v>
      </c>
      <c r="G60" s="154">
        <f t="shared" ref="G60:G70" si="7">D60*(1+E60/100)</f>
        <v>4436.08</v>
      </c>
      <c r="H60" s="23">
        <f t="shared" si="2"/>
        <v>806.56</v>
      </c>
      <c r="I60" s="23">
        <f t="shared" si="3"/>
        <v>2048761.0422880002</v>
      </c>
      <c r="J60" s="23">
        <f>'2019 gads'!O58</f>
        <v>1951173.2860764</v>
      </c>
      <c r="K60" s="140">
        <f t="shared" si="4"/>
        <v>97587.756211600266</v>
      </c>
      <c r="L60" s="24">
        <f t="shared" si="5"/>
        <v>97587.756211600266</v>
      </c>
      <c r="M60" s="25">
        <f t="shared" ref="M60:M66" si="8">((D60-1966*C60)*20%)*F60*1.2409</f>
        <v>9548.3482663999985</v>
      </c>
      <c r="N60" s="81">
        <v>1943209.045932</v>
      </c>
      <c r="O60" s="81">
        <f t="shared" si="6"/>
        <v>2058309.3905544002</v>
      </c>
    </row>
    <row r="61" spans="1:15" ht="27" customHeight="1" thickBot="1" x14ac:dyDescent="0.3">
      <c r="A61" s="210"/>
      <c r="B61" s="212"/>
      <c r="C61" s="33">
        <v>1.42</v>
      </c>
      <c r="D61" s="35">
        <f>C61*E12</f>
        <v>4032.7999999999997</v>
      </c>
      <c r="E61" s="102">
        <v>10</v>
      </c>
      <c r="F61" s="64">
        <v>4</v>
      </c>
      <c r="G61" s="154">
        <f t="shared" si="7"/>
        <v>4436.08</v>
      </c>
      <c r="H61" s="23">
        <f t="shared" si="2"/>
        <v>806.56</v>
      </c>
      <c r="I61" s="23">
        <f t="shared" si="3"/>
        <v>265227.98056</v>
      </c>
      <c r="J61" s="23">
        <f>'2019 gads'!O59</f>
        <v>251764.29497759999</v>
      </c>
      <c r="K61" s="140">
        <f t="shared" si="4"/>
        <v>13463.685582400009</v>
      </c>
      <c r="L61" s="24">
        <f t="shared" si="5"/>
        <v>13463.685582400009</v>
      </c>
      <c r="M61" s="25">
        <f t="shared" si="8"/>
        <v>1232.0449375999999</v>
      </c>
      <c r="N61" s="81">
        <v>250736.65108799998</v>
      </c>
      <c r="O61" s="81">
        <f t="shared" si="6"/>
        <v>266460.02549759997</v>
      </c>
    </row>
    <row r="62" spans="1:15" ht="27" customHeight="1" thickBot="1" x14ac:dyDescent="0.3">
      <c r="A62" s="210"/>
      <c r="B62" s="212"/>
      <c r="C62" s="33">
        <v>1.42</v>
      </c>
      <c r="D62" s="35">
        <f>C62*E12</f>
        <v>4032.7999999999997</v>
      </c>
      <c r="E62" s="102">
        <v>10</v>
      </c>
      <c r="F62" s="64">
        <v>3</v>
      </c>
      <c r="G62" s="154">
        <f t="shared" si="7"/>
        <v>4436.08</v>
      </c>
      <c r="H62" s="23">
        <f t="shared" si="2"/>
        <v>806.56</v>
      </c>
      <c r="I62" s="23">
        <f>((G62*F62)*12+H62)*1.2409</f>
        <v>199171.20049599998</v>
      </c>
      <c r="J62" s="23">
        <f>'2019 gads'!O60</f>
        <v>188823.22123319996</v>
      </c>
      <c r="K62" s="140">
        <f t="shared" si="4"/>
        <v>10347.979262800014</v>
      </c>
      <c r="L62" s="24">
        <f t="shared" si="5"/>
        <v>10347.979262800014</v>
      </c>
      <c r="M62" s="25">
        <f t="shared" si="8"/>
        <v>924.03370319999999</v>
      </c>
      <c r="N62" s="81">
        <v>188052.48831599997</v>
      </c>
      <c r="O62" s="81">
        <f t="shared" si="6"/>
        <v>200095.23419919997</v>
      </c>
    </row>
    <row r="63" spans="1:15" ht="27" customHeight="1" thickBot="1" x14ac:dyDescent="0.3">
      <c r="A63" s="210"/>
      <c r="B63" s="213"/>
      <c r="C63" s="33">
        <v>1.42</v>
      </c>
      <c r="D63" s="35">
        <f>C63*E12</f>
        <v>4032.7999999999997</v>
      </c>
      <c r="E63" s="28">
        <v>0</v>
      </c>
      <c r="F63" s="64">
        <v>2</v>
      </c>
      <c r="G63" s="154">
        <f t="shared" si="7"/>
        <v>4032.7999999999997</v>
      </c>
      <c r="H63" s="23">
        <f t="shared" si="2"/>
        <v>806.56</v>
      </c>
      <c r="I63" s="23">
        <f t="shared" si="3"/>
        <v>121104.09678399998</v>
      </c>
      <c r="J63" s="23">
        <f>'2019 gads'!O61</f>
        <v>114485.02698479999</v>
      </c>
      <c r="K63" s="140">
        <f t="shared" si="4"/>
        <v>6619.0697991999914</v>
      </c>
      <c r="L63" s="24">
        <f t="shared" si="5"/>
        <v>6619.0697991999914</v>
      </c>
      <c r="M63" s="25">
        <f t="shared" si="8"/>
        <v>616.02246879999996</v>
      </c>
      <c r="N63" s="81">
        <v>113971.20503999999</v>
      </c>
      <c r="O63" s="81">
        <f t="shared" si="6"/>
        <v>121720.11925279998</v>
      </c>
    </row>
    <row r="64" spans="1:15" ht="41.25" customHeight="1" thickBot="1" x14ac:dyDescent="0.3">
      <c r="A64" s="210"/>
      <c r="B64" s="214" t="s">
        <v>41</v>
      </c>
      <c r="C64" s="33">
        <v>1.55</v>
      </c>
      <c r="D64" s="35">
        <f>C64*E12</f>
        <v>4402</v>
      </c>
      <c r="E64" s="102">
        <v>10</v>
      </c>
      <c r="F64" s="64">
        <v>3</v>
      </c>
      <c r="G64" s="154">
        <f t="shared" si="7"/>
        <v>4842.2000000000007</v>
      </c>
      <c r="H64" s="23">
        <f t="shared" si="2"/>
        <v>880.40000000000009</v>
      </c>
      <c r="I64" s="23">
        <f t="shared" si="3"/>
        <v>217405.18363999997</v>
      </c>
      <c r="J64" s="23">
        <f>'2019 gads'!O62</f>
        <v>206109.85416300001</v>
      </c>
      <c r="K64" s="140">
        <f t="shared" si="4"/>
        <v>11295.329476999963</v>
      </c>
      <c r="L64" s="24">
        <f t="shared" si="5"/>
        <v>11295.329476999963</v>
      </c>
      <c r="M64" s="25">
        <f t="shared" si="8"/>
        <v>1008.6283379999999</v>
      </c>
      <c r="N64" s="81">
        <v>205268.56119000001</v>
      </c>
      <c r="O64" s="81">
        <f t="shared" si="6"/>
        <v>218413.81197799998</v>
      </c>
    </row>
    <row r="65" spans="1:18" ht="22.5" customHeight="1" thickBot="1" x14ac:dyDescent="0.3">
      <c r="A65" s="210"/>
      <c r="B65" s="212"/>
      <c r="C65" s="33">
        <v>1.55</v>
      </c>
      <c r="D65" s="35">
        <f>C65*E12</f>
        <v>4402</v>
      </c>
      <c r="E65" s="102">
        <v>10</v>
      </c>
      <c r="F65" s="64">
        <v>1</v>
      </c>
      <c r="G65" s="154">
        <f t="shared" si="7"/>
        <v>4842.2000000000007</v>
      </c>
      <c r="H65" s="23">
        <f t="shared" si="2"/>
        <v>880.40000000000009</v>
      </c>
      <c r="I65" s="23">
        <f t="shared" si="3"/>
        <v>73196.720120000013</v>
      </c>
      <c r="J65" s="23">
        <f>'2019 gads'!O63</f>
        <v>68703.284721000004</v>
      </c>
      <c r="K65" s="140">
        <f t="shared" si="4"/>
        <v>4493.4353990000091</v>
      </c>
      <c r="L65" s="24">
        <f t="shared" si="5"/>
        <v>4493.4353990000091</v>
      </c>
      <c r="M65" s="25">
        <f t="shared" si="8"/>
        <v>336.20944599999996</v>
      </c>
      <c r="N65" s="81">
        <v>68422.853730000003</v>
      </c>
      <c r="O65" s="81">
        <f t="shared" si="6"/>
        <v>73532.929566000006</v>
      </c>
    </row>
    <row r="66" spans="1:18" ht="24" customHeight="1" thickBot="1" x14ac:dyDescent="0.3">
      <c r="A66" s="210"/>
      <c r="B66" s="66" t="s">
        <v>42</v>
      </c>
      <c r="C66" s="160">
        <v>1.77</v>
      </c>
      <c r="D66" s="44">
        <f>C66*E12</f>
        <v>5026.8</v>
      </c>
      <c r="E66" s="130">
        <v>10</v>
      </c>
      <c r="F66" s="67">
        <v>1</v>
      </c>
      <c r="G66" s="154">
        <f t="shared" si="7"/>
        <v>5529.4800000000005</v>
      </c>
      <c r="H66" s="23">
        <f t="shared" si="2"/>
        <v>1005.3600000000001</v>
      </c>
      <c r="I66" s="23">
        <f t="shared" si="3"/>
        <v>83585.932008000003</v>
      </c>
      <c r="J66" s="23">
        <f>'2019 gads'!O64</f>
        <v>78454.718681399987</v>
      </c>
      <c r="K66" s="140">
        <f t="shared" si="4"/>
        <v>5131.2133266000164</v>
      </c>
      <c r="L66" s="24">
        <f t="shared" si="5"/>
        <v>5131.2133266000164</v>
      </c>
      <c r="M66" s="25">
        <f t="shared" si="8"/>
        <v>383.9294964</v>
      </c>
      <c r="N66" s="81">
        <v>78134.48458199999</v>
      </c>
      <c r="O66" s="81">
        <f t="shared" si="6"/>
        <v>83969.861504400003</v>
      </c>
    </row>
    <row r="67" spans="1:18" ht="24" customHeight="1" thickBot="1" x14ac:dyDescent="0.3">
      <c r="A67" s="156"/>
      <c r="B67" s="72" t="s">
        <v>44</v>
      </c>
      <c r="C67" s="53"/>
      <c r="D67" s="54"/>
      <c r="E67" s="55"/>
      <c r="F67" s="56">
        <f>SUM(F60:F66)</f>
        <v>45</v>
      </c>
      <c r="G67" s="154">
        <f t="shared" si="7"/>
        <v>0</v>
      </c>
      <c r="H67" s="23"/>
      <c r="I67" s="57"/>
      <c r="J67" s="180">
        <f>SUM(J60:J66)</f>
        <v>2859513.6868374003</v>
      </c>
      <c r="K67" s="170">
        <f>SUM(K60:K66)</f>
        <v>148938.46905860025</v>
      </c>
      <c r="L67" s="24"/>
      <c r="M67" s="25"/>
      <c r="N67" s="162">
        <f>SUM(N60:N66)</f>
        <v>2847795.2898779996</v>
      </c>
      <c r="O67" s="162">
        <f>SUM(O60:O66)</f>
        <v>3022501.3725524</v>
      </c>
    </row>
    <row r="68" spans="1:18" ht="24.75" customHeight="1" thickBot="1" x14ac:dyDescent="0.3">
      <c r="A68" s="208" t="s">
        <v>45</v>
      </c>
      <c r="B68" s="73" t="s">
        <v>46</v>
      </c>
      <c r="C68" s="158">
        <v>1.8</v>
      </c>
      <c r="D68" s="61">
        <f>C68*E12</f>
        <v>5112</v>
      </c>
      <c r="E68" s="21">
        <v>0</v>
      </c>
      <c r="F68" s="62">
        <v>5</v>
      </c>
      <c r="G68" s="154">
        <f t="shared" si="7"/>
        <v>5112</v>
      </c>
      <c r="H68" s="23">
        <f t="shared" si="2"/>
        <v>1022.4000000000001</v>
      </c>
      <c r="I68" s="23">
        <f>((G68*F68)*12+H68*5)*1.2409</f>
        <v>386952.32879999996</v>
      </c>
      <c r="J68" s="23">
        <f>'2019 gads'!O66</f>
        <v>362072.78015999991</v>
      </c>
      <c r="K68" s="140">
        <f t="shared" si="4"/>
        <v>24879.548640000052</v>
      </c>
      <c r="L68" s="24">
        <f t="shared" si="5"/>
        <v>24879.548640000052</v>
      </c>
      <c r="M68" s="25">
        <f>((D68-1966*C68)*20%)*F68*1.2409</f>
        <v>1952.1838799999996</v>
      </c>
      <c r="N68" s="81">
        <v>361176</v>
      </c>
      <c r="O68" s="81">
        <f>J68+L68+M68</f>
        <v>388904.51267999999</v>
      </c>
    </row>
    <row r="69" spans="1:18" ht="37.5" customHeight="1" thickBot="1" x14ac:dyDescent="0.3">
      <c r="A69" s="208"/>
      <c r="B69" s="75" t="s">
        <v>47</v>
      </c>
      <c r="C69" s="159">
        <v>1.98</v>
      </c>
      <c r="D69" s="35">
        <f>C69*E12</f>
        <v>5623.2</v>
      </c>
      <c r="E69" s="28">
        <v>0</v>
      </c>
      <c r="F69" s="64">
        <v>1</v>
      </c>
      <c r="G69" s="154">
        <f t="shared" si="7"/>
        <v>5623.2</v>
      </c>
      <c r="H69" s="23">
        <f t="shared" si="2"/>
        <v>1124.6400000000001</v>
      </c>
      <c r="I69" s="23">
        <f t="shared" si="3"/>
        <v>85129.512335999985</v>
      </c>
      <c r="J69" s="23">
        <f>'2019 gads'!O67</f>
        <v>79660.890853999997</v>
      </c>
      <c r="K69" s="140">
        <f t="shared" si="4"/>
        <v>5468.6214819999877</v>
      </c>
      <c r="L69" s="24">
        <f t="shared" si="5"/>
        <v>5468.6214819999877</v>
      </c>
      <c r="M69" s="25">
        <f>((D69-1966*C69)*20%)*F69*1.2409</f>
        <v>429.48045360000003</v>
      </c>
      <c r="N69" s="81">
        <v>79459</v>
      </c>
      <c r="O69" s="81">
        <f t="shared" si="6"/>
        <v>85558.992789599986</v>
      </c>
    </row>
    <row r="70" spans="1:18" ht="27" customHeight="1" thickBot="1" x14ac:dyDescent="0.3">
      <c r="A70" s="208"/>
      <c r="B70" s="76" t="s">
        <v>48</v>
      </c>
      <c r="C70" s="160">
        <v>2.25</v>
      </c>
      <c r="D70" s="44">
        <f>C70*E12</f>
        <v>6390</v>
      </c>
      <c r="E70" s="45">
        <v>0</v>
      </c>
      <c r="F70" s="67">
        <v>1</v>
      </c>
      <c r="G70" s="154">
        <f t="shared" si="7"/>
        <v>6390</v>
      </c>
      <c r="H70" s="23">
        <f t="shared" si="2"/>
        <v>1278</v>
      </c>
      <c r="I70" s="23">
        <f t="shared" si="3"/>
        <v>96738.08219999999</v>
      </c>
      <c r="J70" s="23">
        <f>'2019 gads'!O68</f>
        <v>90520.634649399988</v>
      </c>
      <c r="K70" s="140">
        <f t="shared" si="4"/>
        <v>6217.4475506000017</v>
      </c>
      <c r="L70" s="24">
        <f t="shared" si="5"/>
        <v>6217.4475506000017</v>
      </c>
      <c r="M70" s="25">
        <f>((D70-1966*C70)*20%)*F70*1.2409</f>
        <v>488.04596999999995</v>
      </c>
      <c r="N70" s="81">
        <v>90294</v>
      </c>
      <c r="O70" s="81">
        <f t="shared" si="6"/>
        <v>97226.128169999996</v>
      </c>
    </row>
    <row r="71" spans="1:18" ht="27" customHeight="1" thickBot="1" x14ac:dyDescent="0.3">
      <c r="A71" s="77"/>
      <c r="B71" s="72" t="s">
        <v>49</v>
      </c>
      <c r="C71" s="78"/>
      <c r="D71" s="79"/>
      <c r="E71" s="55"/>
      <c r="F71">
        <f>SUM(F68:F70)</f>
        <v>7</v>
      </c>
      <c r="G71" s="154"/>
      <c r="H71" s="80"/>
      <c r="I71" s="81"/>
      <c r="J71" s="180">
        <f>SUM(J68:J70)</f>
        <v>532254.30566339986</v>
      </c>
      <c r="K71" s="169">
        <f>SUM(K68:K70)</f>
        <v>36565.617672600041</v>
      </c>
      <c r="L71" s="82"/>
      <c r="M71" s="83"/>
      <c r="N71" s="163">
        <f>SUM(N68:N70)</f>
        <v>530929</v>
      </c>
      <c r="O71" s="163">
        <f>SUM(O68:O70)</f>
        <v>571689.63363960001</v>
      </c>
    </row>
    <row r="72" spans="1:18" ht="27" customHeight="1" thickBot="1" x14ac:dyDescent="0.3">
      <c r="A72" s="77"/>
      <c r="B72" s="85"/>
      <c r="C72" s="86"/>
      <c r="D72" s="87"/>
      <c r="E72" s="88"/>
      <c r="F72" s="88"/>
      <c r="G72" s="154"/>
      <c r="H72" s="89"/>
      <c r="I72" s="89"/>
      <c r="J72" s="23"/>
      <c r="K72" s="142"/>
      <c r="L72" s="89"/>
      <c r="M72" s="89"/>
      <c r="N72" s="89"/>
      <c r="O72" s="89"/>
    </row>
    <row r="73" spans="1:18" ht="15.75" thickBot="1" x14ac:dyDescent="0.3">
      <c r="B73" s="93" t="s">
        <v>50</v>
      </c>
      <c r="C73" s="94"/>
      <c r="D73" s="94"/>
      <c r="E73" s="95"/>
      <c r="F73" s="95">
        <f>SUM(F18:F70)-F59-F67</f>
        <v>598</v>
      </c>
      <c r="G73" s="154"/>
      <c r="H73" s="96"/>
      <c r="I73" s="94"/>
      <c r="J73" s="23"/>
      <c r="K73" s="143"/>
      <c r="L73" s="97"/>
      <c r="M73" s="96">
        <f>((D73-1647*C73)*20%)*F73*1.2409</f>
        <v>0</v>
      </c>
      <c r="N73" s="81"/>
      <c r="O73" s="81"/>
    </row>
    <row r="74" spans="1:18" ht="15.75" thickBot="1" x14ac:dyDescent="0.3">
      <c r="B74" s="194"/>
      <c r="C74" s="94"/>
      <c r="D74" s="94"/>
      <c r="E74" s="95"/>
      <c r="F74" s="95"/>
      <c r="G74" s="154"/>
      <c r="H74" s="96"/>
      <c r="I74" s="94"/>
      <c r="J74" s="23"/>
      <c r="K74" s="143"/>
      <c r="L74" s="97"/>
      <c r="M74" s="96"/>
      <c r="N74" s="81"/>
      <c r="O74" s="81"/>
    </row>
    <row r="75" spans="1:18" ht="15.75" thickBot="1" x14ac:dyDescent="0.3">
      <c r="B75" s="194"/>
      <c r="C75" s="94"/>
      <c r="D75" s="94"/>
      <c r="E75" s="95"/>
      <c r="F75" s="95"/>
      <c r="G75" s="154"/>
      <c r="H75" s="96"/>
      <c r="I75" s="94"/>
      <c r="J75" s="23"/>
      <c r="K75" s="143"/>
      <c r="L75" s="97"/>
      <c r="M75" s="96"/>
      <c r="N75" s="81"/>
      <c r="O75" s="81"/>
    </row>
    <row r="76" spans="1:18" ht="19.5" thickBot="1" x14ac:dyDescent="0.35">
      <c r="B76" s="194" t="s">
        <v>183</v>
      </c>
      <c r="C76" s="94" t="s">
        <v>185</v>
      </c>
      <c r="D76" s="95"/>
      <c r="E76" s="196">
        <v>2782</v>
      </c>
      <c r="F76" s="95">
        <f>'2019 gads'!F73</f>
        <v>2639</v>
      </c>
      <c r="G76" s="154"/>
      <c r="H76" s="1" t="s">
        <v>5</v>
      </c>
      <c r="I76">
        <f>E76-F76</f>
        <v>143</v>
      </c>
      <c r="J76" s="4">
        <f>E76/F76-1</f>
        <v>5.4187192118226646E-2</v>
      </c>
      <c r="L76" s="143"/>
      <c r="M76" s="97"/>
      <c r="N76" s="97"/>
      <c r="O76" s="25"/>
      <c r="P76" s="81"/>
      <c r="R76">
        <f>Q12*2.85</f>
        <v>2781.6114000000002</v>
      </c>
    </row>
    <row r="77" spans="1:18" ht="35.25" customHeight="1" thickBot="1" x14ac:dyDescent="0.3">
      <c r="B77" s="100" t="s">
        <v>10</v>
      </c>
      <c r="C77" s="218" t="s">
        <v>11</v>
      </c>
      <c r="D77" s="219"/>
      <c r="E77" s="28"/>
      <c r="F77" s="28"/>
      <c r="G77" s="154"/>
      <c r="H77" s="23"/>
      <c r="I77" s="94"/>
      <c r="J77" s="23"/>
      <c r="K77" s="140"/>
      <c r="L77" s="24"/>
      <c r="M77" s="25"/>
      <c r="N77" s="81"/>
      <c r="O77" s="81"/>
    </row>
    <row r="78" spans="1:18" ht="15.75" thickBot="1" x14ac:dyDescent="0.3">
      <c r="A78" s="205" t="s">
        <v>52</v>
      </c>
      <c r="B78" s="202" t="s">
        <v>53</v>
      </c>
      <c r="C78" s="33">
        <f>'2019 gads'!C75</f>
        <v>1</v>
      </c>
      <c r="D78" s="101">
        <f>C78*E76</f>
        <v>2782</v>
      </c>
      <c r="E78" s="102">
        <v>10</v>
      </c>
      <c r="F78" s="102">
        <v>109</v>
      </c>
      <c r="G78" s="154">
        <f>D78*(1+E78/100)</f>
        <v>3060.2000000000003</v>
      </c>
      <c r="H78" s="23">
        <f t="shared" ref="H78:H99" si="9">D78*20%</f>
        <v>556.4</v>
      </c>
      <c r="I78" s="23">
        <f t="shared" ref="I78:I99" si="10">((G78*F78)*12+H78)*1.2409</f>
        <v>4967692.4882000005</v>
      </c>
      <c r="J78" s="23">
        <f>'2019 gads'!O75</f>
        <v>4730958.2718384005</v>
      </c>
      <c r="K78" s="140">
        <f t="shared" ref="K78:K98" si="11">I78-J78</f>
        <v>236734.21636159997</v>
      </c>
      <c r="L78" s="24">
        <f t="shared" si="5"/>
        <v>236734.21636159997</v>
      </c>
      <c r="M78" s="25">
        <f t="shared" ref="M78:M99" si="12">((D78-1966*C78)*20%)*F78*1.2409</f>
        <v>22074.121920000001</v>
      </c>
      <c r="N78" s="81">
        <v>4715438.2164120004</v>
      </c>
      <c r="O78" s="81">
        <f t="shared" ref="O78:O99" si="13">J78+L78+M78</f>
        <v>4989766.6101200003</v>
      </c>
    </row>
    <row r="79" spans="1:18" ht="15.75" thickBot="1" x14ac:dyDescent="0.3">
      <c r="A79" s="205"/>
      <c r="B79" s="206"/>
      <c r="C79" s="33">
        <f>'2019 gads'!C76</f>
        <v>1</v>
      </c>
      <c r="D79" s="101">
        <f>C79*E76</f>
        <v>2782</v>
      </c>
      <c r="E79" s="120">
        <v>5</v>
      </c>
      <c r="F79" s="102">
        <v>26</v>
      </c>
      <c r="G79" s="154">
        <f t="shared" ref="G79:G99" si="14">D79*(1+E79/100)</f>
        <v>2921.1</v>
      </c>
      <c r="H79" s="23">
        <f t="shared" si="9"/>
        <v>556.4</v>
      </c>
      <c r="I79" s="23">
        <f t="shared" si="10"/>
        <v>1131625.8496399999</v>
      </c>
      <c r="J79" s="23">
        <f>'2019 gads'!O76</f>
        <v>1077399.5917776001</v>
      </c>
      <c r="K79" s="140">
        <f t="shared" si="11"/>
        <v>54226.257862399798</v>
      </c>
      <c r="L79" s="24">
        <f t="shared" si="5"/>
        <v>54226.257862399798</v>
      </c>
      <c r="M79" s="25">
        <f t="shared" si="12"/>
        <v>5265.38688</v>
      </c>
      <c r="N79" s="81">
        <v>1073656.908324</v>
      </c>
      <c r="O79" s="81">
        <f t="shared" si="13"/>
        <v>1136891.2365199998</v>
      </c>
    </row>
    <row r="80" spans="1:18" ht="15.75" thickBot="1" x14ac:dyDescent="0.3">
      <c r="A80" s="205"/>
      <c r="B80" s="203"/>
      <c r="C80" s="33">
        <f>'2019 gads'!C77</f>
        <v>1</v>
      </c>
      <c r="D80" s="101">
        <f>C80*E76</f>
        <v>2782</v>
      </c>
      <c r="E80" s="153">
        <v>0</v>
      </c>
      <c r="F80" s="102">
        <v>138</v>
      </c>
      <c r="G80" s="154">
        <f t="shared" si="14"/>
        <v>2782</v>
      </c>
      <c r="H80" s="23">
        <f t="shared" si="9"/>
        <v>556.4</v>
      </c>
      <c r="I80" s="23">
        <f t="shared" si="10"/>
        <v>5717506.80956</v>
      </c>
      <c r="J80" s="23">
        <f>'2019 gads'!O77</f>
        <v>5447357.4593087994</v>
      </c>
      <c r="K80" s="140">
        <f t="shared" si="11"/>
        <v>270149.35025120061</v>
      </c>
      <c r="L80" s="24">
        <f t="shared" ref="L80:L99" si="15">I80-J80</f>
        <v>270149.35025120061</v>
      </c>
      <c r="M80" s="25">
        <f t="shared" si="12"/>
        <v>27947.05344</v>
      </c>
      <c r="N80" s="81">
        <v>5427276.6794399992</v>
      </c>
      <c r="O80" s="81">
        <f t="shared" si="13"/>
        <v>5745453.8629999999</v>
      </c>
    </row>
    <row r="81" spans="1:15" ht="15.75" thickBot="1" x14ac:dyDescent="0.3">
      <c r="A81" s="205"/>
      <c r="B81" s="202" t="s">
        <v>54</v>
      </c>
      <c r="C81" s="33">
        <f>'2019 gads'!C78</f>
        <v>1.07</v>
      </c>
      <c r="D81" s="101">
        <f>C81*E76</f>
        <v>2976.7400000000002</v>
      </c>
      <c r="E81" s="102">
        <v>10</v>
      </c>
      <c r="F81" s="102">
        <v>5</v>
      </c>
      <c r="G81" s="154">
        <f t="shared" si="14"/>
        <v>3274.4140000000007</v>
      </c>
      <c r="H81" s="23">
        <f t="shared" si="9"/>
        <v>595.34800000000007</v>
      </c>
      <c r="I81" s="23">
        <f t="shared" si="10"/>
        <v>244531.98728920001</v>
      </c>
      <c r="J81" s="23">
        <f>'2019 gads'!O78</f>
        <v>232204.16944900001</v>
      </c>
      <c r="K81" s="140">
        <f t="shared" si="11"/>
        <v>12327.817840200005</v>
      </c>
      <c r="L81" s="24">
        <f t="shared" si="15"/>
        <v>12327.817840200005</v>
      </c>
      <c r="M81" s="25">
        <f t="shared" si="12"/>
        <v>1083.454608</v>
      </c>
      <c r="N81" s="81">
        <v>231754.82715</v>
      </c>
      <c r="O81" s="81">
        <f t="shared" si="13"/>
        <v>245615.44189720001</v>
      </c>
    </row>
    <row r="82" spans="1:15" ht="15.75" thickBot="1" x14ac:dyDescent="0.3">
      <c r="A82" s="205"/>
      <c r="B82" s="203"/>
      <c r="C82" s="33">
        <f>'2019 gads'!C79</f>
        <v>1.07</v>
      </c>
      <c r="D82" s="101">
        <f>C82*E76</f>
        <v>2976.7400000000002</v>
      </c>
      <c r="E82" s="120">
        <v>5</v>
      </c>
      <c r="F82" s="102">
        <v>1</v>
      </c>
      <c r="G82" s="154">
        <f t="shared" si="14"/>
        <v>3125.5770000000002</v>
      </c>
      <c r="H82" s="23">
        <f t="shared" si="9"/>
        <v>595.34800000000007</v>
      </c>
      <c r="I82" s="23">
        <f t="shared" si="10"/>
        <v>47281.109324799989</v>
      </c>
      <c r="J82" s="23">
        <f>'2019 gads'!O79</f>
        <v>44338.453955599995</v>
      </c>
      <c r="K82" s="140">
        <f t="shared" si="11"/>
        <v>2942.6553691999943</v>
      </c>
      <c r="L82" s="24">
        <f t="shared" si="15"/>
        <v>2942.6553691999943</v>
      </c>
      <c r="M82" s="25">
        <f t="shared" si="12"/>
        <v>216.69092159999997</v>
      </c>
      <c r="N82" s="81">
        <v>44244.103364999995</v>
      </c>
      <c r="O82" s="81">
        <f t="shared" si="13"/>
        <v>47497.800246399987</v>
      </c>
    </row>
    <row r="83" spans="1:15" ht="18.75" customHeight="1" thickBot="1" x14ac:dyDescent="0.3">
      <c r="A83" s="205"/>
      <c r="B83" s="202" t="s">
        <v>55</v>
      </c>
      <c r="C83" s="33">
        <f>'2019 gads'!C80</f>
        <v>1.1599999999999999</v>
      </c>
      <c r="D83" s="101">
        <f>C83*E76</f>
        <v>3227.12</v>
      </c>
      <c r="E83" s="102">
        <v>10</v>
      </c>
      <c r="F83" s="102">
        <v>34</v>
      </c>
      <c r="G83" s="154">
        <f t="shared" si="14"/>
        <v>3549.8320000000003</v>
      </c>
      <c r="H83" s="23">
        <f t="shared" si="9"/>
        <v>645.42399999999998</v>
      </c>
      <c r="I83" s="23">
        <f t="shared" si="10"/>
        <v>1798035.4103920003</v>
      </c>
      <c r="J83" s="23">
        <f>'2019 gads'!O80</f>
        <v>1711772.5493407999</v>
      </c>
      <c r="K83" s="140">
        <f t="shared" si="11"/>
        <v>86262.861051200423</v>
      </c>
      <c r="L83" s="24">
        <f t="shared" si="15"/>
        <v>86262.861051200423</v>
      </c>
      <c r="M83" s="25">
        <f t="shared" si="12"/>
        <v>7987.1868671999991</v>
      </c>
      <c r="N83" s="81">
        <v>1711012.7810159996</v>
      </c>
      <c r="O83" s="81">
        <f t="shared" si="13"/>
        <v>1806022.5972592004</v>
      </c>
    </row>
    <row r="84" spans="1:15" ht="15.75" thickBot="1" x14ac:dyDescent="0.3">
      <c r="A84" s="205"/>
      <c r="B84" s="203"/>
      <c r="C84" s="33">
        <f>'2019 gads'!C81</f>
        <v>1.1599999999999999</v>
      </c>
      <c r="D84" s="101">
        <f>C84*E76</f>
        <v>3227.12</v>
      </c>
      <c r="E84" s="120">
        <v>5</v>
      </c>
      <c r="F84" s="102">
        <v>3</v>
      </c>
      <c r="G84" s="154">
        <f t="shared" si="14"/>
        <v>3388.4760000000001</v>
      </c>
      <c r="H84" s="23">
        <f t="shared" si="9"/>
        <v>645.42399999999998</v>
      </c>
      <c r="I84" s="23">
        <f t="shared" si="10"/>
        <v>152172.26190399998</v>
      </c>
      <c r="J84" s="23">
        <f>'2019 gads'!O81</f>
        <v>144201.10746479998</v>
      </c>
      <c r="K84" s="140">
        <f t="shared" si="11"/>
        <v>7971.1544392000069</v>
      </c>
      <c r="L84" s="24">
        <f t="shared" si="15"/>
        <v>7971.1544392000069</v>
      </c>
      <c r="M84" s="25">
        <f t="shared" si="12"/>
        <v>704.75178240000002</v>
      </c>
      <c r="N84" s="81">
        <v>144109.36524599997</v>
      </c>
      <c r="O84" s="81">
        <f t="shared" si="13"/>
        <v>152877.01368639999</v>
      </c>
    </row>
    <row r="85" spans="1:15" ht="15.75" thickBot="1" x14ac:dyDescent="0.3">
      <c r="A85" s="205"/>
      <c r="B85" s="202" t="s">
        <v>56</v>
      </c>
      <c r="C85" s="33">
        <f>'2019 gads'!C82</f>
        <v>1.1000000000000001</v>
      </c>
      <c r="D85" s="101">
        <f>C85*E76</f>
        <v>3060.2000000000003</v>
      </c>
      <c r="E85" s="102">
        <v>10</v>
      </c>
      <c r="F85" s="102">
        <v>52</v>
      </c>
      <c r="G85" s="154">
        <f t="shared" si="14"/>
        <v>3366.2200000000007</v>
      </c>
      <c r="H85" s="23">
        <f t="shared" si="9"/>
        <v>612.04000000000008</v>
      </c>
      <c r="I85" s="23">
        <f t="shared" si="10"/>
        <v>2607296.3367880001</v>
      </c>
      <c r="J85" s="23">
        <f>'2019 gads'!O82</f>
        <v>2482617.2666672003</v>
      </c>
      <c r="K85" s="140">
        <f t="shared" si="11"/>
        <v>124679.07012079982</v>
      </c>
      <c r="L85" s="24">
        <f t="shared" si="15"/>
        <v>124679.07012079982</v>
      </c>
      <c r="M85" s="25">
        <f t="shared" si="12"/>
        <v>11583.851135999997</v>
      </c>
      <c r="N85" s="81">
        <v>2479114.4938560002</v>
      </c>
      <c r="O85" s="81">
        <f t="shared" si="13"/>
        <v>2618880.187924</v>
      </c>
    </row>
    <row r="86" spans="1:15" ht="15.75" thickBot="1" x14ac:dyDescent="0.3">
      <c r="A86" s="205"/>
      <c r="B86" s="206"/>
      <c r="C86" s="33">
        <f>'2019 gads'!C83</f>
        <v>1.1000000000000001</v>
      </c>
      <c r="D86" s="101">
        <f>C86*E76</f>
        <v>3060.2000000000003</v>
      </c>
      <c r="E86" s="120">
        <v>5</v>
      </c>
      <c r="F86" s="102">
        <v>10</v>
      </c>
      <c r="G86" s="154">
        <f t="shared" si="14"/>
        <v>3213.2100000000005</v>
      </c>
      <c r="H86" s="23">
        <f t="shared" si="9"/>
        <v>612.04000000000008</v>
      </c>
      <c r="I86" s="23">
        <f t="shared" si="10"/>
        <v>479232.15511600004</v>
      </c>
      <c r="J86" s="23">
        <f>'2019 gads'!O83</f>
        <v>455813.14577599999</v>
      </c>
      <c r="K86" s="140">
        <f t="shared" si="11"/>
        <v>23419.009340000048</v>
      </c>
      <c r="L86" s="24">
        <f t="shared" si="15"/>
        <v>23419.009340000048</v>
      </c>
      <c r="M86" s="25">
        <f t="shared" si="12"/>
        <v>2227.6636799999997</v>
      </c>
      <c r="N86" s="81">
        <v>455082.20604000008</v>
      </c>
      <c r="O86" s="81">
        <f t="shared" si="13"/>
        <v>481459.81879600004</v>
      </c>
    </row>
    <row r="87" spans="1:15" ht="15.75" thickBot="1" x14ac:dyDescent="0.3">
      <c r="A87" s="205"/>
      <c r="B87" s="203"/>
      <c r="C87" s="33">
        <f>'2019 gads'!C84</f>
        <v>1.1000000000000001</v>
      </c>
      <c r="D87" s="101">
        <f>C87*E76</f>
        <v>3060.2000000000003</v>
      </c>
      <c r="E87" s="153">
        <v>0</v>
      </c>
      <c r="F87" s="102">
        <v>23</v>
      </c>
      <c r="G87" s="154">
        <f t="shared" si="14"/>
        <v>3060.2000000000003</v>
      </c>
      <c r="H87" s="23">
        <f t="shared" si="9"/>
        <v>612.04000000000008</v>
      </c>
      <c r="I87" s="23">
        <f t="shared" si="10"/>
        <v>1048842.482116</v>
      </c>
      <c r="J87" s="23">
        <f>'2019 gads'!O84</f>
        <v>998659.75646679988</v>
      </c>
      <c r="K87" s="140">
        <f t="shared" si="11"/>
        <v>50182.725649200147</v>
      </c>
      <c r="L87" s="24">
        <f t="shared" si="15"/>
        <v>50182.725649200147</v>
      </c>
      <c r="M87" s="25">
        <f t="shared" si="12"/>
        <v>5123.6264639999981</v>
      </c>
      <c r="N87" s="81">
        <v>996846.73704000004</v>
      </c>
      <c r="O87" s="81">
        <f t="shared" si="13"/>
        <v>1053966.10858</v>
      </c>
    </row>
    <row r="88" spans="1:15" ht="15.75" thickBot="1" x14ac:dyDescent="0.3">
      <c r="A88" s="205"/>
      <c r="B88" s="202" t="s">
        <v>57</v>
      </c>
      <c r="C88" s="33">
        <f>'2019 gads'!C85</f>
        <v>1.17</v>
      </c>
      <c r="D88" s="101">
        <f>C88*E76</f>
        <v>3254.9399999999996</v>
      </c>
      <c r="E88" s="102">
        <v>10</v>
      </c>
      <c r="F88" s="102">
        <v>3</v>
      </c>
      <c r="G88" s="154">
        <f t="shared" si="14"/>
        <v>3580.4339999999997</v>
      </c>
      <c r="H88" s="23">
        <f t="shared" si="9"/>
        <v>650.98799999999994</v>
      </c>
      <c r="I88" s="23">
        <f t="shared" si="10"/>
        <v>160754.39083079997</v>
      </c>
      <c r="J88" s="23">
        <f>'2019 gads'!O85</f>
        <v>152340.56020739998</v>
      </c>
      <c r="K88" s="140">
        <f t="shared" si="11"/>
        <v>8413.8306233999901</v>
      </c>
      <c r="L88" s="24">
        <f t="shared" si="15"/>
        <v>8413.8306233999901</v>
      </c>
      <c r="M88" s="25">
        <f t="shared" si="12"/>
        <v>710.82722879999983</v>
      </c>
      <c r="N88" s="81">
        <v>152296.02927</v>
      </c>
      <c r="O88" s="81">
        <f t="shared" si="13"/>
        <v>161465.21805959995</v>
      </c>
    </row>
    <row r="89" spans="1:15" ht="15.75" thickBot="1" x14ac:dyDescent="0.3">
      <c r="A89" s="205"/>
      <c r="B89" s="203"/>
      <c r="C89" s="33">
        <f>'2019 gads'!C86</f>
        <v>1.17</v>
      </c>
      <c r="D89" s="101">
        <f>C89*E76</f>
        <v>3254.9399999999996</v>
      </c>
      <c r="E89" s="102">
        <v>10</v>
      </c>
      <c r="F89" s="102">
        <v>1</v>
      </c>
      <c r="G89" s="154">
        <f t="shared" si="14"/>
        <v>3580.4339999999997</v>
      </c>
      <c r="H89" s="23">
        <f t="shared" si="9"/>
        <v>650.98799999999994</v>
      </c>
      <c r="I89" s="23">
        <f t="shared" si="10"/>
        <v>54123.337616399993</v>
      </c>
      <c r="J89" s="23">
        <f>'2019 gads'!O86</f>
        <v>50780.186735800002</v>
      </c>
      <c r="K89" s="140">
        <f t="shared" si="11"/>
        <v>3343.1508805999911</v>
      </c>
      <c r="L89" s="24">
        <f t="shared" si="15"/>
        <v>3343.1508805999911</v>
      </c>
      <c r="M89" s="25">
        <f t="shared" si="12"/>
        <v>236.94240959999993</v>
      </c>
      <c r="N89" s="81">
        <v>50765.343089999995</v>
      </c>
      <c r="O89" s="81">
        <f t="shared" si="13"/>
        <v>54360.280025999993</v>
      </c>
    </row>
    <row r="90" spans="1:15" ht="15.75" thickBot="1" x14ac:dyDescent="0.3">
      <c r="A90" s="205"/>
      <c r="B90" s="202" t="s">
        <v>59</v>
      </c>
      <c r="C90" s="33">
        <f>'2019 gads'!C87</f>
        <v>1.24</v>
      </c>
      <c r="D90" s="101">
        <f>C90*E76</f>
        <v>3449.68</v>
      </c>
      <c r="E90" s="102">
        <v>10</v>
      </c>
      <c r="F90" s="102">
        <v>4</v>
      </c>
      <c r="G90" s="154">
        <f t="shared" si="14"/>
        <v>3794.6480000000001</v>
      </c>
      <c r="H90" s="23">
        <f t="shared" si="9"/>
        <v>689.93600000000004</v>
      </c>
      <c r="I90" s="23">
        <f t="shared" si="10"/>
        <v>226877.51933599997</v>
      </c>
      <c r="J90" s="23">
        <f>'2019 gads'!O87</f>
        <v>215270.93491200003</v>
      </c>
      <c r="K90" s="140">
        <f t="shared" si="11"/>
        <v>11606.584423999942</v>
      </c>
      <c r="L90" s="24">
        <f t="shared" si="15"/>
        <v>11606.584423999942</v>
      </c>
      <c r="M90" s="25">
        <f t="shared" si="12"/>
        <v>1004.4738047999996</v>
      </c>
      <c r="N90" s="81">
        <v>215421.629808</v>
      </c>
      <c r="O90" s="81">
        <f t="shared" si="13"/>
        <v>227881.99314079995</v>
      </c>
    </row>
    <row r="91" spans="1:15" ht="15.75" thickBot="1" x14ac:dyDescent="0.3">
      <c r="A91" s="205"/>
      <c r="B91" s="203"/>
      <c r="C91" s="33">
        <f>'2019 gads'!C88</f>
        <v>1.24</v>
      </c>
      <c r="D91" s="101">
        <f>C91*E76</f>
        <v>3449.68</v>
      </c>
      <c r="E91" s="102">
        <v>10</v>
      </c>
      <c r="F91" s="102">
        <v>2</v>
      </c>
      <c r="G91" s="154">
        <f t="shared" si="14"/>
        <v>3794.6480000000001</v>
      </c>
      <c r="H91" s="23">
        <f t="shared" si="9"/>
        <v>689.93600000000004</v>
      </c>
      <c r="I91" s="23">
        <f t="shared" si="10"/>
        <v>113866.83045919999</v>
      </c>
      <c r="J91" s="23">
        <f>'2019 gads'!O88</f>
        <v>107635.46745600001</v>
      </c>
      <c r="K91" s="140">
        <f t="shared" si="11"/>
        <v>6231.3630031999783</v>
      </c>
      <c r="L91" s="24">
        <f t="shared" si="15"/>
        <v>6231.3630031999783</v>
      </c>
      <c r="M91" s="25">
        <f t="shared" si="12"/>
        <v>502.23690239999979</v>
      </c>
      <c r="N91" s="81">
        <v>107710.814904</v>
      </c>
      <c r="O91" s="81">
        <f t="shared" si="13"/>
        <v>114369.06736159998</v>
      </c>
    </row>
    <row r="92" spans="1:15" ht="15.75" thickBot="1" x14ac:dyDescent="0.3">
      <c r="A92" s="205"/>
      <c r="B92" s="202" t="s">
        <v>60</v>
      </c>
      <c r="C92" s="33">
        <f>'2019 gads'!C89</f>
        <v>1.24</v>
      </c>
      <c r="D92" s="101">
        <f>C92*E76</f>
        <v>3449.68</v>
      </c>
      <c r="E92" s="102">
        <v>10</v>
      </c>
      <c r="F92" s="102">
        <v>60</v>
      </c>
      <c r="G92" s="154">
        <f t="shared" si="14"/>
        <v>3794.6480000000001</v>
      </c>
      <c r="H92" s="23">
        <f t="shared" si="9"/>
        <v>689.93600000000004</v>
      </c>
      <c r="I92" s="23">
        <f t="shared" si="10"/>
        <v>3391176.8078864003</v>
      </c>
      <c r="J92" s="23">
        <f>'2019 gads'!O89</f>
        <v>3229064.0236800001</v>
      </c>
      <c r="K92" s="140">
        <f t="shared" si="11"/>
        <v>162112.78420640016</v>
      </c>
      <c r="L92" s="24">
        <f t="shared" si="15"/>
        <v>162112.78420640016</v>
      </c>
      <c r="M92" s="25">
        <f t="shared" si="12"/>
        <v>15067.107071999993</v>
      </c>
      <c r="N92" s="81">
        <v>3231324.4471200001</v>
      </c>
      <c r="O92" s="81">
        <f t="shared" si="13"/>
        <v>3406243.9149584002</v>
      </c>
    </row>
    <row r="93" spans="1:15" ht="34.5" customHeight="1" thickBot="1" x14ac:dyDescent="0.3">
      <c r="A93" s="205"/>
      <c r="B93" s="206"/>
      <c r="C93" s="33">
        <f>'2019 gads'!C90</f>
        <v>1.24</v>
      </c>
      <c r="D93" s="101">
        <f>C93*E76</f>
        <v>3449.68</v>
      </c>
      <c r="E93" s="120">
        <v>5</v>
      </c>
      <c r="F93" s="102">
        <v>16</v>
      </c>
      <c r="G93" s="154">
        <f t="shared" si="14"/>
        <v>3622.1639999999998</v>
      </c>
      <c r="H93" s="23">
        <f t="shared" si="9"/>
        <v>689.93600000000004</v>
      </c>
      <c r="I93" s="23">
        <f t="shared" si="10"/>
        <v>863846.85664159979</v>
      </c>
      <c r="J93" s="23">
        <f>'2019 gads'!O90</f>
        <v>822101.29301759996</v>
      </c>
      <c r="K93" s="140">
        <f t="shared" si="11"/>
        <v>41745.563623999828</v>
      </c>
      <c r="L93" s="24">
        <f t="shared" si="15"/>
        <v>41745.563623999828</v>
      </c>
      <c r="M93" s="25">
        <f t="shared" si="12"/>
        <v>4017.8952191999983</v>
      </c>
      <c r="N93" s="81">
        <v>822518.9501759999</v>
      </c>
      <c r="O93" s="81">
        <f t="shared" si="13"/>
        <v>867864.75186079973</v>
      </c>
    </row>
    <row r="94" spans="1:15" ht="26.25" customHeight="1" thickBot="1" x14ac:dyDescent="0.3">
      <c r="A94" s="205"/>
      <c r="B94" s="203"/>
      <c r="C94" s="33">
        <f>'2019 gads'!C91</f>
        <v>1.24</v>
      </c>
      <c r="D94" s="101">
        <f>C94*E76</f>
        <v>3449.68</v>
      </c>
      <c r="E94" s="153">
        <v>0</v>
      </c>
      <c r="F94" s="102">
        <v>1</v>
      </c>
      <c r="G94" s="154">
        <f t="shared" si="14"/>
        <v>3449.68</v>
      </c>
      <c r="H94" s="23">
        <f t="shared" si="9"/>
        <v>689.93600000000004</v>
      </c>
      <c r="I94" s="23">
        <f t="shared" si="10"/>
        <v>52224.636526399991</v>
      </c>
      <c r="J94" s="23">
        <f>'2019 gads'!O91</f>
        <v>48944.927899200004</v>
      </c>
      <c r="K94" s="140">
        <f t="shared" si="11"/>
        <v>3279.7086271999869</v>
      </c>
      <c r="L94" s="24">
        <f t="shared" si="15"/>
        <v>3279.7086271999869</v>
      </c>
      <c r="M94" s="25">
        <f t="shared" si="12"/>
        <v>251.1184511999999</v>
      </c>
      <c r="N94" s="81">
        <v>48959.461320000002</v>
      </c>
      <c r="O94" s="81">
        <f t="shared" si="13"/>
        <v>52475.754977599987</v>
      </c>
    </row>
    <row r="95" spans="1:15" ht="33" customHeight="1" thickBot="1" x14ac:dyDescent="0.3">
      <c r="A95" s="205"/>
      <c r="B95" s="202" t="s">
        <v>61</v>
      </c>
      <c r="C95" s="33">
        <f>'2019 gads'!C92</f>
        <v>1.45</v>
      </c>
      <c r="D95" s="101">
        <f>C95*E76</f>
        <v>4033.9</v>
      </c>
      <c r="E95" s="102">
        <v>10</v>
      </c>
      <c r="F95" s="102">
        <v>6</v>
      </c>
      <c r="G95" s="154">
        <f t="shared" si="14"/>
        <v>4437.2900000000009</v>
      </c>
      <c r="H95" s="23">
        <f t="shared" si="9"/>
        <v>806.78000000000009</v>
      </c>
      <c r="I95" s="23">
        <f t="shared" si="10"/>
        <v>397449.9208940001</v>
      </c>
      <c r="J95" s="23">
        <f>'2019 gads'!O92</f>
        <v>377611.52354039997</v>
      </c>
      <c r="K95" s="140">
        <f t="shared" si="11"/>
        <v>19838.397353600129</v>
      </c>
      <c r="L95" s="24">
        <f t="shared" si="15"/>
        <v>19838.397353600129</v>
      </c>
      <c r="M95" s="25">
        <f t="shared" si="12"/>
        <v>1761.8794560000003</v>
      </c>
      <c r="N95" s="81">
        <v>376104.97663199995</v>
      </c>
      <c r="O95" s="81">
        <f t="shared" si="13"/>
        <v>399211.80035000009</v>
      </c>
    </row>
    <row r="96" spans="1:15" ht="15.75" thickBot="1" x14ac:dyDescent="0.3">
      <c r="A96" s="205"/>
      <c r="B96" s="203"/>
      <c r="C96" s="33">
        <f>'2019 gads'!C93</f>
        <v>1.45</v>
      </c>
      <c r="D96" s="101">
        <f>C96*E76</f>
        <v>4033.9</v>
      </c>
      <c r="E96" s="102">
        <v>10</v>
      </c>
      <c r="F96" s="102">
        <v>1</v>
      </c>
      <c r="G96" s="154">
        <f t="shared" si="14"/>
        <v>4437.2900000000009</v>
      </c>
      <c r="H96" s="23">
        <f t="shared" si="9"/>
        <v>806.78000000000009</v>
      </c>
      <c r="I96" s="23">
        <f t="shared" si="10"/>
        <v>67075.931234000003</v>
      </c>
      <c r="J96" s="23">
        <f>'2019 gads'!O93</f>
        <v>62935.253923399992</v>
      </c>
      <c r="K96" s="140">
        <f t="shared" si="11"/>
        <v>4140.677310600011</v>
      </c>
      <c r="L96" s="24">
        <f t="shared" si="15"/>
        <v>4140.677310600011</v>
      </c>
      <c r="M96" s="25">
        <f t="shared" si="12"/>
        <v>293.64657600000004</v>
      </c>
      <c r="N96" s="81">
        <v>62684.162771999996</v>
      </c>
      <c r="O96" s="81">
        <f t="shared" si="13"/>
        <v>67369.577810000003</v>
      </c>
    </row>
    <row r="97" spans="1:15" ht="72" customHeight="1" thickBot="1" x14ac:dyDescent="0.3">
      <c r="A97" s="205"/>
      <c r="B97" s="202" t="s">
        <v>62</v>
      </c>
      <c r="C97" s="33">
        <f>'2019 gads'!C94</f>
        <v>1.55</v>
      </c>
      <c r="D97" s="101">
        <f>C97*E76</f>
        <v>4312.1000000000004</v>
      </c>
      <c r="E97" s="102">
        <v>10</v>
      </c>
      <c r="F97" s="102">
        <v>2</v>
      </c>
      <c r="G97" s="154">
        <f t="shared" si="14"/>
        <v>4743.3100000000004</v>
      </c>
      <c r="H97" s="23">
        <f t="shared" si="9"/>
        <v>862.42000000000007</v>
      </c>
      <c r="I97" s="23">
        <f t="shared" si="10"/>
        <v>142333.53807399998</v>
      </c>
      <c r="J97" s="23">
        <f>'2019 gads'!O94</f>
        <v>134549.21353880002</v>
      </c>
      <c r="K97" s="140">
        <f t="shared" si="11"/>
        <v>7784.3245351999649</v>
      </c>
      <c r="L97" s="24">
        <f t="shared" si="15"/>
        <v>7784.3245351999649</v>
      </c>
      <c r="M97" s="25">
        <f t="shared" si="12"/>
        <v>627.79612800000007</v>
      </c>
      <c r="N97" s="81">
        <v>134197.08086399999</v>
      </c>
      <c r="O97" s="81">
        <f t="shared" si="13"/>
        <v>142961.33420199997</v>
      </c>
    </row>
    <row r="98" spans="1:15" ht="15.75" thickBot="1" x14ac:dyDescent="0.3">
      <c r="A98" s="205"/>
      <c r="B98" s="203"/>
      <c r="C98" s="33">
        <f>'2019 gads'!C95</f>
        <v>1.55</v>
      </c>
      <c r="D98" s="101">
        <f>C98*E76</f>
        <v>4312.1000000000004</v>
      </c>
      <c r="E98" s="102">
        <v>10</v>
      </c>
      <c r="F98" s="102">
        <v>1</v>
      </c>
      <c r="G98" s="154">
        <f t="shared" si="14"/>
        <v>4743.3100000000004</v>
      </c>
      <c r="H98" s="23">
        <f t="shared" si="9"/>
        <v>862.42000000000007</v>
      </c>
      <c r="I98" s="23">
        <f t="shared" si="10"/>
        <v>71701.857525999993</v>
      </c>
      <c r="J98" s="23">
        <f>'2019 gads'!O95</f>
        <v>67274.606769400008</v>
      </c>
      <c r="K98" s="140">
        <f t="shared" si="11"/>
        <v>4427.250756599984</v>
      </c>
      <c r="L98" s="24">
        <f t="shared" si="15"/>
        <v>4427.250756599984</v>
      </c>
      <c r="M98" s="25">
        <f t="shared" si="12"/>
        <v>313.89806400000003</v>
      </c>
      <c r="N98" s="81">
        <v>67098.540431999994</v>
      </c>
      <c r="O98" s="81">
        <f t="shared" si="13"/>
        <v>72015.755589999986</v>
      </c>
    </row>
    <row r="99" spans="1:15" x14ac:dyDescent="0.25">
      <c r="A99" s="205"/>
      <c r="B99" s="105" t="s">
        <v>63</v>
      </c>
      <c r="C99" s="33">
        <f>'2019 gads'!C96</f>
        <v>1.75</v>
      </c>
      <c r="D99" s="101">
        <f>C99*E76</f>
        <v>4868.5</v>
      </c>
      <c r="E99" s="102">
        <v>10</v>
      </c>
      <c r="F99" s="102">
        <v>1</v>
      </c>
      <c r="G99" s="154">
        <f t="shared" si="14"/>
        <v>5355.35</v>
      </c>
      <c r="H99" s="23">
        <f t="shared" si="9"/>
        <v>973.7</v>
      </c>
      <c r="I99" s="23">
        <f t="shared" si="10"/>
        <v>80953.71011</v>
      </c>
      <c r="J99" s="23">
        <f>'2019 gads'!O96</f>
        <v>76238.483690399997</v>
      </c>
      <c r="K99" s="140">
        <f>I99-J99</f>
        <v>4715.2264196000033</v>
      </c>
      <c r="L99" s="24">
        <f t="shared" si="15"/>
        <v>4715.2264196000033</v>
      </c>
      <c r="M99" s="25">
        <f t="shared" si="12"/>
        <v>354.40104000000002</v>
      </c>
      <c r="N99" s="81">
        <v>75927.295751999991</v>
      </c>
      <c r="O99" s="81">
        <f t="shared" si="13"/>
        <v>81308.111149999997</v>
      </c>
    </row>
    <row r="100" spans="1:15" ht="15.75" x14ac:dyDescent="0.25">
      <c r="B100" s="109" t="s">
        <v>111</v>
      </c>
      <c r="F100" s="110">
        <f>SUM(F78:F99)</f>
        <v>499</v>
      </c>
      <c r="G100" s="110"/>
      <c r="J100" s="155">
        <f>SUM(J78:J99)</f>
        <v>22670068.247415405</v>
      </c>
      <c r="K100" s="171">
        <f>SUM(K78:K99)</f>
        <v>1146533.9800494004</v>
      </c>
      <c r="N100" s="155">
        <f>SUM(N78:N99)</f>
        <v>22623545.050029002</v>
      </c>
      <c r="O100" s="155">
        <f>SUM(O78:O99)</f>
        <v>23925958.237516001</v>
      </c>
    </row>
    <row r="101" spans="1:15" x14ac:dyDescent="0.25">
      <c r="B101" t="s">
        <v>65</v>
      </c>
      <c r="K101" s="171">
        <f>K100+K71+K67+K59</f>
        <v>2614317.3266518014</v>
      </c>
    </row>
    <row r="102" spans="1:15" x14ac:dyDescent="0.25">
      <c r="B102" t="s">
        <v>67</v>
      </c>
      <c r="C102" t="s">
        <v>68</v>
      </c>
    </row>
    <row r="103" spans="1:15" ht="28.5" customHeight="1" x14ac:dyDescent="0.25"/>
    <row r="104" spans="1:15" x14ac:dyDescent="0.25">
      <c r="B104" t="s">
        <v>69</v>
      </c>
    </row>
    <row r="105" spans="1:15" ht="15.75" x14ac:dyDescent="0.25">
      <c r="B105" s="113" t="s">
        <v>70</v>
      </c>
    </row>
    <row r="106" spans="1:15" ht="63" x14ac:dyDescent="0.25">
      <c r="B106" s="114" t="s">
        <v>71</v>
      </c>
    </row>
    <row r="107" spans="1:15" x14ac:dyDescent="0.25">
      <c r="B107" t="s">
        <v>72</v>
      </c>
    </row>
    <row r="109" spans="1:15" hidden="1" x14ac:dyDescent="0.25">
      <c r="B109" t="s">
        <v>73</v>
      </c>
    </row>
    <row r="110" spans="1:15" hidden="1" x14ac:dyDescent="0.25">
      <c r="B110" s="115" t="s">
        <v>74</v>
      </c>
      <c r="C110" s="115">
        <v>2018</v>
      </c>
      <c r="D110" s="115">
        <v>2019</v>
      </c>
      <c r="E110" s="115">
        <v>2020</v>
      </c>
    </row>
    <row r="111" spans="1:15" ht="15.75" hidden="1" x14ac:dyDescent="0.25">
      <c r="B111" s="115" t="s">
        <v>75</v>
      </c>
      <c r="C111" s="74">
        <v>3635545</v>
      </c>
      <c r="D111" s="74">
        <v>3635545</v>
      </c>
      <c r="E111" s="137">
        <v>2686509</v>
      </c>
      <c r="F111" s="39"/>
      <c r="G111" s="39"/>
    </row>
    <row r="112" spans="1:15" ht="15.75" hidden="1" x14ac:dyDescent="0.25">
      <c r="B112" s="115" t="s">
        <v>76</v>
      </c>
      <c r="C112" s="74">
        <v>0</v>
      </c>
      <c r="D112" s="74">
        <v>542787</v>
      </c>
      <c r="E112" s="65">
        <v>355843.07299999997</v>
      </c>
    </row>
    <row r="113" spans="2:7" ht="15.75" hidden="1" x14ac:dyDescent="0.25">
      <c r="B113" s="115" t="s">
        <v>77</v>
      </c>
      <c r="C113" s="74">
        <v>68429</v>
      </c>
      <c r="D113" s="74">
        <v>68429</v>
      </c>
      <c r="E113" s="137">
        <v>55093</v>
      </c>
      <c r="F113" s="39"/>
      <c r="G113" s="39"/>
    </row>
    <row r="114" spans="2:7" ht="15.75" hidden="1" x14ac:dyDescent="0.25">
      <c r="B114" s="115" t="s">
        <v>78</v>
      </c>
      <c r="C114" s="74">
        <v>3204432</v>
      </c>
      <c r="D114" s="74">
        <v>3204432</v>
      </c>
      <c r="E114" s="65">
        <v>2335485.5634000003</v>
      </c>
    </row>
    <row r="115" spans="2:7" hidden="1" x14ac:dyDescent="0.25">
      <c r="B115" s="115" t="s">
        <v>79</v>
      </c>
      <c r="C115" s="74">
        <f>SUM(C111:C114)</f>
        <v>6908406</v>
      </c>
      <c r="D115" s="74">
        <f t="shared" ref="D115" si="16">SUM(D111:D114)</f>
        <v>7451193</v>
      </c>
      <c r="E115" s="74">
        <v>5432930</v>
      </c>
    </row>
    <row r="116" spans="2:7" ht="15.75" hidden="1" x14ac:dyDescent="0.25">
      <c r="B116" s="116" t="s">
        <v>80</v>
      </c>
      <c r="C116" s="117">
        <v>1966</v>
      </c>
      <c r="D116" s="117">
        <v>1966</v>
      </c>
      <c r="E116" s="117">
        <v>2202</v>
      </c>
    </row>
  </sheetData>
  <mergeCells count="41">
    <mergeCell ref="H15:H16"/>
    <mergeCell ref="I15:I16"/>
    <mergeCell ref="A68:A70"/>
    <mergeCell ref="B57:B58"/>
    <mergeCell ref="A60:A66"/>
    <mergeCell ref="B60:B63"/>
    <mergeCell ref="B64:B65"/>
    <mergeCell ref="A18:A58"/>
    <mergeCell ref="B18:B23"/>
    <mergeCell ref="B24:B29"/>
    <mergeCell ref="B30:B33"/>
    <mergeCell ref="B34:B39"/>
    <mergeCell ref="B40:B41"/>
    <mergeCell ref="B42:B45"/>
    <mergeCell ref="B46:B53"/>
    <mergeCell ref="B54:B56"/>
    <mergeCell ref="B97:B98"/>
    <mergeCell ref="C77:D77"/>
    <mergeCell ref="A78:A99"/>
    <mergeCell ref="B78:B80"/>
    <mergeCell ref="B81:B82"/>
    <mergeCell ref="B83:B84"/>
    <mergeCell ref="B85:B87"/>
    <mergeCell ref="B88:B89"/>
    <mergeCell ref="B95:B96"/>
    <mergeCell ref="B7:O7"/>
    <mergeCell ref="O15:O16"/>
    <mergeCell ref="K15:K16"/>
    <mergeCell ref="B90:B91"/>
    <mergeCell ref="B92:B94"/>
    <mergeCell ref="J15:J16"/>
    <mergeCell ref="L15:L16"/>
    <mergeCell ref="M15:M16"/>
    <mergeCell ref="N15:N16"/>
    <mergeCell ref="C14:D14"/>
    <mergeCell ref="H14:I14"/>
    <mergeCell ref="B15:B16"/>
    <mergeCell ref="C15:D15"/>
    <mergeCell ref="E15:E16"/>
    <mergeCell ref="F15:F16"/>
    <mergeCell ref="G15:G16"/>
  </mergeCells>
  <hyperlinks>
    <hyperlink ref="B105" r:id="rId1"/>
  </hyperlinks>
  <pageMargins left="0" right="0" top="0" bottom="0" header="0" footer="0.11811023622047245"/>
  <pageSetup paperSize="9" scale="61" orientation="landscape" r:id="rId2"/>
  <headerFooter>
    <oddFooter>&amp;L&amp;A</oddFooter>
  </headerFooter>
  <rowBreaks count="2" manualBreakCount="2">
    <brk id="45" max="14" man="1"/>
    <brk id="7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opLeftCell="A10" zoomScale="86" zoomScaleNormal="86" workbookViewId="0">
      <pane ySplit="4275" topLeftCell="A69" activePane="bottomLeft"/>
      <selection activeCell="A10" sqref="A10"/>
      <selection pane="bottomLeft" activeCell="H74" sqref="H74"/>
    </sheetView>
  </sheetViews>
  <sheetFormatPr defaultRowHeight="15" x14ac:dyDescent="0.25"/>
  <cols>
    <col min="1" max="1" width="4.28515625" customWidth="1"/>
    <col min="2" max="2" width="33.7109375" customWidth="1"/>
    <col min="3" max="3" width="14.42578125" customWidth="1"/>
    <col min="4" max="4" width="11.85546875" customWidth="1"/>
    <col min="5" max="5" width="13.42578125" customWidth="1"/>
    <col min="6" max="7" width="13.7109375" customWidth="1"/>
    <col min="8" max="9" width="20.5703125" customWidth="1"/>
    <col min="10" max="10" width="21.140625" customWidth="1"/>
    <col min="11" max="11" width="21.85546875" style="138" customWidth="1"/>
    <col min="12" max="12" width="20.28515625" hidden="1" customWidth="1"/>
    <col min="13" max="13" width="19.42578125" hidden="1" customWidth="1"/>
    <col min="14" max="15" width="23.42578125" hidden="1" customWidth="1"/>
  </cols>
  <sheetData>
    <row r="1" spans="2:18" ht="15.75" hidden="1" x14ac:dyDescent="0.25">
      <c r="H1" s="1" t="s">
        <v>0</v>
      </c>
    </row>
    <row r="2" spans="2:18" ht="15.75" hidden="1" x14ac:dyDescent="0.25">
      <c r="H2" s="1" t="s">
        <v>1</v>
      </c>
    </row>
    <row r="3" spans="2:18" ht="15.75" hidden="1" x14ac:dyDescent="0.25">
      <c r="H3" s="1" t="s">
        <v>2</v>
      </c>
    </row>
    <row r="4" spans="2:18" ht="15.75" hidden="1" x14ac:dyDescent="0.25">
      <c r="H4" s="1" t="s">
        <v>3</v>
      </c>
    </row>
    <row r="5" spans="2:18" ht="15.75" x14ac:dyDescent="0.25">
      <c r="H5" s="1"/>
      <c r="K5" s="198" t="s">
        <v>189</v>
      </c>
    </row>
    <row r="6" spans="2:18" ht="15.75" x14ac:dyDescent="0.25">
      <c r="H6" s="1"/>
      <c r="K6" s="63"/>
    </row>
    <row r="7" spans="2:18" x14ac:dyDescent="0.25">
      <c r="B7" s="235" t="s">
        <v>187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2:18" ht="15.75" x14ac:dyDescent="0.25">
      <c r="H8" s="1"/>
      <c r="K8" s="63"/>
    </row>
    <row r="9" spans="2:18" ht="15.75" x14ac:dyDescent="0.25">
      <c r="B9" t="s">
        <v>4</v>
      </c>
      <c r="H9" s="1"/>
      <c r="K9" s="63"/>
    </row>
    <row r="10" spans="2:18" ht="15.75" x14ac:dyDescent="0.25">
      <c r="B10" t="s">
        <v>115</v>
      </c>
      <c r="H10" s="1"/>
      <c r="K10" s="63"/>
    </row>
    <row r="11" spans="2:18" ht="15.75" x14ac:dyDescent="0.25">
      <c r="B11" t="s">
        <v>179</v>
      </c>
      <c r="H11" s="1"/>
      <c r="K11" s="63"/>
      <c r="Q11" t="s">
        <v>172</v>
      </c>
      <c r="R11" t="s">
        <v>180</v>
      </c>
    </row>
    <row r="12" spans="2:18" x14ac:dyDescent="0.25">
      <c r="B12" t="s">
        <v>181</v>
      </c>
      <c r="K12" s="63"/>
      <c r="L12" s="2"/>
      <c r="Q12">
        <f>976.004*1.042</f>
        <v>1016.996168</v>
      </c>
      <c r="R12">
        <f>Q12*2.91</f>
        <v>2959.45884888</v>
      </c>
    </row>
    <row r="13" spans="2:18" ht="18.75" x14ac:dyDescent="0.3">
      <c r="E13" s="3">
        <v>2959</v>
      </c>
      <c r="F13">
        <v>2840</v>
      </c>
      <c r="H13" s="1" t="s">
        <v>5</v>
      </c>
      <c r="I13">
        <f>E13-F13</f>
        <v>119</v>
      </c>
      <c r="J13" s="4">
        <f>E13/F13-1</f>
        <v>4.1901408450704336E-2</v>
      </c>
      <c r="K13" s="197"/>
    </row>
    <row r="14" spans="2:18" x14ac:dyDescent="0.25">
      <c r="K14" s="63"/>
    </row>
    <row r="15" spans="2:18" s="5" customFormat="1" ht="29.25" customHeight="1" x14ac:dyDescent="0.25">
      <c r="C15" s="222" t="s">
        <v>6</v>
      </c>
      <c r="D15" s="223"/>
      <c r="F15" s="6" t="s">
        <v>7</v>
      </c>
      <c r="G15" s="6"/>
      <c r="H15" s="224" t="s">
        <v>8</v>
      </c>
      <c r="I15" s="225"/>
      <c r="J15" s="144" t="s">
        <v>175</v>
      </c>
      <c r="K15" s="145"/>
    </row>
    <row r="16" spans="2:18" ht="62.25" customHeight="1" x14ac:dyDescent="0.25">
      <c r="B16" s="247" t="s">
        <v>112</v>
      </c>
      <c r="C16" s="253" t="s">
        <v>103</v>
      </c>
      <c r="D16" s="254"/>
      <c r="E16" s="250" t="s">
        <v>102</v>
      </c>
      <c r="F16" s="255" t="s">
        <v>13</v>
      </c>
      <c r="G16" s="255" t="s">
        <v>119</v>
      </c>
      <c r="H16" s="238" t="s">
        <v>120</v>
      </c>
      <c r="I16" s="258" t="s">
        <v>98</v>
      </c>
      <c r="J16" s="242" t="s">
        <v>177</v>
      </c>
      <c r="K16" s="245" t="s">
        <v>176</v>
      </c>
      <c r="L16" s="252" t="s">
        <v>100</v>
      </c>
      <c r="M16" s="252" t="s">
        <v>101</v>
      </c>
      <c r="N16" s="250" t="s">
        <v>116</v>
      </c>
      <c r="O16" s="250" t="s">
        <v>116</v>
      </c>
    </row>
    <row r="17" spans="1:15" ht="62.25" customHeight="1" x14ac:dyDescent="0.25">
      <c r="B17" s="248"/>
      <c r="C17" s="161" t="s">
        <v>95</v>
      </c>
      <c r="D17" s="161" t="s">
        <v>96</v>
      </c>
      <c r="E17" s="251"/>
      <c r="F17" s="256"/>
      <c r="G17" s="257"/>
      <c r="H17" s="239"/>
      <c r="I17" s="259"/>
      <c r="J17" s="243"/>
      <c r="K17" s="246"/>
      <c r="L17" s="252"/>
      <c r="M17" s="252"/>
      <c r="N17" s="251"/>
      <c r="O17" s="251"/>
    </row>
    <row r="18" spans="1:15" s="12" customFormat="1" ht="45.75" customHeight="1" thickBot="1" x14ac:dyDescent="0.25">
      <c r="A18" s="12">
        <v>1</v>
      </c>
      <c r="B18" s="13">
        <v>2</v>
      </c>
      <c r="C18" s="150">
        <v>3</v>
      </c>
      <c r="D18" s="148" t="s">
        <v>97</v>
      </c>
      <c r="E18" s="13">
        <v>6</v>
      </c>
      <c r="F18" s="16">
        <v>7</v>
      </c>
      <c r="G18" s="18" t="s">
        <v>113</v>
      </c>
      <c r="H18" s="17" t="s">
        <v>121</v>
      </c>
      <c r="I18" s="17" t="s">
        <v>123</v>
      </c>
      <c r="J18" s="13" t="s">
        <v>124</v>
      </c>
      <c r="K18" s="139" t="s">
        <v>122</v>
      </c>
      <c r="L18" s="150" t="s">
        <v>107</v>
      </c>
      <c r="M18" s="148" t="s">
        <v>108</v>
      </c>
      <c r="N18" s="149"/>
      <c r="O18" s="149"/>
    </row>
    <row r="19" spans="1:15" ht="22.5" customHeight="1" thickBot="1" x14ac:dyDescent="0.3">
      <c r="A19" s="230" t="s">
        <v>20</v>
      </c>
      <c r="B19" s="231" t="s">
        <v>21</v>
      </c>
      <c r="C19" s="151">
        <v>1</v>
      </c>
      <c r="D19" s="152">
        <f>C19*E13</f>
        <v>2959</v>
      </c>
      <c r="E19" s="129">
        <v>10</v>
      </c>
      <c r="F19" s="22">
        <v>69</v>
      </c>
      <c r="G19" s="154">
        <f t="shared" ref="G19:G59" si="0">D19*(1+E19/100)</f>
        <v>3254.9</v>
      </c>
      <c r="H19" s="23">
        <f>D19*20%</f>
        <v>591.80000000000007</v>
      </c>
      <c r="I19" s="23">
        <f>((G19*F19)*12+H19)*1.2409</f>
        <v>3345030.8440999999</v>
      </c>
      <c r="J19" s="23">
        <f>'2020 gads'!I18</f>
        <v>3210506.1160000004</v>
      </c>
      <c r="K19" s="140">
        <f>I19-J19</f>
        <v>134524.72809999948</v>
      </c>
      <c r="L19" s="97">
        <f>I19-J19</f>
        <v>134524.72809999948</v>
      </c>
      <c r="M19" s="96">
        <f t="shared" ref="M19:M59" si="1">((D19-1966*C19)*20%)*F19*1.2409</f>
        <v>17004.549060000001</v>
      </c>
      <c r="N19" s="81">
        <v>1147738.1916</v>
      </c>
      <c r="O19" s="81">
        <f>J19+L19+M19</f>
        <v>3362035.39316</v>
      </c>
    </row>
    <row r="20" spans="1:15" ht="22.5" customHeight="1" thickBot="1" x14ac:dyDescent="0.3">
      <c r="A20" s="230"/>
      <c r="B20" s="232"/>
      <c r="C20" s="26">
        <v>1</v>
      </c>
      <c r="D20" s="27">
        <f>C20*E13</f>
        <v>2959</v>
      </c>
      <c r="E20" s="102">
        <v>10</v>
      </c>
      <c r="F20" s="29">
        <v>29</v>
      </c>
      <c r="G20" s="154">
        <f t="shared" si="0"/>
        <v>3254.9</v>
      </c>
      <c r="H20" s="23">
        <f t="shared" ref="H20:H71" si="2">D20*20%</f>
        <v>591.80000000000007</v>
      </c>
      <c r="I20" s="23">
        <f t="shared" ref="I20:I71" si="3">((G20*F20)*12+H20)*1.2409</f>
        <v>1406308.2473000002</v>
      </c>
      <c r="J20" s="23">
        <f>'2020 gads'!I19</f>
        <v>1349751.7480000001</v>
      </c>
      <c r="K20" s="140">
        <f t="shared" ref="K20:K71" si="4">I20-J20</f>
        <v>56556.499300000025</v>
      </c>
      <c r="L20" s="24">
        <f t="shared" ref="L20:L87" si="5">I20-J20</f>
        <v>56556.499300000025</v>
      </c>
      <c r="M20" s="25">
        <f t="shared" si="1"/>
        <v>7146.8394600000001</v>
      </c>
      <c r="N20" s="81">
        <v>2339620.1598000005</v>
      </c>
      <c r="O20" s="81">
        <f t="shared" ref="O20:O71" si="6">J20+L20+M20</f>
        <v>1413455.0867600001</v>
      </c>
    </row>
    <row r="21" spans="1:15" ht="22.5" customHeight="1" thickBot="1" x14ac:dyDescent="0.3">
      <c r="A21" s="230"/>
      <c r="B21" s="232"/>
      <c r="C21" s="30">
        <v>1</v>
      </c>
      <c r="D21" s="27">
        <f>C21*E13</f>
        <v>2959</v>
      </c>
      <c r="E21" s="102">
        <v>10</v>
      </c>
      <c r="F21" s="29">
        <v>81</v>
      </c>
      <c r="G21" s="154">
        <f t="shared" si="0"/>
        <v>3254.9</v>
      </c>
      <c r="H21" s="23">
        <f t="shared" si="2"/>
        <v>591.80000000000007</v>
      </c>
      <c r="I21" s="23">
        <f t="shared" si="3"/>
        <v>3926647.6231399998</v>
      </c>
      <c r="J21" s="23">
        <f>'2020 gads'!I20</f>
        <v>3768732.4264000002</v>
      </c>
      <c r="K21" s="140">
        <f t="shared" si="4"/>
        <v>157915.19673999958</v>
      </c>
      <c r="L21" s="24">
        <f t="shared" si="5"/>
        <v>157915.19673999958</v>
      </c>
      <c r="M21" s="25">
        <f t="shared" si="1"/>
        <v>19961.861940000003</v>
      </c>
      <c r="N21" s="81">
        <v>1412600.8512000002</v>
      </c>
      <c r="O21" s="81">
        <f t="shared" si="6"/>
        <v>3946609.48508</v>
      </c>
    </row>
    <row r="22" spans="1:15" ht="22.5" customHeight="1" thickBot="1" x14ac:dyDescent="0.3">
      <c r="A22" s="230"/>
      <c r="B22" s="232"/>
      <c r="C22" s="30">
        <v>1</v>
      </c>
      <c r="D22" s="27">
        <f>C22*E13</f>
        <v>2959</v>
      </c>
      <c r="E22" s="120">
        <v>5</v>
      </c>
      <c r="F22" s="29">
        <v>46</v>
      </c>
      <c r="G22" s="154">
        <f t="shared" si="0"/>
        <v>3106.9500000000003</v>
      </c>
      <c r="H22" s="23">
        <f t="shared" si="2"/>
        <v>591.80000000000007</v>
      </c>
      <c r="I22" s="23">
        <f t="shared" si="3"/>
        <v>2128923.0333799999</v>
      </c>
      <c r="J22" s="23">
        <f>'2020 gads'!I21</f>
        <v>2043305.6487999998</v>
      </c>
      <c r="K22" s="140">
        <f t="shared" si="4"/>
        <v>85617.384580000071</v>
      </c>
      <c r="L22" s="24">
        <f t="shared" si="5"/>
        <v>85617.384580000071</v>
      </c>
      <c r="M22" s="25">
        <f t="shared" si="1"/>
        <v>11336.366039999999</v>
      </c>
      <c r="N22" s="81">
        <v>3623802.7517999997</v>
      </c>
      <c r="O22" s="81">
        <f t="shared" si="6"/>
        <v>2140259.3994200001</v>
      </c>
    </row>
    <row r="23" spans="1:15" ht="22.5" customHeight="1" thickBot="1" x14ac:dyDescent="0.3">
      <c r="A23" s="230"/>
      <c r="B23" s="232"/>
      <c r="C23" s="30">
        <v>1</v>
      </c>
      <c r="D23" s="27">
        <f>C23*E13</f>
        <v>2959</v>
      </c>
      <c r="E23" s="153">
        <v>0</v>
      </c>
      <c r="F23" s="29">
        <v>32</v>
      </c>
      <c r="G23" s="154">
        <f t="shared" si="0"/>
        <v>2959</v>
      </c>
      <c r="H23" s="23">
        <f t="shared" si="2"/>
        <v>591.80000000000007</v>
      </c>
      <c r="I23" s="23">
        <f t="shared" si="3"/>
        <v>1410714.43502</v>
      </c>
      <c r="J23" s="23">
        <f>'2020 gads'!I22</f>
        <v>1353980.7352</v>
      </c>
      <c r="K23" s="140">
        <f t="shared" si="4"/>
        <v>56733.69981999998</v>
      </c>
      <c r="L23" s="24">
        <f t="shared" si="5"/>
        <v>56733.69981999998</v>
      </c>
      <c r="M23" s="25">
        <f t="shared" si="1"/>
        <v>7886.1676800000005</v>
      </c>
      <c r="N23" s="81">
        <v>1244051.8859999999</v>
      </c>
      <c r="O23" s="81">
        <f t="shared" si="6"/>
        <v>1418600.6026999999</v>
      </c>
    </row>
    <row r="24" spans="1:15" ht="22.5" customHeight="1" thickBot="1" x14ac:dyDescent="0.3">
      <c r="A24" s="230"/>
      <c r="B24" s="233"/>
      <c r="C24" s="30">
        <v>1</v>
      </c>
      <c r="D24" s="27">
        <f>C24*E13</f>
        <v>2959</v>
      </c>
      <c r="E24" s="28">
        <v>0</v>
      </c>
      <c r="F24" s="29">
        <v>44</v>
      </c>
      <c r="G24" s="154">
        <f t="shared" si="0"/>
        <v>2959</v>
      </c>
      <c r="H24" s="23">
        <f t="shared" si="2"/>
        <v>591.80000000000007</v>
      </c>
      <c r="I24" s="23">
        <f t="shared" si="3"/>
        <v>1939456.9614199998</v>
      </c>
      <c r="J24" s="23">
        <f>'2020 gads'!I23</f>
        <v>1861459.1991999999</v>
      </c>
      <c r="K24" s="140">
        <f t="shared" si="4"/>
        <v>77997.762219999917</v>
      </c>
      <c r="L24" s="24">
        <f t="shared" si="5"/>
        <v>77997.762219999917</v>
      </c>
      <c r="M24" s="25">
        <f t="shared" si="1"/>
        <v>10843.48056</v>
      </c>
      <c r="N24" s="81">
        <v>1966404.594</v>
      </c>
      <c r="O24" s="81">
        <f t="shared" si="6"/>
        <v>1950300.4419799999</v>
      </c>
    </row>
    <row r="25" spans="1:15" ht="27.75" customHeight="1" thickBot="1" x14ac:dyDescent="0.3">
      <c r="A25" s="230"/>
      <c r="B25" s="220" t="s">
        <v>23</v>
      </c>
      <c r="C25" s="33">
        <v>1.1000000000000001</v>
      </c>
      <c r="D25" s="27">
        <f>C25*E13</f>
        <v>3254.9</v>
      </c>
      <c r="E25" s="102">
        <v>10</v>
      </c>
      <c r="F25" s="29">
        <v>5</v>
      </c>
      <c r="G25" s="154">
        <f t="shared" si="0"/>
        <v>3580.3900000000003</v>
      </c>
      <c r="H25" s="23">
        <f t="shared" si="2"/>
        <v>650.98</v>
      </c>
      <c r="I25" s="23">
        <f t="shared" si="3"/>
        <v>267382.15814200003</v>
      </c>
      <c r="J25" s="23">
        <f>'2020 gads'!I24</f>
        <v>256629.03992000004</v>
      </c>
      <c r="K25" s="140">
        <f t="shared" si="4"/>
        <v>10753.11822199999</v>
      </c>
      <c r="L25" s="24">
        <f t="shared" si="5"/>
        <v>10753.11822199999</v>
      </c>
      <c r="M25" s="25">
        <f t="shared" si="1"/>
        <v>1355.4350699999995</v>
      </c>
      <c r="N25" s="81">
        <v>48558.154260000003</v>
      </c>
      <c r="O25" s="81">
        <f t="shared" si="6"/>
        <v>268737.59321200004</v>
      </c>
    </row>
    <row r="26" spans="1:15" ht="25.5" customHeight="1" thickBot="1" x14ac:dyDescent="0.3">
      <c r="A26" s="230"/>
      <c r="B26" s="234"/>
      <c r="C26" s="33">
        <v>1.1000000000000001</v>
      </c>
      <c r="D26" s="27">
        <f>C26*E13</f>
        <v>3254.9</v>
      </c>
      <c r="E26" s="102">
        <v>10</v>
      </c>
      <c r="F26" s="29">
        <v>2</v>
      </c>
      <c r="G26" s="154">
        <f t="shared" si="0"/>
        <v>3580.3900000000003</v>
      </c>
      <c r="H26" s="23">
        <f t="shared" si="2"/>
        <v>650.98</v>
      </c>
      <c r="I26" s="23">
        <f t="shared" si="3"/>
        <v>107437.54390600001</v>
      </c>
      <c r="J26" s="23">
        <f>'2020 gads'!I25</f>
        <v>103116.80456000002</v>
      </c>
      <c r="K26" s="140">
        <f t="shared" si="4"/>
        <v>4320.7393459999876</v>
      </c>
      <c r="L26" s="24">
        <f t="shared" si="5"/>
        <v>4320.7393459999876</v>
      </c>
      <c r="M26" s="25">
        <f t="shared" si="1"/>
        <v>542.17402799999979</v>
      </c>
      <c r="N26" s="81">
        <v>48558.154260000003</v>
      </c>
      <c r="O26" s="81">
        <f t="shared" si="6"/>
        <v>107979.717934</v>
      </c>
    </row>
    <row r="27" spans="1:15" ht="24.75" customHeight="1" thickBot="1" x14ac:dyDescent="0.3">
      <c r="A27" s="230"/>
      <c r="B27" s="234"/>
      <c r="C27" s="33">
        <v>1.1000000000000001</v>
      </c>
      <c r="D27" s="35">
        <f>C27*E13</f>
        <v>3254.9</v>
      </c>
      <c r="E27" s="102">
        <v>10</v>
      </c>
      <c r="F27" s="29">
        <v>3</v>
      </c>
      <c r="G27" s="154">
        <f t="shared" si="0"/>
        <v>3580.3900000000003</v>
      </c>
      <c r="H27" s="23">
        <f t="shared" si="2"/>
        <v>650.98</v>
      </c>
      <c r="I27" s="23">
        <f t="shared" si="3"/>
        <v>160752.41531800001</v>
      </c>
      <c r="J27" s="23">
        <f>'2020 gads'!I26</f>
        <v>154287.54968000003</v>
      </c>
      <c r="K27" s="140">
        <f t="shared" si="4"/>
        <v>6464.8656379999884</v>
      </c>
      <c r="L27" s="24">
        <f t="shared" si="5"/>
        <v>6464.8656379999884</v>
      </c>
      <c r="M27" s="25">
        <f t="shared" si="1"/>
        <v>813.26104199999975</v>
      </c>
      <c r="N27" s="81">
        <v>97116.308520000006</v>
      </c>
      <c r="O27" s="81">
        <f t="shared" si="6"/>
        <v>161565.67636000001</v>
      </c>
    </row>
    <row r="28" spans="1:15" ht="24.75" customHeight="1" thickBot="1" x14ac:dyDescent="0.3">
      <c r="A28" s="230"/>
      <c r="B28" s="234"/>
      <c r="C28" s="33">
        <v>1.1000000000000001</v>
      </c>
      <c r="D28" s="35">
        <f>C28*E13</f>
        <v>3254.9</v>
      </c>
      <c r="E28" s="120">
        <v>5</v>
      </c>
      <c r="F28" s="29">
        <v>5</v>
      </c>
      <c r="G28" s="154">
        <f t="shared" si="0"/>
        <v>3417.6450000000004</v>
      </c>
      <c r="H28" s="23">
        <f t="shared" si="2"/>
        <v>650.98</v>
      </c>
      <c r="I28" s="23">
        <f t="shared" si="3"/>
        <v>255265.14191199999</v>
      </c>
      <c r="J28" s="23">
        <f>'2020 gads'!I27</f>
        <v>244999.32512000002</v>
      </c>
      <c r="K28" s="140">
        <f t="shared" si="4"/>
        <v>10265.816791999969</v>
      </c>
      <c r="L28" s="24">
        <f t="shared" si="5"/>
        <v>10265.816791999969</v>
      </c>
      <c r="M28" s="25">
        <f t="shared" si="1"/>
        <v>1355.4350699999995</v>
      </c>
      <c r="N28" s="81">
        <v>278105.79258000007</v>
      </c>
      <c r="O28" s="81">
        <f t="shared" si="6"/>
        <v>256620.576982</v>
      </c>
    </row>
    <row r="29" spans="1:15" ht="21" customHeight="1" thickBot="1" x14ac:dyDescent="0.3">
      <c r="A29" s="230"/>
      <c r="B29" s="234"/>
      <c r="C29" s="33">
        <v>1.1000000000000001</v>
      </c>
      <c r="D29" s="35">
        <f>C29*E13</f>
        <v>3254.9</v>
      </c>
      <c r="E29" s="153">
        <v>0</v>
      </c>
      <c r="F29" s="29">
        <v>2</v>
      </c>
      <c r="G29" s="154">
        <f t="shared" si="0"/>
        <v>3254.9</v>
      </c>
      <c r="H29" s="23">
        <f t="shared" si="2"/>
        <v>650.98</v>
      </c>
      <c r="I29" s="23">
        <f t="shared" si="3"/>
        <v>97743.930922</v>
      </c>
      <c r="J29" s="23">
        <f>'2020 gads'!I28</f>
        <v>93813.032720000017</v>
      </c>
      <c r="K29" s="140">
        <f t="shared" si="4"/>
        <v>3930.8982019999821</v>
      </c>
      <c r="L29" s="24">
        <f t="shared" si="5"/>
        <v>3930.8982019999821</v>
      </c>
      <c r="M29" s="25">
        <f t="shared" si="1"/>
        <v>542.17402799999979</v>
      </c>
      <c r="N29" s="81">
        <v>44143.776600000005</v>
      </c>
      <c r="O29" s="81">
        <f t="shared" si="6"/>
        <v>98286.104949999994</v>
      </c>
    </row>
    <row r="30" spans="1:15" ht="21" customHeight="1" thickBot="1" x14ac:dyDescent="0.3">
      <c r="A30" s="230"/>
      <c r="B30" s="221"/>
      <c r="C30" s="36">
        <v>1.1000000000000001</v>
      </c>
      <c r="D30" s="35">
        <f>C30*E13</f>
        <v>3254.9</v>
      </c>
      <c r="E30" s="28">
        <v>0</v>
      </c>
      <c r="F30" s="29">
        <v>0</v>
      </c>
      <c r="G30" s="154">
        <f t="shared" si="0"/>
        <v>3254.9</v>
      </c>
      <c r="H30" s="23">
        <f t="shared" si="2"/>
        <v>650.98</v>
      </c>
      <c r="I30" s="23">
        <f t="shared" si="3"/>
        <v>807.80108199999995</v>
      </c>
      <c r="J30" s="23">
        <f>'2020 gads'!I29</f>
        <v>775.31432000000018</v>
      </c>
      <c r="K30" s="140">
        <f t="shared" si="4"/>
        <v>32.486761999999771</v>
      </c>
      <c r="L30" s="24">
        <f t="shared" si="5"/>
        <v>32.486761999999771</v>
      </c>
      <c r="M30" s="25">
        <f t="shared" si="1"/>
        <v>0</v>
      </c>
      <c r="N30" s="81">
        <v>132431.32980000001</v>
      </c>
      <c r="O30" s="81">
        <f t="shared" si="6"/>
        <v>807.80108199999995</v>
      </c>
    </row>
    <row r="31" spans="1:15" ht="28.5" customHeight="1" thickBot="1" x14ac:dyDescent="0.3">
      <c r="A31" s="230"/>
      <c r="B31" s="220" t="s">
        <v>24</v>
      </c>
      <c r="C31" s="33">
        <v>1.2</v>
      </c>
      <c r="D31" s="35">
        <f>C31*E13</f>
        <v>3550.7999999999997</v>
      </c>
      <c r="E31" s="102">
        <v>10</v>
      </c>
      <c r="F31" s="29">
        <v>3</v>
      </c>
      <c r="G31" s="154">
        <f t="shared" si="0"/>
        <v>3905.88</v>
      </c>
      <c r="H31" s="23">
        <f t="shared" si="2"/>
        <v>710.16</v>
      </c>
      <c r="I31" s="23">
        <f t="shared" si="3"/>
        <v>175366.27125599998</v>
      </c>
      <c r="J31" s="23">
        <f>'2020 gads'!I30</f>
        <v>168313.69056000002</v>
      </c>
      <c r="K31" s="140">
        <f t="shared" si="4"/>
        <v>7052.5806959999609</v>
      </c>
      <c r="L31" s="24">
        <f t="shared" si="5"/>
        <v>7052.5806959999609</v>
      </c>
      <c r="M31" s="25">
        <f t="shared" si="1"/>
        <v>887.19386399999996</v>
      </c>
      <c r="N31" s="81">
        <v>900533.04264</v>
      </c>
      <c r="O31" s="81">
        <f t="shared" si="6"/>
        <v>176253.46511999998</v>
      </c>
    </row>
    <row r="32" spans="1:15" ht="21.75" customHeight="1" thickBot="1" x14ac:dyDescent="0.3">
      <c r="A32" s="230"/>
      <c r="B32" s="234"/>
      <c r="C32" s="33">
        <v>1.2</v>
      </c>
      <c r="D32" s="35">
        <f>C32*E13</f>
        <v>3550.7999999999997</v>
      </c>
      <c r="E32" s="102">
        <v>10</v>
      </c>
      <c r="F32" s="29">
        <v>5</v>
      </c>
      <c r="G32" s="154">
        <f t="shared" si="0"/>
        <v>3905.88</v>
      </c>
      <c r="H32" s="23">
        <f t="shared" si="2"/>
        <v>710.16</v>
      </c>
      <c r="I32" s="23">
        <f t="shared" si="3"/>
        <v>291689.627064</v>
      </c>
      <c r="J32" s="23">
        <f>'2020 gads'!I31</f>
        <v>279958.95263999997</v>
      </c>
      <c r="K32" s="140">
        <f t="shared" si="4"/>
        <v>11730.674424000026</v>
      </c>
      <c r="L32" s="24">
        <f t="shared" si="5"/>
        <v>11730.674424000026</v>
      </c>
      <c r="M32" s="25">
        <f t="shared" si="1"/>
        <v>1478.6564399999997</v>
      </c>
      <c r="N32" s="81">
        <v>370807.72343999997</v>
      </c>
      <c r="O32" s="81">
        <f t="shared" si="6"/>
        <v>293168.28350399999</v>
      </c>
    </row>
    <row r="33" spans="1:15" ht="19.5" customHeight="1" thickBot="1" x14ac:dyDescent="0.3">
      <c r="A33" s="230"/>
      <c r="B33" s="234"/>
      <c r="C33" s="33">
        <v>1.2</v>
      </c>
      <c r="D33" s="35">
        <f>C33*E13</f>
        <v>3550.7999999999997</v>
      </c>
      <c r="E33" s="102">
        <v>10</v>
      </c>
      <c r="F33" s="29">
        <v>1</v>
      </c>
      <c r="G33" s="154">
        <f t="shared" si="0"/>
        <v>3905.88</v>
      </c>
      <c r="H33" s="23">
        <f t="shared" si="2"/>
        <v>710.16</v>
      </c>
      <c r="I33" s="23">
        <f t="shared" si="3"/>
        <v>59042.915448</v>
      </c>
      <c r="J33" s="23">
        <f>'2020 gads'!I32</f>
        <v>56668.428480000002</v>
      </c>
      <c r="K33" s="140">
        <f t="shared" si="4"/>
        <v>2374.4869679999974</v>
      </c>
      <c r="L33" s="24">
        <f t="shared" si="5"/>
        <v>2374.4869679999974</v>
      </c>
      <c r="M33" s="25">
        <f t="shared" si="1"/>
        <v>295.73128799999995</v>
      </c>
      <c r="N33" s="81">
        <v>105945.06384</v>
      </c>
      <c r="O33" s="81">
        <f t="shared" si="6"/>
        <v>59338.646736000002</v>
      </c>
    </row>
    <row r="34" spans="1:15" ht="19.5" customHeight="1" thickBot="1" x14ac:dyDescent="0.3">
      <c r="A34" s="230"/>
      <c r="B34" s="234"/>
      <c r="C34" s="33">
        <v>1.2</v>
      </c>
      <c r="D34" s="35">
        <f>C34*E13</f>
        <v>3550.7999999999997</v>
      </c>
      <c r="E34" s="153">
        <v>0</v>
      </c>
      <c r="F34" s="29">
        <v>1</v>
      </c>
      <c r="G34" s="154">
        <f t="shared" si="0"/>
        <v>3550.7999999999997</v>
      </c>
      <c r="H34" s="23">
        <f t="shared" si="2"/>
        <v>710.16</v>
      </c>
      <c r="I34" s="23">
        <f t="shared" si="3"/>
        <v>53755.490183999995</v>
      </c>
      <c r="J34" s="23">
        <f>'2020 gads'!I33</f>
        <v>51593.643839999997</v>
      </c>
      <c r="K34" s="140">
        <f t="shared" si="4"/>
        <v>2161.8463439999978</v>
      </c>
      <c r="L34" s="24">
        <f t="shared" si="5"/>
        <v>2161.8463439999978</v>
      </c>
      <c r="M34" s="25">
        <f t="shared" si="1"/>
        <v>295.73128799999995</v>
      </c>
      <c r="N34" s="81">
        <v>353952.82691999996</v>
      </c>
      <c r="O34" s="81">
        <f t="shared" si="6"/>
        <v>54051.221471999997</v>
      </c>
    </row>
    <row r="35" spans="1:15" ht="22.5" customHeight="1" thickBot="1" x14ac:dyDescent="0.3">
      <c r="A35" s="230"/>
      <c r="B35" s="220" t="s">
        <v>25</v>
      </c>
      <c r="C35" s="33">
        <v>1</v>
      </c>
      <c r="D35" s="35">
        <f>C35*E13</f>
        <v>2959</v>
      </c>
      <c r="E35" s="102">
        <v>10</v>
      </c>
      <c r="F35" s="29">
        <v>25</v>
      </c>
      <c r="G35" s="154">
        <f t="shared" si="0"/>
        <v>3254.9</v>
      </c>
      <c r="H35" s="23">
        <f t="shared" si="2"/>
        <v>591.80000000000007</v>
      </c>
      <c r="I35" s="23">
        <f t="shared" si="3"/>
        <v>1212435.98762</v>
      </c>
      <c r="J35" s="23">
        <f>'2020 gads'!I34</f>
        <v>1163676.3112000001</v>
      </c>
      <c r="K35" s="140">
        <f t="shared" si="4"/>
        <v>48759.676419999916</v>
      </c>
      <c r="L35" s="24">
        <f t="shared" si="5"/>
        <v>48759.676419999916</v>
      </c>
      <c r="M35" s="25">
        <f t="shared" si="1"/>
        <v>6161.0685000000003</v>
      </c>
      <c r="N35" s="81">
        <v>309006.4362</v>
      </c>
      <c r="O35" s="81">
        <f t="shared" si="6"/>
        <v>1218597.0561200001</v>
      </c>
    </row>
    <row r="36" spans="1:15" ht="22.5" customHeight="1" thickBot="1" x14ac:dyDescent="0.3">
      <c r="A36" s="230"/>
      <c r="B36" s="234"/>
      <c r="C36" s="33">
        <v>1</v>
      </c>
      <c r="D36" s="35">
        <f>C36*E13</f>
        <v>2959</v>
      </c>
      <c r="E36" s="102">
        <v>10</v>
      </c>
      <c r="F36" s="29">
        <v>1</v>
      </c>
      <c r="G36" s="154">
        <f t="shared" si="0"/>
        <v>3254.9</v>
      </c>
      <c r="H36" s="23">
        <f t="shared" si="2"/>
        <v>591.80000000000007</v>
      </c>
      <c r="I36" s="23">
        <f t="shared" si="3"/>
        <v>49202.429540000005</v>
      </c>
      <c r="J36" s="23">
        <f>'2020 gads'!I35</f>
        <v>47223.690400000007</v>
      </c>
      <c r="K36" s="140">
        <f t="shared" si="4"/>
        <v>1978.7391399999979</v>
      </c>
      <c r="L36" s="24">
        <f t="shared" si="5"/>
        <v>1978.7391399999979</v>
      </c>
      <c r="M36" s="25">
        <f t="shared" si="1"/>
        <v>246.44274000000001</v>
      </c>
      <c r="N36" s="81">
        <v>353150.21280000004</v>
      </c>
      <c r="O36" s="81">
        <f t="shared" si="6"/>
        <v>49448.872280000003</v>
      </c>
    </row>
    <row r="37" spans="1:15" ht="22.5" customHeight="1" thickBot="1" x14ac:dyDescent="0.3">
      <c r="A37" s="230"/>
      <c r="B37" s="234"/>
      <c r="C37" s="33">
        <v>1</v>
      </c>
      <c r="D37" s="35">
        <f>C37*E13</f>
        <v>2959</v>
      </c>
      <c r="E37" s="102">
        <v>10</v>
      </c>
      <c r="F37" s="29">
        <v>22</v>
      </c>
      <c r="G37" s="154">
        <f t="shared" si="0"/>
        <v>3254.9</v>
      </c>
      <c r="H37" s="23">
        <f t="shared" si="2"/>
        <v>591.80000000000007</v>
      </c>
      <c r="I37" s="23">
        <f t="shared" si="3"/>
        <v>1067031.7928600002</v>
      </c>
      <c r="J37" s="23">
        <f>'2020 gads'!I36</f>
        <v>1024119.7336000002</v>
      </c>
      <c r="K37" s="140">
        <f t="shared" si="4"/>
        <v>42912.059260000009</v>
      </c>
      <c r="L37" s="24">
        <f t="shared" si="5"/>
        <v>42912.059260000009</v>
      </c>
      <c r="M37" s="25">
        <f t="shared" si="1"/>
        <v>5421.74028</v>
      </c>
      <c r="N37" s="81">
        <v>44143.776600000005</v>
      </c>
      <c r="O37" s="81">
        <f t="shared" si="6"/>
        <v>1072453.5331400002</v>
      </c>
    </row>
    <row r="38" spans="1:15" ht="22.5" customHeight="1" thickBot="1" x14ac:dyDescent="0.3">
      <c r="A38" s="230"/>
      <c r="B38" s="234"/>
      <c r="C38" s="33">
        <v>1</v>
      </c>
      <c r="D38" s="35">
        <f>C38*E13</f>
        <v>2959</v>
      </c>
      <c r="E38" s="102">
        <v>10</v>
      </c>
      <c r="F38" s="29">
        <v>11</v>
      </c>
      <c r="G38" s="154">
        <f t="shared" si="0"/>
        <v>3254.9</v>
      </c>
      <c r="H38" s="23">
        <f t="shared" si="2"/>
        <v>591.80000000000007</v>
      </c>
      <c r="I38" s="23">
        <f t="shared" si="3"/>
        <v>533883.07874000003</v>
      </c>
      <c r="J38" s="23">
        <f>'2020 gads'!I37</f>
        <v>512412.28240000008</v>
      </c>
      <c r="K38" s="140">
        <f t="shared" si="4"/>
        <v>21470.796339999943</v>
      </c>
      <c r="L38" s="24">
        <f t="shared" si="5"/>
        <v>21470.796339999943</v>
      </c>
      <c r="M38" s="25">
        <f t="shared" si="1"/>
        <v>2710.87014</v>
      </c>
      <c r="N38" s="81">
        <v>1015306.8618000001</v>
      </c>
      <c r="O38" s="81">
        <f t="shared" si="6"/>
        <v>536593.94888000004</v>
      </c>
    </row>
    <row r="39" spans="1:15" ht="22.5" customHeight="1" thickBot="1" x14ac:dyDescent="0.3">
      <c r="A39" s="230"/>
      <c r="B39" s="234"/>
      <c r="C39" s="33">
        <v>1</v>
      </c>
      <c r="D39" s="35">
        <f>C39*E13</f>
        <v>2959</v>
      </c>
      <c r="E39" s="153">
        <v>0</v>
      </c>
      <c r="F39" s="29">
        <v>2</v>
      </c>
      <c r="G39" s="154">
        <f t="shared" si="0"/>
        <v>2959</v>
      </c>
      <c r="H39" s="23">
        <f t="shared" si="2"/>
        <v>591.80000000000007</v>
      </c>
      <c r="I39" s="23">
        <f t="shared" si="3"/>
        <v>88858.119019999998</v>
      </c>
      <c r="J39" s="23">
        <f>'2020 gads'!I38</f>
        <v>85284.575199999992</v>
      </c>
      <c r="K39" s="140">
        <f t="shared" si="4"/>
        <v>3573.5438200000062</v>
      </c>
      <c r="L39" s="24">
        <f t="shared" si="5"/>
        <v>3573.5438200000062</v>
      </c>
      <c r="M39" s="25">
        <f t="shared" si="1"/>
        <v>492.88548000000003</v>
      </c>
      <c r="N39" s="81">
        <v>200653.52999999997</v>
      </c>
      <c r="O39" s="81">
        <f t="shared" si="6"/>
        <v>89351.004499999995</v>
      </c>
    </row>
    <row r="40" spans="1:15" ht="22.5" customHeight="1" thickBot="1" x14ac:dyDescent="0.3">
      <c r="A40" s="230"/>
      <c r="B40" s="221"/>
      <c r="C40" s="33">
        <v>1</v>
      </c>
      <c r="D40" s="35">
        <f>C40*E13</f>
        <v>2959</v>
      </c>
      <c r="E40" s="28">
        <v>0</v>
      </c>
      <c r="F40" s="29">
        <v>7</v>
      </c>
      <c r="G40" s="154">
        <f t="shared" si="0"/>
        <v>2959</v>
      </c>
      <c r="H40" s="23">
        <f t="shared" si="2"/>
        <v>591.80000000000007</v>
      </c>
      <c r="I40" s="23">
        <f t="shared" si="3"/>
        <v>309167.50501999998</v>
      </c>
      <c r="J40" s="23">
        <f>'2020 gads'!I39</f>
        <v>296733.93519999995</v>
      </c>
      <c r="K40" s="140">
        <f t="shared" si="4"/>
        <v>12433.569820000033</v>
      </c>
      <c r="L40" s="24">
        <f t="shared" si="5"/>
        <v>12433.569820000033</v>
      </c>
      <c r="M40" s="25">
        <f t="shared" si="1"/>
        <v>1725.0991800000002</v>
      </c>
      <c r="N40" s="81">
        <v>240784.23599999998</v>
      </c>
      <c r="O40" s="81">
        <f t="shared" si="6"/>
        <v>310892.6042</v>
      </c>
    </row>
    <row r="41" spans="1:15" ht="18.75" customHeight="1" thickBot="1" x14ac:dyDescent="0.3">
      <c r="A41" s="230"/>
      <c r="B41" s="220" t="s">
        <v>26</v>
      </c>
      <c r="C41" s="33">
        <v>1.05</v>
      </c>
      <c r="D41" s="35">
        <f>C41*E13</f>
        <v>3106.9500000000003</v>
      </c>
      <c r="E41" s="102">
        <v>10</v>
      </c>
      <c r="F41" s="29">
        <v>1</v>
      </c>
      <c r="G41" s="154">
        <f t="shared" si="0"/>
        <v>3417.6450000000004</v>
      </c>
      <c r="H41" s="23">
        <f t="shared" si="2"/>
        <v>621.3900000000001</v>
      </c>
      <c r="I41" s="23">
        <f t="shared" si="3"/>
        <v>51662.551016999998</v>
      </c>
      <c r="J41" s="23">
        <f>'2020 gads'!I40</f>
        <v>49584.874920000002</v>
      </c>
      <c r="K41" s="140">
        <f t="shared" si="4"/>
        <v>2077.6760969999959</v>
      </c>
      <c r="L41" s="24">
        <f t="shared" si="5"/>
        <v>2077.6760969999959</v>
      </c>
      <c r="M41" s="25">
        <f t="shared" si="1"/>
        <v>258.76487700000001</v>
      </c>
      <c r="N41" s="81">
        <v>46350.965430000004</v>
      </c>
      <c r="O41" s="81">
        <f t="shared" si="6"/>
        <v>51921.315893999999</v>
      </c>
    </row>
    <row r="42" spans="1:15" ht="23.25" customHeight="1" thickBot="1" x14ac:dyDescent="0.3">
      <c r="A42" s="230"/>
      <c r="B42" s="221"/>
      <c r="C42" s="33">
        <v>1.05</v>
      </c>
      <c r="D42" s="35">
        <f>C42*E13</f>
        <v>3106.9500000000003</v>
      </c>
      <c r="E42" s="120">
        <v>5</v>
      </c>
      <c r="F42" s="29">
        <v>1</v>
      </c>
      <c r="G42" s="154">
        <f t="shared" si="0"/>
        <v>3262.2975000000006</v>
      </c>
      <c r="H42" s="23">
        <f t="shared" si="2"/>
        <v>621.3900000000001</v>
      </c>
      <c r="I42" s="23">
        <f t="shared" si="3"/>
        <v>49349.302464</v>
      </c>
      <c r="J42" s="23">
        <f>'2020 gads'!I41</f>
        <v>47364.656639999994</v>
      </c>
      <c r="K42" s="140">
        <f t="shared" si="4"/>
        <v>1984.6458240000065</v>
      </c>
      <c r="L42" s="24">
        <f t="shared" si="5"/>
        <v>1984.6458240000065</v>
      </c>
      <c r="M42" s="25">
        <f t="shared" si="1"/>
        <v>258.76487700000001</v>
      </c>
      <c r="N42" s="81">
        <v>44244.103364999995</v>
      </c>
      <c r="O42" s="81">
        <f t="shared" si="6"/>
        <v>49608.067341000002</v>
      </c>
    </row>
    <row r="43" spans="1:15" ht="17.25" customHeight="1" thickBot="1" x14ac:dyDescent="0.3">
      <c r="A43" s="230"/>
      <c r="B43" s="220" t="s">
        <v>27</v>
      </c>
      <c r="C43" s="33">
        <v>1.1000000000000001</v>
      </c>
      <c r="D43" s="35">
        <f>C43*E13</f>
        <v>3254.9</v>
      </c>
      <c r="E43" s="102">
        <v>10</v>
      </c>
      <c r="F43" s="29">
        <v>3</v>
      </c>
      <c r="G43" s="154">
        <f t="shared" si="0"/>
        <v>3580.3900000000003</v>
      </c>
      <c r="H43" s="23">
        <f t="shared" si="2"/>
        <v>650.98</v>
      </c>
      <c r="I43" s="23">
        <f t="shared" si="3"/>
        <v>160752.41531800001</v>
      </c>
      <c r="J43" s="23">
        <f>'2020 gads'!I42</f>
        <v>154287.54968000003</v>
      </c>
      <c r="K43" s="140">
        <f t="shared" si="4"/>
        <v>6464.8656379999884</v>
      </c>
      <c r="L43" s="24">
        <f t="shared" si="5"/>
        <v>6464.8656379999884</v>
      </c>
      <c r="M43" s="25">
        <f t="shared" si="1"/>
        <v>813.26104199999975</v>
      </c>
      <c r="N43" s="81">
        <v>631256.00537999999</v>
      </c>
      <c r="O43" s="81">
        <f t="shared" si="6"/>
        <v>161565.67636000001</v>
      </c>
    </row>
    <row r="44" spans="1:15" ht="20.25" customHeight="1" thickBot="1" x14ac:dyDescent="0.3">
      <c r="A44" s="230"/>
      <c r="B44" s="234"/>
      <c r="C44" s="33">
        <v>1.1000000000000001</v>
      </c>
      <c r="D44" s="35">
        <f>C44*E13</f>
        <v>3254.9</v>
      </c>
      <c r="E44" s="102">
        <v>10</v>
      </c>
      <c r="F44" s="29">
        <v>0</v>
      </c>
      <c r="G44" s="154">
        <f t="shared" si="0"/>
        <v>3580.3900000000003</v>
      </c>
      <c r="H44" s="23">
        <f t="shared" si="2"/>
        <v>650.98</v>
      </c>
      <c r="I44" s="23">
        <f t="shared" si="3"/>
        <v>807.80108199999995</v>
      </c>
      <c r="J44" s="23">
        <f>'2020 gads'!I43</f>
        <v>775.31432000000018</v>
      </c>
      <c r="K44" s="140">
        <f t="shared" si="4"/>
        <v>32.486761999999771</v>
      </c>
      <c r="L44" s="24">
        <f t="shared" si="5"/>
        <v>32.486761999999771</v>
      </c>
      <c r="M44" s="25">
        <f t="shared" si="1"/>
        <v>0</v>
      </c>
      <c r="N44" s="81">
        <v>242790.77130000005</v>
      </c>
      <c r="O44" s="81">
        <f t="shared" si="6"/>
        <v>807.80108199999995</v>
      </c>
    </row>
    <row r="45" spans="1:15" ht="17.25" customHeight="1" thickBot="1" x14ac:dyDescent="0.3">
      <c r="A45" s="230"/>
      <c r="B45" s="234"/>
      <c r="C45" s="33">
        <v>1.1000000000000001</v>
      </c>
      <c r="D45" s="35">
        <f>C45*E13</f>
        <v>3254.9</v>
      </c>
      <c r="E45" s="102">
        <v>10</v>
      </c>
      <c r="F45" s="29">
        <v>3</v>
      </c>
      <c r="G45" s="154">
        <f t="shared" si="0"/>
        <v>3580.3900000000003</v>
      </c>
      <c r="H45" s="23">
        <f t="shared" si="2"/>
        <v>650.98</v>
      </c>
      <c r="I45" s="23">
        <f t="shared" si="3"/>
        <v>160752.41531800001</v>
      </c>
      <c r="J45" s="23">
        <f>'2020 gads'!I44</f>
        <v>154287.54968000003</v>
      </c>
      <c r="K45" s="140">
        <f t="shared" si="4"/>
        <v>6464.8656379999884</v>
      </c>
      <c r="L45" s="24">
        <f t="shared" si="5"/>
        <v>6464.8656379999884</v>
      </c>
      <c r="M45" s="25">
        <f t="shared" si="1"/>
        <v>813.26104199999975</v>
      </c>
      <c r="N45" s="81">
        <v>48558.154260000003</v>
      </c>
      <c r="O45" s="81">
        <f t="shared" si="6"/>
        <v>161565.67636000001</v>
      </c>
    </row>
    <row r="46" spans="1:15" ht="17.25" customHeight="1" thickBot="1" x14ac:dyDescent="0.3">
      <c r="A46" s="230"/>
      <c r="B46" s="221"/>
      <c r="C46" s="33">
        <v>1.1000000000000001</v>
      </c>
      <c r="D46" s="35">
        <f>C46*E13</f>
        <v>3254.9</v>
      </c>
      <c r="E46" s="120">
        <v>5</v>
      </c>
      <c r="F46" s="29">
        <v>1</v>
      </c>
      <c r="G46" s="154">
        <f t="shared" si="0"/>
        <v>3417.6450000000004</v>
      </c>
      <c r="H46" s="23">
        <f t="shared" si="2"/>
        <v>650.98</v>
      </c>
      <c r="I46" s="23">
        <f t="shared" si="3"/>
        <v>51699.269248000004</v>
      </c>
      <c r="J46" s="23">
        <f>'2020 gads'!I45</f>
        <v>49620.116480000012</v>
      </c>
      <c r="K46" s="140">
        <f t="shared" si="4"/>
        <v>2079.1527679999926</v>
      </c>
      <c r="L46" s="24">
        <f t="shared" si="5"/>
        <v>2079.1527679999926</v>
      </c>
      <c r="M46" s="25">
        <f t="shared" si="1"/>
        <v>271.0870139999999</v>
      </c>
      <c r="N46" s="81">
        <v>370807.72344000009</v>
      </c>
      <c r="O46" s="81">
        <f t="shared" si="6"/>
        <v>51970.356262000001</v>
      </c>
    </row>
    <row r="47" spans="1:15" ht="21" customHeight="1" thickBot="1" x14ac:dyDescent="0.3">
      <c r="A47" s="230"/>
      <c r="B47" s="220" t="s">
        <v>28</v>
      </c>
      <c r="C47" s="33">
        <v>1.2</v>
      </c>
      <c r="D47" s="35">
        <f>C47*E13</f>
        <v>3550.7999999999997</v>
      </c>
      <c r="E47" s="102">
        <v>10</v>
      </c>
      <c r="F47" s="37">
        <v>65</v>
      </c>
      <c r="G47" s="154">
        <f t="shared" si="0"/>
        <v>3905.88</v>
      </c>
      <c r="H47" s="23">
        <f t="shared" si="2"/>
        <v>710.16</v>
      </c>
      <c r="I47" s="23">
        <f t="shared" si="3"/>
        <v>3781390.3013040004</v>
      </c>
      <c r="J47" s="23">
        <f>'2020 gads'!I46</f>
        <v>3629316.8150399998</v>
      </c>
      <c r="K47" s="140">
        <f t="shared" si="4"/>
        <v>152073.48626400065</v>
      </c>
      <c r="L47" s="24">
        <f t="shared" si="5"/>
        <v>152073.48626400065</v>
      </c>
      <c r="M47" s="25">
        <f t="shared" si="1"/>
        <v>19222.533719999996</v>
      </c>
      <c r="N47" s="81">
        <v>2701599.1279199999</v>
      </c>
      <c r="O47" s="81">
        <f t="shared" si="6"/>
        <v>3800612.8350240006</v>
      </c>
    </row>
    <row r="48" spans="1:15" ht="21" customHeight="1" thickBot="1" x14ac:dyDescent="0.3">
      <c r="A48" s="230"/>
      <c r="B48" s="234"/>
      <c r="C48" s="33">
        <v>1.35</v>
      </c>
      <c r="D48" s="35">
        <f>C48*E13</f>
        <v>3994.65</v>
      </c>
      <c r="E48" s="102">
        <v>10</v>
      </c>
      <c r="F48" s="37">
        <v>4</v>
      </c>
      <c r="G48" s="154">
        <f t="shared" si="0"/>
        <v>4394.1150000000007</v>
      </c>
      <c r="H48" s="23">
        <f t="shared" si="2"/>
        <v>798.93000000000006</v>
      </c>
      <c r="I48" s="23">
        <f t="shared" si="3"/>
        <v>262718.942805</v>
      </c>
      <c r="J48" s="23">
        <f>'2020 gads'!I47</f>
        <v>252153.36179999998</v>
      </c>
      <c r="K48" s="140">
        <f t="shared" si="4"/>
        <v>10565.581005000015</v>
      </c>
      <c r="L48" s="24"/>
      <c r="M48" s="25">
        <f t="shared" si="1"/>
        <v>1330.7907959999998</v>
      </c>
      <c r="N48" s="81"/>
      <c r="O48" s="81"/>
    </row>
    <row r="49" spans="1:15" ht="21" customHeight="1" thickBot="1" x14ac:dyDescent="0.3">
      <c r="A49" s="230"/>
      <c r="B49" s="234"/>
      <c r="C49" s="33">
        <v>1.2</v>
      </c>
      <c r="D49" s="35">
        <f>C49*E13</f>
        <v>3550.7999999999997</v>
      </c>
      <c r="E49" s="102">
        <v>10</v>
      </c>
      <c r="F49" s="37">
        <v>25</v>
      </c>
      <c r="G49" s="154">
        <f t="shared" si="0"/>
        <v>3905.88</v>
      </c>
      <c r="H49" s="23">
        <f t="shared" si="2"/>
        <v>710.16</v>
      </c>
      <c r="I49" s="23">
        <f t="shared" si="3"/>
        <v>1454923.1851439998</v>
      </c>
      <c r="J49" s="23">
        <f>'2020 gads'!I48</f>
        <v>1396411.5734399999</v>
      </c>
      <c r="K49" s="140">
        <f t="shared" si="4"/>
        <v>58511.611703999806</v>
      </c>
      <c r="L49" s="24">
        <f t="shared" si="5"/>
        <v>58511.611703999806</v>
      </c>
      <c r="M49" s="25">
        <f t="shared" si="1"/>
        <v>7393.2821999999996</v>
      </c>
      <c r="N49" s="81">
        <v>2065928.7448799999</v>
      </c>
      <c r="O49" s="81">
        <f t="shared" si="6"/>
        <v>1462316.4673439998</v>
      </c>
    </row>
    <row r="50" spans="1:15" ht="21" customHeight="1" thickBot="1" x14ac:dyDescent="0.3">
      <c r="A50" s="230"/>
      <c r="B50" s="234"/>
      <c r="C50" s="33">
        <v>1.35</v>
      </c>
      <c r="D50" s="35">
        <f>C50*E13</f>
        <v>3994.65</v>
      </c>
      <c r="E50" s="102">
        <v>10</v>
      </c>
      <c r="F50" s="37">
        <v>1</v>
      </c>
      <c r="G50" s="154">
        <f t="shared" si="0"/>
        <v>4394.1150000000007</v>
      </c>
      <c r="H50" s="23">
        <f t="shared" si="2"/>
        <v>798.93000000000006</v>
      </c>
      <c r="I50" s="23">
        <f t="shared" si="3"/>
        <v>66423.279878999994</v>
      </c>
      <c r="J50" s="23">
        <f>'2020 gads'!I49</f>
        <v>63751.982040000003</v>
      </c>
      <c r="K50" s="140">
        <f t="shared" si="4"/>
        <v>2671.2978389999917</v>
      </c>
      <c r="L50" s="24"/>
      <c r="M50" s="25">
        <f t="shared" si="1"/>
        <v>332.69769899999994</v>
      </c>
      <c r="N50" s="81"/>
      <c r="O50" s="81"/>
    </row>
    <row r="51" spans="1:15" ht="36" customHeight="1" thickBot="1" x14ac:dyDescent="0.3">
      <c r="A51" s="230"/>
      <c r="B51" s="234"/>
      <c r="C51" s="33">
        <v>1.2</v>
      </c>
      <c r="D51" s="35">
        <f>C51*E13</f>
        <v>3550.7999999999997</v>
      </c>
      <c r="E51" s="102">
        <v>10</v>
      </c>
      <c r="F51" s="37">
        <v>18</v>
      </c>
      <c r="G51" s="154">
        <f t="shared" si="0"/>
        <v>3905.88</v>
      </c>
      <c r="H51" s="23">
        <f t="shared" si="2"/>
        <v>710.16</v>
      </c>
      <c r="I51" s="23">
        <f t="shared" si="3"/>
        <v>1047791.4398159999</v>
      </c>
      <c r="J51" s="23">
        <f>'2020 gads'!I50</f>
        <v>1005653.1561599999</v>
      </c>
      <c r="K51" s="140">
        <f t="shared" si="4"/>
        <v>42138.283656000043</v>
      </c>
      <c r="L51" s="24">
        <f t="shared" si="5"/>
        <v>42138.283656000043</v>
      </c>
      <c r="M51" s="25">
        <f t="shared" si="1"/>
        <v>5323.163184</v>
      </c>
      <c r="N51" s="81">
        <v>582697.85112000001</v>
      </c>
      <c r="O51" s="81">
        <f t="shared" si="6"/>
        <v>1053114.6029999999</v>
      </c>
    </row>
    <row r="52" spans="1:15" ht="21" customHeight="1" thickBot="1" x14ac:dyDescent="0.3">
      <c r="A52" s="230"/>
      <c r="B52" s="234"/>
      <c r="C52" s="33">
        <v>1.2</v>
      </c>
      <c r="D52" s="35">
        <f>C52*E13</f>
        <v>3550.7999999999997</v>
      </c>
      <c r="E52" s="120">
        <v>5</v>
      </c>
      <c r="F52" s="37">
        <v>9</v>
      </c>
      <c r="G52" s="154">
        <f t="shared" si="0"/>
        <v>3728.3399999999997</v>
      </c>
      <c r="H52" s="23">
        <f t="shared" si="2"/>
        <v>710.16</v>
      </c>
      <c r="I52" s="23">
        <f t="shared" si="3"/>
        <v>500542.92499199987</v>
      </c>
      <c r="J52" s="23">
        <f>'2020 gads'!I51</f>
        <v>480412.94591999997</v>
      </c>
      <c r="K52" s="140">
        <f t="shared" si="4"/>
        <v>20129.9790719999</v>
      </c>
      <c r="L52" s="24">
        <f t="shared" si="5"/>
        <v>20129.9790719999</v>
      </c>
      <c r="M52" s="25">
        <f t="shared" si="1"/>
        <v>2661.581592</v>
      </c>
      <c r="N52" s="81">
        <v>657340.96427999996</v>
      </c>
      <c r="O52" s="81">
        <f t="shared" si="6"/>
        <v>503204.50658399984</v>
      </c>
    </row>
    <row r="53" spans="1:15" ht="21" customHeight="1" thickBot="1" x14ac:dyDescent="0.3">
      <c r="A53" s="230"/>
      <c r="B53" s="234"/>
      <c r="C53" s="33">
        <v>1.2</v>
      </c>
      <c r="D53" s="35">
        <f>C53*E13</f>
        <v>3550.7999999999997</v>
      </c>
      <c r="E53" s="153">
        <v>0</v>
      </c>
      <c r="F53" s="29">
        <v>0</v>
      </c>
      <c r="G53" s="154">
        <f t="shared" si="0"/>
        <v>3550.7999999999997</v>
      </c>
      <c r="H53" s="23">
        <f t="shared" si="2"/>
        <v>710.16</v>
      </c>
      <c r="I53" s="23">
        <f t="shared" si="3"/>
        <v>881.23754399999984</v>
      </c>
      <c r="J53" s="23">
        <f>'2020 gads'!I52</f>
        <v>845.79743999999994</v>
      </c>
      <c r="K53" s="140">
        <f t="shared" si="4"/>
        <v>35.440103999999906</v>
      </c>
      <c r="L53" s="24">
        <f t="shared" si="5"/>
        <v>35.440103999999906</v>
      </c>
      <c r="M53" s="25">
        <f t="shared" si="1"/>
        <v>0</v>
      </c>
      <c r="N53" s="38">
        <v>144470.5416</v>
      </c>
      <c r="O53" s="81">
        <f t="shared" si="6"/>
        <v>881.23754399999984</v>
      </c>
    </row>
    <row r="54" spans="1:15" ht="29.25" customHeight="1" thickBot="1" x14ac:dyDescent="0.3">
      <c r="A54" s="230"/>
      <c r="B54" s="221"/>
      <c r="C54" s="33">
        <v>1.2</v>
      </c>
      <c r="D54" s="35">
        <f>C54*E13</f>
        <v>3550.7999999999997</v>
      </c>
      <c r="E54" s="28">
        <v>0</v>
      </c>
      <c r="F54" s="29">
        <v>0</v>
      </c>
      <c r="G54" s="154">
        <f t="shared" si="0"/>
        <v>3550.7999999999997</v>
      </c>
      <c r="H54" s="23">
        <f t="shared" si="2"/>
        <v>710.16</v>
      </c>
      <c r="I54" s="23">
        <f t="shared" si="3"/>
        <v>881.23754399999984</v>
      </c>
      <c r="J54" s="23">
        <f>'2020 gads'!I53</f>
        <v>845.79743999999994</v>
      </c>
      <c r="K54" s="140">
        <f t="shared" si="4"/>
        <v>35.440103999999906</v>
      </c>
      <c r="L54" s="24">
        <f t="shared" si="5"/>
        <v>35.440103999999906</v>
      </c>
      <c r="M54" s="25">
        <f t="shared" si="1"/>
        <v>0</v>
      </c>
      <c r="N54" s="81">
        <v>192627.38879999999</v>
      </c>
      <c r="O54" s="81">
        <f t="shared" si="6"/>
        <v>881.23754399999984</v>
      </c>
    </row>
    <row r="55" spans="1:15" ht="24" customHeight="1" thickBot="1" x14ac:dyDescent="0.3">
      <c r="A55" s="230"/>
      <c r="B55" s="215" t="s">
        <v>30</v>
      </c>
      <c r="C55" s="33">
        <v>1.28</v>
      </c>
      <c r="D55" s="35">
        <f>C55*E13</f>
        <v>3787.52</v>
      </c>
      <c r="E55" s="102">
        <v>10</v>
      </c>
      <c r="F55" s="29">
        <v>7</v>
      </c>
      <c r="G55" s="154">
        <f t="shared" si="0"/>
        <v>4166.2719999999999</v>
      </c>
      <c r="H55" s="23">
        <f t="shared" si="2"/>
        <v>757.50400000000002</v>
      </c>
      <c r="I55" s="23">
        <f t="shared" si="3"/>
        <v>435213.84839679999</v>
      </c>
      <c r="J55" s="23">
        <f>'2020 gads'!I54</f>
        <v>417711.16236799996</v>
      </c>
      <c r="K55" s="140">
        <f t="shared" si="4"/>
        <v>17502.686028800032</v>
      </c>
      <c r="L55" s="24">
        <f t="shared" si="5"/>
        <v>17502.686028800032</v>
      </c>
      <c r="M55" s="25">
        <f t="shared" si="1"/>
        <v>2208.1269503999997</v>
      </c>
      <c r="N55" s="81">
        <v>395528.23833600001</v>
      </c>
      <c r="O55" s="81">
        <f t="shared" si="6"/>
        <v>437421.9753472</v>
      </c>
    </row>
    <row r="56" spans="1:15" ht="40.5" customHeight="1" thickBot="1" x14ac:dyDescent="0.3">
      <c r="A56" s="230"/>
      <c r="B56" s="216"/>
      <c r="C56" s="33">
        <v>1.28</v>
      </c>
      <c r="D56" s="35">
        <f>C56*E13</f>
        <v>3787.52</v>
      </c>
      <c r="E56" s="102">
        <v>10</v>
      </c>
      <c r="F56" s="29">
        <v>5</v>
      </c>
      <c r="G56" s="154">
        <f t="shared" si="0"/>
        <v>4166.2719999999999</v>
      </c>
      <c r="H56" s="23">
        <f t="shared" si="2"/>
        <v>757.50400000000002</v>
      </c>
      <c r="I56" s="23">
        <f t="shared" si="3"/>
        <v>311135.60220159998</v>
      </c>
      <c r="J56" s="23">
        <f>'2020 gads'!I55</f>
        <v>298622.88281600003</v>
      </c>
      <c r="K56" s="140">
        <f t="shared" si="4"/>
        <v>12512.71938559995</v>
      </c>
      <c r="L56" s="24">
        <f t="shared" si="5"/>
        <v>12512.71938559995</v>
      </c>
      <c r="M56" s="25">
        <f t="shared" si="1"/>
        <v>1577.2335359999997</v>
      </c>
      <c r="N56" s="81">
        <v>226016.13619200001</v>
      </c>
      <c r="O56" s="81">
        <f t="shared" si="6"/>
        <v>312712.83573759999</v>
      </c>
    </row>
    <row r="57" spans="1:15" ht="31.5" customHeight="1" thickBot="1" x14ac:dyDescent="0.3">
      <c r="A57" s="230"/>
      <c r="B57" s="217"/>
      <c r="C57" s="33">
        <v>1.28</v>
      </c>
      <c r="D57" s="35">
        <f>C57*E13</f>
        <v>3787.52</v>
      </c>
      <c r="E57" s="102">
        <v>10</v>
      </c>
      <c r="F57" s="29">
        <v>1</v>
      </c>
      <c r="G57" s="154">
        <f t="shared" si="0"/>
        <v>4166.2719999999999</v>
      </c>
      <c r="H57" s="23">
        <f t="shared" si="2"/>
        <v>757.50400000000002</v>
      </c>
      <c r="I57" s="23">
        <f t="shared" si="3"/>
        <v>62979.109811199989</v>
      </c>
      <c r="J57" s="23">
        <f>'2020 gads'!I56</f>
        <v>60446.323712000005</v>
      </c>
      <c r="K57" s="140">
        <f t="shared" si="4"/>
        <v>2532.7860991999842</v>
      </c>
      <c r="L57" s="24">
        <f t="shared" si="5"/>
        <v>2532.7860991999842</v>
      </c>
      <c r="M57" s="25">
        <f t="shared" si="1"/>
        <v>315.44670719999999</v>
      </c>
      <c r="N57" s="25">
        <v>113008.068096</v>
      </c>
      <c r="O57" s="81">
        <f t="shared" si="6"/>
        <v>63294.556518399986</v>
      </c>
    </row>
    <row r="58" spans="1:15" ht="49.5" customHeight="1" thickBot="1" x14ac:dyDescent="0.3">
      <c r="A58" s="230"/>
      <c r="B58" s="220" t="s">
        <v>33</v>
      </c>
      <c r="C58" s="33">
        <v>1.35</v>
      </c>
      <c r="D58" s="35">
        <f>C58*E13</f>
        <v>3994.65</v>
      </c>
      <c r="E58" s="102">
        <v>10</v>
      </c>
      <c r="F58" s="29">
        <v>5</v>
      </c>
      <c r="G58" s="154">
        <f t="shared" si="0"/>
        <v>4394.1150000000007</v>
      </c>
      <c r="H58" s="23">
        <f t="shared" si="2"/>
        <v>798.93000000000006</v>
      </c>
      <c r="I58" s="23">
        <f t="shared" si="3"/>
        <v>328150.83044699999</v>
      </c>
      <c r="J58" s="23">
        <f>'2020 gads'!I57</f>
        <v>314953.82172000001</v>
      </c>
      <c r="K58" s="140">
        <f t="shared" si="4"/>
        <v>13197.008726999979</v>
      </c>
      <c r="L58" s="24">
        <f t="shared" si="5"/>
        <v>13197.008726999979</v>
      </c>
      <c r="M58" s="25">
        <f t="shared" si="1"/>
        <v>1663.4884949999996</v>
      </c>
      <c r="N58" s="25">
        <v>238376.39364000002</v>
      </c>
      <c r="O58" s="81">
        <f t="shared" si="6"/>
        <v>329814.31894199998</v>
      </c>
    </row>
    <row r="59" spans="1:15" ht="25.5" customHeight="1" thickBot="1" x14ac:dyDescent="0.3">
      <c r="A59" s="230"/>
      <c r="B59" s="221"/>
      <c r="C59" s="33">
        <v>1.35</v>
      </c>
      <c r="D59" s="35">
        <f>C59*E13</f>
        <v>3994.65</v>
      </c>
      <c r="E59" s="102">
        <v>10</v>
      </c>
      <c r="F59" s="29">
        <v>1</v>
      </c>
      <c r="G59" s="154">
        <f t="shared" si="0"/>
        <v>4394.1150000000007</v>
      </c>
      <c r="H59" s="23">
        <f t="shared" si="2"/>
        <v>798.93000000000006</v>
      </c>
      <c r="I59" s="23">
        <f t="shared" si="3"/>
        <v>66423.279878999994</v>
      </c>
      <c r="J59" s="23">
        <f>'2020 gads'!I58</f>
        <v>63751.982040000003</v>
      </c>
      <c r="K59" s="140">
        <f t="shared" si="4"/>
        <v>2671.2978389999917</v>
      </c>
      <c r="L59" s="24">
        <f t="shared" si="5"/>
        <v>2671.2978389999917</v>
      </c>
      <c r="M59" s="25">
        <f t="shared" si="1"/>
        <v>332.69769899999994</v>
      </c>
      <c r="N59" s="81">
        <v>119188.19682000001</v>
      </c>
      <c r="O59" s="81">
        <f t="shared" si="6"/>
        <v>66755.977577999991</v>
      </c>
    </row>
    <row r="60" spans="1:15" ht="25.5" customHeight="1" thickBot="1" x14ac:dyDescent="0.3">
      <c r="A60" s="157"/>
      <c r="B60" s="52" t="s">
        <v>37</v>
      </c>
      <c r="C60" s="53"/>
      <c r="D60" s="54"/>
      <c r="E60" s="55"/>
      <c r="F60" s="56">
        <f>SUM(F19:F59)</f>
        <v>546</v>
      </c>
      <c r="G60" s="154"/>
      <c r="H60" s="23"/>
      <c r="I60" s="57"/>
      <c r="J60" s="23">
        <f>'2020 gads'!I59</f>
        <v>0</v>
      </c>
      <c r="K60" s="170">
        <f>SUM(K19:K59)</f>
        <v>1113242.4795085988</v>
      </c>
      <c r="L60" s="24"/>
      <c r="M60" s="25"/>
      <c r="N60" s="162">
        <f>SUM(N19:N59)</f>
        <v>25098205.035518993</v>
      </c>
      <c r="O60" s="162">
        <f>SUM(O19:O59)</f>
        <v>27493855.960034203</v>
      </c>
    </row>
    <row r="61" spans="1:15" ht="33" customHeight="1" thickBot="1" x14ac:dyDescent="0.3">
      <c r="A61" s="210" t="s">
        <v>38</v>
      </c>
      <c r="B61" s="211" t="s">
        <v>39</v>
      </c>
      <c r="C61" s="60">
        <v>1.42</v>
      </c>
      <c r="D61" s="61">
        <f>C61*E13</f>
        <v>4201.78</v>
      </c>
      <c r="E61" s="129">
        <v>10</v>
      </c>
      <c r="F61" s="62">
        <v>31</v>
      </c>
      <c r="G61" s="154">
        <f t="shared" ref="G61:G71" si="7">D61*(1+E61/100)</f>
        <v>4621.9580000000005</v>
      </c>
      <c r="H61" s="23">
        <f t="shared" si="2"/>
        <v>840.35599999999999</v>
      </c>
      <c r="I61" s="23">
        <f t="shared" si="3"/>
        <v>2134607.0155388</v>
      </c>
      <c r="J61" s="23">
        <f>'2020 gads'!I60</f>
        <v>2048761.0422880002</v>
      </c>
      <c r="K61" s="140">
        <f t="shared" si="4"/>
        <v>85845.973250799812</v>
      </c>
      <c r="L61" s="24">
        <f t="shared" si="5"/>
        <v>85845.973250799812</v>
      </c>
      <c r="M61" s="25">
        <f t="shared" ref="M61:M67" si="8">((D61-1966*C61)*20%)*F61*1.2409</f>
        <v>10848.409414799999</v>
      </c>
      <c r="N61" s="81">
        <v>1943209.045932</v>
      </c>
      <c r="O61" s="81">
        <f t="shared" si="6"/>
        <v>2145455.4249535999</v>
      </c>
    </row>
    <row r="62" spans="1:15" ht="27" customHeight="1" thickBot="1" x14ac:dyDescent="0.3">
      <c r="A62" s="210"/>
      <c r="B62" s="212"/>
      <c r="C62" s="33">
        <v>1.42</v>
      </c>
      <c r="D62" s="35">
        <f>C62*E13</f>
        <v>4201.78</v>
      </c>
      <c r="E62" s="102">
        <v>10</v>
      </c>
      <c r="F62" s="64">
        <v>4</v>
      </c>
      <c r="G62" s="154">
        <f t="shared" si="7"/>
        <v>4621.9580000000005</v>
      </c>
      <c r="H62" s="23">
        <f t="shared" si="2"/>
        <v>840.35599999999999</v>
      </c>
      <c r="I62" s="23">
        <f t="shared" si="3"/>
        <v>276341.40650600003</v>
      </c>
      <c r="J62" s="23">
        <f>'2020 gads'!I61</f>
        <v>265227.98056</v>
      </c>
      <c r="K62" s="140">
        <f t="shared" si="4"/>
        <v>11113.425946000032</v>
      </c>
      <c r="L62" s="24">
        <f t="shared" si="5"/>
        <v>11113.425946000032</v>
      </c>
      <c r="M62" s="25">
        <f t="shared" si="8"/>
        <v>1399.7947631999998</v>
      </c>
      <c r="N62" s="81">
        <v>250736.65108799998</v>
      </c>
      <c r="O62" s="81">
        <f t="shared" si="6"/>
        <v>277741.20126920001</v>
      </c>
    </row>
    <row r="63" spans="1:15" ht="27" customHeight="1" thickBot="1" x14ac:dyDescent="0.3">
      <c r="A63" s="210"/>
      <c r="B63" s="212"/>
      <c r="C63" s="33">
        <v>1.42</v>
      </c>
      <c r="D63" s="35">
        <f>C63*E13</f>
        <v>4201.78</v>
      </c>
      <c r="E63" s="102">
        <v>10</v>
      </c>
      <c r="F63" s="64">
        <v>3</v>
      </c>
      <c r="G63" s="154">
        <f t="shared" si="7"/>
        <v>4621.9580000000005</v>
      </c>
      <c r="H63" s="23">
        <f t="shared" si="2"/>
        <v>840.35599999999999</v>
      </c>
      <c r="I63" s="23">
        <f>((G63*F63)*12+H63)*1.2409</f>
        <v>207516.7543196</v>
      </c>
      <c r="J63" s="23">
        <f>'2020 gads'!I62</f>
        <v>199171.20049599998</v>
      </c>
      <c r="K63" s="140">
        <f t="shared" si="4"/>
        <v>8345.5538236000284</v>
      </c>
      <c r="L63" s="24">
        <f t="shared" si="5"/>
        <v>8345.5538236000284</v>
      </c>
      <c r="M63" s="25">
        <f t="shared" si="8"/>
        <v>1049.8460723999999</v>
      </c>
      <c r="N63" s="81">
        <v>188052.48831599997</v>
      </c>
      <c r="O63" s="81">
        <f t="shared" si="6"/>
        <v>208566.60039199999</v>
      </c>
    </row>
    <row r="64" spans="1:15" ht="27" customHeight="1" thickBot="1" x14ac:dyDescent="0.3">
      <c r="A64" s="210"/>
      <c r="B64" s="213"/>
      <c r="C64" s="33">
        <v>1.42</v>
      </c>
      <c r="D64" s="35">
        <f>C64*E13</f>
        <v>4201.78</v>
      </c>
      <c r="E64" s="28">
        <v>0</v>
      </c>
      <c r="F64" s="64">
        <v>2</v>
      </c>
      <c r="G64" s="154">
        <f t="shared" si="7"/>
        <v>4201.78</v>
      </c>
      <c r="H64" s="23">
        <f t="shared" si="2"/>
        <v>840.35599999999999</v>
      </c>
      <c r="I64" s="23">
        <f t="shared" si="3"/>
        <v>126178.52900839999</v>
      </c>
      <c r="J64" s="23">
        <f>'2020 gads'!I63</f>
        <v>121104.09678399998</v>
      </c>
      <c r="K64" s="140">
        <f t="shared" si="4"/>
        <v>5074.4322244000068</v>
      </c>
      <c r="L64" s="24">
        <f t="shared" si="5"/>
        <v>5074.4322244000068</v>
      </c>
      <c r="M64" s="25">
        <f t="shared" si="8"/>
        <v>699.8973815999999</v>
      </c>
      <c r="N64" s="81">
        <v>113971.20503999999</v>
      </c>
      <c r="O64" s="81">
        <f t="shared" si="6"/>
        <v>126878.42638999999</v>
      </c>
    </row>
    <row r="65" spans="1:18" ht="41.25" customHeight="1" thickBot="1" x14ac:dyDescent="0.3">
      <c r="A65" s="210"/>
      <c r="B65" s="214" t="s">
        <v>41</v>
      </c>
      <c r="C65" s="33">
        <v>1.55</v>
      </c>
      <c r="D65" s="35">
        <f>C65*E13</f>
        <v>4586.45</v>
      </c>
      <c r="E65" s="102">
        <v>10</v>
      </c>
      <c r="F65" s="64">
        <v>3</v>
      </c>
      <c r="G65" s="154">
        <f t="shared" si="7"/>
        <v>5045.0950000000003</v>
      </c>
      <c r="H65" s="23">
        <f t="shared" si="2"/>
        <v>917.29</v>
      </c>
      <c r="I65" s="23">
        <f t="shared" si="3"/>
        <v>226514.76703899997</v>
      </c>
      <c r="J65" s="23">
        <f>'2020 gads'!I64</f>
        <v>217405.18363999997</v>
      </c>
      <c r="K65" s="140">
        <f t="shared" si="4"/>
        <v>9109.5833989999956</v>
      </c>
      <c r="L65" s="24">
        <f t="shared" si="5"/>
        <v>9109.5833989999956</v>
      </c>
      <c r="M65" s="25">
        <f t="shared" si="8"/>
        <v>1145.9587409999997</v>
      </c>
      <c r="N65" s="81">
        <v>205268.56119000001</v>
      </c>
      <c r="O65" s="81">
        <f t="shared" si="6"/>
        <v>227660.72577999998</v>
      </c>
    </row>
    <row r="66" spans="1:18" ht="22.5" customHeight="1" thickBot="1" x14ac:dyDescent="0.3">
      <c r="A66" s="210"/>
      <c r="B66" s="212"/>
      <c r="C66" s="33">
        <v>1.55</v>
      </c>
      <c r="D66" s="35">
        <f>C66*E13</f>
        <v>4586.45</v>
      </c>
      <c r="E66" s="102">
        <v>10</v>
      </c>
      <c r="F66" s="64">
        <v>1</v>
      </c>
      <c r="G66" s="154">
        <f t="shared" si="7"/>
        <v>5045.0950000000003</v>
      </c>
      <c r="H66" s="23">
        <f t="shared" si="2"/>
        <v>917.29</v>
      </c>
      <c r="I66" s="23">
        <f t="shared" si="3"/>
        <v>76263.765786999997</v>
      </c>
      <c r="J66" s="23">
        <f>'2020 gads'!I65</f>
        <v>73196.720120000013</v>
      </c>
      <c r="K66" s="140">
        <f t="shared" si="4"/>
        <v>3067.045666999984</v>
      </c>
      <c r="L66" s="24">
        <f t="shared" si="5"/>
        <v>3067.045666999984</v>
      </c>
      <c r="M66" s="25">
        <f t="shared" si="8"/>
        <v>381.98624699999988</v>
      </c>
      <c r="N66" s="81">
        <v>68422.853730000003</v>
      </c>
      <c r="O66" s="81">
        <f t="shared" si="6"/>
        <v>76645.75203399999</v>
      </c>
    </row>
    <row r="67" spans="1:18" ht="24" customHeight="1" thickBot="1" x14ac:dyDescent="0.3">
      <c r="A67" s="210"/>
      <c r="B67" s="66" t="s">
        <v>42</v>
      </c>
      <c r="C67" s="160">
        <v>1.77</v>
      </c>
      <c r="D67" s="44">
        <f>C67*E13</f>
        <v>5237.43</v>
      </c>
      <c r="E67" s="130">
        <v>10</v>
      </c>
      <c r="F67" s="67">
        <v>1</v>
      </c>
      <c r="G67" s="154">
        <f t="shared" si="7"/>
        <v>5761.1730000000007</v>
      </c>
      <c r="H67" s="23">
        <f t="shared" si="2"/>
        <v>1047.4860000000001</v>
      </c>
      <c r="I67" s="23">
        <f t="shared" si="3"/>
        <v>87088.300285799996</v>
      </c>
      <c r="J67" s="23">
        <f>'2020 gads'!I66</f>
        <v>83585.932008000003</v>
      </c>
      <c r="K67" s="140">
        <f t="shared" si="4"/>
        <v>3502.3682777999929</v>
      </c>
      <c r="L67" s="24">
        <f t="shared" si="5"/>
        <v>3502.3682777999929</v>
      </c>
      <c r="M67" s="25">
        <f t="shared" si="8"/>
        <v>436.20364979999999</v>
      </c>
      <c r="N67" s="81">
        <v>78134.48458199999</v>
      </c>
      <c r="O67" s="81">
        <f t="shared" si="6"/>
        <v>87524.503935599991</v>
      </c>
    </row>
    <row r="68" spans="1:18" ht="24" customHeight="1" thickBot="1" x14ac:dyDescent="0.3">
      <c r="A68" s="156"/>
      <c r="B68" s="72" t="s">
        <v>44</v>
      </c>
      <c r="C68" s="53"/>
      <c r="D68" s="54"/>
      <c r="E68" s="55"/>
      <c r="F68" s="56">
        <f>SUM(F61:F67)</f>
        <v>45</v>
      </c>
      <c r="G68" s="154">
        <f t="shared" si="7"/>
        <v>0</v>
      </c>
      <c r="H68" s="23"/>
      <c r="I68" s="57"/>
      <c r="J68" s="23">
        <f>'2020 gads'!I67</f>
        <v>0</v>
      </c>
      <c r="K68" s="170">
        <f>SUM(K61:K67)</f>
        <v>126058.38258859985</v>
      </c>
      <c r="L68" s="24"/>
      <c r="M68" s="25"/>
      <c r="N68" s="162">
        <f>SUM(N61:N67)</f>
        <v>2847795.2898779996</v>
      </c>
      <c r="O68" s="162">
        <f>SUM(O61:O67)</f>
        <v>3150472.6347544002</v>
      </c>
    </row>
    <row r="69" spans="1:18" ht="24.75" customHeight="1" thickBot="1" x14ac:dyDescent="0.3">
      <c r="A69" s="208" t="s">
        <v>45</v>
      </c>
      <c r="B69" s="73" t="s">
        <v>46</v>
      </c>
      <c r="C69" s="158">
        <v>1.8</v>
      </c>
      <c r="D69" s="61">
        <f>C69*E13</f>
        <v>5326.2</v>
      </c>
      <c r="E69" s="21">
        <v>0</v>
      </c>
      <c r="F69" s="62">
        <v>5</v>
      </c>
      <c r="G69" s="154">
        <f t="shared" si="7"/>
        <v>5326.2</v>
      </c>
      <c r="H69" s="23">
        <f t="shared" si="2"/>
        <v>1065.24</v>
      </c>
      <c r="I69" s="23">
        <f>((G69*F69)*12+H69*5)*1.2409</f>
        <v>403166.17637999996</v>
      </c>
      <c r="J69" s="23">
        <f>'2020 gads'!I68</f>
        <v>386952.32879999996</v>
      </c>
      <c r="K69" s="140">
        <f t="shared" si="4"/>
        <v>16213.847580000001</v>
      </c>
      <c r="L69" s="24">
        <f t="shared" si="5"/>
        <v>16213.847580000001</v>
      </c>
      <c r="M69" s="25">
        <f>((D69-1966*C69)*20%)*F69*1.2409</f>
        <v>2217.9846599999996</v>
      </c>
      <c r="N69" s="81">
        <v>361176</v>
      </c>
      <c r="O69" s="81">
        <f>J69+L69+M69</f>
        <v>405384.16103999998</v>
      </c>
    </row>
    <row r="70" spans="1:18" ht="37.5" customHeight="1" thickBot="1" x14ac:dyDescent="0.3">
      <c r="A70" s="208"/>
      <c r="B70" s="75" t="s">
        <v>47</v>
      </c>
      <c r="C70" s="159">
        <v>1.98</v>
      </c>
      <c r="D70" s="35">
        <f>C70*E13</f>
        <v>5858.82</v>
      </c>
      <c r="E70" s="28">
        <v>0</v>
      </c>
      <c r="F70" s="64">
        <v>1</v>
      </c>
      <c r="G70" s="154">
        <f t="shared" si="7"/>
        <v>5858.82</v>
      </c>
      <c r="H70" s="23">
        <f t="shared" si="2"/>
        <v>1171.7639999999999</v>
      </c>
      <c r="I70" s="23">
        <f t="shared" si="3"/>
        <v>88696.558803599983</v>
      </c>
      <c r="J70" s="23">
        <f>'2020 gads'!I69</f>
        <v>85129.512335999985</v>
      </c>
      <c r="K70" s="140">
        <f t="shared" si="4"/>
        <v>3567.0464675999974</v>
      </c>
      <c r="L70" s="24">
        <f t="shared" si="5"/>
        <v>3567.0464675999974</v>
      </c>
      <c r="M70" s="25">
        <f>((D70-1966*C70)*20%)*F70*1.2409</f>
        <v>487.95662519999996</v>
      </c>
      <c r="N70" s="81">
        <v>79459</v>
      </c>
      <c r="O70" s="81">
        <f t="shared" si="6"/>
        <v>89184.515428799976</v>
      </c>
    </row>
    <row r="71" spans="1:18" ht="27" customHeight="1" thickBot="1" x14ac:dyDescent="0.3">
      <c r="A71" s="208"/>
      <c r="B71" s="76" t="s">
        <v>48</v>
      </c>
      <c r="C71" s="160">
        <v>2.25</v>
      </c>
      <c r="D71" s="44">
        <f>C71*E13</f>
        <v>6657.75</v>
      </c>
      <c r="E71" s="45">
        <v>0</v>
      </c>
      <c r="F71" s="67">
        <v>1</v>
      </c>
      <c r="G71" s="154">
        <f t="shared" si="7"/>
        <v>6657.75</v>
      </c>
      <c r="H71" s="23">
        <f t="shared" si="2"/>
        <v>1331.5500000000002</v>
      </c>
      <c r="I71" s="23">
        <f t="shared" si="3"/>
        <v>100791.54409499999</v>
      </c>
      <c r="J71" s="23">
        <f>'2020 gads'!I70</f>
        <v>96738.08219999999</v>
      </c>
      <c r="K71" s="140">
        <f t="shared" si="4"/>
        <v>4053.4618950000004</v>
      </c>
      <c r="L71" s="24">
        <f t="shared" si="5"/>
        <v>4053.4618950000004</v>
      </c>
      <c r="M71" s="25">
        <f>((D71-1966*C71)*20%)*F71*1.2409</f>
        <v>554.49616500000002</v>
      </c>
      <c r="N71" s="81">
        <v>90294</v>
      </c>
      <c r="O71" s="81">
        <f t="shared" si="6"/>
        <v>101346.04025999999</v>
      </c>
    </row>
    <row r="72" spans="1:18" ht="27" customHeight="1" thickBot="1" x14ac:dyDescent="0.3">
      <c r="A72" s="77"/>
      <c r="B72" s="72" t="s">
        <v>49</v>
      </c>
      <c r="C72" s="78"/>
      <c r="D72" s="79"/>
      <c r="E72" s="55"/>
      <c r="F72">
        <f>SUM(F69:F71)</f>
        <v>7</v>
      </c>
      <c r="G72" s="154"/>
      <c r="H72" s="80"/>
      <c r="I72" s="81"/>
      <c r="J72" s="23">
        <f>'2020 gads'!I71</f>
        <v>0</v>
      </c>
      <c r="K72" s="169">
        <f>SUM(K69:K71)</f>
        <v>23834.355942599999</v>
      </c>
      <c r="L72" s="82"/>
      <c r="M72" s="83"/>
      <c r="N72" s="163">
        <f>SUM(N69:N71)</f>
        <v>530929</v>
      </c>
      <c r="O72" s="163">
        <f>SUM(O69:O71)</f>
        <v>595914.71672879998</v>
      </c>
    </row>
    <row r="73" spans="1:18" ht="27" customHeight="1" thickBot="1" x14ac:dyDescent="0.3">
      <c r="A73" s="77"/>
      <c r="B73" s="85"/>
      <c r="C73" s="86"/>
      <c r="D73" s="87"/>
      <c r="E73" s="88"/>
      <c r="F73" s="88"/>
      <c r="G73" s="154"/>
      <c r="H73" s="89"/>
      <c r="I73" s="89"/>
      <c r="J73" s="23">
        <f>'2020 gads'!I72</f>
        <v>0</v>
      </c>
      <c r="K73" s="142"/>
      <c r="L73" s="89"/>
      <c r="M73" s="89"/>
      <c r="N73" s="89"/>
      <c r="O73" s="89"/>
    </row>
    <row r="74" spans="1:18" ht="15.75" thickBot="1" x14ac:dyDescent="0.3">
      <c r="B74" s="93" t="s">
        <v>50</v>
      </c>
      <c r="C74" s="94"/>
      <c r="D74" s="94"/>
      <c r="E74" s="95"/>
      <c r="F74" s="95">
        <f>SUM(F19:F71)-F60-F68</f>
        <v>598</v>
      </c>
      <c r="G74" s="154"/>
      <c r="H74" s="96"/>
      <c r="I74" s="94"/>
      <c r="J74" s="23">
        <f>'2020 gads'!I73</f>
        <v>0</v>
      </c>
      <c r="K74" s="143"/>
      <c r="L74" s="97"/>
      <c r="M74" s="96">
        <f>((D74-1647*C74)*20%)*F74*1.2409</f>
        <v>0</v>
      </c>
      <c r="N74" s="81"/>
      <c r="O74" s="81"/>
    </row>
    <row r="75" spans="1:18" ht="15.75" thickBot="1" x14ac:dyDescent="0.3">
      <c r="B75" s="194"/>
      <c r="C75" s="94"/>
      <c r="D75" s="94"/>
      <c r="E75" s="95"/>
      <c r="F75" s="95"/>
      <c r="G75" s="154"/>
      <c r="H75" s="96"/>
      <c r="I75" s="94"/>
      <c r="J75" s="23"/>
      <c r="K75" s="143"/>
      <c r="L75" s="97"/>
      <c r="M75" s="96"/>
      <c r="N75" s="81"/>
      <c r="O75" s="81"/>
    </row>
    <row r="76" spans="1:18" ht="19.5" thickBot="1" x14ac:dyDescent="0.35">
      <c r="B76" s="194" t="s">
        <v>183</v>
      </c>
      <c r="C76" s="94" t="s">
        <v>185</v>
      </c>
      <c r="D76" s="95"/>
      <c r="E76" s="196">
        <v>2898</v>
      </c>
      <c r="F76" s="95">
        <f>'2020 gads'!E76</f>
        <v>2782</v>
      </c>
      <c r="G76" s="154"/>
      <c r="H76" s="1" t="s">
        <v>5</v>
      </c>
      <c r="I76">
        <f>E76-F76</f>
        <v>116</v>
      </c>
      <c r="J76" s="4">
        <f>E76/F76-1</f>
        <v>4.1696621135873579E-2</v>
      </c>
      <c r="L76" s="143"/>
      <c r="M76" s="97"/>
      <c r="N76" s="97"/>
      <c r="O76" s="25"/>
      <c r="P76" s="81"/>
      <c r="R76">
        <f>Q12*2.85</f>
        <v>2898.4390788000001</v>
      </c>
    </row>
    <row r="77" spans="1:18" ht="35.25" customHeight="1" thickBot="1" x14ac:dyDescent="0.3">
      <c r="B77" s="100" t="s">
        <v>10</v>
      </c>
      <c r="C77" s="218" t="s">
        <v>11</v>
      </c>
      <c r="D77" s="219"/>
      <c r="E77" s="28"/>
      <c r="F77" s="28"/>
      <c r="G77" s="154"/>
      <c r="H77" s="23"/>
      <c r="I77" s="94"/>
      <c r="J77" s="23">
        <f>'2020 gads'!I77</f>
        <v>0</v>
      </c>
      <c r="K77" s="140"/>
      <c r="L77" s="24"/>
      <c r="M77" s="25"/>
      <c r="N77" s="81"/>
      <c r="O77" s="81"/>
    </row>
    <row r="78" spans="1:18" ht="15.75" thickBot="1" x14ac:dyDescent="0.3">
      <c r="A78" s="205" t="s">
        <v>52</v>
      </c>
      <c r="B78" s="202" t="s">
        <v>53</v>
      </c>
      <c r="C78" s="33">
        <f>'2020 gads'!C78</f>
        <v>1</v>
      </c>
      <c r="D78" s="101">
        <f>C78*E76</f>
        <v>2898</v>
      </c>
      <c r="E78" s="102">
        <v>10</v>
      </c>
      <c r="F78" s="102">
        <v>109</v>
      </c>
      <c r="G78" s="154">
        <f>D78*(1+E78/100)</f>
        <v>3187.8</v>
      </c>
      <c r="H78" s="23">
        <f t="shared" ref="H78:H99" si="9">D78*20%</f>
        <v>579.6</v>
      </c>
      <c r="I78" s="23">
        <f t="shared" ref="I78:I99" si="10">((G78*F78)*12+H78)*1.2409</f>
        <v>5174828.4797999999</v>
      </c>
      <c r="J78" s="23">
        <f>'2020 gads'!I78</f>
        <v>4967692.4882000005</v>
      </c>
      <c r="K78" s="140">
        <f t="shared" ref="K78:K99" si="11">I78-J78</f>
        <v>207135.99159999937</v>
      </c>
      <c r="L78" s="24">
        <f t="shared" si="5"/>
        <v>207135.99159999937</v>
      </c>
      <c r="M78" s="25">
        <f t="shared" ref="M78:M99" si="12">((D78-1966*C78)*20%)*F78*1.2409</f>
        <v>25212.109840000001</v>
      </c>
      <c r="N78" s="81">
        <v>4715438.2164120004</v>
      </c>
      <c r="O78" s="81">
        <f t="shared" ref="O78:O99" si="13">J78+L78+M78</f>
        <v>5200040.5896399999</v>
      </c>
    </row>
    <row r="79" spans="1:18" ht="15.75" thickBot="1" x14ac:dyDescent="0.3">
      <c r="A79" s="205"/>
      <c r="B79" s="206"/>
      <c r="C79" s="33">
        <f>'2020 gads'!C79</f>
        <v>1</v>
      </c>
      <c r="D79" s="101">
        <f>C79*E76</f>
        <v>2898</v>
      </c>
      <c r="E79" s="120">
        <v>5</v>
      </c>
      <c r="F79" s="102">
        <v>26</v>
      </c>
      <c r="G79" s="154">
        <f t="shared" ref="G79:G99" si="14">D79*(1+E79/100)</f>
        <v>3042.9</v>
      </c>
      <c r="H79" s="23">
        <f t="shared" si="9"/>
        <v>579.6</v>
      </c>
      <c r="I79" s="23">
        <f t="shared" si="10"/>
        <v>1178810.82396</v>
      </c>
      <c r="J79" s="23">
        <f>'2020 gads'!I79</f>
        <v>1131625.8496399999</v>
      </c>
      <c r="K79" s="140">
        <f t="shared" si="11"/>
        <v>47184.974320000038</v>
      </c>
      <c r="L79" s="24">
        <f t="shared" si="5"/>
        <v>47184.974320000038</v>
      </c>
      <c r="M79" s="25">
        <f t="shared" si="12"/>
        <v>6013.8977599999998</v>
      </c>
      <c r="N79" s="81">
        <v>1073656.908324</v>
      </c>
      <c r="O79" s="81">
        <f t="shared" si="13"/>
        <v>1184824.72172</v>
      </c>
    </row>
    <row r="80" spans="1:18" ht="15.75" thickBot="1" x14ac:dyDescent="0.3">
      <c r="A80" s="205"/>
      <c r="B80" s="203"/>
      <c r="C80" s="33">
        <f>'2020 gads'!C80</f>
        <v>1</v>
      </c>
      <c r="D80" s="101">
        <f>C80*E76</f>
        <v>2898</v>
      </c>
      <c r="E80" s="153">
        <v>0</v>
      </c>
      <c r="F80" s="102">
        <v>138</v>
      </c>
      <c r="G80" s="154">
        <f t="shared" si="14"/>
        <v>2898</v>
      </c>
      <c r="H80" s="23">
        <f t="shared" si="9"/>
        <v>579.6</v>
      </c>
      <c r="I80" s="23">
        <f t="shared" si="10"/>
        <v>5955907.5248399992</v>
      </c>
      <c r="J80" s="23">
        <f>'2020 gads'!I80</f>
        <v>5717506.80956</v>
      </c>
      <c r="K80" s="140">
        <f t="shared" si="11"/>
        <v>238400.71527999919</v>
      </c>
      <c r="L80" s="24">
        <f t="shared" si="5"/>
        <v>238400.71527999919</v>
      </c>
      <c r="M80" s="25">
        <f t="shared" si="12"/>
        <v>31919.918879999997</v>
      </c>
      <c r="N80" s="81">
        <v>5427276.6794399992</v>
      </c>
      <c r="O80" s="81">
        <f t="shared" si="13"/>
        <v>5987827.4437199989</v>
      </c>
    </row>
    <row r="81" spans="1:15" ht="15.75" thickBot="1" x14ac:dyDescent="0.3">
      <c r="A81" s="205"/>
      <c r="B81" s="202" t="s">
        <v>54</v>
      </c>
      <c r="C81" s="33">
        <f>'2020 gads'!C81</f>
        <v>1.07</v>
      </c>
      <c r="D81" s="101">
        <f>C81*E76</f>
        <v>3100.86</v>
      </c>
      <c r="E81" s="102">
        <v>10</v>
      </c>
      <c r="F81" s="102">
        <v>5</v>
      </c>
      <c r="G81" s="154">
        <f t="shared" si="14"/>
        <v>3410.9460000000004</v>
      </c>
      <c r="H81" s="23">
        <f t="shared" si="9"/>
        <v>620.17200000000003</v>
      </c>
      <c r="I81" s="23">
        <f t="shared" si="10"/>
        <v>254728.14491880001</v>
      </c>
      <c r="J81" s="23">
        <f>'2020 gads'!I81</f>
        <v>244531.98728920001</v>
      </c>
      <c r="K81" s="140">
        <f t="shared" si="11"/>
        <v>10196.157629599998</v>
      </c>
      <c r="L81" s="24">
        <f t="shared" si="5"/>
        <v>10196.157629599998</v>
      </c>
      <c r="M81" s="25">
        <f t="shared" si="12"/>
        <v>1237.4751159999998</v>
      </c>
      <c r="N81" s="81">
        <v>231754.82715</v>
      </c>
      <c r="O81" s="81">
        <f t="shared" si="13"/>
        <v>255965.6200348</v>
      </c>
    </row>
    <row r="82" spans="1:15" ht="15.75" thickBot="1" x14ac:dyDescent="0.3">
      <c r="A82" s="205"/>
      <c r="B82" s="203"/>
      <c r="C82" s="33">
        <f>'2020 gads'!C82</f>
        <v>1.07</v>
      </c>
      <c r="D82" s="101">
        <f>C82*E76</f>
        <v>3100.86</v>
      </c>
      <c r="E82" s="120">
        <v>5</v>
      </c>
      <c r="F82" s="102">
        <v>1</v>
      </c>
      <c r="G82" s="154">
        <f t="shared" si="14"/>
        <v>3255.9030000000002</v>
      </c>
      <c r="H82" s="23">
        <f t="shared" si="9"/>
        <v>620.17200000000003</v>
      </c>
      <c r="I82" s="23">
        <f t="shared" si="10"/>
        <v>49252.571827200001</v>
      </c>
      <c r="J82" s="23">
        <f>'2020 gads'!I82</f>
        <v>47281.109324799989</v>
      </c>
      <c r="K82" s="140">
        <f t="shared" si="11"/>
        <v>1971.4625024000125</v>
      </c>
      <c r="L82" s="24">
        <f t="shared" si="5"/>
        <v>1971.4625024000125</v>
      </c>
      <c r="M82" s="25">
        <f t="shared" si="12"/>
        <v>247.49502319999996</v>
      </c>
      <c r="N82" s="81">
        <v>44244.103364999995</v>
      </c>
      <c r="O82" s="81">
        <f t="shared" si="13"/>
        <v>49500.066850399999</v>
      </c>
    </row>
    <row r="83" spans="1:15" ht="18.75" customHeight="1" thickBot="1" x14ac:dyDescent="0.3">
      <c r="A83" s="205"/>
      <c r="B83" s="202" t="s">
        <v>55</v>
      </c>
      <c r="C83" s="33">
        <f>'2020 gads'!C83</f>
        <v>1.1599999999999999</v>
      </c>
      <c r="D83" s="101">
        <f>C83*E76</f>
        <v>3361.68</v>
      </c>
      <c r="E83" s="102">
        <v>10</v>
      </c>
      <c r="F83" s="102">
        <v>34</v>
      </c>
      <c r="G83" s="154">
        <f t="shared" si="14"/>
        <v>3697.848</v>
      </c>
      <c r="H83" s="23">
        <f t="shared" si="9"/>
        <v>672.33600000000001</v>
      </c>
      <c r="I83" s="23">
        <f t="shared" si="10"/>
        <v>1873007.4116879997</v>
      </c>
      <c r="J83" s="23">
        <f>'2020 gads'!I83</f>
        <v>1798035.4103920003</v>
      </c>
      <c r="K83" s="140">
        <f t="shared" si="11"/>
        <v>74972.001295999391</v>
      </c>
      <c r="L83" s="24">
        <f t="shared" si="5"/>
        <v>74972.001295999391</v>
      </c>
      <c r="M83" s="25">
        <f t="shared" si="12"/>
        <v>9122.6202943999997</v>
      </c>
      <c r="N83" s="81">
        <v>1711012.7810159996</v>
      </c>
      <c r="O83" s="81">
        <f t="shared" si="13"/>
        <v>1882130.0319823998</v>
      </c>
    </row>
    <row r="84" spans="1:15" ht="15.75" thickBot="1" x14ac:dyDescent="0.3">
      <c r="A84" s="205"/>
      <c r="B84" s="203"/>
      <c r="C84" s="33">
        <f>'2020 gads'!C84</f>
        <v>1.1599999999999999</v>
      </c>
      <c r="D84" s="101">
        <f>C84*E76</f>
        <v>3361.68</v>
      </c>
      <c r="E84" s="120">
        <v>5</v>
      </c>
      <c r="F84" s="102">
        <v>3</v>
      </c>
      <c r="G84" s="154">
        <f t="shared" si="14"/>
        <v>3529.7640000000001</v>
      </c>
      <c r="H84" s="23">
        <f t="shared" si="9"/>
        <v>672.33600000000001</v>
      </c>
      <c r="I84" s="23">
        <f t="shared" si="10"/>
        <v>158517.331056</v>
      </c>
      <c r="J84" s="23">
        <f>'2020 gads'!I84</f>
        <v>152172.26190399998</v>
      </c>
      <c r="K84" s="140">
        <f t="shared" si="11"/>
        <v>6345.0691520000109</v>
      </c>
      <c r="L84" s="24">
        <f t="shared" si="5"/>
        <v>6345.0691520000109</v>
      </c>
      <c r="M84" s="25">
        <f t="shared" si="12"/>
        <v>804.93708479999998</v>
      </c>
      <c r="N84" s="81">
        <v>144109.36524599997</v>
      </c>
      <c r="O84" s="81">
        <f t="shared" si="13"/>
        <v>159322.26814080001</v>
      </c>
    </row>
    <row r="85" spans="1:15" ht="15.75" thickBot="1" x14ac:dyDescent="0.3">
      <c r="A85" s="205"/>
      <c r="B85" s="202" t="s">
        <v>56</v>
      </c>
      <c r="C85" s="33">
        <f>'2020 gads'!C85</f>
        <v>1.1000000000000001</v>
      </c>
      <c r="D85" s="101">
        <f>C85*E76</f>
        <v>3187.8</v>
      </c>
      <c r="E85" s="102">
        <v>10</v>
      </c>
      <c r="F85" s="102">
        <v>52</v>
      </c>
      <c r="G85" s="154">
        <f t="shared" si="14"/>
        <v>3506.5800000000004</v>
      </c>
      <c r="H85" s="23">
        <f t="shared" si="9"/>
        <v>637.56000000000006</v>
      </c>
      <c r="I85" s="23">
        <f t="shared" si="10"/>
        <v>2716011.7843320002</v>
      </c>
      <c r="J85" s="23">
        <f>'2020 gads'!I85</f>
        <v>2607296.3367880001</v>
      </c>
      <c r="K85" s="140">
        <f t="shared" si="11"/>
        <v>108715.44754400011</v>
      </c>
      <c r="L85" s="24">
        <f t="shared" si="5"/>
        <v>108715.44754400011</v>
      </c>
      <c r="M85" s="25">
        <f t="shared" si="12"/>
        <v>13230.575071999996</v>
      </c>
      <c r="N85" s="81">
        <v>2479114.4938560002</v>
      </c>
      <c r="O85" s="81">
        <f t="shared" si="13"/>
        <v>2729242.359404</v>
      </c>
    </row>
    <row r="86" spans="1:15" ht="15.75" thickBot="1" x14ac:dyDescent="0.3">
      <c r="A86" s="205"/>
      <c r="B86" s="206"/>
      <c r="C86" s="33">
        <f>'2020 gads'!C86</f>
        <v>1.1000000000000001</v>
      </c>
      <c r="D86" s="101">
        <f>C86*E76</f>
        <v>3187.8</v>
      </c>
      <c r="E86" s="120">
        <v>5</v>
      </c>
      <c r="F86" s="102">
        <v>10</v>
      </c>
      <c r="G86" s="154">
        <f t="shared" si="14"/>
        <v>3347.1900000000005</v>
      </c>
      <c r="H86" s="23">
        <f t="shared" si="9"/>
        <v>637.56000000000006</v>
      </c>
      <c r="I86" s="23">
        <f t="shared" si="10"/>
        <v>499214.5167240001</v>
      </c>
      <c r="J86" s="23">
        <f>'2020 gads'!I86</f>
        <v>479232.15511600004</v>
      </c>
      <c r="K86" s="140">
        <f t="shared" si="11"/>
        <v>19982.361608000065</v>
      </c>
      <c r="L86" s="24">
        <f t="shared" si="5"/>
        <v>19982.361608000065</v>
      </c>
      <c r="M86" s="25">
        <f t="shared" si="12"/>
        <v>2544.3413599999994</v>
      </c>
      <c r="N86" s="81">
        <v>455082.20604000008</v>
      </c>
      <c r="O86" s="81">
        <f t="shared" si="13"/>
        <v>501758.85808400012</v>
      </c>
    </row>
    <row r="87" spans="1:15" ht="15.75" thickBot="1" x14ac:dyDescent="0.3">
      <c r="A87" s="205"/>
      <c r="B87" s="203"/>
      <c r="C87" s="33">
        <f>'2020 gads'!C87</f>
        <v>1.1000000000000001</v>
      </c>
      <c r="D87" s="101">
        <f>C87*E76</f>
        <v>3187.8</v>
      </c>
      <c r="E87" s="153">
        <v>0</v>
      </c>
      <c r="F87" s="102">
        <v>23</v>
      </c>
      <c r="G87" s="154">
        <f t="shared" si="14"/>
        <v>3187.8</v>
      </c>
      <c r="H87" s="23">
        <f t="shared" si="9"/>
        <v>637.56000000000006</v>
      </c>
      <c r="I87" s="23">
        <f t="shared" si="10"/>
        <v>1092575.6697239999</v>
      </c>
      <c r="J87" s="23">
        <f>'2020 gads'!I87</f>
        <v>1048842.482116</v>
      </c>
      <c r="K87" s="140">
        <f t="shared" si="11"/>
        <v>43733.187607999891</v>
      </c>
      <c r="L87" s="24">
        <f t="shared" si="5"/>
        <v>43733.187607999891</v>
      </c>
      <c r="M87" s="25">
        <f t="shared" si="12"/>
        <v>5851.9851279999984</v>
      </c>
      <c r="N87" s="81">
        <v>996846.73704000004</v>
      </c>
      <c r="O87" s="81">
        <f t="shared" si="13"/>
        <v>1098427.6548519998</v>
      </c>
    </row>
    <row r="88" spans="1:15" ht="15.75" thickBot="1" x14ac:dyDescent="0.3">
      <c r="A88" s="205"/>
      <c r="B88" s="202" t="s">
        <v>57</v>
      </c>
      <c r="C88" s="33">
        <f>'2020 gads'!C88</f>
        <v>1.17</v>
      </c>
      <c r="D88" s="101">
        <f>C88*E76</f>
        <v>3390.66</v>
      </c>
      <c r="E88" s="102">
        <v>10</v>
      </c>
      <c r="F88" s="102">
        <v>3</v>
      </c>
      <c r="G88" s="154">
        <f t="shared" si="14"/>
        <v>3729.7260000000001</v>
      </c>
      <c r="H88" s="23">
        <f t="shared" si="9"/>
        <v>678.13200000000006</v>
      </c>
      <c r="I88" s="23">
        <f t="shared" si="10"/>
        <v>167457.3057612</v>
      </c>
      <c r="J88" s="23">
        <f>'2020 gads'!I88</f>
        <v>160754.39083079997</v>
      </c>
      <c r="K88" s="140">
        <f t="shared" si="11"/>
        <v>6702.9149304000312</v>
      </c>
      <c r="L88" s="24">
        <f t="shared" ref="L88:L99" si="15">I88-J88</f>
        <v>6702.9149304000312</v>
      </c>
      <c r="M88" s="25">
        <f t="shared" si="12"/>
        <v>811.87619760000007</v>
      </c>
      <c r="N88" s="81">
        <v>152296.02927</v>
      </c>
      <c r="O88" s="81">
        <f t="shared" si="13"/>
        <v>168269.18195880001</v>
      </c>
    </row>
    <row r="89" spans="1:15" ht="15.75" thickBot="1" x14ac:dyDescent="0.3">
      <c r="A89" s="205"/>
      <c r="B89" s="203"/>
      <c r="C89" s="33">
        <f>'2020 gads'!C89</f>
        <v>1.17</v>
      </c>
      <c r="D89" s="101">
        <f>C89*E76</f>
        <v>3390.66</v>
      </c>
      <c r="E89" s="102">
        <v>10</v>
      </c>
      <c r="F89" s="102">
        <v>1</v>
      </c>
      <c r="G89" s="154">
        <f t="shared" si="14"/>
        <v>3729.7260000000001</v>
      </c>
      <c r="H89" s="23">
        <f t="shared" si="9"/>
        <v>678.13200000000006</v>
      </c>
      <c r="I89" s="23">
        <f t="shared" si="10"/>
        <v>56380.09791959999</v>
      </c>
      <c r="J89" s="23">
        <f>'2020 gads'!I89</f>
        <v>54123.337616399993</v>
      </c>
      <c r="K89" s="140">
        <f t="shared" si="11"/>
        <v>2256.760303199997</v>
      </c>
      <c r="L89" s="24">
        <f t="shared" si="15"/>
        <v>2256.760303199997</v>
      </c>
      <c r="M89" s="25">
        <f t="shared" si="12"/>
        <v>270.6253992</v>
      </c>
      <c r="N89" s="81">
        <v>50765.343089999995</v>
      </c>
      <c r="O89" s="81">
        <f t="shared" si="13"/>
        <v>56650.723318799988</v>
      </c>
    </row>
    <row r="90" spans="1:15" ht="15.75" thickBot="1" x14ac:dyDescent="0.3">
      <c r="A90" s="205"/>
      <c r="B90" s="202" t="s">
        <v>59</v>
      </c>
      <c r="C90" s="33">
        <f>'2020 gads'!C90</f>
        <v>1.24</v>
      </c>
      <c r="D90" s="101">
        <f>C90*E76</f>
        <v>3593.52</v>
      </c>
      <c r="E90" s="102">
        <v>10</v>
      </c>
      <c r="F90" s="102">
        <v>4</v>
      </c>
      <c r="G90" s="154">
        <f t="shared" si="14"/>
        <v>3952.8720000000003</v>
      </c>
      <c r="H90" s="23">
        <f t="shared" si="9"/>
        <v>718.70400000000006</v>
      </c>
      <c r="I90" s="23">
        <f t="shared" si="10"/>
        <v>236337.545304</v>
      </c>
      <c r="J90" s="23">
        <f>'2020 gads'!I90</f>
        <v>226877.51933599997</v>
      </c>
      <c r="K90" s="140">
        <f t="shared" si="11"/>
        <v>9460.0259680000308</v>
      </c>
      <c r="L90" s="24">
        <f t="shared" si="15"/>
        <v>9460.0259680000308</v>
      </c>
      <c r="M90" s="25">
        <f t="shared" si="12"/>
        <v>1147.2666495999997</v>
      </c>
      <c r="N90" s="81">
        <v>215421.629808</v>
      </c>
      <c r="O90" s="81">
        <f t="shared" si="13"/>
        <v>237484.8119536</v>
      </c>
    </row>
    <row r="91" spans="1:15" ht="15.75" thickBot="1" x14ac:dyDescent="0.3">
      <c r="A91" s="205"/>
      <c r="B91" s="203"/>
      <c r="C91" s="33">
        <f>'2020 gads'!C91</f>
        <v>1.24</v>
      </c>
      <c r="D91" s="101">
        <f>C91*E76</f>
        <v>3593.52</v>
      </c>
      <c r="E91" s="102">
        <v>10</v>
      </c>
      <c r="F91" s="102">
        <v>2</v>
      </c>
      <c r="G91" s="154">
        <f t="shared" si="14"/>
        <v>3952.8720000000003</v>
      </c>
      <c r="H91" s="23">
        <f t="shared" si="9"/>
        <v>718.70400000000006</v>
      </c>
      <c r="I91" s="23">
        <f t="shared" si="10"/>
        <v>118614.6925488</v>
      </c>
      <c r="J91" s="23">
        <f>'2020 gads'!I91</f>
        <v>113866.83045919999</v>
      </c>
      <c r="K91" s="140">
        <f t="shared" si="11"/>
        <v>4747.8620896000066</v>
      </c>
      <c r="L91" s="24">
        <f t="shared" si="15"/>
        <v>4747.8620896000066</v>
      </c>
      <c r="M91" s="25">
        <f t="shared" si="12"/>
        <v>573.63332479999985</v>
      </c>
      <c r="N91" s="81">
        <v>107710.814904</v>
      </c>
      <c r="O91" s="81">
        <f t="shared" si="13"/>
        <v>119188.3258736</v>
      </c>
    </row>
    <row r="92" spans="1:15" ht="15.75" thickBot="1" x14ac:dyDescent="0.3">
      <c r="A92" s="205"/>
      <c r="B92" s="202" t="s">
        <v>60</v>
      </c>
      <c r="C92" s="33">
        <f>'2020 gads'!C92</f>
        <v>1.24</v>
      </c>
      <c r="D92" s="101">
        <f>C92*E76</f>
        <v>3593.52</v>
      </c>
      <c r="E92" s="102">
        <v>10</v>
      </c>
      <c r="F92" s="102">
        <v>60</v>
      </c>
      <c r="G92" s="154">
        <f t="shared" si="14"/>
        <v>3952.8720000000003</v>
      </c>
      <c r="H92" s="23">
        <f t="shared" si="9"/>
        <v>718.70400000000006</v>
      </c>
      <c r="I92" s="23">
        <f t="shared" si="10"/>
        <v>3532577.4224495995</v>
      </c>
      <c r="J92" s="23">
        <f>'2020 gads'!I92</f>
        <v>3391176.8078864003</v>
      </c>
      <c r="K92" s="140">
        <f t="shared" si="11"/>
        <v>141400.61456319923</v>
      </c>
      <c r="L92" s="24">
        <f t="shared" si="15"/>
        <v>141400.61456319923</v>
      </c>
      <c r="M92" s="25">
        <f t="shared" si="12"/>
        <v>17208.999743999997</v>
      </c>
      <c r="N92" s="81">
        <v>3231324.4471200001</v>
      </c>
      <c r="O92" s="81">
        <f t="shared" si="13"/>
        <v>3549786.4221935994</v>
      </c>
    </row>
    <row r="93" spans="1:15" ht="34.5" customHeight="1" thickBot="1" x14ac:dyDescent="0.3">
      <c r="A93" s="205"/>
      <c r="B93" s="206"/>
      <c r="C93" s="33">
        <f>'2020 gads'!C93</f>
        <v>1.24</v>
      </c>
      <c r="D93" s="101">
        <f>C93*E76</f>
        <v>3593.52</v>
      </c>
      <c r="E93" s="120">
        <v>5</v>
      </c>
      <c r="F93" s="102">
        <v>16</v>
      </c>
      <c r="G93" s="154">
        <f t="shared" si="14"/>
        <v>3773.1960000000004</v>
      </c>
      <c r="H93" s="23">
        <f t="shared" si="9"/>
        <v>718.70400000000006</v>
      </c>
      <c r="I93" s="23">
        <f t="shared" si="10"/>
        <v>899866.35174240009</v>
      </c>
      <c r="J93" s="23">
        <f>'2020 gads'!I93</f>
        <v>863846.85664159979</v>
      </c>
      <c r="K93" s="140">
        <f t="shared" si="11"/>
        <v>36019.495100800297</v>
      </c>
      <c r="L93" s="24">
        <f t="shared" si="15"/>
        <v>36019.495100800297</v>
      </c>
      <c r="M93" s="25">
        <f t="shared" si="12"/>
        <v>4589.0665983999988</v>
      </c>
      <c r="N93" s="81">
        <v>822518.9501759999</v>
      </c>
      <c r="O93" s="81">
        <f t="shared" si="13"/>
        <v>904455.4183408001</v>
      </c>
    </row>
    <row r="94" spans="1:15" ht="26.25" customHeight="1" thickBot="1" x14ac:dyDescent="0.3">
      <c r="A94" s="205"/>
      <c r="B94" s="203"/>
      <c r="C94" s="33">
        <f>'2020 gads'!C94</f>
        <v>1.24</v>
      </c>
      <c r="D94" s="101">
        <f>C94*E76</f>
        <v>3593.52</v>
      </c>
      <c r="E94" s="153">
        <v>0</v>
      </c>
      <c r="F94" s="102">
        <v>1</v>
      </c>
      <c r="G94" s="154">
        <f t="shared" si="14"/>
        <v>3593.52</v>
      </c>
      <c r="H94" s="23">
        <f t="shared" si="9"/>
        <v>718.70400000000006</v>
      </c>
      <c r="I94" s="23">
        <f t="shared" si="10"/>
        <v>54402.227409599989</v>
      </c>
      <c r="J94" s="23">
        <f>'2020 gads'!I94</f>
        <v>52224.636526399991</v>
      </c>
      <c r="K94" s="140">
        <f t="shared" si="11"/>
        <v>2177.5908831999986</v>
      </c>
      <c r="L94" s="24">
        <f t="shared" si="15"/>
        <v>2177.5908831999986</v>
      </c>
      <c r="M94" s="25">
        <f t="shared" si="12"/>
        <v>286.81666239999993</v>
      </c>
      <c r="N94" s="81">
        <v>48959.461320000002</v>
      </c>
      <c r="O94" s="81">
        <f t="shared" si="13"/>
        <v>54689.04407199999</v>
      </c>
    </row>
    <row r="95" spans="1:15" ht="33" customHeight="1" thickBot="1" x14ac:dyDescent="0.3">
      <c r="A95" s="205"/>
      <c r="B95" s="202" t="s">
        <v>61</v>
      </c>
      <c r="C95" s="33">
        <f>'2020 gads'!C95</f>
        <v>1.45</v>
      </c>
      <c r="D95" s="101">
        <f>C95*E76</f>
        <v>4202.0999999999995</v>
      </c>
      <c r="E95" s="102">
        <v>10</v>
      </c>
      <c r="F95" s="102">
        <v>6</v>
      </c>
      <c r="G95" s="154">
        <f t="shared" si="14"/>
        <v>4622.3099999999995</v>
      </c>
      <c r="H95" s="23">
        <f t="shared" si="9"/>
        <v>840.42</v>
      </c>
      <c r="I95" s="23">
        <f t="shared" si="10"/>
        <v>414022.23966599989</v>
      </c>
      <c r="J95" s="23">
        <f>'2020 gads'!I95</f>
        <v>397449.9208940001</v>
      </c>
      <c r="K95" s="140">
        <f t="shared" si="11"/>
        <v>16572.318771999795</v>
      </c>
      <c r="L95" s="24">
        <f t="shared" si="15"/>
        <v>16572.318771999795</v>
      </c>
      <c r="M95" s="25">
        <f t="shared" si="12"/>
        <v>2012.342711999999</v>
      </c>
      <c r="N95" s="81">
        <v>376104.97663199995</v>
      </c>
      <c r="O95" s="81">
        <f t="shared" si="13"/>
        <v>416034.5823779999</v>
      </c>
    </row>
    <row r="96" spans="1:15" ht="15.75" thickBot="1" x14ac:dyDescent="0.3">
      <c r="A96" s="205"/>
      <c r="B96" s="203"/>
      <c r="C96" s="33">
        <f>'2020 gads'!C96</f>
        <v>1.45</v>
      </c>
      <c r="D96" s="101">
        <f>C96*E76</f>
        <v>4202.0999999999995</v>
      </c>
      <c r="E96" s="102">
        <v>10</v>
      </c>
      <c r="F96" s="102">
        <v>1</v>
      </c>
      <c r="G96" s="154">
        <f t="shared" si="14"/>
        <v>4622.3099999999995</v>
      </c>
      <c r="H96" s="23">
        <f t="shared" si="9"/>
        <v>840.42</v>
      </c>
      <c r="I96" s="23">
        <f t="shared" si="10"/>
        <v>69872.770925999983</v>
      </c>
      <c r="J96" s="23">
        <f>'2020 gads'!I96</f>
        <v>67075.931234000003</v>
      </c>
      <c r="K96" s="140">
        <f t="shared" si="11"/>
        <v>2796.8396919999796</v>
      </c>
      <c r="L96" s="24">
        <f t="shared" si="15"/>
        <v>2796.8396919999796</v>
      </c>
      <c r="M96" s="25">
        <f t="shared" si="12"/>
        <v>335.39045199999987</v>
      </c>
      <c r="N96" s="81">
        <v>62684.162771999996</v>
      </c>
      <c r="O96" s="81">
        <f t="shared" si="13"/>
        <v>70208.16137799999</v>
      </c>
    </row>
    <row r="97" spans="1:15" ht="72" customHeight="1" thickBot="1" x14ac:dyDescent="0.3">
      <c r="A97" s="205"/>
      <c r="B97" s="202" t="s">
        <v>62</v>
      </c>
      <c r="C97" s="33">
        <f>'2020 gads'!C97</f>
        <v>1.55</v>
      </c>
      <c r="D97" s="101">
        <f>C97*E76</f>
        <v>4491.9000000000005</v>
      </c>
      <c r="E97" s="102">
        <v>10</v>
      </c>
      <c r="F97" s="102">
        <v>2</v>
      </c>
      <c r="G97" s="154">
        <f t="shared" si="14"/>
        <v>4941.0900000000011</v>
      </c>
      <c r="H97" s="23">
        <f t="shared" si="9"/>
        <v>898.38000000000011</v>
      </c>
      <c r="I97" s="23">
        <f t="shared" si="10"/>
        <v>148268.36568600003</v>
      </c>
      <c r="J97" s="23">
        <f>'2020 gads'!I97</f>
        <v>142333.53807399998</v>
      </c>
      <c r="K97" s="140">
        <f t="shared" si="11"/>
        <v>5934.8276120000519</v>
      </c>
      <c r="L97" s="24">
        <f t="shared" si="15"/>
        <v>5934.8276120000519</v>
      </c>
      <c r="M97" s="25">
        <f t="shared" si="12"/>
        <v>717.0416560000001</v>
      </c>
      <c r="N97" s="81">
        <v>134197.08086399999</v>
      </c>
      <c r="O97" s="81">
        <f t="shared" si="13"/>
        <v>148985.40734200002</v>
      </c>
    </row>
    <row r="98" spans="1:15" ht="15.75" thickBot="1" x14ac:dyDescent="0.3">
      <c r="A98" s="205"/>
      <c r="B98" s="203"/>
      <c r="C98" s="33">
        <f>'2020 gads'!C98</f>
        <v>1.55</v>
      </c>
      <c r="D98" s="101">
        <f>C98*E76</f>
        <v>4491.9000000000005</v>
      </c>
      <c r="E98" s="102">
        <v>10</v>
      </c>
      <c r="F98" s="102">
        <v>1</v>
      </c>
      <c r="G98" s="154">
        <f t="shared" si="14"/>
        <v>4941.0900000000011</v>
      </c>
      <c r="H98" s="23">
        <f t="shared" si="9"/>
        <v>898.38000000000011</v>
      </c>
      <c r="I98" s="23">
        <f t="shared" si="10"/>
        <v>74691.582714000004</v>
      </c>
      <c r="J98" s="23">
        <f>'2020 gads'!I98</f>
        <v>71701.857525999993</v>
      </c>
      <c r="K98" s="140">
        <f t="shared" si="11"/>
        <v>2989.7251880000113</v>
      </c>
      <c r="L98" s="24">
        <f t="shared" si="15"/>
        <v>2989.7251880000113</v>
      </c>
      <c r="M98" s="25">
        <f t="shared" si="12"/>
        <v>358.52082800000005</v>
      </c>
      <c r="N98" s="81">
        <v>67098.540431999994</v>
      </c>
      <c r="O98" s="81">
        <f t="shared" si="13"/>
        <v>75050.103541999997</v>
      </c>
    </row>
    <row r="99" spans="1:15" x14ac:dyDescent="0.25">
      <c r="A99" s="205"/>
      <c r="B99" s="105" t="s">
        <v>63</v>
      </c>
      <c r="C99" s="33">
        <f>'2020 gads'!C99</f>
        <v>1.75</v>
      </c>
      <c r="D99" s="101">
        <f>C99*E76</f>
        <v>5071.5</v>
      </c>
      <c r="E99" s="102">
        <v>10</v>
      </c>
      <c r="F99" s="102">
        <v>1</v>
      </c>
      <c r="G99" s="154">
        <f t="shared" si="14"/>
        <v>5578.6500000000005</v>
      </c>
      <c r="H99" s="23">
        <f t="shared" si="9"/>
        <v>1014.3000000000001</v>
      </c>
      <c r="I99" s="23">
        <f t="shared" si="10"/>
        <v>84329.206290000002</v>
      </c>
      <c r="J99" s="23">
        <f>'2020 gads'!I99</f>
        <v>80953.71011</v>
      </c>
      <c r="K99" s="140">
        <f t="shared" si="11"/>
        <v>3375.4961800000019</v>
      </c>
      <c r="L99" s="24">
        <f t="shared" si="15"/>
        <v>3375.4961800000019</v>
      </c>
      <c r="M99" s="25">
        <f t="shared" si="12"/>
        <v>404.78158000000002</v>
      </c>
      <c r="N99" s="81">
        <v>75927.295751999991</v>
      </c>
      <c r="O99" s="81">
        <f t="shared" si="13"/>
        <v>84733.987869999997</v>
      </c>
    </row>
    <row r="100" spans="1:15" ht="15.75" x14ac:dyDescent="0.25">
      <c r="B100" s="109" t="s">
        <v>111</v>
      </c>
      <c r="F100" s="110">
        <f>SUM(F78:F99)</f>
        <v>499</v>
      </c>
      <c r="G100" s="110"/>
      <c r="K100" s="171">
        <f>SUM(K78:K99)</f>
        <v>993071.83982239733</v>
      </c>
      <c r="N100" s="155">
        <f>SUM(N78:N99)</f>
        <v>22623545.050029002</v>
      </c>
      <c r="O100" s="155">
        <f>SUM(O78:O99)</f>
        <v>24934575.784649596</v>
      </c>
    </row>
    <row r="101" spans="1:15" x14ac:dyDescent="0.25">
      <c r="B101" t="s">
        <v>65</v>
      </c>
      <c r="K101" s="171">
        <f>K100+K72+K68+K60</f>
        <v>2256207.0578621961</v>
      </c>
    </row>
    <row r="102" spans="1:15" x14ac:dyDescent="0.25">
      <c r="B102" t="s">
        <v>67</v>
      </c>
      <c r="C102" t="s">
        <v>68</v>
      </c>
    </row>
    <row r="103" spans="1:15" ht="28.5" customHeight="1" x14ac:dyDescent="0.25"/>
    <row r="104" spans="1:15" x14ac:dyDescent="0.25">
      <c r="B104" t="s">
        <v>69</v>
      </c>
    </row>
    <row r="105" spans="1:15" ht="15.75" x14ac:dyDescent="0.25">
      <c r="B105" s="113" t="s">
        <v>70</v>
      </c>
    </row>
    <row r="106" spans="1:15" ht="63" x14ac:dyDescent="0.25">
      <c r="B106" s="114" t="s">
        <v>71</v>
      </c>
    </row>
    <row r="107" spans="1:15" x14ac:dyDescent="0.25">
      <c r="B107" t="s">
        <v>72</v>
      </c>
    </row>
    <row r="109" spans="1:15" hidden="1" x14ac:dyDescent="0.25">
      <c r="B109" t="s">
        <v>73</v>
      </c>
    </row>
    <row r="110" spans="1:15" hidden="1" x14ac:dyDescent="0.25">
      <c r="B110" s="115" t="s">
        <v>74</v>
      </c>
      <c r="C110" s="115">
        <v>2018</v>
      </c>
      <c r="D110" s="115">
        <v>2019</v>
      </c>
      <c r="E110" s="115">
        <v>2020</v>
      </c>
    </row>
    <row r="111" spans="1:15" ht="15.75" hidden="1" x14ac:dyDescent="0.25">
      <c r="B111" s="115" t="s">
        <v>75</v>
      </c>
      <c r="C111" s="74">
        <v>3635545</v>
      </c>
      <c r="D111" s="74">
        <v>3635545</v>
      </c>
      <c r="E111" s="137">
        <v>2686509</v>
      </c>
      <c r="F111" s="39"/>
      <c r="G111" s="39"/>
    </row>
    <row r="112" spans="1:15" ht="15.75" hidden="1" x14ac:dyDescent="0.25">
      <c r="B112" s="115" t="s">
        <v>76</v>
      </c>
      <c r="C112" s="74">
        <v>0</v>
      </c>
      <c r="D112" s="74">
        <v>542787</v>
      </c>
      <c r="E112" s="65">
        <v>355843.07299999997</v>
      </c>
    </row>
    <row r="113" spans="2:7" ht="15.75" hidden="1" x14ac:dyDescent="0.25">
      <c r="B113" s="115" t="s">
        <v>77</v>
      </c>
      <c r="C113" s="74">
        <v>68429</v>
      </c>
      <c r="D113" s="74">
        <v>68429</v>
      </c>
      <c r="E113" s="137">
        <v>55093</v>
      </c>
      <c r="F113" s="39"/>
      <c r="G113" s="39"/>
    </row>
    <row r="114" spans="2:7" ht="15.75" hidden="1" x14ac:dyDescent="0.25">
      <c r="B114" s="115" t="s">
        <v>78</v>
      </c>
      <c r="C114" s="74">
        <v>3204432</v>
      </c>
      <c r="D114" s="74">
        <v>3204432</v>
      </c>
      <c r="E114" s="65">
        <v>2335485.5634000003</v>
      </c>
    </row>
    <row r="115" spans="2:7" hidden="1" x14ac:dyDescent="0.25">
      <c r="B115" s="115" t="s">
        <v>79</v>
      </c>
      <c r="C115" s="74">
        <f>SUM(C111:C114)</f>
        <v>6908406</v>
      </c>
      <c r="D115" s="74">
        <f t="shared" ref="D115" si="16">SUM(D111:D114)</f>
        <v>7451193</v>
      </c>
      <c r="E115" s="74">
        <v>5432930</v>
      </c>
    </row>
    <row r="116" spans="2:7" ht="15.75" hidden="1" x14ac:dyDescent="0.25">
      <c r="B116" s="116" t="s">
        <v>80</v>
      </c>
      <c r="C116" s="117">
        <v>1966</v>
      </c>
      <c r="D116" s="117">
        <v>1966</v>
      </c>
      <c r="E116" s="117">
        <v>2202</v>
      </c>
    </row>
  </sheetData>
  <mergeCells count="41">
    <mergeCell ref="J16:J17"/>
    <mergeCell ref="K16:K17"/>
    <mergeCell ref="L16:L17"/>
    <mergeCell ref="M16:M17"/>
    <mergeCell ref="N16:N17"/>
    <mergeCell ref="C15:D15"/>
    <mergeCell ref="H15:I15"/>
    <mergeCell ref="B16:B17"/>
    <mergeCell ref="C16:D16"/>
    <mergeCell ref="E16:E17"/>
    <mergeCell ref="F16:F17"/>
    <mergeCell ref="G16:G17"/>
    <mergeCell ref="H16:H17"/>
    <mergeCell ref="I16:I17"/>
    <mergeCell ref="C77:D77"/>
    <mergeCell ref="A78:A99"/>
    <mergeCell ref="B78:B80"/>
    <mergeCell ref="B81:B82"/>
    <mergeCell ref="B83:B84"/>
    <mergeCell ref="B85:B87"/>
    <mergeCell ref="B88:B89"/>
    <mergeCell ref="B90:B91"/>
    <mergeCell ref="B92:B94"/>
    <mergeCell ref="B95:B96"/>
    <mergeCell ref="B97:B98"/>
    <mergeCell ref="B7:O7"/>
    <mergeCell ref="A61:A67"/>
    <mergeCell ref="B61:B64"/>
    <mergeCell ref="B65:B66"/>
    <mergeCell ref="A69:A71"/>
    <mergeCell ref="A19:A59"/>
    <mergeCell ref="B19:B24"/>
    <mergeCell ref="B25:B30"/>
    <mergeCell ref="B31:B34"/>
    <mergeCell ref="B35:B40"/>
    <mergeCell ref="B41:B42"/>
    <mergeCell ref="B43:B46"/>
    <mergeCell ref="B47:B54"/>
    <mergeCell ref="B55:B57"/>
    <mergeCell ref="B58:B59"/>
    <mergeCell ref="O16:O17"/>
  </mergeCells>
  <hyperlinks>
    <hyperlink ref="B105" r:id="rId1"/>
  </hyperlinks>
  <pageMargins left="0" right="0" top="0" bottom="0" header="0" footer="0.11811023622047245"/>
  <pageSetup paperSize="9" scale="59" orientation="landscape" r:id="rId2"/>
  <headerFooter>
    <oddFooter>&amp;L&amp;A</oddFooter>
  </headerFooter>
  <rowBreaks count="2" manualBreakCount="2">
    <brk id="46" max="14" man="1"/>
    <brk id="7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8" zoomScaleNormal="100" workbookViewId="0">
      <selection activeCell="F30" sqref="F30"/>
    </sheetView>
  </sheetViews>
  <sheetFormatPr defaultRowHeight="15" x14ac:dyDescent="0.25"/>
  <cols>
    <col min="1" max="1" width="30" style="121" customWidth="1"/>
    <col min="2" max="2" width="16.7109375" customWidth="1"/>
    <col min="3" max="3" width="12.28515625" customWidth="1"/>
    <col min="4" max="4" width="11.7109375" customWidth="1"/>
    <col min="5" max="5" width="14.28515625" customWidth="1"/>
  </cols>
  <sheetData>
    <row r="1" spans="1:5" x14ac:dyDescent="0.25">
      <c r="D1" t="s">
        <v>188</v>
      </c>
    </row>
    <row r="3" spans="1:5" x14ac:dyDescent="0.25">
      <c r="A3" s="260" t="s">
        <v>126</v>
      </c>
      <c r="B3" s="260"/>
      <c r="C3" s="260"/>
      <c r="D3" s="260"/>
      <c r="E3" s="260"/>
    </row>
    <row r="5" spans="1:5" x14ac:dyDescent="0.25">
      <c r="A5" s="100"/>
      <c r="B5" s="115"/>
      <c r="C5" s="172">
        <v>2019</v>
      </c>
      <c r="D5" s="172">
        <v>2020</v>
      </c>
      <c r="E5" s="172">
        <v>2021</v>
      </c>
    </row>
    <row r="6" spans="1:5" x14ac:dyDescent="0.25">
      <c r="A6" s="277" t="s">
        <v>75</v>
      </c>
      <c r="B6" s="278"/>
      <c r="C6" s="278"/>
      <c r="D6" s="278"/>
      <c r="E6" s="279"/>
    </row>
    <row r="7" spans="1:5" ht="39" x14ac:dyDescent="0.25">
      <c r="A7" s="288" t="s">
        <v>193</v>
      </c>
      <c r="B7" s="289"/>
      <c r="C7" s="290">
        <f>C8+C12+C13</f>
        <v>4166104.6948121609</v>
      </c>
      <c r="D7" s="290">
        <f t="shared" ref="D7:E7" si="0">D8+D12+D13</f>
        <v>2761874.9546833616</v>
      </c>
      <c r="E7" s="290">
        <f t="shared" si="0"/>
        <v>3875117.4341919608</v>
      </c>
    </row>
    <row r="8" spans="1:5" x14ac:dyDescent="0.25">
      <c r="A8" s="281" t="s">
        <v>192</v>
      </c>
      <c r="B8" s="282"/>
      <c r="C8" s="283">
        <f>C9+C10+C11</f>
        <v>4307645.6948121609</v>
      </c>
      <c r="D8" s="283">
        <f t="shared" ref="D8:E8" si="1">D9+D10+D11</f>
        <v>5589924.9546833616</v>
      </c>
      <c r="E8" s="283">
        <f t="shared" si="1"/>
        <v>6703167.4341919608</v>
      </c>
    </row>
    <row r="9" spans="1:5" ht="30" x14ac:dyDescent="0.25">
      <c r="A9" s="174" t="s">
        <v>127</v>
      </c>
      <c r="B9" s="115"/>
      <c r="C9" s="74">
        <f>'2019 gads'!M57+'2019 gads'!N57</f>
        <v>4307645.6948121609</v>
      </c>
      <c r="D9" s="74">
        <f>C9</f>
        <v>4307645.6948121609</v>
      </c>
      <c r="E9" s="74">
        <f>D9</f>
        <v>4307645.6948121609</v>
      </c>
    </row>
    <row r="10" spans="1:5" x14ac:dyDescent="0.25">
      <c r="A10" s="174" t="s">
        <v>140</v>
      </c>
      <c r="B10" s="115" t="s">
        <v>128</v>
      </c>
      <c r="C10" s="74"/>
      <c r="D10" s="74">
        <f>'2020 gads'!K59</f>
        <v>1282279.2598712009</v>
      </c>
      <c r="E10" s="74">
        <f>D10</f>
        <v>1282279.2598712009</v>
      </c>
    </row>
    <row r="11" spans="1:5" x14ac:dyDescent="0.25">
      <c r="A11" s="174" t="s">
        <v>141</v>
      </c>
      <c r="B11" s="115" t="s">
        <v>129</v>
      </c>
      <c r="C11" s="74"/>
      <c r="D11" s="74"/>
      <c r="E11" s="74">
        <f>'2021 gads'!K60</f>
        <v>1113242.4795085988</v>
      </c>
    </row>
    <row r="12" spans="1:5" ht="45" x14ac:dyDescent="0.25">
      <c r="A12" s="174" t="s">
        <v>190</v>
      </c>
      <c r="B12" s="115"/>
      <c r="C12" s="74">
        <v>-141541</v>
      </c>
      <c r="D12" s="74">
        <v>-141541</v>
      </c>
      <c r="E12" s="74">
        <v>-141541</v>
      </c>
    </row>
    <row r="13" spans="1:5" ht="60" x14ac:dyDescent="0.25">
      <c r="A13" s="174" t="s">
        <v>191</v>
      </c>
      <c r="B13" s="115"/>
      <c r="C13" s="74"/>
      <c r="D13" s="74">
        <v>-2686509</v>
      </c>
      <c r="E13" s="74">
        <v>-2686509</v>
      </c>
    </row>
    <row r="14" spans="1:5" x14ac:dyDescent="0.25">
      <c r="A14" s="174"/>
      <c r="B14" s="115"/>
      <c r="C14" s="74"/>
      <c r="D14" s="74"/>
      <c r="E14" s="74"/>
    </row>
    <row r="15" spans="1:5" ht="6.75" customHeight="1" x14ac:dyDescent="0.25">
      <c r="A15" s="174"/>
      <c r="B15" s="115"/>
      <c r="C15" s="74"/>
      <c r="D15" s="74"/>
      <c r="E15" s="74"/>
    </row>
    <row r="16" spans="1:5" ht="15.75" customHeight="1" x14ac:dyDescent="0.25">
      <c r="A16" s="277" t="s">
        <v>76</v>
      </c>
      <c r="B16" s="278"/>
      <c r="C16" s="278"/>
      <c r="D16" s="278"/>
      <c r="E16" s="279"/>
    </row>
    <row r="17" spans="1:5" ht="51" customHeight="1" x14ac:dyDescent="0.25">
      <c r="A17" s="288" t="s">
        <v>196</v>
      </c>
      <c r="B17" s="289"/>
      <c r="C17" s="290">
        <f>C18+C22+C23</f>
        <v>-181716.33345299977</v>
      </c>
      <c r="D17" s="290">
        <f t="shared" ref="D17:E17" si="2">D18+D22+D23</f>
        <v>-388620.86439439951</v>
      </c>
      <c r="E17" s="290">
        <f t="shared" si="2"/>
        <v>-262562.48180579965</v>
      </c>
    </row>
    <row r="18" spans="1:5" x14ac:dyDescent="0.25">
      <c r="A18" s="281" t="s">
        <v>192</v>
      </c>
      <c r="B18" s="115"/>
      <c r="C18" s="173">
        <f>C19+C20+C21</f>
        <v>361070.66654700023</v>
      </c>
      <c r="D18" s="173">
        <f t="shared" ref="D18:E18" si="3">D19+D20+D21</f>
        <v>510009.13560560049</v>
      </c>
      <c r="E18" s="173">
        <f t="shared" si="3"/>
        <v>636067.51819420035</v>
      </c>
    </row>
    <row r="19" spans="1:5" ht="30" x14ac:dyDescent="0.25">
      <c r="A19" s="174" t="s">
        <v>127</v>
      </c>
      <c r="B19" s="115"/>
      <c r="C19" s="74">
        <f>'2019 gads'!M65+'2019 gads'!N65</f>
        <v>361070.66654700023</v>
      </c>
      <c r="D19" s="74">
        <f>C19</f>
        <v>361070.66654700023</v>
      </c>
      <c r="E19" s="74">
        <f>D19</f>
        <v>361070.66654700023</v>
      </c>
    </row>
    <row r="20" spans="1:5" x14ac:dyDescent="0.25">
      <c r="A20" s="174" t="s">
        <v>140</v>
      </c>
      <c r="B20" s="115" t="s">
        <v>128</v>
      </c>
      <c r="C20" s="74"/>
      <c r="D20" s="74">
        <f>'2020 gads'!K67</f>
        <v>148938.46905860025</v>
      </c>
      <c r="E20" s="74">
        <f>D20</f>
        <v>148938.46905860025</v>
      </c>
    </row>
    <row r="21" spans="1:5" x14ac:dyDescent="0.25">
      <c r="A21" s="174" t="s">
        <v>141</v>
      </c>
      <c r="B21" s="115" t="s">
        <v>129</v>
      </c>
      <c r="C21" s="74"/>
      <c r="D21" s="74"/>
      <c r="E21" s="74">
        <f>'2021 gads'!K68</f>
        <v>126058.38258859985</v>
      </c>
    </row>
    <row r="22" spans="1:5" ht="60" x14ac:dyDescent="0.25">
      <c r="A22" s="174" t="s">
        <v>194</v>
      </c>
      <c r="B22" s="115"/>
      <c r="C22" s="74">
        <v>-542787</v>
      </c>
      <c r="D22" s="74">
        <v>-542787</v>
      </c>
      <c r="E22" s="74">
        <v>-542787</v>
      </c>
    </row>
    <row r="23" spans="1:5" ht="60" x14ac:dyDescent="0.25">
      <c r="A23" s="174" t="s">
        <v>191</v>
      </c>
      <c r="B23" s="115"/>
      <c r="C23" s="74"/>
      <c r="D23" s="74">
        <v>-355843</v>
      </c>
      <c r="E23" s="74">
        <v>-355843</v>
      </c>
    </row>
    <row r="24" spans="1:5" ht="8.25" customHeight="1" x14ac:dyDescent="0.25">
      <c r="A24" s="174"/>
      <c r="B24" s="115"/>
      <c r="C24" s="74"/>
      <c r="D24" s="74"/>
      <c r="E24" s="74"/>
    </row>
    <row r="25" spans="1:5" ht="17.25" customHeight="1" x14ac:dyDescent="0.25">
      <c r="A25" s="277" t="s">
        <v>77</v>
      </c>
      <c r="B25" s="278"/>
      <c r="C25" s="278"/>
      <c r="D25" s="278"/>
      <c r="E25" s="279"/>
    </row>
    <row r="26" spans="1:5" ht="40.5" customHeight="1" x14ac:dyDescent="0.25">
      <c r="A26" s="288" t="s">
        <v>196</v>
      </c>
      <c r="B26" s="289"/>
      <c r="C26" s="291">
        <f>C27+C31</f>
        <v>80828.982287399995</v>
      </c>
      <c r="D26" s="291">
        <f t="shared" ref="D26:E26" si="4">D27+D31</f>
        <v>62301.599960000036</v>
      </c>
      <c r="E26" s="291">
        <f t="shared" si="4"/>
        <v>86135.955902600021</v>
      </c>
    </row>
    <row r="27" spans="1:5" x14ac:dyDescent="0.25">
      <c r="A27" s="281" t="s">
        <v>192</v>
      </c>
      <c r="B27" s="115"/>
      <c r="C27" s="173">
        <f>C28+C29+C30</f>
        <v>80828.982287399995</v>
      </c>
      <c r="D27" s="173">
        <f t="shared" ref="D27:E27" si="5">D28+D29+D30</f>
        <v>117394.59996000004</v>
      </c>
      <c r="E27" s="173">
        <f t="shared" si="5"/>
        <v>141228.95590260002</v>
      </c>
    </row>
    <row r="28" spans="1:5" ht="30" x14ac:dyDescent="0.25">
      <c r="A28" s="174" t="s">
        <v>127</v>
      </c>
      <c r="B28" s="115"/>
      <c r="C28" s="74">
        <f>'2019 gads'!M69+'2019 gads'!N69</f>
        <v>80828.982287399995</v>
      </c>
      <c r="D28" s="74">
        <f>C28</f>
        <v>80828.982287399995</v>
      </c>
      <c r="E28" s="74">
        <f>D28</f>
        <v>80828.982287399995</v>
      </c>
    </row>
    <row r="29" spans="1:5" x14ac:dyDescent="0.25">
      <c r="A29" s="174" t="s">
        <v>140</v>
      </c>
      <c r="B29" s="115" t="s">
        <v>128</v>
      </c>
      <c r="C29" s="74"/>
      <c r="D29" s="74">
        <f>'2020 gads'!K71</f>
        <v>36565.617672600041</v>
      </c>
      <c r="E29" s="74">
        <f>D29</f>
        <v>36565.617672600041</v>
      </c>
    </row>
    <row r="30" spans="1:5" x14ac:dyDescent="0.25">
      <c r="A30" s="174" t="s">
        <v>141</v>
      </c>
      <c r="B30" s="115" t="s">
        <v>129</v>
      </c>
      <c r="C30" s="74"/>
      <c r="D30" s="74"/>
      <c r="E30" s="74">
        <f>'2021 gads'!K72</f>
        <v>23834.355942599999</v>
      </c>
    </row>
    <row r="31" spans="1:5" ht="60" x14ac:dyDescent="0.25">
      <c r="A31" s="174" t="s">
        <v>191</v>
      </c>
      <c r="B31" s="115"/>
      <c r="C31" s="74"/>
      <c r="D31" s="74">
        <v>-55093</v>
      </c>
      <c r="E31" s="74">
        <v>-55093</v>
      </c>
    </row>
    <row r="32" spans="1:5" x14ac:dyDescent="0.25">
      <c r="A32" s="175" t="s">
        <v>130</v>
      </c>
      <c r="B32" s="115"/>
      <c r="C32" s="176">
        <f>C27+C18+C7</f>
        <v>4608004.3436465608</v>
      </c>
      <c r="D32" s="176">
        <f>D27+D18+D7</f>
        <v>3389278.690248962</v>
      </c>
      <c r="E32" s="176">
        <f>E27+E18+E7</f>
        <v>4652413.908288761</v>
      </c>
    </row>
    <row r="33" spans="1:6" ht="43.5" customHeight="1" x14ac:dyDescent="0.25">
      <c r="A33" s="284" t="s">
        <v>197</v>
      </c>
      <c r="B33" s="115"/>
      <c r="C33" s="176">
        <f>C26++C17+C7</f>
        <v>4065217.3436465613</v>
      </c>
      <c r="D33" s="176">
        <f t="shared" ref="D33:E33" si="6">D26++D17+D7</f>
        <v>2435555.690248962</v>
      </c>
      <c r="E33" s="176">
        <f t="shared" si="6"/>
        <v>3698690.908288761</v>
      </c>
    </row>
    <row r="34" spans="1:6" ht="8.25" customHeight="1" x14ac:dyDescent="0.25">
      <c r="A34" s="174"/>
      <c r="B34" s="115"/>
      <c r="C34" s="74"/>
      <c r="D34" s="74"/>
      <c r="E34" s="74"/>
    </row>
    <row r="35" spans="1:6" ht="19.5" customHeight="1" x14ac:dyDescent="0.25">
      <c r="A35" s="276" t="s">
        <v>131</v>
      </c>
      <c r="B35" s="276"/>
      <c r="C35" s="276"/>
      <c r="D35" s="276"/>
      <c r="E35" s="276"/>
    </row>
    <row r="36" spans="1:6" ht="39" customHeight="1" x14ac:dyDescent="0.25">
      <c r="A36" s="288" t="s">
        <v>196</v>
      </c>
      <c r="B36" s="292"/>
      <c r="C36" s="293">
        <f>C37+C41</f>
        <v>4629917.8925481979</v>
      </c>
      <c r="D36" s="293">
        <f t="shared" ref="D36:E36" si="7">D37+D41</f>
        <v>3440965.8725975985</v>
      </c>
      <c r="E36" s="293">
        <f t="shared" si="7"/>
        <v>4434037.712419996</v>
      </c>
    </row>
    <row r="37" spans="1:6" x14ac:dyDescent="0.25">
      <c r="A37" s="281" t="s">
        <v>192</v>
      </c>
      <c r="B37" s="115"/>
      <c r="C37" s="173">
        <f>C38+C39+C40</f>
        <v>4629917.8925481979</v>
      </c>
      <c r="D37" s="173">
        <f t="shared" ref="D37:E37" si="8">D38+D39+D40</f>
        <v>5776451.8725975985</v>
      </c>
      <c r="E37" s="173">
        <f t="shared" si="8"/>
        <v>6769523.712419996</v>
      </c>
    </row>
    <row r="38" spans="1:6" ht="30" x14ac:dyDescent="0.25">
      <c r="A38" s="174" t="s">
        <v>127</v>
      </c>
      <c r="B38" s="115"/>
      <c r="C38" s="74">
        <f>'2019 gads'!M97+'2019 gads'!N97</f>
        <v>4629917.8925481979</v>
      </c>
      <c r="D38" s="74">
        <f>C38</f>
        <v>4629917.8925481979</v>
      </c>
      <c r="E38" s="74">
        <f>D38</f>
        <v>4629917.8925481979</v>
      </c>
    </row>
    <row r="39" spans="1:6" x14ac:dyDescent="0.25">
      <c r="A39" s="174" t="s">
        <v>140</v>
      </c>
      <c r="B39" s="115" t="s">
        <v>128</v>
      </c>
      <c r="C39" s="74"/>
      <c r="D39" s="74">
        <f>'2020 gads'!K100</f>
        <v>1146533.9800494004</v>
      </c>
      <c r="E39" s="74">
        <f>D39</f>
        <v>1146533.9800494004</v>
      </c>
    </row>
    <row r="40" spans="1:6" x14ac:dyDescent="0.25">
      <c r="A40" s="174" t="s">
        <v>141</v>
      </c>
      <c r="B40" s="115" t="s">
        <v>129</v>
      </c>
      <c r="C40" s="74"/>
      <c r="D40" s="74"/>
      <c r="E40" s="74">
        <f>'2021 gads'!K100</f>
        <v>993071.83982239733</v>
      </c>
    </row>
    <row r="41" spans="1:6" ht="60" x14ac:dyDescent="0.25">
      <c r="A41" s="174" t="s">
        <v>195</v>
      </c>
      <c r="B41" s="115"/>
      <c r="C41" s="74"/>
      <c r="D41" s="74">
        <v>-2335486</v>
      </c>
      <c r="E41" s="74">
        <v>-2335486</v>
      </c>
    </row>
    <row r="42" spans="1:6" ht="7.5" customHeight="1" x14ac:dyDescent="0.25">
      <c r="A42" s="174"/>
      <c r="B42" s="115"/>
      <c r="C42" s="74"/>
      <c r="D42" s="74"/>
      <c r="E42" s="74"/>
    </row>
    <row r="43" spans="1:6" ht="30" x14ac:dyDescent="0.25">
      <c r="A43" s="175" t="s">
        <v>132</v>
      </c>
      <c r="B43" s="115"/>
      <c r="C43" s="176">
        <f>C37+C32</f>
        <v>9237922.2361947596</v>
      </c>
      <c r="D43" s="176">
        <f t="shared" ref="D43:E43" si="9">D37+D32</f>
        <v>9165730.56284656</v>
      </c>
      <c r="E43" s="176">
        <f t="shared" si="9"/>
        <v>11421937.620708756</v>
      </c>
    </row>
    <row r="44" spans="1:6" ht="51.75" x14ac:dyDescent="0.25">
      <c r="A44" s="294" t="s">
        <v>198</v>
      </c>
      <c r="B44" s="289"/>
      <c r="C44" s="290">
        <f>C36+C33</f>
        <v>8695135.2361947596</v>
      </c>
      <c r="D44" s="290">
        <f t="shared" ref="D44:E44" si="10">D36+D33</f>
        <v>5876521.56284656</v>
      </c>
      <c r="E44" s="290">
        <f t="shared" si="10"/>
        <v>8132728.6207087571</v>
      </c>
    </row>
    <row r="45" spans="1:6" x14ac:dyDescent="0.25">
      <c r="B45" s="115"/>
      <c r="C45" s="74"/>
      <c r="D45" s="74"/>
      <c r="E45" s="74"/>
    </row>
    <row r="46" spans="1:6" x14ac:dyDescent="0.25">
      <c r="A46" s="277" t="s">
        <v>151</v>
      </c>
      <c r="B46" s="278"/>
      <c r="C46" s="278"/>
      <c r="D46" s="278"/>
      <c r="E46" s="279"/>
    </row>
    <row r="47" spans="1:6" ht="30" x14ac:dyDescent="0.25">
      <c r="A47" s="280" t="s">
        <v>133</v>
      </c>
      <c r="B47" s="115"/>
      <c r="C47" s="286">
        <f>C48+C49+C50</f>
        <v>7322908</v>
      </c>
      <c r="D47" s="286">
        <f t="shared" ref="D47:E47" si="11">D48+D49+D50</f>
        <v>7823901</v>
      </c>
      <c r="E47" s="286">
        <f t="shared" si="11"/>
        <v>8234607</v>
      </c>
      <c r="F47" s="287" t="s">
        <v>182</v>
      </c>
    </row>
    <row r="48" spans="1:6" x14ac:dyDescent="0.25">
      <c r="A48" s="174" t="s">
        <v>134</v>
      </c>
      <c r="B48" s="115"/>
      <c r="C48" s="177">
        <v>7322908</v>
      </c>
      <c r="D48" s="177">
        <v>7322908</v>
      </c>
      <c r="E48" s="177">
        <v>7322908</v>
      </c>
      <c r="F48" s="287"/>
    </row>
    <row r="49" spans="1:6" x14ac:dyDescent="0.25">
      <c r="A49" s="174" t="s">
        <v>140</v>
      </c>
      <c r="B49" s="115" t="s">
        <v>128</v>
      </c>
      <c r="C49" s="177"/>
      <c r="D49" s="177">
        <v>500993</v>
      </c>
      <c r="E49" s="177">
        <v>500993</v>
      </c>
      <c r="F49" s="287"/>
    </row>
    <row r="50" spans="1:6" x14ac:dyDescent="0.25">
      <c r="A50" s="174" t="s">
        <v>141</v>
      </c>
      <c r="B50" s="115" t="s">
        <v>129</v>
      </c>
      <c r="C50" s="285"/>
      <c r="D50" s="285"/>
      <c r="E50" s="285">
        <v>410706</v>
      </c>
      <c r="F50" s="287"/>
    </row>
    <row r="51" spans="1:6" ht="30" x14ac:dyDescent="0.25">
      <c r="A51" s="295" t="s">
        <v>199</v>
      </c>
      <c r="B51" s="296"/>
      <c r="C51" s="297">
        <f>C44+C47</f>
        <v>16018043.23619476</v>
      </c>
      <c r="D51" s="297">
        <f t="shared" ref="D51:E51" si="12">D44+D47</f>
        <v>13700422.56284656</v>
      </c>
      <c r="E51" s="297">
        <f t="shared" si="12"/>
        <v>16367335.620708756</v>
      </c>
    </row>
    <row r="52" spans="1:6" x14ac:dyDescent="0.25">
      <c r="A52" s="178"/>
      <c r="B52" s="132"/>
      <c r="C52" s="132"/>
      <c r="D52" s="132"/>
      <c r="E52" s="132"/>
    </row>
    <row r="53" spans="1:6" x14ac:dyDescent="0.25">
      <c r="A53" s="121" t="s">
        <v>135</v>
      </c>
    </row>
    <row r="54" spans="1:6" ht="34.5" customHeight="1" x14ac:dyDescent="0.25">
      <c r="A54" s="121" t="s">
        <v>136</v>
      </c>
      <c r="B54" s="261" t="s">
        <v>138</v>
      </c>
      <c r="C54" s="261"/>
      <c r="D54" s="261"/>
      <c r="E54" s="261"/>
    </row>
    <row r="55" spans="1:6" ht="29.25" customHeight="1" x14ac:dyDescent="0.25">
      <c r="A55" s="121" t="s">
        <v>137</v>
      </c>
      <c r="B55" s="261" t="s">
        <v>139</v>
      </c>
      <c r="C55" s="261"/>
      <c r="D55" s="261"/>
      <c r="E55" s="261"/>
    </row>
  </sheetData>
  <mergeCells count="9">
    <mergeCell ref="F47:F50"/>
    <mergeCell ref="A3:E3"/>
    <mergeCell ref="B54:E54"/>
    <mergeCell ref="B55:E55"/>
    <mergeCell ref="A6:E6"/>
    <mergeCell ref="A16:E16"/>
    <mergeCell ref="A25:E25"/>
    <mergeCell ref="A35:E35"/>
    <mergeCell ref="A46:E46"/>
  </mergeCells>
  <pageMargins left="0.70866141732283472" right="0.70866141732283472" top="0" bottom="0" header="0" footer="0"/>
  <pageSetup paperSize="9" scale="92" orientation="portrait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6"/>
  <sheetViews>
    <sheetView topLeftCell="A13" zoomScaleNormal="100" workbookViewId="0">
      <selection activeCell="S29" sqref="S29"/>
    </sheetView>
  </sheetViews>
  <sheetFormatPr defaultRowHeight="15" x14ac:dyDescent="0.25"/>
  <cols>
    <col min="2" max="2" width="27.5703125" customWidth="1"/>
    <col min="3" max="3" width="11.7109375" customWidth="1"/>
    <col min="4" max="4" width="12.42578125" customWidth="1"/>
    <col min="5" max="5" width="12.7109375" customWidth="1"/>
    <col min="6" max="6" width="12.42578125" customWidth="1"/>
    <col min="7" max="7" width="12.85546875" customWidth="1"/>
    <col min="8" max="8" width="12.85546875" hidden="1" customWidth="1"/>
    <col min="9" max="9" width="12" customWidth="1"/>
    <col min="10" max="10" width="16.28515625" customWidth="1"/>
    <col min="12" max="12" width="21.140625" hidden="1" customWidth="1"/>
    <col min="13" max="13" width="12.5703125" hidden="1" customWidth="1"/>
    <col min="14" max="14" width="9.85546875" hidden="1" customWidth="1"/>
    <col min="15" max="15" width="0" hidden="1" customWidth="1"/>
    <col min="16" max="16" width="11.5703125" hidden="1" customWidth="1"/>
  </cols>
  <sheetData>
    <row r="3" spans="2:17" ht="15.75" customHeight="1" x14ac:dyDescent="0.25">
      <c r="B3" s="263" t="s">
        <v>142</v>
      </c>
      <c r="C3" s="266">
        <v>2018</v>
      </c>
      <c r="D3" s="267"/>
      <c r="E3" s="270" t="s">
        <v>143</v>
      </c>
      <c r="F3" s="271"/>
      <c r="G3" s="271"/>
      <c r="H3" s="271"/>
      <c r="I3" s="271"/>
      <c r="J3" s="272"/>
    </row>
    <row r="4" spans="2:17" ht="15.75" customHeight="1" x14ac:dyDescent="0.25">
      <c r="B4" s="264"/>
      <c r="C4" s="268"/>
      <c r="D4" s="269"/>
      <c r="E4" s="273">
        <v>2019</v>
      </c>
      <c r="F4" s="274"/>
      <c r="G4" s="273">
        <v>2020</v>
      </c>
      <c r="H4" s="275"/>
      <c r="I4" s="274"/>
      <c r="J4" s="184">
        <v>2021</v>
      </c>
    </row>
    <row r="5" spans="2:17" ht="110.25" x14ac:dyDescent="0.25">
      <c r="B5" s="265"/>
      <c r="C5" s="183" t="s">
        <v>144</v>
      </c>
      <c r="D5" s="183" t="s">
        <v>145</v>
      </c>
      <c r="E5" s="183" t="s">
        <v>146</v>
      </c>
      <c r="F5" s="183" t="s">
        <v>147</v>
      </c>
      <c r="G5" s="183" t="s">
        <v>146</v>
      </c>
      <c r="H5" s="183" t="s">
        <v>170</v>
      </c>
      <c r="I5" s="183" t="s">
        <v>148</v>
      </c>
      <c r="J5" s="183" t="s">
        <v>148</v>
      </c>
    </row>
    <row r="6" spans="2:17" ht="15.75" x14ac:dyDescent="0.25">
      <c r="B6" s="184">
        <v>1</v>
      </c>
      <c r="C6" s="185">
        <v>2</v>
      </c>
      <c r="D6" s="185">
        <v>3</v>
      </c>
      <c r="E6" s="185">
        <v>4</v>
      </c>
      <c r="F6" s="185">
        <v>5</v>
      </c>
      <c r="G6" s="185">
        <v>6</v>
      </c>
      <c r="H6" s="185"/>
      <c r="I6" s="185">
        <v>7</v>
      </c>
      <c r="J6" s="185">
        <v>8</v>
      </c>
    </row>
    <row r="7" spans="2:17" ht="31.5" x14ac:dyDescent="0.25">
      <c r="B7" s="190" t="s">
        <v>178</v>
      </c>
      <c r="C7" s="262">
        <v>1966</v>
      </c>
      <c r="D7" s="262"/>
      <c r="E7" s="262">
        <v>2695</v>
      </c>
      <c r="F7" s="262"/>
      <c r="G7" s="262">
        <v>2839</v>
      </c>
      <c r="H7" s="262"/>
      <c r="I7" s="262"/>
      <c r="J7" s="193">
        <v>2992</v>
      </c>
      <c r="N7">
        <f>E7-C7</f>
        <v>729</v>
      </c>
      <c r="O7">
        <f>G7-E7</f>
        <v>144</v>
      </c>
      <c r="P7">
        <f>J7-G7</f>
        <v>153</v>
      </c>
    </row>
    <row r="8" spans="2:17" ht="15.75" x14ac:dyDescent="0.25">
      <c r="B8" s="182" t="s">
        <v>149</v>
      </c>
      <c r="C8" s="115"/>
      <c r="D8" s="115"/>
      <c r="E8" s="115"/>
      <c r="F8" s="115"/>
      <c r="G8" s="115"/>
      <c r="H8" s="115"/>
      <c r="I8" s="115"/>
      <c r="J8" s="115"/>
      <c r="L8" t="s">
        <v>171</v>
      </c>
    </row>
    <row r="9" spans="2:17" ht="63" x14ac:dyDescent="0.25">
      <c r="B9" s="187" t="s">
        <v>150</v>
      </c>
      <c r="C9" s="173">
        <f t="shared" ref="C9" si="0">C10+C11+C12+C13+C14</f>
        <v>0</v>
      </c>
      <c r="D9" s="173"/>
      <c r="E9" s="173"/>
      <c r="F9" s="173"/>
      <c r="G9" s="173"/>
      <c r="H9" s="173"/>
      <c r="I9" s="173"/>
      <c r="J9" s="173"/>
      <c r="L9" s="191">
        <f>D9/C7</f>
        <v>0</v>
      </c>
      <c r="M9" s="192"/>
      <c r="N9" s="38">
        <f>L9*N7</f>
        <v>0</v>
      </c>
      <c r="O9" s="38">
        <f>L9*O7</f>
        <v>0</v>
      </c>
      <c r="P9" s="38"/>
      <c r="Q9" s="38"/>
    </row>
    <row r="10" spans="2:17" ht="15.75" x14ac:dyDescent="0.25">
      <c r="B10" s="186" t="s">
        <v>75</v>
      </c>
      <c r="C10" s="115"/>
      <c r="D10" s="74"/>
      <c r="E10" s="74"/>
      <c r="F10" s="74"/>
      <c r="G10" s="74"/>
      <c r="H10" s="74"/>
      <c r="I10" s="74"/>
      <c r="J10" s="74"/>
    </row>
    <row r="11" spans="2:17" ht="15.75" x14ac:dyDescent="0.25">
      <c r="B11" s="186" t="s">
        <v>76</v>
      </c>
      <c r="C11" s="115"/>
      <c r="D11" s="74"/>
      <c r="E11" s="74"/>
      <c r="F11" s="74"/>
      <c r="G11" s="74"/>
      <c r="H11" s="74"/>
      <c r="I11" s="74"/>
      <c r="J11" s="74"/>
    </row>
    <row r="12" spans="2:17" ht="15.75" x14ac:dyDescent="0.25">
      <c r="B12" s="186" t="s">
        <v>77</v>
      </c>
      <c r="C12" s="115"/>
      <c r="D12" s="74"/>
      <c r="E12" s="74"/>
      <c r="F12" s="74"/>
      <c r="G12" s="74"/>
      <c r="H12" s="74"/>
      <c r="I12" s="74"/>
      <c r="J12" s="74"/>
    </row>
    <row r="13" spans="2:17" ht="15.75" x14ac:dyDescent="0.25">
      <c r="B13" s="186" t="s">
        <v>110</v>
      </c>
      <c r="C13" s="115"/>
      <c r="D13" s="74"/>
      <c r="E13" s="74"/>
      <c r="F13" s="74"/>
      <c r="G13" s="74"/>
      <c r="H13" s="74"/>
      <c r="I13" s="74"/>
      <c r="J13" s="74"/>
    </row>
    <row r="14" spans="2:17" ht="15.75" x14ac:dyDescent="0.25">
      <c r="B14" s="186" t="s">
        <v>151</v>
      </c>
      <c r="C14" s="115"/>
      <c r="D14" s="115"/>
      <c r="E14" s="115"/>
      <c r="F14" s="74"/>
      <c r="G14" s="115"/>
      <c r="H14" s="115"/>
      <c r="I14" s="115"/>
      <c r="J14" s="115"/>
      <c r="L14" s="115" t="s">
        <v>74</v>
      </c>
      <c r="M14" s="115"/>
      <c r="N14" s="115">
        <v>2018</v>
      </c>
      <c r="O14" s="115">
        <v>2019</v>
      </c>
      <c r="P14" s="115">
        <v>2020</v>
      </c>
    </row>
    <row r="15" spans="2:17" ht="15.75" x14ac:dyDescent="0.25">
      <c r="B15" s="182" t="s">
        <v>152</v>
      </c>
      <c r="C15" s="115"/>
      <c r="D15" s="115"/>
      <c r="E15" s="115"/>
      <c r="F15" s="115"/>
      <c r="G15" s="115"/>
      <c r="H15" s="115"/>
      <c r="I15" s="115"/>
      <c r="J15" s="115"/>
      <c r="L15" s="115" t="s">
        <v>75</v>
      </c>
      <c r="M15" s="115">
        <v>1966</v>
      </c>
      <c r="N15" s="74">
        <v>3635545</v>
      </c>
      <c r="O15" s="74">
        <v>3635545</v>
      </c>
      <c r="P15" s="74">
        <v>3635545</v>
      </c>
    </row>
    <row r="16" spans="2:17" ht="15.75" x14ac:dyDescent="0.25">
      <c r="B16" s="182" t="s">
        <v>153</v>
      </c>
      <c r="C16" s="115"/>
      <c r="D16" s="115"/>
      <c r="E16" s="115"/>
      <c r="F16" s="115"/>
      <c r="G16" s="115"/>
      <c r="H16" s="115"/>
      <c r="I16" s="115"/>
      <c r="J16" s="115"/>
      <c r="M16">
        <v>2695</v>
      </c>
      <c r="O16" s="38">
        <v>4523277</v>
      </c>
      <c r="P16" s="38">
        <v>4523277</v>
      </c>
    </row>
    <row r="17" spans="2:16" ht="15.75" x14ac:dyDescent="0.25">
      <c r="B17" s="182" t="s">
        <v>154</v>
      </c>
      <c r="C17" s="115"/>
      <c r="D17" s="115"/>
      <c r="E17" s="115"/>
      <c r="F17" s="115"/>
      <c r="G17" s="115"/>
      <c r="H17" s="115"/>
      <c r="I17" s="115"/>
      <c r="J17" s="115"/>
      <c r="L17" t="s">
        <v>172</v>
      </c>
      <c r="M17" s="207">
        <v>2839</v>
      </c>
      <c r="O17" s="38"/>
      <c r="P17" s="65">
        <v>2686509</v>
      </c>
    </row>
    <row r="18" spans="2:16" ht="15.75" x14ac:dyDescent="0.25">
      <c r="B18" s="182" t="s">
        <v>155</v>
      </c>
      <c r="C18" s="173">
        <f t="shared" ref="C18" si="1">C19+C20+C21+C22+C23</f>
        <v>0</v>
      </c>
      <c r="D18" s="173">
        <f t="shared" ref="D18" si="2">D19+D20+D21+D22+D23</f>
        <v>41968233.590946242</v>
      </c>
      <c r="E18" s="173">
        <f>E19+E20+E21+E22+E23</f>
        <v>0</v>
      </c>
      <c r="F18" s="173">
        <f t="shared" ref="F18" si="3">F19+F20+F21+F22+F23</f>
        <v>9379463.2361947596</v>
      </c>
      <c r="G18" s="173">
        <f t="shared" ref="G18:H18" si="4">G19+G20+G21+G22+G23</f>
        <v>0</v>
      </c>
      <c r="H18" s="173">
        <f t="shared" si="4"/>
        <v>5432930.6364000002</v>
      </c>
      <c r="I18" s="173">
        <f t="shared" ref="I18" si="5">I19+I20+I21+I22+I23</f>
        <v>2614317.3266518014</v>
      </c>
      <c r="J18" s="173">
        <f t="shared" ref="J18" si="6">J19+J20+J21+J22+J23</f>
        <v>2256207.0578621961</v>
      </c>
      <c r="L18" t="s">
        <v>173</v>
      </c>
      <c r="M18" s="207"/>
      <c r="O18" s="38"/>
      <c r="P18" s="38">
        <v>1266190</v>
      </c>
    </row>
    <row r="19" spans="2:16" ht="15.75" x14ac:dyDescent="0.25">
      <c r="B19" s="186" t="s">
        <v>75</v>
      </c>
      <c r="C19" s="115"/>
      <c r="D19" s="74">
        <f>'2019 gads'!K57</f>
        <v>20978214.892412633</v>
      </c>
      <c r="E19" s="74"/>
      <c r="F19" s="74">
        <f>'2019 gads'!M57+'2019 gads'!N57</f>
        <v>4307645.6948121609</v>
      </c>
      <c r="G19" s="74"/>
      <c r="H19" s="74">
        <f>'2019 gads'!E108</f>
        <v>2686509</v>
      </c>
      <c r="I19" s="74">
        <f>'2020 gads'!K59</f>
        <v>1282279.2598712009</v>
      </c>
      <c r="J19" s="74">
        <f>'2021 gads'!K60</f>
        <v>1113242.4795085988</v>
      </c>
      <c r="O19" s="38"/>
      <c r="P19" s="38"/>
    </row>
    <row r="20" spans="2:16" ht="15.75" x14ac:dyDescent="0.25">
      <c r="B20" s="186" t="s">
        <v>76</v>
      </c>
      <c r="C20" s="115"/>
      <c r="D20" s="74">
        <f>'2019 gads'!K65</f>
        <v>2498443.0202903999</v>
      </c>
      <c r="E20" s="74"/>
      <c r="F20" s="74">
        <f>'2019 gads'!M65+'2019 gads'!N65</f>
        <v>361070.66654700023</v>
      </c>
      <c r="G20" s="74"/>
      <c r="H20" s="74">
        <f>'2019 gads'!E109</f>
        <v>355843.07299999997</v>
      </c>
      <c r="I20" s="74">
        <f>'2020 gads'!K67</f>
        <v>148938.46905860025</v>
      </c>
      <c r="J20" s="74">
        <f>'2021 gads'!K68</f>
        <v>126058.38258859985</v>
      </c>
      <c r="O20" s="38"/>
      <c r="P20" s="38"/>
    </row>
    <row r="21" spans="2:16" ht="15.75" x14ac:dyDescent="0.25">
      <c r="B21" s="186" t="s">
        <v>77</v>
      </c>
      <c r="C21" s="115"/>
      <c r="D21" s="74">
        <f>'2019 gads'!K69</f>
        <v>451425.32337599993</v>
      </c>
      <c r="E21" s="74"/>
      <c r="F21" s="74">
        <f>'2019 gads'!M69+'2019 gads'!N69</f>
        <v>80828.982287399995</v>
      </c>
      <c r="G21" s="74"/>
      <c r="H21" s="74">
        <f>'2019 gads'!E110</f>
        <v>55093</v>
      </c>
      <c r="I21" s="74">
        <f>'2020 gads'!K71</f>
        <v>36565.617672600041</v>
      </c>
      <c r="J21" s="74">
        <f>'2021 gads'!K72</f>
        <v>23834.355942599999</v>
      </c>
      <c r="O21" s="38"/>
      <c r="P21" s="38"/>
    </row>
    <row r="22" spans="2:16" ht="15.75" x14ac:dyDescent="0.25">
      <c r="B22" s="186" t="s">
        <v>110</v>
      </c>
      <c r="C22" s="115"/>
      <c r="D22" s="74">
        <f>'2019 gads'!K97</f>
        <v>18040150.354867205</v>
      </c>
      <c r="E22" s="74"/>
      <c r="F22" s="74">
        <f>'2019 gads'!M97+'2019 gads'!N97</f>
        <v>4629917.8925481979</v>
      </c>
      <c r="G22" s="74"/>
      <c r="H22" s="74">
        <f>'2019 gads'!E111</f>
        <v>2335485.5634000003</v>
      </c>
      <c r="I22" s="74">
        <f>'2020 gads'!K100</f>
        <v>1146533.9800494004</v>
      </c>
      <c r="J22" s="74">
        <f>'2021 gads'!K100</f>
        <v>993071.83982239733</v>
      </c>
    </row>
    <row r="23" spans="2:16" ht="15.75" x14ac:dyDescent="0.25">
      <c r="B23" s="186" t="s">
        <v>151</v>
      </c>
      <c r="C23" s="115"/>
      <c r="D23" s="115"/>
      <c r="E23" s="115"/>
      <c r="F23" s="74"/>
      <c r="G23" s="115"/>
      <c r="H23" s="115"/>
      <c r="I23" s="115"/>
      <c r="J23" s="115"/>
    </row>
    <row r="24" spans="2:16" ht="15.75" x14ac:dyDescent="0.25">
      <c r="B24" s="182" t="s">
        <v>156</v>
      </c>
      <c r="C24" s="115"/>
      <c r="D24" s="115"/>
      <c r="E24" s="115"/>
      <c r="F24" s="115"/>
      <c r="G24" s="115"/>
      <c r="H24" s="115"/>
      <c r="I24" s="115"/>
      <c r="J24" s="115"/>
    </row>
    <row r="25" spans="2:16" ht="15.75" x14ac:dyDescent="0.25">
      <c r="B25" s="182" t="s">
        <v>157</v>
      </c>
      <c r="C25" s="115"/>
      <c r="D25" s="115"/>
      <c r="E25" s="115"/>
      <c r="F25" s="115"/>
      <c r="G25" s="115"/>
      <c r="H25" s="115"/>
      <c r="I25" s="115"/>
      <c r="J25" s="115"/>
    </row>
    <row r="26" spans="2:16" ht="15.75" x14ac:dyDescent="0.25">
      <c r="B26" s="182" t="s">
        <v>158</v>
      </c>
      <c r="C26" s="115"/>
      <c r="D26" s="115"/>
      <c r="E26" s="115"/>
      <c r="F26" s="115"/>
      <c r="G26" s="115"/>
      <c r="H26" s="115"/>
      <c r="I26" s="115"/>
      <c r="J26" s="115"/>
      <c r="L26" s="115" t="s">
        <v>76</v>
      </c>
      <c r="M26" s="115"/>
      <c r="N26" s="74">
        <v>0</v>
      </c>
      <c r="O26" s="74">
        <v>542787</v>
      </c>
      <c r="P26" s="65">
        <v>355843.07299999997</v>
      </c>
    </row>
    <row r="27" spans="2:16" ht="15.75" x14ac:dyDescent="0.25">
      <c r="B27" s="182" t="s">
        <v>159</v>
      </c>
      <c r="C27" s="115"/>
      <c r="D27" s="115"/>
      <c r="E27" s="115"/>
      <c r="F27" s="115"/>
      <c r="G27" s="115"/>
      <c r="H27" s="115"/>
      <c r="I27" s="115"/>
      <c r="J27" s="115"/>
    </row>
    <row r="28" spans="2:16" ht="15.75" x14ac:dyDescent="0.25">
      <c r="B28" s="182" t="s">
        <v>160</v>
      </c>
      <c r="C28" s="115"/>
      <c r="D28" s="115"/>
      <c r="E28" s="115"/>
      <c r="F28" s="115"/>
      <c r="G28" s="115"/>
      <c r="H28" s="115"/>
      <c r="I28" s="115"/>
      <c r="J28" s="115"/>
    </row>
    <row r="29" spans="2:16" ht="78.75" x14ac:dyDescent="0.25">
      <c r="B29" s="182" t="s">
        <v>161</v>
      </c>
      <c r="C29" s="115"/>
      <c r="D29" s="115"/>
      <c r="E29" s="115"/>
      <c r="F29" s="115"/>
      <c r="G29" s="115"/>
      <c r="H29" s="115"/>
      <c r="I29" s="115"/>
      <c r="J29" s="115"/>
      <c r="L29" s="115" t="s">
        <v>77</v>
      </c>
      <c r="M29" s="115"/>
      <c r="N29" s="74">
        <v>68429</v>
      </c>
      <c r="O29" s="74">
        <v>68429</v>
      </c>
      <c r="P29" s="65">
        <v>55093</v>
      </c>
    </row>
    <row r="30" spans="2:16" ht="15.75" x14ac:dyDescent="0.25">
      <c r="B30" s="182" t="s">
        <v>162</v>
      </c>
      <c r="C30" s="115"/>
      <c r="D30" s="115"/>
      <c r="E30" s="115"/>
      <c r="F30" s="115"/>
      <c r="G30" s="115"/>
      <c r="H30" s="115"/>
      <c r="I30" s="115"/>
      <c r="J30" s="115"/>
      <c r="L30" s="115" t="s">
        <v>78</v>
      </c>
      <c r="M30" s="115"/>
      <c r="N30" s="74">
        <v>3204432</v>
      </c>
      <c r="O30" s="74">
        <v>3204432</v>
      </c>
      <c r="P30" s="65">
        <v>2335485.5634000003</v>
      </c>
    </row>
    <row r="31" spans="2:16" ht="15.75" x14ac:dyDescent="0.25">
      <c r="B31" s="182" t="s">
        <v>163</v>
      </c>
      <c r="C31" s="115"/>
      <c r="D31" s="115"/>
      <c r="E31" s="115"/>
      <c r="F31" s="115"/>
      <c r="G31" s="115"/>
      <c r="H31" s="115"/>
      <c r="I31" s="115"/>
      <c r="J31" s="115"/>
      <c r="L31" s="115" t="s">
        <v>79</v>
      </c>
      <c r="M31" s="115"/>
      <c r="N31" s="74">
        <f>SUM(N15:N30)</f>
        <v>6908406</v>
      </c>
      <c r="O31" s="74">
        <f>SUM(O15:O30)</f>
        <v>11974470</v>
      </c>
      <c r="P31" s="74">
        <v>5432930</v>
      </c>
    </row>
    <row r="32" spans="2:16" ht="15.75" x14ac:dyDescent="0.25">
      <c r="B32" s="182" t="s">
        <v>164</v>
      </c>
      <c r="C32" s="115"/>
      <c r="D32" s="115"/>
      <c r="E32" s="115"/>
      <c r="F32" s="115"/>
      <c r="G32" s="115"/>
      <c r="H32" s="115"/>
      <c r="I32" s="115"/>
      <c r="J32" s="115"/>
      <c r="L32" s="116" t="s">
        <v>80</v>
      </c>
      <c r="M32" s="116"/>
      <c r="N32" s="117">
        <v>1966</v>
      </c>
      <c r="O32" s="117">
        <v>1966</v>
      </c>
      <c r="P32" s="117">
        <v>2202</v>
      </c>
    </row>
    <row r="33" spans="2:10" ht="15.75" x14ac:dyDescent="0.25">
      <c r="B33" s="182" t="s">
        <v>165</v>
      </c>
      <c r="C33" s="115"/>
      <c r="D33" s="115"/>
      <c r="E33" s="115"/>
      <c r="F33" s="115"/>
      <c r="G33" s="115"/>
      <c r="H33" s="115"/>
      <c r="I33" s="115"/>
      <c r="J33" s="115"/>
    </row>
    <row r="34" spans="2:10" ht="94.5" x14ac:dyDescent="0.25">
      <c r="B34" s="182" t="s">
        <v>166</v>
      </c>
      <c r="C34" s="115"/>
      <c r="D34" s="115"/>
      <c r="E34" s="115"/>
      <c r="F34" s="115"/>
      <c r="G34" s="115"/>
      <c r="H34" s="115"/>
      <c r="I34" s="115"/>
      <c r="J34" s="115"/>
    </row>
    <row r="35" spans="2:10" ht="31.5" x14ac:dyDescent="0.25">
      <c r="B35" s="182" t="s">
        <v>167</v>
      </c>
      <c r="C35" s="115"/>
      <c r="D35" s="115"/>
      <c r="E35" s="115"/>
      <c r="F35" s="115"/>
      <c r="G35" s="115"/>
      <c r="H35" s="115"/>
      <c r="I35" s="115"/>
      <c r="J35" s="115"/>
    </row>
    <row r="36" spans="2:10" ht="31.5" x14ac:dyDescent="0.25">
      <c r="B36" s="182" t="s">
        <v>168</v>
      </c>
      <c r="C36" s="115"/>
      <c r="D36" s="115"/>
      <c r="E36" s="115"/>
      <c r="F36" s="115"/>
      <c r="G36" s="115"/>
      <c r="H36" s="115"/>
      <c r="I36" s="115"/>
      <c r="J36" s="115"/>
    </row>
  </sheetData>
  <mergeCells count="9">
    <mergeCell ref="M17:M18"/>
    <mergeCell ref="E7:F7"/>
    <mergeCell ref="C7:D7"/>
    <mergeCell ref="G7:I7"/>
    <mergeCell ref="B3:B5"/>
    <mergeCell ref="C3:D4"/>
    <mergeCell ref="E3:J3"/>
    <mergeCell ref="E4:F4"/>
    <mergeCell ref="G4:I4"/>
  </mergeCells>
  <pageMargins left="0" right="0" top="0.15748031496062992" bottom="0.35433070866141736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2019 gads</vt:lpstr>
      <vt:lpstr>2020 gads</vt:lpstr>
      <vt:lpstr>2021 gads</vt:lpstr>
      <vt:lpstr>kopsavilkums finanses</vt:lpstr>
      <vt:lpstr>anotācija excel_word</vt:lpstr>
      <vt:lpstr>'2019 gads'!Print_Area</vt:lpstr>
      <vt:lpstr>'2020 gads'!Print_Area</vt:lpstr>
      <vt:lpstr>'2021 gads'!Print_Area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Ruškule</dc:creator>
  <cp:lastModifiedBy>Laila Ruškule</cp:lastModifiedBy>
  <cp:lastPrinted>2018-10-21T07:44:33Z</cp:lastPrinted>
  <dcterms:created xsi:type="dcterms:W3CDTF">2018-08-13T06:46:11Z</dcterms:created>
  <dcterms:modified xsi:type="dcterms:W3CDTF">2018-10-21T08:47:32Z</dcterms:modified>
</cp:coreProperties>
</file>