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Laila\Tieslietas un tiesneši\Valsts kanceleja\Darba grupas sedem_tMP_tiesnesi\Likumprojekta anotacija\anotacijai pec 3 oct sedes\5oct_gala anotacija\"/>
    </mc:Choice>
  </mc:AlternateContent>
  <workbookProtection workbookAlgorithmName="SHA-512" workbookHashValue="68kKBfWIm3uAg9hnpz1IXLL9dRSPKoMTabQJHk/zfXlTHgcl/Xpzs1VsrHP1kzS1OQETYo1eq+xOEfOT0oCGkw==" workbookSaltValue="Zv5D76olrCsAbz2BcpFIPQ==" workbookSpinCount="100000" lockStructure="1"/>
  <bookViews>
    <workbookView xWindow="0" yWindow="0" windowWidth="25200" windowHeight="11340"/>
  </bookViews>
  <sheets>
    <sheet name="Valdība un saeimas ieceltie2019" sheetId="1" r:id="rId1"/>
    <sheet name="Valdiba un saeima ieceltie2020" sheetId="2" r:id="rId2"/>
    <sheet name="valdiba un saeimas ieceltie2021" sheetId="3" r:id="rId3"/>
    <sheet name="kopsavilkums 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2" l="1"/>
  <c r="N38" i="2"/>
  <c r="N39" i="2"/>
  <c r="N40" i="2"/>
  <c r="N41" i="2"/>
  <c r="N42" i="2"/>
  <c r="N37" i="2"/>
  <c r="N36" i="2"/>
  <c r="N35" i="2"/>
  <c r="N34" i="2"/>
  <c r="N32" i="2"/>
  <c r="N33" i="2"/>
  <c r="N31" i="2"/>
  <c r="N30" i="2"/>
  <c r="N29" i="2"/>
  <c r="N28" i="2"/>
  <c r="O23" i="2"/>
  <c r="O24" i="2"/>
  <c r="O25" i="2"/>
  <c r="O26" i="2"/>
  <c r="O27" i="2"/>
  <c r="O22" i="2"/>
  <c r="O21" i="2"/>
  <c r="N23" i="2"/>
  <c r="N24" i="2"/>
  <c r="N25" i="2"/>
  <c r="N26" i="2"/>
  <c r="N27" i="2"/>
  <c r="N22" i="2"/>
  <c r="N21" i="2"/>
  <c r="N10" i="2"/>
  <c r="N11" i="2"/>
  <c r="N12" i="2"/>
  <c r="N13" i="2"/>
  <c r="N14" i="2"/>
  <c r="N15" i="2"/>
  <c r="N16" i="2"/>
  <c r="N17" i="2"/>
  <c r="N18" i="2"/>
  <c r="N19" i="2"/>
  <c r="N9" i="2"/>
  <c r="N8" i="2"/>
  <c r="N7" i="2"/>
  <c r="S34" i="3"/>
  <c r="N8" i="3"/>
  <c r="D19" i="4" l="1"/>
  <c r="E19" i="4"/>
  <c r="F19" i="4"/>
  <c r="G19" i="4"/>
  <c r="H19" i="4"/>
  <c r="I19" i="4"/>
  <c r="J19" i="4"/>
  <c r="K19" i="4"/>
  <c r="L19" i="4"/>
  <c r="M19" i="4"/>
  <c r="N19" i="4"/>
  <c r="C19" i="4"/>
  <c r="L14" i="4" l="1"/>
  <c r="L16" i="4" s="1"/>
  <c r="M14" i="4"/>
  <c r="M16" i="4" s="1"/>
  <c r="N14" i="4"/>
  <c r="N16" i="4" s="1"/>
  <c r="K14" i="4"/>
  <c r="K16" i="4" s="1"/>
  <c r="L11" i="4"/>
  <c r="M11" i="4"/>
  <c r="N11" i="4"/>
  <c r="K11" i="4"/>
  <c r="D6" i="4"/>
  <c r="E6" i="4"/>
  <c r="F6" i="4"/>
  <c r="C6" i="4"/>
  <c r="M6" i="4" l="1"/>
  <c r="M8" i="4" s="1"/>
  <c r="E18" i="4"/>
  <c r="E20" i="4" s="1"/>
  <c r="G6" i="4"/>
  <c r="G8" i="4" s="1"/>
  <c r="C8" i="4"/>
  <c r="C18" i="4"/>
  <c r="C20" i="4" s="1"/>
  <c r="F8" i="4"/>
  <c r="F18" i="4"/>
  <c r="F20" i="4" s="1"/>
  <c r="D8" i="4"/>
  <c r="D18" i="4"/>
  <c r="D20" i="4" s="1"/>
  <c r="K6" i="4"/>
  <c r="K8" i="4" s="1"/>
  <c r="J6" i="4"/>
  <c r="J8" i="4" s="1"/>
  <c r="N6" i="4"/>
  <c r="N8" i="4" s="1"/>
  <c r="E8" i="4"/>
  <c r="I6" i="4"/>
  <c r="I8" i="4" s="1"/>
  <c r="H6" i="4"/>
  <c r="H8" i="4" s="1"/>
  <c r="L6" i="4"/>
  <c r="L8" i="4" s="1"/>
  <c r="N46" i="3"/>
  <c r="N45" i="3"/>
  <c r="N44" i="3"/>
  <c r="N39" i="3"/>
  <c r="N40" i="3"/>
  <c r="N41" i="3"/>
  <c r="N42" i="3"/>
  <c r="S42" i="3" s="1"/>
  <c r="N43" i="3"/>
  <c r="N38" i="3"/>
  <c r="N37" i="3"/>
  <c r="N36" i="3"/>
  <c r="N35" i="3"/>
  <c r="S35" i="3" s="1"/>
  <c r="N33" i="3"/>
  <c r="N34" i="3"/>
  <c r="N32" i="3"/>
  <c r="N31" i="3"/>
  <c r="Q31" i="3" s="1"/>
  <c r="N30" i="3"/>
  <c r="N29" i="3"/>
  <c r="S29" i="3" s="1"/>
  <c r="O24" i="3"/>
  <c r="O25" i="3"/>
  <c r="O26" i="3"/>
  <c r="O27" i="3"/>
  <c r="O28" i="3"/>
  <c r="O23" i="3"/>
  <c r="O22" i="3"/>
  <c r="N24" i="3"/>
  <c r="N25" i="3"/>
  <c r="N26" i="3"/>
  <c r="N27" i="3"/>
  <c r="N28" i="3"/>
  <c r="N23" i="3"/>
  <c r="N22" i="3"/>
  <c r="N11" i="3"/>
  <c r="N12" i="3"/>
  <c r="N13" i="3"/>
  <c r="N14" i="3"/>
  <c r="Q14" i="3" s="1"/>
  <c r="N15" i="3"/>
  <c r="N16" i="3"/>
  <c r="N17" i="3"/>
  <c r="N18" i="3"/>
  <c r="S18" i="3" s="1"/>
  <c r="N19" i="3"/>
  <c r="N20" i="3"/>
  <c r="N10" i="3"/>
  <c r="N9" i="3"/>
  <c r="C50" i="3"/>
  <c r="P47" i="3"/>
  <c r="S46" i="3"/>
  <c r="J46" i="3"/>
  <c r="F46" i="3"/>
  <c r="S45" i="3"/>
  <c r="Q45" i="3"/>
  <c r="J45" i="3"/>
  <c r="F45" i="3"/>
  <c r="S44" i="3"/>
  <c r="J44" i="3"/>
  <c r="F44" i="3"/>
  <c r="S43" i="3"/>
  <c r="Q43" i="3"/>
  <c r="J43" i="3"/>
  <c r="F43" i="3"/>
  <c r="J42" i="3"/>
  <c r="F42" i="3"/>
  <c r="S41" i="3"/>
  <c r="Q41" i="3"/>
  <c r="J41" i="3"/>
  <c r="F41" i="3"/>
  <c r="S40" i="3"/>
  <c r="J40" i="3"/>
  <c r="F40" i="3"/>
  <c r="S39" i="3"/>
  <c r="Q39" i="3"/>
  <c r="J39" i="3"/>
  <c r="F39" i="3"/>
  <c r="S38" i="3"/>
  <c r="J38" i="3"/>
  <c r="L38" i="3" s="1"/>
  <c r="F38" i="3"/>
  <c r="S37" i="3"/>
  <c r="Q37" i="3"/>
  <c r="J37" i="3"/>
  <c r="L37" i="3" s="1"/>
  <c r="F37" i="3"/>
  <c r="S36" i="3"/>
  <c r="J36" i="3"/>
  <c r="F36" i="3"/>
  <c r="J35" i="3"/>
  <c r="F35" i="3"/>
  <c r="J34" i="3"/>
  <c r="F34" i="3"/>
  <c r="S33" i="3"/>
  <c r="Q33" i="3"/>
  <c r="J33" i="3"/>
  <c r="F33" i="3"/>
  <c r="S32" i="3"/>
  <c r="J32" i="3"/>
  <c r="F32" i="3"/>
  <c r="S31" i="3"/>
  <c r="J31" i="3"/>
  <c r="L31" i="3" s="1"/>
  <c r="F31" i="3"/>
  <c r="S30" i="3"/>
  <c r="J30" i="3"/>
  <c r="F30" i="3"/>
  <c r="Q29" i="3"/>
  <c r="J29" i="3"/>
  <c r="L29" i="3" s="1"/>
  <c r="F29" i="3"/>
  <c r="Q28" i="3"/>
  <c r="S28" i="3"/>
  <c r="K28" i="3"/>
  <c r="M28" i="3" s="1"/>
  <c r="J28" i="3"/>
  <c r="F28" i="3"/>
  <c r="H28" i="3" s="1"/>
  <c r="J27" i="3"/>
  <c r="F27" i="3"/>
  <c r="H27" i="3" s="1"/>
  <c r="Q26" i="3"/>
  <c r="S26" i="3"/>
  <c r="J26" i="3"/>
  <c r="K26" i="3" s="1"/>
  <c r="F26" i="3"/>
  <c r="H26" i="3" s="1"/>
  <c r="S25" i="3"/>
  <c r="Q25" i="3"/>
  <c r="J25" i="3"/>
  <c r="F25" i="3"/>
  <c r="H25" i="3" s="1"/>
  <c r="Q24" i="3"/>
  <c r="S24" i="3"/>
  <c r="J24" i="3"/>
  <c r="K24" i="3" s="1"/>
  <c r="F24" i="3"/>
  <c r="H24" i="3" s="1"/>
  <c r="S23" i="3"/>
  <c r="Q23" i="3"/>
  <c r="J23" i="3"/>
  <c r="F23" i="3"/>
  <c r="H23" i="3" s="1"/>
  <c r="O47" i="3"/>
  <c r="S22" i="3"/>
  <c r="J22" i="3"/>
  <c r="K22" i="3" s="1"/>
  <c r="F22" i="3"/>
  <c r="H22" i="3" s="1"/>
  <c r="S20" i="3"/>
  <c r="Q20" i="3"/>
  <c r="J20" i="3"/>
  <c r="F20" i="3"/>
  <c r="S19" i="3"/>
  <c r="J19" i="3"/>
  <c r="F19" i="3"/>
  <c r="J18" i="3"/>
  <c r="F18" i="3"/>
  <c r="S17" i="3"/>
  <c r="J17" i="3"/>
  <c r="F17" i="3"/>
  <c r="L17" i="3" s="1"/>
  <c r="S16" i="3"/>
  <c r="Q16" i="3"/>
  <c r="J16" i="3"/>
  <c r="F16" i="3"/>
  <c r="S15" i="3"/>
  <c r="J15" i="3"/>
  <c r="F15" i="3"/>
  <c r="L15" i="3" s="1"/>
  <c r="S14" i="3"/>
  <c r="J14" i="3"/>
  <c r="F14" i="3"/>
  <c r="S13" i="3"/>
  <c r="J13" i="3"/>
  <c r="F13" i="3"/>
  <c r="S12" i="3"/>
  <c r="Q12" i="3"/>
  <c r="J12" i="3"/>
  <c r="F12" i="3"/>
  <c r="S11" i="3"/>
  <c r="J11" i="3"/>
  <c r="F11" i="3"/>
  <c r="L11" i="3" s="1"/>
  <c r="S10" i="3"/>
  <c r="Q10" i="3"/>
  <c r="J10" i="3"/>
  <c r="F10" i="3"/>
  <c r="S9" i="3"/>
  <c r="J9" i="3"/>
  <c r="F9" i="3"/>
  <c r="L9" i="3" s="1"/>
  <c r="S8" i="3"/>
  <c r="Q8" i="3"/>
  <c r="J8" i="3"/>
  <c r="F8" i="3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28" i="2"/>
  <c r="N45" i="2"/>
  <c r="N43" i="2"/>
  <c r="Q41" i="2"/>
  <c r="S13" i="2"/>
  <c r="S17" i="2"/>
  <c r="S8" i="2"/>
  <c r="S22" i="2"/>
  <c r="S23" i="2"/>
  <c r="S24" i="2"/>
  <c r="S25" i="2"/>
  <c r="S27" i="2"/>
  <c r="S21" i="2"/>
  <c r="S9" i="2"/>
  <c r="S10" i="2"/>
  <c r="S11" i="2"/>
  <c r="S12" i="2"/>
  <c r="S14" i="2"/>
  <c r="S15" i="2"/>
  <c r="S16" i="2"/>
  <c r="S18" i="2"/>
  <c r="S19" i="2"/>
  <c r="S7" i="2"/>
  <c r="Q15" i="2"/>
  <c r="Q16" i="2"/>
  <c r="C49" i="2"/>
  <c r="P46" i="2"/>
  <c r="I10" i="4" s="1"/>
  <c r="Q45" i="2"/>
  <c r="J45" i="2"/>
  <c r="F45" i="2"/>
  <c r="Q44" i="2"/>
  <c r="J44" i="2"/>
  <c r="F44" i="2"/>
  <c r="Q43" i="2"/>
  <c r="J43" i="2"/>
  <c r="F43" i="2"/>
  <c r="Q42" i="2"/>
  <c r="J42" i="2"/>
  <c r="F42" i="2"/>
  <c r="J41" i="2"/>
  <c r="L41" i="2" s="1"/>
  <c r="F41" i="2"/>
  <c r="Q40" i="2"/>
  <c r="J40" i="2"/>
  <c r="F40" i="2"/>
  <c r="Q39" i="2"/>
  <c r="J39" i="2"/>
  <c r="F39" i="2"/>
  <c r="Q38" i="2"/>
  <c r="J38" i="2"/>
  <c r="F38" i="2"/>
  <c r="Q37" i="2"/>
  <c r="J37" i="2"/>
  <c r="F37" i="2"/>
  <c r="Q36" i="2"/>
  <c r="J36" i="2"/>
  <c r="L36" i="2" s="1"/>
  <c r="F36" i="2"/>
  <c r="Q35" i="2"/>
  <c r="J35" i="2"/>
  <c r="F35" i="2"/>
  <c r="Q34" i="2"/>
  <c r="J34" i="2"/>
  <c r="F34" i="2"/>
  <c r="Q33" i="2"/>
  <c r="J33" i="2"/>
  <c r="F33" i="2"/>
  <c r="Q32" i="2"/>
  <c r="J32" i="2"/>
  <c r="F32" i="2"/>
  <c r="Q31" i="2"/>
  <c r="J31" i="2"/>
  <c r="L31" i="2" s="1"/>
  <c r="F31" i="2"/>
  <c r="Q30" i="2"/>
  <c r="J30" i="2"/>
  <c r="L30" i="2" s="1"/>
  <c r="F30" i="2"/>
  <c r="Q29" i="2"/>
  <c r="J29" i="2"/>
  <c r="F29" i="2"/>
  <c r="Q28" i="2"/>
  <c r="J28" i="2"/>
  <c r="F28" i="2"/>
  <c r="Q27" i="2"/>
  <c r="K27" i="2"/>
  <c r="J27" i="2"/>
  <c r="F27" i="2"/>
  <c r="L27" i="2" s="1"/>
  <c r="J26" i="2"/>
  <c r="K26" i="2" s="1"/>
  <c r="F26" i="2"/>
  <c r="H26" i="2" s="1"/>
  <c r="Q25" i="2"/>
  <c r="J25" i="2"/>
  <c r="L25" i="2" s="1"/>
  <c r="F25" i="2"/>
  <c r="H25" i="2" s="1"/>
  <c r="Q24" i="2"/>
  <c r="J24" i="2"/>
  <c r="K24" i="2" s="1"/>
  <c r="F24" i="2"/>
  <c r="H24" i="2" s="1"/>
  <c r="Q23" i="2"/>
  <c r="J23" i="2"/>
  <c r="K23" i="2" s="1"/>
  <c r="H23" i="2"/>
  <c r="F23" i="2"/>
  <c r="Q22" i="2"/>
  <c r="J22" i="2"/>
  <c r="K22" i="2" s="1"/>
  <c r="F22" i="2"/>
  <c r="H22" i="2" s="1"/>
  <c r="Q21" i="2"/>
  <c r="K21" i="2"/>
  <c r="J21" i="2"/>
  <c r="L21" i="2" s="1"/>
  <c r="F21" i="2"/>
  <c r="H21" i="2" s="1"/>
  <c r="Q19" i="2"/>
  <c r="J19" i="2"/>
  <c r="F19" i="2"/>
  <c r="Q18" i="2"/>
  <c r="J18" i="2"/>
  <c r="F18" i="2"/>
  <c r="J17" i="2"/>
  <c r="F17" i="2"/>
  <c r="J16" i="2"/>
  <c r="L16" i="2" s="1"/>
  <c r="F16" i="2"/>
  <c r="J15" i="2"/>
  <c r="F15" i="2"/>
  <c r="Q14" i="2"/>
  <c r="J14" i="2"/>
  <c r="L14" i="2" s="1"/>
  <c r="F14" i="2"/>
  <c r="J13" i="2"/>
  <c r="L13" i="2" s="1"/>
  <c r="F13" i="2"/>
  <c r="Q12" i="2"/>
  <c r="J12" i="2"/>
  <c r="F12" i="2"/>
  <c r="Q11" i="2"/>
  <c r="J11" i="2"/>
  <c r="F11" i="2"/>
  <c r="Q10" i="2"/>
  <c r="J10" i="2"/>
  <c r="L10" i="2" s="1"/>
  <c r="F10" i="2"/>
  <c r="Q9" i="2"/>
  <c r="J9" i="2"/>
  <c r="L9" i="2" s="1"/>
  <c r="F9" i="2"/>
  <c r="Q8" i="2"/>
  <c r="J8" i="2"/>
  <c r="F8" i="2"/>
  <c r="Q7" i="2"/>
  <c r="J7" i="2"/>
  <c r="F7" i="2"/>
  <c r="I12" i="4" l="1"/>
  <c r="I18" i="4"/>
  <c r="I20" i="4" s="1"/>
  <c r="M10" i="4"/>
  <c r="L19" i="3"/>
  <c r="L13" i="3"/>
  <c r="L46" i="3"/>
  <c r="L45" i="3"/>
  <c r="L25" i="3"/>
  <c r="L23" i="3"/>
  <c r="L30" i="3"/>
  <c r="L17" i="2"/>
  <c r="Q35" i="3"/>
  <c r="Q27" i="3"/>
  <c r="S27" i="3"/>
  <c r="N47" i="3"/>
  <c r="Q18" i="3"/>
  <c r="L44" i="3"/>
  <c r="M26" i="3"/>
  <c r="L35" i="3"/>
  <c r="L36" i="3"/>
  <c r="L43" i="3"/>
  <c r="L27" i="3"/>
  <c r="L33" i="3"/>
  <c r="L34" i="3"/>
  <c r="L41" i="3"/>
  <c r="L42" i="3"/>
  <c r="L32" i="3"/>
  <c r="L39" i="3"/>
  <c r="L40" i="3"/>
  <c r="L10" i="3"/>
  <c r="L18" i="3"/>
  <c r="L20" i="3"/>
  <c r="L12" i="3"/>
  <c r="L14" i="3"/>
  <c r="L16" i="3"/>
  <c r="L8" i="3"/>
  <c r="M24" i="3"/>
  <c r="M22" i="3"/>
  <c r="Q9" i="3"/>
  <c r="Q11" i="3"/>
  <c r="Q13" i="3"/>
  <c r="Q15" i="3"/>
  <c r="Q17" i="3"/>
  <c r="Q19" i="3"/>
  <c r="L22" i="3"/>
  <c r="Q22" i="3"/>
  <c r="L24" i="3"/>
  <c r="L26" i="3"/>
  <c r="L28" i="3"/>
  <c r="Q30" i="3"/>
  <c r="Q32" i="3"/>
  <c r="Q34" i="3"/>
  <c r="Q36" i="3"/>
  <c r="Q38" i="3"/>
  <c r="Q40" i="3"/>
  <c r="Q42" i="3"/>
  <c r="Q44" i="3"/>
  <c r="Q46" i="3"/>
  <c r="K23" i="3"/>
  <c r="M23" i="3" s="1"/>
  <c r="K25" i="3"/>
  <c r="M25" i="3" s="1"/>
  <c r="K27" i="3"/>
  <c r="M27" i="3" s="1"/>
  <c r="S26" i="2"/>
  <c r="Q26" i="2"/>
  <c r="Q13" i="2"/>
  <c r="Q17" i="2"/>
  <c r="L45" i="2"/>
  <c r="L40" i="2"/>
  <c r="L29" i="2"/>
  <c r="L35" i="2"/>
  <c r="L33" i="2"/>
  <c r="L38" i="2"/>
  <c r="L39" i="2"/>
  <c r="L44" i="2"/>
  <c r="L34" i="2"/>
  <c r="L32" i="2"/>
  <c r="L37" i="2"/>
  <c r="L42" i="2"/>
  <c r="L43" i="2"/>
  <c r="H27" i="2"/>
  <c r="M21" i="2"/>
  <c r="L8" i="2"/>
  <c r="L18" i="2"/>
  <c r="L12" i="2"/>
  <c r="O46" i="2"/>
  <c r="H10" i="4" s="1"/>
  <c r="L28" i="2"/>
  <c r="K25" i="2"/>
  <c r="M25" i="2" s="1"/>
  <c r="M27" i="2"/>
  <c r="M23" i="2"/>
  <c r="L23" i="2"/>
  <c r="L24" i="2"/>
  <c r="L19" i="2"/>
  <c r="L15" i="2"/>
  <c r="L11" i="2"/>
  <c r="L7" i="2"/>
  <c r="Q46" i="2"/>
  <c r="J10" i="4" s="1"/>
  <c r="M22" i="2"/>
  <c r="M24" i="2"/>
  <c r="M26" i="2"/>
  <c r="L22" i="2"/>
  <c r="L26" i="2"/>
  <c r="N46" i="2"/>
  <c r="G10" i="4" s="1"/>
  <c r="H12" i="4" l="1"/>
  <c r="H18" i="4"/>
  <c r="H20" i="4" s="1"/>
  <c r="L10" i="4"/>
  <c r="M12" i="4"/>
  <c r="M18" i="4"/>
  <c r="M20" i="4" s="1"/>
  <c r="G12" i="4"/>
  <c r="G18" i="4"/>
  <c r="G20" i="4" s="1"/>
  <c r="K10" i="4"/>
  <c r="J12" i="4"/>
  <c r="J18" i="4"/>
  <c r="J20" i="4" s="1"/>
  <c r="N10" i="4"/>
  <c r="Q47" i="3"/>
  <c r="L12" i="4" l="1"/>
  <c r="L18" i="4"/>
  <c r="L20" i="4" s="1"/>
  <c r="N12" i="4"/>
  <c r="N18" i="4"/>
  <c r="N20" i="4" s="1"/>
  <c r="K12" i="4"/>
  <c r="K18" i="4"/>
  <c r="K20" i="4" s="1"/>
  <c r="P46" i="1"/>
  <c r="N45" i="1" l="1"/>
  <c r="N44" i="1"/>
  <c r="N43" i="1"/>
  <c r="N42" i="1"/>
  <c r="N41" i="1"/>
  <c r="N40" i="1"/>
  <c r="N39" i="1"/>
  <c r="N38" i="1"/>
  <c r="Q38" i="1" s="1"/>
  <c r="N37" i="1"/>
  <c r="N36" i="1"/>
  <c r="N35" i="1"/>
  <c r="N34" i="1"/>
  <c r="N33" i="1"/>
  <c r="N32" i="1"/>
  <c r="N31" i="1"/>
  <c r="N30" i="1"/>
  <c r="N29" i="1"/>
  <c r="N28" i="1"/>
  <c r="O27" i="1"/>
  <c r="O26" i="1"/>
  <c r="O25" i="1"/>
  <c r="O24" i="1"/>
  <c r="O23" i="1"/>
  <c r="O22" i="1"/>
  <c r="O21" i="1"/>
  <c r="N27" i="1"/>
  <c r="N26" i="1"/>
  <c r="N25" i="1"/>
  <c r="N24" i="1"/>
  <c r="N23" i="1"/>
  <c r="N22" i="1"/>
  <c r="N21" i="1"/>
  <c r="N16" i="1"/>
  <c r="N17" i="1"/>
  <c r="N18" i="1"/>
  <c r="N19" i="1"/>
  <c r="N15" i="1"/>
  <c r="N14" i="1"/>
  <c r="N13" i="1"/>
  <c r="N12" i="1"/>
  <c r="N11" i="1"/>
  <c r="N10" i="1"/>
  <c r="N9" i="1"/>
  <c r="N8" i="1"/>
  <c r="N7" i="1"/>
  <c r="N46" i="1" l="1"/>
  <c r="O46" i="1"/>
  <c r="Q11" i="1"/>
  <c r="F11" i="1"/>
  <c r="J11" i="1"/>
  <c r="L11" i="1" l="1"/>
  <c r="Q12" i="1"/>
  <c r="F12" i="1"/>
  <c r="J12" i="1"/>
  <c r="L12" i="1" l="1"/>
  <c r="Q9" i="1"/>
  <c r="F9" i="1"/>
  <c r="J9" i="1"/>
  <c r="L9" i="1" s="1"/>
  <c r="Q39" i="1" l="1"/>
  <c r="Q40" i="1"/>
  <c r="Q41" i="1"/>
  <c r="Q42" i="1"/>
  <c r="Q32" i="1"/>
  <c r="Q33" i="1"/>
  <c r="Q24" i="1"/>
  <c r="Q25" i="1"/>
  <c r="Q26" i="1"/>
  <c r="Q27" i="1"/>
  <c r="Q14" i="1"/>
  <c r="Q15" i="1"/>
  <c r="Q16" i="1"/>
  <c r="Q17" i="1"/>
  <c r="Q18" i="1"/>
  <c r="Q19" i="1"/>
  <c r="Q7" i="1" l="1"/>
  <c r="Q10" i="1"/>
  <c r="Q28" i="1"/>
  <c r="Q21" i="1"/>
  <c r="F18" i="1" l="1"/>
  <c r="J18" i="1"/>
  <c r="L18" i="1" l="1"/>
  <c r="F15" i="1"/>
  <c r="J15" i="1"/>
  <c r="F16" i="1"/>
  <c r="J16" i="1"/>
  <c r="F17" i="1"/>
  <c r="J17" i="1"/>
  <c r="L17" i="1" l="1"/>
  <c r="L16" i="1"/>
  <c r="L15" i="1"/>
  <c r="F13" i="1"/>
  <c r="J13" i="1"/>
  <c r="F14" i="1"/>
  <c r="J14" i="1"/>
  <c r="F19" i="1"/>
  <c r="J19" i="1"/>
  <c r="F38" i="1"/>
  <c r="J38" i="1"/>
  <c r="F39" i="1"/>
  <c r="J39" i="1"/>
  <c r="F40" i="1"/>
  <c r="J40" i="1"/>
  <c r="F41" i="1"/>
  <c r="J41" i="1"/>
  <c r="F42" i="1"/>
  <c r="J42" i="1"/>
  <c r="F32" i="1"/>
  <c r="J32" i="1"/>
  <c r="F33" i="1"/>
  <c r="J33" i="1"/>
  <c r="L19" i="1" l="1"/>
  <c r="L13" i="1"/>
  <c r="L33" i="1"/>
  <c r="L42" i="1"/>
  <c r="L40" i="1"/>
  <c r="L38" i="1"/>
  <c r="L32" i="1"/>
  <c r="L41" i="1"/>
  <c r="L39" i="1"/>
  <c r="L14" i="1"/>
  <c r="Q13" i="1"/>
  <c r="J23" i="1" l="1"/>
  <c r="K23" i="1" s="1"/>
  <c r="J24" i="1"/>
  <c r="K24" i="1" s="1"/>
  <c r="J25" i="1"/>
  <c r="K25" i="1" s="1"/>
  <c r="J26" i="1"/>
  <c r="K26" i="1" s="1"/>
  <c r="J27" i="1"/>
  <c r="K27" i="1" s="1"/>
  <c r="F23" i="1" l="1"/>
  <c r="L23" i="1" s="1"/>
  <c r="F24" i="1"/>
  <c r="L24" i="1" s="1"/>
  <c r="F25" i="1"/>
  <c r="L25" i="1" s="1"/>
  <c r="F26" i="1"/>
  <c r="L26" i="1" s="1"/>
  <c r="F27" i="1"/>
  <c r="L27" i="1" s="1"/>
  <c r="H27" i="1" l="1"/>
  <c r="M27" i="1" s="1"/>
  <c r="H23" i="1"/>
  <c r="M23" i="1" s="1"/>
  <c r="H26" i="1"/>
  <c r="M26" i="1" s="1"/>
  <c r="H25" i="1"/>
  <c r="M25" i="1" s="1"/>
  <c r="H24" i="1"/>
  <c r="M24" i="1" s="1"/>
  <c r="J8" i="1"/>
  <c r="J10" i="1"/>
  <c r="J21" i="1"/>
  <c r="J22" i="1"/>
  <c r="K22" i="1" s="1"/>
  <c r="J28" i="1"/>
  <c r="J29" i="1"/>
  <c r="J30" i="1"/>
  <c r="J31" i="1"/>
  <c r="J34" i="1"/>
  <c r="J35" i="1"/>
  <c r="J36" i="1"/>
  <c r="J37" i="1"/>
  <c r="J43" i="1"/>
  <c r="J44" i="1"/>
  <c r="J45" i="1"/>
  <c r="J7" i="1"/>
  <c r="F45" i="1"/>
  <c r="F44" i="1"/>
  <c r="L44" i="1" s="1"/>
  <c r="F43" i="1"/>
  <c r="L43" i="1" s="1"/>
  <c r="F37" i="1"/>
  <c r="L37" i="1" s="1"/>
  <c r="F36" i="1"/>
  <c r="F35" i="1"/>
  <c r="L35" i="1" s="1"/>
  <c r="F34" i="1"/>
  <c r="L34" i="1" s="1"/>
  <c r="F31" i="1"/>
  <c r="L31" i="1" s="1"/>
  <c r="F30" i="1"/>
  <c r="F29" i="1"/>
  <c r="L29" i="1" s="1"/>
  <c r="F28" i="1"/>
  <c r="F21" i="1"/>
  <c r="H21" i="1" s="1"/>
  <c r="F22" i="1"/>
  <c r="F8" i="1"/>
  <c r="F10" i="1"/>
  <c r="F7" i="1"/>
  <c r="L30" i="1" l="1"/>
  <c r="L36" i="1"/>
  <c r="L45" i="1"/>
  <c r="H22" i="1"/>
  <c r="M22" i="1" s="1"/>
  <c r="L22" i="1"/>
  <c r="L10" i="1"/>
  <c r="L8" i="1"/>
  <c r="L7" i="1"/>
  <c r="Q43" i="1"/>
  <c r="L28" i="1"/>
  <c r="L21" i="1"/>
  <c r="K21" i="1"/>
  <c r="M21" i="1" s="1"/>
  <c r="Q23" i="1" l="1"/>
  <c r="Q34" i="1"/>
  <c r="Q29" i="1"/>
  <c r="Q35" i="1"/>
  <c r="Q45" i="1"/>
  <c r="Q44" i="1"/>
  <c r="Q31" i="1"/>
  <c r="Q30" i="1"/>
  <c r="Q37" i="1"/>
  <c r="Q36" i="1" l="1"/>
  <c r="Q8" i="1" l="1"/>
  <c r="Q46" i="1" l="1"/>
  <c r="Q22" i="1"/>
</calcChain>
</file>

<file path=xl/sharedStrings.xml><?xml version="1.0" encoding="utf-8"?>
<sst xmlns="http://schemas.openxmlformats.org/spreadsheetml/2006/main" count="253" uniqueCount="100">
  <si>
    <t>Amats</t>
  </si>
  <si>
    <t>koeficients</t>
  </si>
  <si>
    <t>Neatkarīgās iestādes</t>
  </si>
  <si>
    <t xml:space="preserve">valsts kontrolierim </t>
  </si>
  <si>
    <t xml:space="preserve">tiesībsargs </t>
  </si>
  <si>
    <t>NEPLP priekšsēdētājs</t>
  </si>
  <si>
    <t>NEPLP priekšsēdētāja vietnieks</t>
  </si>
  <si>
    <t>CVK priekšsēdētājs</t>
  </si>
  <si>
    <t>CVK priekšsēdētāja vietnieks</t>
  </si>
  <si>
    <t>CVK sekretāram</t>
  </si>
  <si>
    <t>Augstākās izglītības padomes priekšsēdētājs</t>
  </si>
  <si>
    <t>alga</t>
  </si>
  <si>
    <t xml:space="preserve">kopā </t>
  </si>
  <si>
    <t>citi nosacījumi</t>
  </si>
  <si>
    <t>proporcionāli nostrādātam laikam</t>
  </si>
  <si>
    <t xml:space="preserve">Ministru prezidentam </t>
  </si>
  <si>
    <t>50% piemaksa no algas (15.p.10d)</t>
  </si>
  <si>
    <t xml:space="preserve">3.Valsts kontroles padomes loceklim </t>
  </si>
  <si>
    <t xml:space="preserve">4.Valsts kontroles padomes loceklim </t>
  </si>
  <si>
    <t xml:space="preserve">5.Valsts kontroles padomes loceklim </t>
  </si>
  <si>
    <t xml:space="preserve">6.Valsts kontroles padomes loceklim </t>
  </si>
  <si>
    <t xml:space="preserve">1.Valsts kontroles padomes loceklim </t>
  </si>
  <si>
    <t>2.Valsts kontroles padomes loceklim</t>
  </si>
  <si>
    <r>
      <t>Centrālās zemes komisijas priekšsēdētājs</t>
    </r>
    <r>
      <rPr>
        <sz val="12"/>
        <color rgb="FFFF0000"/>
        <rFont val="Times New Roman"/>
        <family val="1"/>
        <charset val="186"/>
      </rPr>
      <t xml:space="preserve"> (Iestādes vadītājs)</t>
    </r>
  </si>
  <si>
    <r>
      <t xml:space="preserve">ministrs </t>
    </r>
    <r>
      <rPr>
        <sz val="9.6"/>
        <color rgb="FFFF0000"/>
        <rFont val="Arial"/>
        <family val="2"/>
        <charset val="186"/>
      </rPr>
      <t>(13)</t>
    </r>
  </si>
  <si>
    <r>
      <t xml:space="preserve">Faktiski noteiktā amatalga Atlīdzības uzksaites sistēmā </t>
    </r>
    <r>
      <rPr>
        <sz val="12"/>
        <color rgb="FFFF0000"/>
        <rFont val="Times New Roman"/>
        <family val="1"/>
        <charset val="186"/>
      </rPr>
      <t xml:space="preserve">2015.gada </t>
    </r>
    <r>
      <rPr>
        <sz val="12"/>
        <color theme="1"/>
        <rFont val="Times New Roman"/>
        <family val="2"/>
        <charset val="186"/>
      </rPr>
      <t>30.jūnijā</t>
    </r>
  </si>
  <si>
    <t xml:space="preserve">Atlīdzības uzskaites sistēmā nesniedz datus </t>
  </si>
  <si>
    <t>piemaksas</t>
  </si>
  <si>
    <t>Pavisam kopā</t>
  </si>
  <si>
    <t>Valsts kontrole</t>
  </si>
  <si>
    <t>Valsts kanceleja</t>
  </si>
  <si>
    <t>NEPLP</t>
  </si>
  <si>
    <t>CVK</t>
  </si>
  <si>
    <t>CZK</t>
  </si>
  <si>
    <t>AIP</t>
  </si>
  <si>
    <t>Tiesībsargs</t>
  </si>
  <si>
    <t xml:space="preserve">Augstākās izglītības padomes loceklim - kopumā 12 locekļi </t>
  </si>
  <si>
    <t xml:space="preserve">NEPLP loceklis </t>
  </si>
  <si>
    <r>
      <t>CVK loceklim</t>
    </r>
    <r>
      <rPr>
        <sz val="12"/>
        <color rgb="FFFF0000"/>
        <rFont val="Times New Roman"/>
        <family val="1"/>
        <charset val="186"/>
      </rPr>
      <t xml:space="preserve"> </t>
    </r>
  </si>
  <si>
    <t>Iestāde kuras budžetā nepieciešams paredzēt papildus līdzekļus</t>
  </si>
  <si>
    <t>parlamentārais sekretārs AiM</t>
  </si>
  <si>
    <t>parlamentārais sekretārs LM</t>
  </si>
  <si>
    <t>parlamentārais sekretārs TM</t>
  </si>
  <si>
    <t>parlamentārais sekretārs ieM</t>
  </si>
  <si>
    <t>parlamentārais sekretārs FM</t>
  </si>
  <si>
    <t>parlamentārais sekretārs VARAM</t>
  </si>
  <si>
    <t>parlamentārais sekretārs SaM</t>
  </si>
  <si>
    <t>parlamentārais sekretārs IZM</t>
  </si>
  <si>
    <t>parlamentārais sekretārs MK</t>
  </si>
  <si>
    <t>parlamentārais sekretārs ĀM</t>
  </si>
  <si>
    <t>parlamentārais sekretārs ZM</t>
  </si>
  <si>
    <t>Ministrijas: AiM, LM, FM, IeM; TM; VARAM; SaM; IZM, ĀM, ZM</t>
  </si>
  <si>
    <t>vidējā alga tautsaimniecībā 2016.gads</t>
  </si>
  <si>
    <r>
      <t xml:space="preserve">Alga 2018.gadā mēnesī pilnos </t>
    </r>
    <r>
      <rPr>
        <i/>
        <sz val="12"/>
        <color theme="1"/>
        <rFont val="Times New Roman"/>
        <family val="1"/>
        <charset val="186"/>
      </rPr>
      <t>euro</t>
    </r>
  </si>
  <si>
    <t>vidējā alga tautsaimniecībā 2017.gads</t>
  </si>
  <si>
    <t>piemaksa 2019.gadā</t>
  </si>
  <si>
    <t>Algas starpība mēnesim 2019 - 2018</t>
  </si>
  <si>
    <t>piemaksas  starpība mēnesim 2019 - 2018</t>
  </si>
  <si>
    <t>Nepieciešams papildus 2019.gadam - noapaļoti  - budžeta projektam 2019</t>
  </si>
  <si>
    <t>d.devēja soc.nodoklis 24,09%</t>
  </si>
  <si>
    <r>
      <t xml:space="preserve">Alga 2019.gadā mēnesī pilnos </t>
    </r>
    <r>
      <rPr>
        <i/>
        <sz val="12"/>
        <color theme="1"/>
        <rFont val="Times New Roman"/>
        <family val="1"/>
        <charset val="186"/>
      </rPr>
      <t>euro - preciza</t>
    </r>
  </si>
  <si>
    <t xml:space="preserve">indeksācija </t>
  </si>
  <si>
    <t>926 * (1+(2,9/2+7,8/2)</t>
  </si>
  <si>
    <r>
      <t xml:space="preserve">Alga 2019.gadā mēnesī pilnos </t>
    </r>
    <r>
      <rPr>
        <i/>
        <sz val="12"/>
        <color theme="1"/>
        <rFont val="Times New Roman"/>
        <family val="1"/>
        <charset val="186"/>
      </rPr>
      <t>euro</t>
    </r>
  </si>
  <si>
    <t>Piemaksas 2019.gadā</t>
  </si>
  <si>
    <r>
      <t xml:space="preserve">Alga 2020.gadā mēnesī pilnos </t>
    </r>
    <r>
      <rPr>
        <i/>
        <sz val="12"/>
        <color theme="1"/>
        <rFont val="Times New Roman"/>
        <family val="1"/>
        <charset val="186"/>
      </rPr>
      <t>euro - preciza</t>
    </r>
  </si>
  <si>
    <t>piemaksa 2020.gadā</t>
  </si>
  <si>
    <t>Algas starpība mēnesim 2020 - 2019</t>
  </si>
  <si>
    <t>piemaksas  starpība mēnesim 2020 - 2019</t>
  </si>
  <si>
    <t>975,54 * (1+(2,4/2+6/2)</t>
  </si>
  <si>
    <t>Piemaksas 2018.gadā</t>
  </si>
  <si>
    <r>
      <t xml:space="preserve">Alga 2020.gadā mēnesī pilnos </t>
    </r>
    <r>
      <rPr>
        <i/>
        <sz val="12"/>
        <color theme="1"/>
        <rFont val="Times New Roman"/>
        <family val="1"/>
        <charset val="186"/>
      </rPr>
      <t>euro</t>
    </r>
  </si>
  <si>
    <t>Piemaksas 2020.gadā</t>
  </si>
  <si>
    <r>
      <t xml:space="preserve">Alga 2021.gadā mēnesī pilnos </t>
    </r>
    <r>
      <rPr>
        <i/>
        <sz val="12"/>
        <color theme="1"/>
        <rFont val="Times New Roman"/>
        <family val="1"/>
        <charset val="186"/>
      </rPr>
      <t>euro - preciza</t>
    </r>
  </si>
  <si>
    <t>piemaksa 2021.gadā</t>
  </si>
  <si>
    <t>Algas starpība mēnesim 2021 - 2020</t>
  </si>
  <si>
    <t>piemaksas  starpība mēnesim 2021 - 2020</t>
  </si>
  <si>
    <t>indeksētā bāzes mēnešalga  2020.gads</t>
  </si>
  <si>
    <t>indeksētā bāzes mēnešalga  2021.gadā</t>
  </si>
  <si>
    <t>indeksētā bāzes mēnešalga2020.gadā</t>
  </si>
  <si>
    <t>Nepieciešams papildus 2019.gadam - indeksācija</t>
  </si>
  <si>
    <t>Nepieciešams papildus 2019.gadam - vecais regul</t>
  </si>
  <si>
    <t>Nepieciešams papildus 2020.gadam -indeksācija</t>
  </si>
  <si>
    <t>Nepieciešams papildus 2020.gadam - vecais regul.</t>
  </si>
  <si>
    <t>Nepieciešams papildus 2021.gadam - indeksācija</t>
  </si>
  <si>
    <t>Nepieciešams papildus 2021.gadam - vecais regul.</t>
  </si>
  <si>
    <t xml:space="preserve">Nepieciešams papildus - noapaļoti  -2019.gada budžeta projektam </t>
  </si>
  <si>
    <t xml:space="preserve">Nepieciešams papildus - noapaļoti  -2020.gada budžeta projektam </t>
  </si>
  <si>
    <t xml:space="preserve">Nepieciešams papildus - noapaļoti  -2021.gada budžeta projektam </t>
  </si>
  <si>
    <t xml:space="preserve"> </t>
  </si>
  <si>
    <t>Kopā - indeksācija</t>
  </si>
  <si>
    <t>kopā - vecais regul.</t>
  </si>
  <si>
    <t>Salīdiznājums fiskālai ietekmei: līdzšinējā sistēma un jaunā sistēma (bāzes algas indeksācija)</t>
  </si>
  <si>
    <t>Nepieciešams papildus 2020.gadam - noapaļoti  - budžeta projektam 2020</t>
  </si>
  <si>
    <t>Nepieciešams papildus 2021.gadam - noapaļoti  - budžeta projektam 2021</t>
  </si>
  <si>
    <t>Papildus nepieciešamais finansējums -  atlīdzības noteikšanā tiek piemērots koeficients pret CSP - vidējā tautsaimniecībā 2 gadus atpakaļ (pamatojums: Atlīdzības likums)</t>
  </si>
  <si>
    <t>Papildus nepieciešamais finansējums  atlīdzības noteikšanā tiek piemērots koeficients pret CSP - indeksācija 2 gadus atpakaļ (pamatojums: Atlīdzības likums)</t>
  </si>
  <si>
    <t>Starpība (indeks. - vecais=ekonom)</t>
  </si>
  <si>
    <t>4.pielikums Anotācijai</t>
  </si>
  <si>
    <t xml:space="preserve">4.pielikums Anotācijai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</si>
</sst>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Times New Roman"/>
      <family val="2"/>
      <charset val="186"/>
    </font>
    <font>
      <sz val="9.6"/>
      <color theme="1"/>
      <name val="Arial"/>
      <family val="2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  <font>
      <sz val="12"/>
      <color rgb="FFFF0000"/>
      <name val="Times New Roman"/>
      <family val="1"/>
      <charset val="186"/>
    </font>
    <font>
      <sz val="9.6"/>
      <color rgb="FFFF0000"/>
      <name val="Arial"/>
      <family val="2"/>
      <charset val="186"/>
    </font>
    <font>
      <sz val="12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/>
    <xf numFmtId="0" fontId="7" fillId="0" borderId="0" xfId="0" applyFont="1"/>
    <xf numFmtId="3" fontId="0" fillId="0" borderId="1" xfId="0" applyNumberFormat="1" applyBorder="1"/>
    <xf numFmtId="3" fontId="6" fillId="2" borderId="1" xfId="0" applyNumberFormat="1" applyFont="1" applyFill="1" applyBorder="1"/>
    <xf numFmtId="3" fontId="6" fillId="2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/>
    <xf numFmtId="0" fontId="0" fillId="0" borderId="1" xfId="0" applyBorder="1" applyAlignment="1">
      <alignment textRotation="90"/>
    </xf>
    <xf numFmtId="0" fontId="0" fillId="0" borderId="1" xfId="0" applyBorder="1" applyAlignment="1">
      <alignment vertical="center" textRotation="90"/>
    </xf>
    <xf numFmtId="3" fontId="0" fillId="3" borderId="1" xfId="0" applyNumberFormat="1" applyFill="1" applyBorder="1" applyAlignment="1">
      <alignment horizontal="center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" fontId="0" fillId="3" borderId="1" xfId="0" applyNumberFormat="1" applyFill="1" applyBorder="1"/>
    <xf numFmtId="3" fontId="0" fillId="7" borderId="1" xfId="0" applyNumberFormat="1" applyFill="1" applyBorder="1"/>
    <xf numFmtId="0" fontId="0" fillId="0" borderId="0" xfId="0" applyAlignment="1"/>
    <xf numFmtId="0" fontId="0" fillId="7" borderId="1" xfId="0" applyFill="1" applyBorder="1" applyAlignment="1">
      <alignment vertical="center" wrapText="1"/>
    </xf>
    <xf numFmtId="0" fontId="0" fillId="7" borderId="1" xfId="0" applyFill="1" applyBorder="1"/>
    <xf numFmtId="4" fontId="0" fillId="7" borderId="1" xfId="0" applyNumberFormat="1" applyFill="1" applyBorder="1"/>
    <xf numFmtId="0" fontId="0" fillId="7" borderId="0" xfId="0" applyFill="1"/>
    <xf numFmtId="0" fontId="7" fillId="7" borderId="1" xfId="0" applyFont="1" applyFill="1" applyBorder="1"/>
    <xf numFmtId="3" fontId="7" fillId="7" borderId="1" xfId="0" applyNumberFormat="1" applyFont="1" applyFill="1" applyBorder="1"/>
    <xf numFmtId="0" fontId="7" fillId="7" borderId="0" xfId="0" applyFont="1" applyFill="1"/>
    <xf numFmtId="3" fontId="8" fillId="5" borderId="1" xfId="0" applyNumberFormat="1" applyFont="1" applyFill="1" applyBorder="1" applyAlignment="1"/>
    <xf numFmtId="3" fontId="0" fillId="0" borderId="0" xfId="0" applyNumberFormat="1"/>
    <xf numFmtId="0" fontId="0" fillId="6" borderId="1" xfId="0" applyFill="1" applyBorder="1" applyAlignment="1">
      <alignment vertical="center"/>
    </xf>
    <xf numFmtId="0" fontId="0" fillId="6" borderId="1" xfId="0" applyFill="1" applyBorder="1"/>
    <xf numFmtId="3" fontId="0" fillId="6" borderId="1" xfId="0" applyNumberFormat="1" applyFill="1" applyBorder="1"/>
    <xf numFmtId="4" fontId="0" fillId="6" borderId="1" xfId="0" applyNumberFormat="1" applyFill="1" applyBorder="1"/>
    <xf numFmtId="4" fontId="0" fillId="0" borderId="0" xfId="0" applyNumberFormat="1"/>
    <xf numFmtId="0" fontId="7" fillId="7" borderId="1" xfId="0" applyFont="1" applyFill="1" applyBorder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2" fontId="0" fillId="0" borderId="1" xfId="0" applyNumberFormat="1" applyBorder="1"/>
    <xf numFmtId="3" fontId="0" fillId="0" borderId="5" xfId="0" applyNumberFormat="1" applyBorder="1"/>
    <xf numFmtId="3" fontId="2" fillId="0" borderId="5" xfId="0" applyNumberFormat="1" applyFont="1" applyBorder="1"/>
    <xf numFmtId="0" fontId="0" fillId="8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="77" zoomScaleNormal="77" workbookViewId="0">
      <selection sqref="A1:XFD1"/>
    </sheetView>
  </sheetViews>
  <sheetFormatPr defaultRowHeight="15.75" x14ac:dyDescent="0.25"/>
  <cols>
    <col min="1" max="1" width="12" customWidth="1"/>
    <col min="2" max="2" width="28.625" customWidth="1"/>
    <col min="4" max="4" width="13.875" customWidth="1"/>
    <col min="5" max="5" width="12.875" customWidth="1"/>
    <col min="6" max="6" width="11.75" customWidth="1"/>
    <col min="7" max="7" width="13" hidden="1" customWidth="1"/>
    <col min="8" max="8" width="13" customWidth="1"/>
    <col min="9" max="9" width="12.375" customWidth="1"/>
    <col min="10" max="11" width="11.75" customWidth="1"/>
    <col min="12" max="13" width="10.375" customWidth="1"/>
    <col min="14" max="14" width="13.75" customWidth="1"/>
    <col min="15" max="15" width="10.5" customWidth="1"/>
    <col min="16" max="16" width="12.875" customWidth="1"/>
    <col min="18" max="18" width="2.5" customWidth="1"/>
  </cols>
  <sheetData>
    <row r="1" spans="1:17" x14ac:dyDescent="0.25">
      <c r="P1" t="s">
        <v>98</v>
      </c>
    </row>
    <row r="2" spans="1:17" ht="20.25" customHeight="1" x14ac:dyDescent="0.25">
      <c r="A2" s="65" t="s">
        <v>95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4"/>
    </row>
    <row r="4" spans="1:17" ht="65.25" customHeight="1" x14ac:dyDescent="0.25">
      <c r="A4" s="52" t="s">
        <v>39</v>
      </c>
      <c r="B4" s="59" t="s">
        <v>0</v>
      </c>
      <c r="C4" s="59" t="s">
        <v>1</v>
      </c>
      <c r="D4" s="59" t="s">
        <v>13</v>
      </c>
      <c r="E4" s="66" t="s">
        <v>52</v>
      </c>
      <c r="F4" s="66" t="s">
        <v>53</v>
      </c>
      <c r="G4" s="66" t="s">
        <v>25</v>
      </c>
      <c r="H4" s="53" t="s">
        <v>70</v>
      </c>
      <c r="I4" s="67" t="s">
        <v>54</v>
      </c>
      <c r="J4" s="66" t="s">
        <v>60</v>
      </c>
      <c r="K4" s="53" t="s">
        <v>55</v>
      </c>
      <c r="L4" s="64" t="s">
        <v>56</v>
      </c>
      <c r="M4" s="66" t="s">
        <v>57</v>
      </c>
      <c r="N4" s="46" t="s">
        <v>58</v>
      </c>
      <c r="O4" s="46"/>
      <c r="P4" s="46"/>
      <c r="Q4" s="46"/>
    </row>
    <row r="5" spans="1:17" ht="72" customHeight="1" x14ac:dyDescent="0.25">
      <c r="A5" s="52"/>
      <c r="B5" s="59"/>
      <c r="C5" s="59"/>
      <c r="D5" s="59"/>
      <c r="E5" s="66"/>
      <c r="F5" s="66"/>
      <c r="G5" s="66"/>
      <c r="H5" s="54"/>
      <c r="I5" s="67"/>
      <c r="J5" s="66"/>
      <c r="K5" s="54"/>
      <c r="L5" s="64"/>
      <c r="M5" s="66"/>
      <c r="N5" s="25" t="s">
        <v>11</v>
      </c>
      <c r="O5" s="25" t="s">
        <v>27</v>
      </c>
      <c r="P5" s="25" t="s">
        <v>59</v>
      </c>
      <c r="Q5" s="39" t="s">
        <v>12</v>
      </c>
    </row>
    <row r="6" spans="1:17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6"/>
      <c r="O6" s="26"/>
      <c r="P6" s="26"/>
      <c r="Q6" s="29"/>
    </row>
    <row r="7" spans="1:17" ht="15.75" customHeight="1" x14ac:dyDescent="0.25">
      <c r="A7" s="60" t="s">
        <v>30</v>
      </c>
      <c r="B7" s="3" t="s">
        <v>15</v>
      </c>
      <c r="C7" s="2">
        <v>4.93</v>
      </c>
      <c r="D7" s="2"/>
      <c r="E7" s="2">
        <v>859</v>
      </c>
      <c r="F7" s="12">
        <f t="shared" ref="F7:F12" si="0">E7*C7</f>
        <v>4234.87</v>
      </c>
      <c r="G7" s="13">
        <v>2900</v>
      </c>
      <c r="H7" s="18"/>
      <c r="I7" s="12">
        <v>926</v>
      </c>
      <c r="J7" s="12">
        <f t="shared" ref="J7:J19" si="1">I7*C7</f>
        <v>4565.1799999999994</v>
      </c>
      <c r="K7" s="12"/>
      <c r="L7" s="21">
        <f t="shared" ref="L7:L19" si="2">J7-F7</f>
        <v>330.30999999999949</v>
      </c>
      <c r="M7" s="12"/>
      <c r="N7" s="27">
        <f>330*12</f>
        <v>3960</v>
      </c>
      <c r="O7" s="23"/>
      <c r="P7" s="27">
        <v>954</v>
      </c>
      <c r="Q7" s="30">
        <f>N7+O7+P7</f>
        <v>4914</v>
      </c>
    </row>
    <row r="8" spans="1:17" x14ac:dyDescent="0.25">
      <c r="A8" s="61"/>
      <c r="B8" s="3" t="s">
        <v>24</v>
      </c>
      <c r="C8" s="2">
        <v>4.68</v>
      </c>
      <c r="D8" s="2"/>
      <c r="E8" s="2">
        <v>859</v>
      </c>
      <c r="F8" s="12">
        <f t="shared" si="0"/>
        <v>4020.12</v>
      </c>
      <c r="G8" s="13">
        <v>2612</v>
      </c>
      <c r="H8" s="18"/>
      <c r="I8" s="12">
        <v>926</v>
      </c>
      <c r="J8" s="12">
        <f t="shared" si="1"/>
        <v>4333.6799999999994</v>
      </c>
      <c r="K8" s="12"/>
      <c r="L8" s="21">
        <f t="shared" si="2"/>
        <v>313.55999999999949</v>
      </c>
      <c r="M8" s="12"/>
      <c r="N8" s="27">
        <f>314*12*13</f>
        <v>48984</v>
      </c>
      <c r="O8" s="23"/>
      <c r="P8" s="27">
        <v>11800</v>
      </c>
      <c r="Q8" s="30">
        <f t="shared" ref="Q8:Q13" si="3">N8+O8+P8</f>
        <v>60784</v>
      </c>
    </row>
    <row r="9" spans="1:17" x14ac:dyDescent="0.25">
      <c r="A9" s="62"/>
      <c r="B9" s="34" t="s">
        <v>48</v>
      </c>
      <c r="C9" s="35">
        <v>3.63</v>
      </c>
      <c r="D9" s="35"/>
      <c r="E9" s="2">
        <v>859</v>
      </c>
      <c r="F9" s="36">
        <f t="shared" si="0"/>
        <v>3118.17</v>
      </c>
      <c r="G9" s="36">
        <v>2031</v>
      </c>
      <c r="H9" s="36"/>
      <c r="I9" s="12">
        <v>926</v>
      </c>
      <c r="J9" s="36">
        <f t="shared" ref="J9" si="4">I9*C9</f>
        <v>3361.38</v>
      </c>
      <c r="K9" s="36"/>
      <c r="L9" s="37">
        <f t="shared" si="2"/>
        <v>243.21000000000004</v>
      </c>
      <c r="M9" s="36"/>
      <c r="N9" s="27">
        <f t="shared" ref="N9:N15" si="5">243*12</f>
        <v>2916</v>
      </c>
      <c r="O9" s="23"/>
      <c r="P9" s="27">
        <v>702</v>
      </c>
      <c r="Q9" s="30">
        <f t="shared" ref="Q9" si="6">N9+O9+P9</f>
        <v>3618</v>
      </c>
    </row>
    <row r="10" spans="1:17" ht="33" customHeight="1" x14ac:dyDescent="0.25">
      <c r="A10" s="60" t="s">
        <v>51</v>
      </c>
      <c r="B10" s="4" t="s">
        <v>46</v>
      </c>
      <c r="C10" s="2">
        <v>3.63</v>
      </c>
      <c r="D10" s="2"/>
      <c r="E10" s="2">
        <v>859</v>
      </c>
      <c r="F10" s="12">
        <f t="shared" si="0"/>
        <v>3118.17</v>
      </c>
      <c r="G10" s="12">
        <v>2031</v>
      </c>
      <c r="H10" s="12"/>
      <c r="I10" s="12">
        <v>926</v>
      </c>
      <c r="J10" s="12">
        <f t="shared" si="1"/>
        <v>3361.38</v>
      </c>
      <c r="K10" s="12"/>
      <c r="L10" s="21">
        <f t="shared" si="2"/>
        <v>243.21000000000004</v>
      </c>
      <c r="M10" s="12"/>
      <c r="N10" s="27">
        <f t="shared" si="5"/>
        <v>2916</v>
      </c>
      <c r="O10" s="23"/>
      <c r="P10" s="27">
        <v>702</v>
      </c>
      <c r="Q10" s="30">
        <f t="shared" si="3"/>
        <v>3618</v>
      </c>
    </row>
    <row r="11" spans="1:17" ht="33" customHeight="1" x14ac:dyDescent="0.25">
      <c r="A11" s="61"/>
      <c r="B11" s="4" t="s">
        <v>50</v>
      </c>
      <c r="C11" s="2">
        <v>3.63</v>
      </c>
      <c r="D11" s="2"/>
      <c r="E11" s="2">
        <v>859</v>
      </c>
      <c r="F11" s="12">
        <f t="shared" si="0"/>
        <v>3118.17</v>
      </c>
      <c r="G11" s="12">
        <v>2031</v>
      </c>
      <c r="H11" s="12"/>
      <c r="I11" s="12">
        <v>926</v>
      </c>
      <c r="J11" s="12">
        <f t="shared" ref="J11" si="7">I11*C11</f>
        <v>3361.38</v>
      </c>
      <c r="K11" s="12"/>
      <c r="L11" s="21">
        <f t="shared" si="2"/>
        <v>243.21000000000004</v>
      </c>
      <c r="M11" s="12"/>
      <c r="N11" s="27">
        <f t="shared" si="5"/>
        <v>2916</v>
      </c>
      <c r="O11" s="23"/>
      <c r="P11" s="27">
        <v>702</v>
      </c>
      <c r="Q11" s="30">
        <f t="shared" ref="Q11" si="8">N11+O11+P11</f>
        <v>3618</v>
      </c>
    </row>
    <row r="12" spans="1:17" ht="33" customHeight="1" x14ac:dyDescent="0.25">
      <c r="A12" s="61"/>
      <c r="B12" s="4" t="s">
        <v>49</v>
      </c>
      <c r="C12" s="2">
        <v>3.63</v>
      </c>
      <c r="D12" s="2"/>
      <c r="E12" s="2">
        <v>859</v>
      </c>
      <c r="F12" s="12">
        <f t="shared" si="0"/>
        <v>3118.17</v>
      </c>
      <c r="G12" s="12">
        <v>2031</v>
      </c>
      <c r="H12" s="12"/>
      <c r="I12" s="12">
        <v>926</v>
      </c>
      <c r="J12" s="12">
        <f t="shared" ref="J12" si="9">I12*C12</f>
        <v>3361.38</v>
      </c>
      <c r="K12" s="12"/>
      <c r="L12" s="21">
        <f t="shared" si="2"/>
        <v>243.21000000000004</v>
      </c>
      <c r="M12" s="12"/>
      <c r="N12" s="27">
        <f t="shared" si="5"/>
        <v>2916</v>
      </c>
      <c r="O12" s="23"/>
      <c r="P12" s="27">
        <v>702</v>
      </c>
      <c r="Q12" s="30">
        <f t="shared" ref="Q12" si="10">N12+O12+P12</f>
        <v>3618</v>
      </c>
    </row>
    <row r="13" spans="1:17" x14ac:dyDescent="0.25">
      <c r="A13" s="61"/>
      <c r="B13" s="4" t="s">
        <v>40</v>
      </c>
      <c r="C13" s="2">
        <v>3.63</v>
      </c>
      <c r="D13" s="2"/>
      <c r="E13" s="2">
        <v>859</v>
      </c>
      <c r="F13" s="12">
        <f t="shared" ref="F13:F19" si="11">E13*C13</f>
        <v>3118.17</v>
      </c>
      <c r="G13" s="12">
        <v>2031</v>
      </c>
      <c r="H13" s="12"/>
      <c r="I13" s="12">
        <v>926</v>
      </c>
      <c r="J13" s="12">
        <f t="shared" si="1"/>
        <v>3361.38</v>
      </c>
      <c r="K13" s="12"/>
      <c r="L13" s="21">
        <f t="shared" si="2"/>
        <v>243.21000000000004</v>
      </c>
      <c r="M13" s="12"/>
      <c r="N13" s="27">
        <f t="shared" si="5"/>
        <v>2916</v>
      </c>
      <c r="O13" s="23"/>
      <c r="P13" s="27">
        <v>702</v>
      </c>
      <c r="Q13" s="30">
        <f t="shared" si="3"/>
        <v>3618</v>
      </c>
    </row>
    <row r="14" spans="1:17" x14ac:dyDescent="0.25">
      <c r="A14" s="61"/>
      <c r="B14" s="4" t="s">
        <v>41</v>
      </c>
      <c r="C14" s="2">
        <v>3.63</v>
      </c>
      <c r="D14" s="2"/>
      <c r="E14" s="2">
        <v>859</v>
      </c>
      <c r="F14" s="12">
        <f t="shared" si="11"/>
        <v>3118.17</v>
      </c>
      <c r="G14" s="12">
        <v>2031</v>
      </c>
      <c r="H14" s="12"/>
      <c r="I14" s="12">
        <v>926</v>
      </c>
      <c r="J14" s="12">
        <f t="shared" si="1"/>
        <v>3361.38</v>
      </c>
      <c r="K14" s="12"/>
      <c r="L14" s="21">
        <f t="shared" si="2"/>
        <v>243.21000000000004</v>
      </c>
      <c r="M14" s="12"/>
      <c r="N14" s="27">
        <f t="shared" si="5"/>
        <v>2916</v>
      </c>
      <c r="O14" s="23"/>
      <c r="P14" s="27">
        <v>702</v>
      </c>
      <c r="Q14" s="30">
        <f t="shared" ref="Q14:Q19" si="12">N14+O14+P14</f>
        <v>3618</v>
      </c>
    </row>
    <row r="15" spans="1:17" x14ac:dyDescent="0.25">
      <c r="A15" s="61"/>
      <c r="B15" s="4" t="s">
        <v>45</v>
      </c>
      <c r="C15" s="2">
        <v>3.63</v>
      </c>
      <c r="D15" s="2"/>
      <c r="E15" s="2">
        <v>859</v>
      </c>
      <c r="F15" s="12">
        <f t="shared" ref="F15:F17" si="13">E15*C15</f>
        <v>3118.17</v>
      </c>
      <c r="G15" s="12">
        <v>2031</v>
      </c>
      <c r="H15" s="12"/>
      <c r="I15" s="12">
        <v>926</v>
      </c>
      <c r="J15" s="12">
        <f t="shared" ref="J15:J17" si="14">I15*C15</f>
        <v>3361.38</v>
      </c>
      <c r="K15" s="12"/>
      <c r="L15" s="21">
        <f t="shared" si="2"/>
        <v>243.21000000000004</v>
      </c>
      <c r="M15" s="12"/>
      <c r="N15" s="27">
        <f t="shared" si="5"/>
        <v>2916</v>
      </c>
      <c r="O15" s="23"/>
      <c r="P15" s="27">
        <v>702</v>
      </c>
      <c r="Q15" s="30">
        <f t="shared" si="12"/>
        <v>3618</v>
      </c>
    </row>
    <row r="16" spans="1:17" x14ac:dyDescent="0.25">
      <c r="A16" s="61"/>
      <c r="B16" s="4" t="s">
        <v>42</v>
      </c>
      <c r="C16" s="2">
        <v>3.63</v>
      </c>
      <c r="D16" s="2"/>
      <c r="E16" s="2">
        <v>859</v>
      </c>
      <c r="F16" s="12">
        <f t="shared" si="13"/>
        <v>3118.17</v>
      </c>
      <c r="G16" s="12">
        <v>2031</v>
      </c>
      <c r="H16" s="12"/>
      <c r="I16" s="12">
        <v>926</v>
      </c>
      <c r="J16" s="12">
        <f t="shared" si="14"/>
        <v>3361.38</v>
      </c>
      <c r="K16" s="12"/>
      <c r="L16" s="21">
        <f t="shared" si="2"/>
        <v>243.21000000000004</v>
      </c>
      <c r="M16" s="12"/>
      <c r="N16" s="27">
        <f t="shared" ref="N16:N19" si="15">243*12</f>
        <v>2916</v>
      </c>
      <c r="O16" s="23"/>
      <c r="P16" s="27">
        <v>702</v>
      </c>
      <c r="Q16" s="30">
        <f t="shared" si="12"/>
        <v>3618</v>
      </c>
    </row>
    <row r="17" spans="1:18" x14ac:dyDescent="0.25">
      <c r="A17" s="61"/>
      <c r="B17" s="4" t="s">
        <v>43</v>
      </c>
      <c r="C17" s="2">
        <v>3.63</v>
      </c>
      <c r="D17" s="2"/>
      <c r="E17" s="2">
        <v>859</v>
      </c>
      <c r="F17" s="12">
        <f t="shared" si="13"/>
        <v>3118.17</v>
      </c>
      <c r="G17" s="12">
        <v>2031</v>
      </c>
      <c r="H17" s="12"/>
      <c r="I17" s="12">
        <v>926</v>
      </c>
      <c r="J17" s="12">
        <f t="shared" si="14"/>
        <v>3361.38</v>
      </c>
      <c r="K17" s="12"/>
      <c r="L17" s="21">
        <f t="shared" si="2"/>
        <v>243.21000000000004</v>
      </c>
      <c r="M17" s="12"/>
      <c r="N17" s="27">
        <f t="shared" si="15"/>
        <v>2916</v>
      </c>
      <c r="O17" s="23"/>
      <c r="P17" s="27">
        <v>702</v>
      </c>
      <c r="Q17" s="30">
        <f t="shared" si="12"/>
        <v>3618</v>
      </c>
    </row>
    <row r="18" spans="1:18" x14ac:dyDescent="0.25">
      <c r="A18" s="61"/>
      <c r="B18" s="4" t="s">
        <v>47</v>
      </c>
      <c r="C18" s="2">
        <v>3.63</v>
      </c>
      <c r="D18" s="2"/>
      <c r="E18" s="2">
        <v>859</v>
      </c>
      <c r="F18" s="12">
        <f t="shared" ref="F18" si="16">E18*C18</f>
        <v>3118.17</v>
      </c>
      <c r="G18" s="12">
        <v>2031</v>
      </c>
      <c r="H18" s="12"/>
      <c r="I18" s="12">
        <v>926</v>
      </c>
      <c r="J18" s="12">
        <f t="shared" ref="J18" si="17">I18*C18</f>
        <v>3361.38</v>
      </c>
      <c r="K18" s="12"/>
      <c r="L18" s="21">
        <f t="shared" si="2"/>
        <v>243.21000000000004</v>
      </c>
      <c r="M18" s="12"/>
      <c r="N18" s="27">
        <f t="shared" si="15"/>
        <v>2916</v>
      </c>
      <c r="O18" s="23"/>
      <c r="P18" s="27">
        <v>702</v>
      </c>
      <c r="Q18" s="30">
        <f t="shared" si="12"/>
        <v>3618</v>
      </c>
    </row>
    <row r="19" spans="1:18" x14ac:dyDescent="0.25">
      <c r="A19" s="62"/>
      <c r="B19" s="4" t="s">
        <v>44</v>
      </c>
      <c r="C19" s="2">
        <v>3.63</v>
      </c>
      <c r="D19" s="2"/>
      <c r="E19" s="2">
        <v>859</v>
      </c>
      <c r="F19" s="12">
        <f t="shared" si="11"/>
        <v>3118.17</v>
      </c>
      <c r="G19" s="12">
        <v>2031</v>
      </c>
      <c r="H19" s="12"/>
      <c r="I19" s="12">
        <v>926</v>
      </c>
      <c r="J19" s="12">
        <f t="shared" si="1"/>
        <v>3361.38</v>
      </c>
      <c r="K19" s="12"/>
      <c r="L19" s="21">
        <f t="shared" si="2"/>
        <v>243.21000000000004</v>
      </c>
      <c r="M19" s="12"/>
      <c r="N19" s="27">
        <f t="shared" si="15"/>
        <v>2916</v>
      </c>
      <c r="O19" s="23"/>
      <c r="P19" s="27">
        <v>702</v>
      </c>
      <c r="Q19" s="30">
        <f t="shared" si="12"/>
        <v>3618</v>
      </c>
    </row>
    <row r="20" spans="1:18" x14ac:dyDescent="0.25">
      <c r="A20" s="2"/>
      <c r="B20" s="58" t="s">
        <v>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28"/>
      <c r="O20" s="28"/>
      <c r="P20" s="28"/>
      <c r="Q20" s="31"/>
    </row>
    <row r="21" spans="1:18" ht="15.75" customHeight="1" x14ac:dyDescent="0.25">
      <c r="A21" s="55" t="s">
        <v>29</v>
      </c>
      <c r="B21" s="8" t="s">
        <v>3</v>
      </c>
      <c r="C21" s="2">
        <v>4.05</v>
      </c>
      <c r="D21" s="49" t="s">
        <v>16</v>
      </c>
      <c r="E21" s="2">
        <v>859</v>
      </c>
      <c r="F21" s="12">
        <f t="shared" ref="F21:F45" si="18">E21*C21</f>
        <v>3478.95</v>
      </c>
      <c r="G21" s="13">
        <v>2900</v>
      </c>
      <c r="H21" s="19">
        <f>F21/2</f>
        <v>1739.4749999999999</v>
      </c>
      <c r="I21" s="12">
        <v>926</v>
      </c>
      <c r="J21" s="12">
        <f t="shared" ref="J21:J45" si="19">I21*C21</f>
        <v>3750.2999999999997</v>
      </c>
      <c r="K21" s="12">
        <f t="shared" ref="K21:K27" si="20">J21/2</f>
        <v>1875.1499999999999</v>
      </c>
      <c r="L21" s="22">
        <f t="shared" ref="L21:L45" si="21">J21-F21</f>
        <v>271.34999999999991</v>
      </c>
      <c r="M21" s="22">
        <f t="shared" ref="M21:M27" si="22">K21-H21</f>
        <v>135.67499999999995</v>
      </c>
      <c r="N21" s="27">
        <f>271*12</f>
        <v>3252</v>
      </c>
      <c r="O21" s="27">
        <f>136*12</f>
        <v>1632</v>
      </c>
      <c r="P21" s="27">
        <v>1177</v>
      </c>
      <c r="Q21" s="30">
        <f t="shared" ref="Q21:Q36" si="23">N21+O21+P21</f>
        <v>6061</v>
      </c>
      <c r="R21" s="38"/>
    </row>
    <row r="22" spans="1:18" x14ac:dyDescent="0.25">
      <c r="A22" s="56"/>
      <c r="B22" s="7" t="s">
        <v>21</v>
      </c>
      <c r="C22" s="2">
        <v>3.32</v>
      </c>
      <c r="D22" s="50"/>
      <c r="E22" s="2">
        <v>859</v>
      </c>
      <c r="F22" s="12">
        <f t="shared" si="18"/>
        <v>2851.8799999999997</v>
      </c>
      <c r="G22" s="13">
        <v>2377</v>
      </c>
      <c r="H22" s="19">
        <f>F22/2</f>
        <v>1425.9399999999998</v>
      </c>
      <c r="I22" s="12">
        <v>926</v>
      </c>
      <c r="J22" s="12">
        <f t="shared" si="19"/>
        <v>3074.3199999999997</v>
      </c>
      <c r="K22" s="12">
        <f t="shared" si="20"/>
        <v>1537.1599999999999</v>
      </c>
      <c r="L22" s="22">
        <f t="shared" si="21"/>
        <v>222.44000000000005</v>
      </c>
      <c r="M22" s="22">
        <f t="shared" si="22"/>
        <v>111.22000000000003</v>
      </c>
      <c r="N22" s="27">
        <f t="shared" ref="N22:N27" si="24">222*12</f>
        <v>2664</v>
      </c>
      <c r="O22" s="27">
        <f t="shared" ref="O22:O27" si="25">112*12</f>
        <v>1344</v>
      </c>
      <c r="P22" s="27">
        <v>966</v>
      </c>
      <c r="Q22" s="30">
        <f t="shared" si="23"/>
        <v>4974</v>
      </c>
    </row>
    <row r="23" spans="1:18" x14ac:dyDescent="0.25">
      <c r="A23" s="56"/>
      <c r="B23" s="7" t="s">
        <v>22</v>
      </c>
      <c r="C23" s="2">
        <v>3.32</v>
      </c>
      <c r="D23" s="50"/>
      <c r="E23" s="2">
        <v>859</v>
      </c>
      <c r="F23" s="12">
        <f t="shared" si="18"/>
        <v>2851.8799999999997</v>
      </c>
      <c r="G23" s="13">
        <v>2377</v>
      </c>
      <c r="H23" s="19">
        <f t="shared" ref="H23:H27" si="26">F23/2</f>
        <v>1425.9399999999998</v>
      </c>
      <c r="I23" s="12">
        <v>926</v>
      </c>
      <c r="J23" s="12">
        <f t="shared" si="19"/>
        <v>3074.3199999999997</v>
      </c>
      <c r="K23" s="12">
        <f t="shared" si="20"/>
        <v>1537.1599999999999</v>
      </c>
      <c r="L23" s="22">
        <f t="shared" si="21"/>
        <v>222.44000000000005</v>
      </c>
      <c r="M23" s="22">
        <f t="shared" si="22"/>
        <v>111.22000000000003</v>
      </c>
      <c r="N23" s="27">
        <f t="shared" si="24"/>
        <v>2664</v>
      </c>
      <c r="O23" s="27">
        <f t="shared" si="25"/>
        <v>1344</v>
      </c>
      <c r="P23" s="27">
        <v>966</v>
      </c>
      <c r="Q23" s="30">
        <f t="shared" si="23"/>
        <v>4974</v>
      </c>
    </row>
    <row r="24" spans="1:18" x14ac:dyDescent="0.25">
      <c r="A24" s="56"/>
      <c r="B24" s="7" t="s">
        <v>17</v>
      </c>
      <c r="C24" s="2">
        <v>3.32</v>
      </c>
      <c r="D24" s="50"/>
      <c r="E24" s="2">
        <v>859</v>
      </c>
      <c r="F24" s="12">
        <f t="shared" si="18"/>
        <v>2851.8799999999997</v>
      </c>
      <c r="G24" s="13">
        <v>2377</v>
      </c>
      <c r="H24" s="19">
        <f t="shared" si="26"/>
        <v>1425.9399999999998</v>
      </c>
      <c r="I24" s="12">
        <v>926</v>
      </c>
      <c r="J24" s="12">
        <f t="shared" si="19"/>
        <v>3074.3199999999997</v>
      </c>
      <c r="K24" s="12">
        <f t="shared" si="20"/>
        <v>1537.1599999999999</v>
      </c>
      <c r="L24" s="22">
        <f t="shared" si="21"/>
        <v>222.44000000000005</v>
      </c>
      <c r="M24" s="22">
        <f t="shared" si="22"/>
        <v>111.22000000000003</v>
      </c>
      <c r="N24" s="27">
        <f t="shared" si="24"/>
        <v>2664</v>
      </c>
      <c r="O24" s="27">
        <f t="shared" si="25"/>
        <v>1344</v>
      </c>
      <c r="P24" s="27">
        <v>966</v>
      </c>
      <c r="Q24" s="30">
        <f t="shared" ref="Q24:Q27" si="27">N24+O24+P24</f>
        <v>4974</v>
      </c>
    </row>
    <row r="25" spans="1:18" x14ac:dyDescent="0.25">
      <c r="A25" s="56"/>
      <c r="B25" s="7" t="s">
        <v>18</v>
      </c>
      <c r="C25" s="2">
        <v>3.32</v>
      </c>
      <c r="D25" s="50"/>
      <c r="E25" s="2">
        <v>859</v>
      </c>
      <c r="F25" s="12">
        <f t="shared" si="18"/>
        <v>2851.8799999999997</v>
      </c>
      <c r="G25" s="13">
        <v>2377</v>
      </c>
      <c r="H25" s="19">
        <f t="shared" si="26"/>
        <v>1425.9399999999998</v>
      </c>
      <c r="I25" s="12">
        <v>926</v>
      </c>
      <c r="J25" s="12">
        <f t="shared" si="19"/>
        <v>3074.3199999999997</v>
      </c>
      <c r="K25" s="12">
        <f t="shared" si="20"/>
        <v>1537.1599999999999</v>
      </c>
      <c r="L25" s="22">
        <f t="shared" si="21"/>
        <v>222.44000000000005</v>
      </c>
      <c r="M25" s="22">
        <f t="shared" si="22"/>
        <v>111.22000000000003</v>
      </c>
      <c r="N25" s="27">
        <f t="shared" si="24"/>
        <v>2664</v>
      </c>
      <c r="O25" s="27">
        <f t="shared" si="25"/>
        <v>1344</v>
      </c>
      <c r="P25" s="27">
        <v>966</v>
      </c>
      <c r="Q25" s="30">
        <f t="shared" si="27"/>
        <v>4974</v>
      </c>
    </row>
    <row r="26" spans="1:18" x14ac:dyDescent="0.25">
      <c r="A26" s="56"/>
      <c r="B26" s="7" t="s">
        <v>19</v>
      </c>
      <c r="C26" s="2">
        <v>3.32</v>
      </c>
      <c r="D26" s="50"/>
      <c r="E26" s="2">
        <v>859</v>
      </c>
      <c r="F26" s="12">
        <f t="shared" si="18"/>
        <v>2851.8799999999997</v>
      </c>
      <c r="G26" s="13">
        <v>2377</v>
      </c>
      <c r="H26" s="19">
        <f t="shared" si="26"/>
        <v>1425.9399999999998</v>
      </c>
      <c r="I26" s="12">
        <v>926</v>
      </c>
      <c r="J26" s="12">
        <f t="shared" si="19"/>
        <v>3074.3199999999997</v>
      </c>
      <c r="K26" s="12">
        <f t="shared" si="20"/>
        <v>1537.1599999999999</v>
      </c>
      <c r="L26" s="22">
        <f t="shared" si="21"/>
        <v>222.44000000000005</v>
      </c>
      <c r="M26" s="22">
        <f t="shared" si="22"/>
        <v>111.22000000000003</v>
      </c>
      <c r="N26" s="27">
        <f t="shared" si="24"/>
        <v>2664</v>
      </c>
      <c r="O26" s="27">
        <f t="shared" si="25"/>
        <v>1344</v>
      </c>
      <c r="P26" s="27">
        <v>966</v>
      </c>
      <c r="Q26" s="30">
        <f t="shared" si="27"/>
        <v>4974</v>
      </c>
    </row>
    <row r="27" spans="1:18" x14ac:dyDescent="0.25">
      <c r="A27" s="57"/>
      <c r="B27" s="7" t="s">
        <v>20</v>
      </c>
      <c r="C27" s="2">
        <v>3.32</v>
      </c>
      <c r="D27" s="51"/>
      <c r="E27" s="2">
        <v>859</v>
      </c>
      <c r="F27" s="12">
        <f t="shared" si="18"/>
        <v>2851.8799999999997</v>
      </c>
      <c r="G27" s="13">
        <v>2377</v>
      </c>
      <c r="H27" s="19">
        <f t="shared" si="26"/>
        <v>1425.9399999999998</v>
      </c>
      <c r="I27" s="12">
        <v>926</v>
      </c>
      <c r="J27" s="12">
        <f t="shared" si="19"/>
        <v>3074.3199999999997</v>
      </c>
      <c r="K27" s="12">
        <f t="shared" si="20"/>
        <v>1537.1599999999999</v>
      </c>
      <c r="L27" s="22">
        <f t="shared" si="21"/>
        <v>222.44000000000005</v>
      </c>
      <c r="M27" s="22">
        <f t="shared" si="22"/>
        <v>111.22000000000003</v>
      </c>
      <c r="N27" s="27">
        <f t="shared" si="24"/>
        <v>2664</v>
      </c>
      <c r="O27" s="27">
        <f t="shared" si="25"/>
        <v>1344</v>
      </c>
      <c r="P27" s="27">
        <v>966</v>
      </c>
      <c r="Q27" s="30">
        <f t="shared" si="27"/>
        <v>4974</v>
      </c>
    </row>
    <row r="28" spans="1:18" ht="55.5" x14ac:dyDescent="0.25">
      <c r="A28" s="16" t="s">
        <v>35</v>
      </c>
      <c r="B28" s="3" t="s">
        <v>4</v>
      </c>
      <c r="C28" s="2">
        <v>4.05</v>
      </c>
      <c r="D28" s="2"/>
      <c r="E28" s="2">
        <v>859</v>
      </c>
      <c r="F28" s="12">
        <f t="shared" si="18"/>
        <v>3478.95</v>
      </c>
      <c r="G28" s="13">
        <v>2336</v>
      </c>
      <c r="H28" s="20"/>
      <c r="I28" s="12">
        <v>926</v>
      </c>
      <c r="J28" s="12">
        <f t="shared" si="19"/>
        <v>3750.2999999999997</v>
      </c>
      <c r="K28" s="12"/>
      <c r="L28" s="21">
        <f t="shared" si="21"/>
        <v>271.34999999999991</v>
      </c>
      <c r="M28" s="12"/>
      <c r="N28" s="27">
        <f>271*12</f>
        <v>3252</v>
      </c>
      <c r="O28" s="27"/>
      <c r="P28" s="27">
        <v>783</v>
      </c>
      <c r="Q28" s="30">
        <f t="shared" si="23"/>
        <v>4035</v>
      </c>
    </row>
    <row r="29" spans="1:18" ht="15.75" customHeight="1" x14ac:dyDescent="0.25">
      <c r="A29" s="55" t="s">
        <v>31</v>
      </c>
      <c r="B29" s="3" t="s">
        <v>5</v>
      </c>
      <c r="C29" s="2">
        <v>2.78</v>
      </c>
      <c r="D29" s="2"/>
      <c r="E29" s="2">
        <v>859</v>
      </c>
      <c r="F29" s="12">
        <f t="shared" si="18"/>
        <v>2388.02</v>
      </c>
      <c r="G29" s="13">
        <v>1905</v>
      </c>
      <c r="H29" s="20"/>
      <c r="I29" s="12">
        <v>926</v>
      </c>
      <c r="J29" s="12">
        <f t="shared" si="19"/>
        <v>2574.2799999999997</v>
      </c>
      <c r="K29" s="12"/>
      <c r="L29" s="21">
        <f t="shared" si="21"/>
        <v>186.25999999999976</v>
      </c>
      <c r="M29" s="12"/>
      <c r="N29" s="27">
        <f>186*12</f>
        <v>2232</v>
      </c>
      <c r="O29" s="27"/>
      <c r="P29" s="27">
        <v>538</v>
      </c>
      <c r="Q29" s="30">
        <f t="shared" si="23"/>
        <v>2770</v>
      </c>
    </row>
    <row r="30" spans="1:18" ht="15.75" customHeight="1" x14ac:dyDescent="0.25">
      <c r="A30" s="56"/>
      <c r="B30" s="4" t="s">
        <v>6</v>
      </c>
      <c r="C30" s="2">
        <v>2.64</v>
      </c>
      <c r="D30" s="60" t="s">
        <v>14</v>
      </c>
      <c r="E30" s="2">
        <v>859</v>
      </c>
      <c r="F30" s="12">
        <f t="shared" si="18"/>
        <v>2267.7600000000002</v>
      </c>
      <c r="G30" s="13">
        <v>1809</v>
      </c>
      <c r="H30" s="20"/>
      <c r="I30" s="12">
        <v>926</v>
      </c>
      <c r="J30" s="12">
        <f t="shared" si="19"/>
        <v>2444.6400000000003</v>
      </c>
      <c r="K30" s="12"/>
      <c r="L30" s="21">
        <f t="shared" si="21"/>
        <v>176.88000000000011</v>
      </c>
      <c r="M30" s="12"/>
      <c r="N30" s="27">
        <f>177*12</f>
        <v>2124</v>
      </c>
      <c r="O30" s="27"/>
      <c r="P30" s="27">
        <v>512</v>
      </c>
      <c r="Q30" s="30">
        <f t="shared" si="23"/>
        <v>2636</v>
      </c>
    </row>
    <row r="31" spans="1:18" x14ac:dyDescent="0.25">
      <c r="A31" s="56"/>
      <c r="B31" s="4" t="s">
        <v>37</v>
      </c>
      <c r="C31" s="2">
        <v>2.31</v>
      </c>
      <c r="D31" s="61"/>
      <c r="E31" s="2">
        <v>859</v>
      </c>
      <c r="F31" s="12">
        <f t="shared" si="18"/>
        <v>1984.29</v>
      </c>
      <c r="G31" s="13">
        <v>1654</v>
      </c>
      <c r="H31" s="20"/>
      <c r="I31" s="12">
        <v>926</v>
      </c>
      <c r="J31" s="12">
        <f t="shared" si="19"/>
        <v>2139.06</v>
      </c>
      <c r="K31" s="12"/>
      <c r="L31" s="21">
        <f t="shared" si="21"/>
        <v>154.76999999999998</v>
      </c>
      <c r="M31" s="12"/>
      <c r="N31" s="27">
        <f>155*12</f>
        <v>1860</v>
      </c>
      <c r="O31" s="27"/>
      <c r="P31" s="27">
        <v>448</v>
      </c>
      <c r="Q31" s="30">
        <f t="shared" si="23"/>
        <v>2308</v>
      </c>
    </row>
    <row r="32" spans="1:18" x14ac:dyDescent="0.25">
      <c r="A32" s="56"/>
      <c r="B32" s="4" t="s">
        <v>37</v>
      </c>
      <c r="C32" s="2">
        <v>2.31</v>
      </c>
      <c r="D32" s="61"/>
      <c r="E32" s="2">
        <v>859</v>
      </c>
      <c r="F32" s="12">
        <f t="shared" ref="F32:F33" si="28">E32*C32</f>
        <v>1984.29</v>
      </c>
      <c r="G32" s="13">
        <v>1655</v>
      </c>
      <c r="H32" s="20"/>
      <c r="I32" s="12">
        <v>926</v>
      </c>
      <c r="J32" s="12">
        <f t="shared" si="19"/>
        <v>2139.06</v>
      </c>
      <c r="K32" s="12"/>
      <c r="L32" s="21">
        <f t="shared" si="21"/>
        <v>154.76999999999998</v>
      </c>
      <c r="M32" s="12"/>
      <c r="N32" s="27">
        <f>155*12</f>
        <v>1860</v>
      </c>
      <c r="O32" s="27"/>
      <c r="P32" s="27">
        <v>448</v>
      </c>
      <c r="Q32" s="30">
        <f t="shared" ref="Q32:Q33" si="29">N32+O32+P32</f>
        <v>2308</v>
      </c>
    </row>
    <row r="33" spans="1:17" x14ac:dyDescent="0.25">
      <c r="A33" s="57"/>
      <c r="B33" s="4" t="s">
        <v>37</v>
      </c>
      <c r="C33" s="2">
        <v>2.31</v>
      </c>
      <c r="D33" s="62"/>
      <c r="E33" s="2">
        <v>859</v>
      </c>
      <c r="F33" s="12">
        <f t="shared" si="28"/>
        <v>1984.29</v>
      </c>
      <c r="G33" s="13">
        <v>1656</v>
      </c>
      <c r="H33" s="20"/>
      <c r="I33" s="12">
        <v>926</v>
      </c>
      <c r="J33" s="12">
        <f t="shared" si="19"/>
        <v>2139.06</v>
      </c>
      <c r="K33" s="12"/>
      <c r="L33" s="21">
        <f t="shared" si="21"/>
        <v>154.76999999999998</v>
      </c>
      <c r="M33" s="12"/>
      <c r="N33" s="27">
        <f>155*12</f>
        <v>1860</v>
      </c>
      <c r="O33" s="27"/>
      <c r="P33" s="27">
        <v>448</v>
      </c>
      <c r="Q33" s="30">
        <f t="shared" si="29"/>
        <v>2308</v>
      </c>
    </row>
    <row r="34" spans="1:17" ht="15.75" customHeight="1" x14ac:dyDescent="0.25">
      <c r="A34" s="47" t="s">
        <v>32</v>
      </c>
      <c r="B34" s="4" t="s">
        <v>7</v>
      </c>
      <c r="C34" s="2">
        <v>3.32</v>
      </c>
      <c r="D34" s="2"/>
      <c r="E34" s="2">
        <v>859</v>
      </c>
      <c r="F34" s="12">
        <f t="shared" si="18"/>
        <v>2851.8799999999997</v>
      </c>
      <c r="G34" s="13">
        <v>2377</v>
      </c>
      <c r="H34" s="20"/>
      <c r="I34" s="12">
        <v>926</v>
      </c>
      <c r="J34" s="12">
        <f t="shared" si="19"/>
        <v>3074.3199999999997</v>
      </c>
      <c r="K34" s="12"/>
      <c r="L34" s="21">
        <f t="shared" si="21"/>
        <v>222.44000000000005</v>
      </c>
      <c r="M34" s="12"/>
      <c r="N34" s="27">
        <f>222*12</f>
        <v>2664</v>
      </c>
      <c r="O34" s="27"/>
      <c r="P34" s="27">
        <v>642</v>
      </c>
      <c r="Q34" s="30">
        <f t="shared" si="23"/>
        <v>3306</v>
      </c>
    </row>
    <row r="35" spans="1:17" x14ac:dyDescent="0.25">
      <c r="A35" s="63"/>
      <c r="B35" s="4" t="s">
        <v>8</v>
      </c>
      <c r="C35" s="2">
        <v>2.82</v>
      </c>
      <c r="D35" s="2"/>
      <c r="E35" s="2">
        <v>859</v>
      </c>
      <c r="F35" s="12">
        <f t="shared" si="18"/>
        <v>2422.3799999999997</v>
      </c>
      <c r="G35" s="13">
        <v>2019</v>
      </c>
      <c r="H35" s="20"/>
      <c r="I35" s="12">
        <v>926</v>
      </c>
      <c r="J35" s="12">
        <f t="shared" si="19"/>
        <v>2611.3199999999997</v>
      </c>
      <c r="K35" s="12"/>
      <c r="L35" s="21">
        <f t="shared" si="21"/>
        <v>188.94000000000005</v>
      </c>
      <c r="M35" s="12"/>
      <c r="N35" s="27">
        <f>189*12</f>
        <v>2268</v>
      </c>
      <c r="O35" s="27"/>
      <c r="P35" s="27">
        <v>546</v>
      </c>
      <c r="Q35" s="30">
        <f t="shared" si="23"/>
        <v>2814</v>
      </c>
    </row>
    <row r="36" spans="1:17" x14ac:dyDescent="0.25">
      <c r="A36" s="63"/>
      <c r="B36" s="4" t="s">
        <v>9</v>
      </c>
      <c r="C36" s="2">
        <v>2.82</v>
      </c>
      <c r="D36" s="2"/>
      <c r="E36" s="2">
        <v>859</v>
      </c>
      <c r="F36" s="12">
        <f t="shared" si="18"/>
        <v>2422.3799999999997</v>
      </c>
      <c r="G36" s="13">
        <v>2019</v>
      </c>
      <c r="H36" s="20"/>
      <c r="I36" s="12">
        <v>926</v>
      </c>
      <c r="J36" s="12">
        <f t="shared" si="19"/>
        <v>2611.3199999999997</v>
      </c>
      <c r="K36" s="12"/>
      <c r="L36" s="21">
        <f t="shared" si="21"/>
        <v>188.94000000000005</v>
      </c>
      <c r="M36" s="12"/>
      <c r="N36" s="27">
        <f>189*12</f>
        <v>2268</v>
      </c>
      <c r="O36" s="27"/>
      <c r="P36" s="27">
        <v>546</v>
      </c>
      <c r="Q36" s="30">
        <f t="shared" si="23"/>
        <v>2814</v>
      </c>
    </row>
    <row r="37" spans="1:17" ht="47.25" customHeight="1" x14ac:dyDescent="0.25">
      <c r="A37" s="63"/>
      <c r="B37" s="4" t="s">
        <v>38</v>
      </c>
      <c r="C37" s="2">
        <v>2.12</v>
      </c>
      <c r="D37" s="60" t="s">
        <v>14</v>
      </c>
      <c r="E37" s="2">
        <v>859</v>
      </c>
      <c r="F37" s="12">
        <f t="shared" si="18"/>
        <v>1821.0800000000002</v>
      </c>
      <c r="G37" s="13">
        <v>1518</v>
      </c>
      <c r="H37" s="20"/>
      <c r="I37" s="12">
        <v>926</v>
      </c>
      <c r="J37" s="12">
        <f t="shared" si="19"/>
        <v>1963.1200000000001</v>
      </c>
      <c r="K37" s="12"/>
      <c r="L37" s="21">
        <f t="shared" si="21"/>
        <v>142.03999999999996</v>
      </c>
      <c r="M37" s="12"/>
      <c r="N37" s="27">
        <f t="shared" ref="N37:N42" si="30">142*12</f>
        <v>1704</v>
      </c>
      <c r="O37" s="27"/>
      <c r="P37" s="27">
        <v>410</v>
      </c>
      <c r="Q37" s="30">
        <f>N37+O37+P37</f>
        <v>2114</v>
      </c>
    </row>
    <row r="38" spans="1:17" x14ac:dyDescent="0.25">
      <c r="A38" s="63"/>
      <c r="B38" s="4" t="s">
        <v>38</v>
      </c>
      <c r="C38" s="2">
        <v>2.12</v>
      </c>
      <c r="D38" s="61"/>
      <c r="E38" s="2">
        <v>859</v>
      </c>
      <c r="F38" s="12">
        <f t="shared" ref="F38:F42" si="31">E38*C38</f>
        <v>1821.0800000000002</v>
      </c>
      <c r="G38" s="13">
        <v>1519</v>
      </c>
      <c r="H38" s="20"/>
      <c r="I38" s="12">
        <v>926</v>
      </c>
      <c r="J38" s="12">
        <f t="shared" si="19"/>
        <v>1963.1200000000001</v>
      </c>
      <c r="K38" s="12"/>
      <c r="L38" s="21">
        <f t="shared" si="21"/>
        <v>142.03999999999996</v>
      </c>
      <c r="M38" s="12"/>
      <c r="N38" s="27">
        <f t="shared" si="30"/>
        <v>1704</v>
      </c>
      <c r="O38" s="27"/>
      <c r="P38" s="27">
        <v>410</v>
      </c>
      <c r="Q38" s="30">
        <f>N38+O38+P38</f>
        <v>2114</v>
      </c>
    </row>
    <row r="39" spans="1:17" x14ac:dyDescent="0.25">
      <c r="A39" s="63"/>
      <c r="B39" s="4" t="s">
        <v>38</v>
      </c>
      <c r="C39" s="2">
        <v>2.12</v>
      </c>
      <c r="D39" s="61"/>
      <c r="E39" s="2">
        <v>859</v>
      </c>
      <c r="F39" s="12">
        <f t="shared" si="31"/>
        <v>1821.0800000000002</v>
      </c>
      <c r="G39" s="13">
        <v>1520</v>
      </c>
      <c r="H39" s="20"/>
      <c r="I39" s="12">
        <v>926</v>
      </c>
      <c r="J39" s="12">
        <f t="shared" si="19"/>
        <v>1963.1200000000001</v>
      </c>
      <c r="K39" s="12"/>
      <c r="L39" s="21">
        <f t="shared" si="21"/>
        <v>142.03999999999996</v>
      </c>
      <c r="M39" s="12"/>
      <c r="N39" s="27">
        <f t="shared" si="30"/>
        <v>1704</v>
      </c>
      <c r="O39" s="27"/>
      <c r="P39" s="27">
        <v>410</v>
      </c>
      <c r="Q39" s="30">
        <f t="shared" ref="Q39:Q42" si="32">N39+O39+P39</f>
        <v>2114</v>
      </c>
    </row>
    <row r="40" spans="1:17" x14ac:dyDescent="0.25">
      <c r="A40" s="63"/>
      <c r="B40" s="4" t="s">
        <v>38</v>
      </c>
      <c r="C40" s="2">
        <v>2.12</v>
      </c>
      <c r="D40" s="61"/>
      <c r="E40" s="2">
        <v>859</v>
      </c>
      <c r="F40" s="12">
        <f t="shared" si="31"/>
        <v>1821.0800000000002</v>
      </c>
      <c r="G40" s="13">
        <v>1521</v>
      </c>
      <c r="H40" s="20"/>
      <c r="I40" s="12">
        <v>926</v>
      </c>
      <c r="J40" s="12">
        <f t="shared" si="19"/>
        <v>1963.1200000000001</v>
      </c>
      <c r="K40" s="12"/>
      <c r="L40" s="21">
        <f t="shared" si="21"/>
        <v>142.03999999999996</v>
      </c>
      <c r="M40" s="12"/>
      <c r="N40" s="27">
        <f t="shared" si="30"/>
        <v>1704</v>
      </c>
      <c r="O40" s="27"/>
      <c r="P40" s="27">
        <v>410</v>
      </c>
      <c r="Q40" s="30">
        <f t="shared" si="32"/>
        <v>2114</v>
      </c>
    </row>
    <row r="41" spans="1:17" x14ac:dyDescent="0.25">
      <c r="A41" s="63"/>
      <c r="B41" s="4" t="s">
        <v>38</v>
      </c>
      <c r="C41" s="2">
        <v>2.12</v>
      </c>
      <c r="D41" s="61"/>
      <c r="E41" s="2">
        <v>859</v>
      </c>
      <c r="F41" s="12">
        <f t="shared" si="31"/>
        <v>1821.0800000000002</v>
      </c>
      <c r="G41" s="13">
        <v>1522</v>
      </c>
      <c r="H41" s="20"/>
      <c r="I41" s="12">
        <v>926</v>
      </c>
      <c r="J41" s="12">
        <f t="shared" si="19"/>
        <v>1963.1200000000001</v>
      </c>
      <c r="K41" s="12"/>
      <c r="L41" s="21">
        <f t="shared" si="21"/>
        <v>142.03999999999996</v>
      </c>
      <c r="M41" s="12"/>
      <c r="N41" s="27">
        <f t="shared" si="30"/>
        <v>1704</v>
      </c>
      <c r="O41" s="27"/>
      <c r="P41" s="27">
        <v>410</v>
      </c>
      <c r="Q41" s="30">
        <f t="shared" si="32"/>
        <v>2114</v>
      </c>
    </row>
    <row r="42" spans="1:17" x14ac:dyDescent="0.25">
      <c r="A42" s="48"/>
      <c r="B42" s="4" t="s">
        <v>38</v>
      </c>
      <c r="C42" s="2">
        <v>2.12</v>
      </c>
      <c r="D42" s="62"/>
      <c r="E42" s="2">
        <v>859</v>
      </c>
      <c r="F42" s="12">
        <f t="shared" si="31"/>
        <v>1821.0800000000002</v>
      </c>
      <c r="G42" s="13">
        <v>1523</v>
      </c>
      <c r="H42" s="20"/>
      <c r="I42" s="12">
        <v>926</v>
      </c>
      <c r="J42" s="12">
        <f t="shared" si="19"/>
        <v>1963.1200000000001</v>
      </c>
      <c r="K42" s="12"/>
      <c r="L42" s="21">
        <f t="shared" si="21"/>
        <v>142.03999999999996</v>
      </c>
      <c r="M42" s="12"/>
      <c r="N42" s="27">
        <f t="shared" si="30"/>
        <v>1704</v>
      </c>
      <c r="O42" s="27"/>
      <c r="P42" s="27">
        <v>410</v>
      </c>
      <c r="Q42" s="30">
        <f t="shared" si="32"/>
        <v>2114</v>
      </c>
    </row>
    <row r="43" spans="1:17" ht="31.5" x14ac:dyDescent="0.25">
      <c r="A43" s="17" t="s">
        <v>33</v>
      </c>
      <c r="B43" s="6" t="s">
        <v>23</v>
      </c>
      <c r="C43" s="2">
        <v>0.8</v>
      </c>
      <c r="D43" s="2"/>
      <c r="E43" s="2">
        <v>859</v>
      </c>
      <c r="F43" s="12">
        <f t="shared" si="18"/>
        <v>687.2</v>
      </c>
      <c r="G43" s="13">
        <v>1170</v>
      </c>
      <c r="H43" s="20"/>
      <c r="I43" s="12">
        <v>926</v>
      </c>
      <c r="J43" s="12">
        <f t="shared" si="19"/>
        <v>740.80000000000007</v>
      </c>
      <c r="K43" s="12"/>
      <c r="L43" s="21">
        <f t="shared" si="21"/>
        <v>53.600000000000023</v>
      </c>
      <c r="M43" s="12"/>
      <c r="N43" s="27">
        <f>54*12</f>
        <v>648</v>
      </c>
      <c r="O43" s="27"/>
      <c r="P43" s="27">
        <v>156</v>
      </c>
      <c r="Q43" s="30">
        <f t="shared" ref="Q43:Q45" si="33">N43+O43+P43</f>
        <v>804</v>
      </c>
    </row>
    <row r="44" spans="1:17" ht="31.5" x14ac:dyDescent="0.25">
      <c r="A44" s="47" t="s">
        <v>34</v>
      </c>
      <c r="B44" s="5" t="s">
        <v>10</v>
      </c>
      <c r="C44" s="2">
        <v>2.33</v>
      </c>
      <c r="D44" s="2"/>
      <c r="E44" s="2">
        <v>859</v>
      </c>
      <c r="F44" s="12">
        <f t="shared" si="18"/>
        <v>2001.47</v>
      </c>
      <c r="G44" s="13">
        <v>1571</v>
      </c>
      <c r="H44" s="20"/>
      <c r="I44" s="12">
        <v>926</v>
      </c>
      <c r="J44" s="12">
        <f t="shared" si="19"/>
        <v>2157.58</v>
      </c>
      <c r="K44" s="12"/>
      <c r="L44" s="21">
        <f t="shared" si="21"/>
        <v>156.1099999999999</v>
      </c>
      <c r="M44" s="12"/>
      <c r="N44" s="27">
        <f>156*12</f>
        <v>1872</v>
      </c>
      <c r="O44" s="27"/>
      <c r="P44" s="27">
        <v>451</v>
      </c>
      <c r="Q44" s="30">
        <f t="shared" si="33"/>
        <v>2323</v>
      </c>
    </row>
    <row r="45" spans="1:17" ht="63.75" customHeight="1" x14ac:dyDescent="0.25">
      <c r="A45" s="48"/>
      <c r="B45" s="6" t="s">
        <v>36</v>
      </c>
      <c r="C45" s="2">
        <v>0.22</v>
      </c>
      <c r="D45" s="1" t="s">
        <v>14</v>
      </c>
      <c r="E45" s="2">
        <v>859</v>
      </c>
      <c r="F45" s="12">
        <f t="shared" si="18"/>
        <v>188.98</v>
      </c>
      <c r="G45" s="14" t="s">
        <v>26</v>
      </c>
      <c r="H45" s="20"/>
      <c r="I45" s="12">
        <v>926</v>
      </c>
      <c r="J45" s="12">
        <f t="shared" si="19"/>
        <v>203.72</v>
      </c>
      <c r="K45" s="12"/>
      <c r="L45" s="21">
        <f t="shared" si="21"/>
        <v>14.740000000000009</v>
      </c>
      <c r="M45" s="12"/>
      <c r="N45" s="27">
        <f>15*12*12</f>
        <v>2160</v>
      </c>
      <c r="O45" s="27"/>
      <c r="P45" s="27">
        <v>520</v>
      </c>
      <c r="Q45" s="30">
        <f t="shared" si="33"/>
        <v>2680</v>
      </c>
    </row>
    <row r="46" spans="1:17" s="11" customFormat="1" x14ac:dyDescent="0.25">
      <c r="A46" s="9"/>
      <c r="B46" s="10" t="s">
        <v>28</v>
      </c>
      <c r="C46" s="10"/>
      <c r="D46" s="10"/>
      <c r="E46" s="10"/>
      <c r="F46" s="15"/>
      <c r="G46" s="15"/>
      <c r="H46" s="15"/>
      <c r="I46" s="15"/>
      <c r="J46" s="15"/>
      <c r="K46" s="15"/>
      <c r="L46" s="15"/>
      <c r="M46" s="15"/>
      <c r="N46" s="32">
        <f>N7+N38+N39+N40+N41+N42+N8+N10+N21+N22+N23+N24+N25+N26+N27+N28+N29+N30+N31+N34+N35+N36+N37+N43+N44+N45+N13+N14+N19+N15+N16+N17+N18+N32+N33+N9+N11+N12</f>
        <v>139548</v>
      </c>
      <c r="O46" s="32">
        <f>O7+O38+O39+O40+O41+O42+O8+O10+O21+O22+O23+O24+O25+O26+O27+O28+O29+O30+O31+O34+O35+O36+O37+O43+O44+O45+O13+O14+O19+O15+O16+O17+O18+O32+O33+O9+O11+O12</f>
        <v>9696</v>
      </c>
      <c r="P46" s="32">
        <f>P7+P38+P39+P40+P41+P42+P8+P10+P21+P22+P23+P24+P25+P26+P27+P28+P29+P30+P31+P34+P35+P36+P37+P43+P44+P45+P13+P14+P19+P15+P16+P17+P18+P32+P33+P9+P11+P12</f>
        <v>35947</v>
      </c>
      <c r="Q46" s="32">
        <f>Q7+Q38+Q39+Q40+Q41+Q42+Q8+Q10+Q21+Q22+Q23+Q24+Q25+Q26+Q27+Q28+Q29+Q30+Q31+Q34+Q35+Q36+Q37+Q43+Q44+Q45+Q13+Q14+Q19+Q15+Q16+Q17+Q18+Q32+Q33+Q9+Q11+Q12</f>
        <v>185191</v>
      </c>
    </row>
    <row r="47" spans="1:17" x14ac:dyDescent="0.25">
      <c r="Q47" s="33"/>
    </row>
  </sheetData>
  <sheetProtection algorithmName="SHA-512" hashValue="3OLVky65oaHFuevrwg8ehZ0ZbGXhxQx52WqDywqIuXrc+GbpWmiagex9oVwQ043Sm2K7Y3IxpUWlBrQu/Mo0nA==" saltValue="UYerf53Bmli6f3dM4bK3Ag==" spinCount="100000" sheet="1" objects="1" scenarios="1"/>
  <mergeCells count="25">
    <mergeCell ref="A2:L2"/>
    <mergeCell ref="A10:A19"/>
    <mergeCell ref="M4:M5"/>
    <mergeCell ref="A29:A33"/>
    <mergeCell ref="F4:F5"/>
    <mergeCell ref="G4:G5"/>
    <mergeCell ref="I4:I5"/>
    <mergeCell ref="J4:J5"/>
    <mergeCell ref="E4:E5"/>
    <mergeCell ref="N4:Q4"/>
    <mergeCell ref="A44:A45"/>
    <mergeCell ref="D21:D27"/>
    <mergeCell ref="A4:A5"/>
    <mergeCell ref="H4:H5"/>
    <mergeCell ref="K4:K5"/>
    <mergeCell ref="A21:A27"/>
    <mergeCell ref="B20:M20"/>
    <mergeCell ref="B4:B5"/>
    <mergeCell ref="C4:C5"/>
    <mergeCell ref="D4:D5"/>
    <mergeCell ref="D37:D42"/>
    <mergeCell ref="D30:D33"/>
    <mergeCell ref="A7:A9"/>
    <mergeCell ref="A34:A42"/>
    <mergeCell ref="L4:L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70" zoomScaleNormal="70" workbookViewId="0">
      <selection activeCell="H12" sqref="H12"/>
    </sheetView>
  </sheetViews>
  <sheetFormatPr defaultRowHeight="15.75" x14ac:dyDescent="0.25"/>
  <cols>
    <col min="1" max="1" width="12" customWidth="1"/>
    <col min="2" max="2" width="28.625" customWidth="1"/>
    <col min="4" max="4" width="13.875" customWidth="1"/>
    <col min="5" max="5" width="14.125" customWidth="1"/>
    <col min="6" max="6" width="11.75" customWidth="1"/>
    <col min="7" max="7" width="13" hidden="1" customWidth="1"/>
    <col min="8" max="8" width="13" customWidth="1"/>
    <col min="9" max="9" width="16.125" customWidth="1"/>
    <col min="10" max="11" width="11.75" customWidth="1"/>
    <col min="12" max="13" width="10.375" customWidth="1"/>
    <col min="14" max="14" width="13.75" customWidth="1"/>
    <col min="15" max="15" width="10.5" customWidth="1"/>
    <col min="16" max="16" width="12.875" customWidth="1"/>
    <col min="18" max="18" width="2.5" customWidth="1"/>
    <col min="19" max="19" width="9" hidden="1" customWidth="1"/>
  </cols>
  <sheetData>
    <row r="1" spans="1:19" x14ac:dyDescent="0.25">
      <c r="O1" t="s">
        <v>98</v>
      </c>
    </row>
    <row r="2" spans="1:19" ht="20.25" customHeight="1" x14ac:dyDescent="0.25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24"/>
    </row>
    <row r="4" spans="1:19" ht="65.25" customHeight="1" x14ac:dyDescent="0.25">
      <c r="A4" s="52" t="s">
        <v>39</v>
      </c>
      <c r="B4" s="59" t="s">
        <v>0</v>
      </c>
      <c r="C4" s="59" t="s">
        <v>1</v>
      </c>
      <c r="D4" s="59" t="s">
        <v>13</v>
      </c>
      <c r="E4" s="66" t="s">
        <v>54</v>
      </c>
      <c r="F4" s="66" t="s">
        <v>63</v>
      </c>
      <c r="G4" s="66" t="s">
        <v>25</v>
      </c>
      <c r="H4" s="53" t="s">
        <v>64</v>
      </c>
      <c r="I4" s="67" t="s">
        <v>79</v>
      </c>
      <c r="J4" s="66" t="s">
        <v>65</v>
      </c>
      <c r="K4" s="53" t="s">
        <v>66</v>
      </c>
      <c r="L4" s="64" t="s">
        <v>67</v>
      </c>
      <c r="M4" s="66" t="s">
        <v>68</v>
      </c>
      <c r="N4" s="46" t="s">
        <v>93</v>
      </c>
      <c r="O4" s="46"/>
      <c r="P4" s="46"/>
      <c r="Q4" s="46"/>
    </row>
    <row r="5" spans="1:19" ht="72" customHeight="1" x14ac:dyDescent="0.25">
      <c r="A5" s="52"/>
      <c r="B5" s="59"/>
      <c r="C5" s="59"/>
      <c r="D5" s="59"/>
      <c r="E5" s="66"/>
      <c r="F5" s="66"/>
      <c r="G5" s="66"/>
      <c r="H5" s="54"/>
      <c r="I5" s="67"/>
      <c r="J5" s="66"/>
      <c r="K5" s="54"/>
      <c r="L5" s="64"/>
      <c r="M5" s="66"/>
      <c r="N5" s="25" t="s">
        <v>11</v>
      </c>
      <c r="O5" s="25" t="s">
        <v>27</v>
      </c>
      <c r="P5" s="25" t="s">
        <v>59</v>
      </c>
      <c r="Q5" s="39" t="s">
        <v>12</v>
      </c>
    </row>
    <row r="6" spans="1:19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6"/>
      <c r="O6" s="26"/>
      <c r="P6" s="26"/>
      <c r="Q6" s="29"/>
    </row>
    <row r="7" spans="1:19" ht="15.75" customHeight="1" x14ac:dyDescent="0.25">
      <c r="A7" s="60" t="s">
        <v>30</v>
      </c>
      <c r="B7" s="3" t="s">
        <v>15</v>
      </c>
      <c r="C7" s="2">
        <v>4.93</v>
      </c>
      <c r="D7" s="2"/>
      <c r="E7" s="2">
        <v>926</v>
      </c>
      <c r="F7" s="12">
        <f t="shared" ref="F7:F19" si="0">E7*C7</f>
        <v>4565.1799999999994</v>
      </c>
      <c r="G7" s="13">
        <v>2900</v>
      </c>
      <c r="H7" s="18"/>
      <c r="I7" s="21">
        <v>976</v>
      </c>
      <c r="J7" s="12">
        <f t="shared" ref="J7:J19" si="1">I7*C7</f>
        <v>4811.6799999999994</v>
      </c>
      <c r="K7" s="12"/>
      <c r="L7" s="21">
        <f t="shared" ref="L7:L19" si="2">J7-F7</f>
        <v>246.5</v>
      </c>
      <c r="M7" s="12"/>
      <c r="N7" s="27">
        <f>247*12</f>
        <v>2964</v>
      </c>
      <c r="O7" s="23"/>
      <c r="P7" s="27">
        <v>714</v>
      </c>
      <c r="Q7" s="30">
        <f>N7+O7+P7</f>
        <v>3678</v>
      </c>
      <c r="S7">
        <f>N7*24.09%</f>
        <v>714.02760000000001</v>
      </c>
    </row>
    <row r="8" spans="1:19" x14ac:dyDescent="0.25">
      <c r="A8" s="61"/>
      <c r="B8" s="3" t="s">
        <v>24</v>
      </c>
      <c r="C8" s="2">
        <v>4.68</v>
      </c>
      <c r="D8" s="2"/>
      <c r="E8" s="2">
        <v>926</v>
      </c>
      <c r="F8" s="12">
        <f t="shared" si="0"/>
        <v>4333.6799999999994</v>
      </c>
      <c r="G8" s="13">
        <v>2612</v>
      </c>
      <c r="H8" s="18"/>
      <c r="I8" s="21">
        <v>976</v>
      </c>
      <c r="J8" s="12">
        <f t="shared" si="1"/>
        <v>4567.6799999999994</v>
      </c>
      <c r="K8" s="12"/>
      <c r="L8" s="21">
        <f t="shared" si="2"/>
        <v>234</v>
      </c>
      <c r="M8" s="12"/>
      <c r="N8" s="27">
        <f>234*12*13</f>
        <v>36504</v>
      </c>
      <c r="O8" s="23"/>
      <c r="P8" s="27">
        <v>8794</v>
      </c>
      <c r="Q8" s="30">
        <f t="shared" ref="Q8:Q19" si="3">N8+O8+P8</f>
        <v>45298</v>
      </c>
      <c r="S8">
        <f t="shared" ref="S8:S19" si="4">N8*24.09%</f>
        <v>8793.8135999999995</v>
      </c>
    </row>
    <row r="9" spans="1:19" x14ac:dyDescent="0.25">
      <c r="A9" s="62"/>
      <c r="B9" s="34" t="s">
        <v>48</v>
      </c>
      <c r="C9" s="35">
        <v>3.63</v>
      </c>
      <c r="D9" s="35"/>
      <c r="E9" s="2">
        <v>926</v>
      </c>
      <c r="F9" s="36">
        <f t="shared" si="0"/>
        <v>3361.38</v>
      </c>
      <c r="G9" s="36">
        <v>2031</v>
      </c>
      <c r="H9" s="36"/>
      <c r="I9" s="21">
        <v>976</v>
      </c>
      <c r="J9" s="36">
        <f t="shared" si="1"/>
        <v>3542.88</v>
      </c>
      <c r="K9" s="36"/>
      <c r="L9" s="37">
        <f t="shared" si="2"/>
        <v>181.5</v>
      </c>
      <c r="M9" s="36"/>
      <c r="N9" s="27">
        <f>182*12</f>
        <v>2184</v>
      </c>
      <c r="O9" s="23"/>
      <c r="P9" s="27">
        <v>526</v>
      </c>
      <c r="Q9" s="30">
        <f t="shared" si="3"/>
        <v>2710</v>
      </c>
      <c r="S9">
        <f t="shared" si="4"/>
        <v>526.12559999999996</v>
      </c>
    </row>
    <row r="10" spans="1:19" ht="33" customHeight="1" x14ac:dyDescent="0.25">
      <c r="A10" s="60" t="s">
        <v>51</v>
      </c>
      <c r="B10" s="4" t="s">
        <v>46</v>
      </c>
      <c r="C10" s="2">
        <v>3.63</v>
      </c>
      <c r="D10" s="2"/>
      <c r="E10" s="2">
        <v>926</v>
      </c>
      <c r="F10" s="12">
        <f t="shared" si="0"/>
        <v>3361.38</v>
      </c>
      <c r="G10" s="12">
        <v>2031</v>
      </c>
      <c r="H10" s="12"/>
      <c r="I10" s="21">
        <v>976</v>
      </c>
      <c r="J10" s="12">
        <f t="shared" si="1"/>
        <v>3542.88</v>
      </c>
      <c r="K10" s="12"/>
      <c r="L10" s="21">
        <f t="shared" si="2"/>
        <v>181.5</v>
      </c>
      <c r="M10" s="12"/>
      <c r="N10" s="27">
        <f t="shared" ref="N10:N19" si="5">182*12</f>
        <v>2184</v>
      </c>
      <c r="O10" s="23"/>
      <c r="P10" s="27">
        <v>526</v>
      </c>
      <c r="Q10" s="30">
        <f t="shared" si="3"/>
        <v>2710</v>
      </c>
      <c r="S10">
        <f t="shared" si="4"/>
        <v>526.12559999999996</v>
      </c>
    </row>
    <row r="11" spans="1:19" ht="33" customHeight="1" x14ac:dyDescent="0.25">
      <c r="A11" s="61"/>
      <c r="B11" s="4" t="s">
        <v>50</v>
      </c>
      <c r="C11" s="2">
        <v>3.63</v>
      </c>
      <c r="D11" s="2"/>
      <c r="E11" s="2">
        <v>926</v>
      </c>
      <c r="F11" s="12">
        <f t="shared" si="0"/>
        <v>3361.38</v>
      </c>
      <c r="G11" s="12">
        <v>2031</v>
      </c>
      <c r="H11" s="12"/>
      <c r="I11" s="21">
        <v>976</v>
      </c>
      <c r="J11" s="12">
        <f t="shared" si="1"/>
        <v>3542.88</v>
      </c>
      <c r="K11" s="12"/>
      <c r="L11" s="21">
        <f t="shared" si="2"/>
        <v>181.5</v>
      </c>
      <c r="M11" s="12"/>
      <c r="N11" s="27">
        <f t="shared" si="5"/>
        <v>2184</v>
      </c>
      <c r="O11" s="23"/>
      <c r="P11" s="27">
        <v>526</v>
      </c>
      <c r="Q11" s="30">
        <f t="shared" si="3"/>
        <v>2710</v>
      </c>
      <c r="S11">
        <f t="shared" si="4"/>
        <v>526.12559999999996</v>
      </c>
    </row>
    <row r="12" spans="1:19" ht="33" customHeight="1" x14ac:dyDescent="0.25">
      <c r="A12" s="61"/>
      <c r="B12" s="4" t="s">
        <v>49</v>
      </c>
      <c r="C12" s="2">
        <v>3.63</v>
      </c>
      <c r="D12" s="2"/>
      <c r="E12" s="2">
        <v>926</v>
      </c>
      <c r="F12" s="12">
        <f t="shared" si="0"/>
        <v>3361.38</v>
      </c>
      <c r="G12" s="12">
        <v>2031</v>
      </c>
      <c r="H12" s="12"/>
      <c r="I12" s="21">
        <v>976</v>
      </c>
      <c r="J12" s="12">
        <f t="shared" si="1"/>
        <v>3542.88</v>
      </c>
      <c r="K12" s="12"/>
      <c r="L12" s="21">
        <f t="shared" si="2"/>
        <v>181.5</v>
      </c>
      <c r="M12" s="12"/>
      <c r="N12" s="27">
        <f t="shared" si="5"/>
        <v>2184</v>
      </c>
      <c r="O12" s="23"/>
      <c r="P12" s="27">
        <v>526</v>
      </c>
      <c r="Q12" s="30">
        <f t="shared" si="3"/>
        <v>2710</v>
      </c>
      <c r="S12">
        <f t="shared" si="4"/>
        <v>526.12559999999996</v>
      </c>
    </row>
    <row r="13" spans="1:19" x14ac:dyDescent="0.25">
      <c r="A13" s="61"/>
      <c r="B13" s="4" t="s">
        <v>40</v>
      </c>
      <c r="C13" s="2">
        <v>3.63</v>
      </c>
      <c r="D13" s="2"/>
      <c r="E13" s="2">
        <v>926</v>
      </c>
      <c r="F13" s="12">
        <f t="shared" si="0"/>
        <v>3361.38</v>
      </c>
      <c r="G13" s="12">
        <v>2031</v>
      </c>
      <c r="H13" s="12"/>
      <c r="I13" s="21">
        <v>976</v>
      </c>
      <c r="J13" s="12">
        <f t="shared" si="1"/>
        <v>3542.88</v>
      </c>
      <c r="K13" s="12"/>
      <c r="L13" s="21">
        <f t="shared" si="2"/>
        <v>181.5</v>
      </c>
      <c r="M13" s="12"/>
      <c r="N13" s="27">
        <f t="shared" si="5"/>
        <v>2184</v>
      </c>
      <c r="O13" s="23"/>
      <c r="P13" s="27">
        <v>526</v>
      </c>
      <c r="Q13" s="30">
        <f t="shared" si="3"/>
        <v>2710</v>
      </c>
      <c r="S13">
        <f t="shared" si="4"/>
        <v>526.12559999999996</v>
      </c>
    </row>
    <row r="14" spans="1:19" x14ac:dyDescent="0.25">
      <c r="A14" s="61"/>
      <c r="B14" s="4" t="s">
        <v>41</v>
      </c>
      <c r="C14" s="2">
        <v>3.63</v>
      </c>
      <c r="D14" s="2"/>
      <c r="E14" s="2">
        <v>926</v>
      </c>
      <c r="F14" s="12">
        <f t="shared" si="0"/>
        <v>3361.38</v>
      </c>
      <c r="G14" s="12">
        <v>2031</v>
      </c>
      <c r="H14" s="12"/>
      <c r="I14" s="21">
        <v>976</v>
      </c>
      <c r="J14" s="12">
        <f t="shared" si="1"/>
        <v>3542.88</v>
      </c>
      <c r="K14" s="12"/>
      <c r="L14" s="21">
        <f t="shared" si="2"/>
        <v>181.5</v>
      </c>
      <c r="M14" s="12"/>
      <c r="N14" s="27">
        <f t="shared" si="5"/>
        <v>2184</v>
      </c>
      <c r="O14" s="23"/>
      <c r="P14" s="27">
        <v>526</v>
      </c>
      <c r="Q14" s="30">
        <f t="shared" si="3"/>
        <v>2710</v>
      </c>
      <c r="S14">
        <f t="shared" si="4"/>
        <v>526.12559999999996</v>
      </c>
    </row>
    <row r="15" spans="1:19" x14ac:dyDescent="0.25">
      <c r="A15" s="61"/>
      <c r="B15" s="4" t="s">
        <v>45</v>
      </c>
      <c r="C15" s="2">
        <v>3.63</v>
      </c>
      <c r="D15" s="2"/>
      <c r="E15" s="2">
        <v>926</v>
      </c>
      <c r="F15" s="12">
        <f t="shared" si="0"/>
        <v>3361.38</v>
      </c>
      <c r="G15" s="12">
        <v>2031</v>
      </c>
      <c r="H15" s="12"/>
      <c r="I15" s="21">
        <v>976</v>
      </c>
      <c r="J15" s="12">
        <f t="shared" si="1"/>
        <v>3542.88</v>
      </c>
      <c r="K15" s="12"/>
      <c r="L15" s="21">
        <f t="shared" si="2"/>
        <v>181.5</v>
      </c>
      <c r="M15" s="12"/>
      <c r="N15" s="27">
        <f t="shared" si="5"/>
        <v>2184</v>
      </c>
      <c r="O15" s="23"/>
      <c r="P15" s="27">
        <v>526</v>
      </c>
      <c r="Q15" s="30">
        <f t="shared" si="3"/>
        <v>2710</v>
      </c>
      <c r="S15">
        <f t="shared" si="4"/>
        <v>526.12559999999996</v>
      </c>
    </row>
    <row r="16" spans="1:19" x14ac:dyDescent="0.25">
      <c r="A16" s="61"/>
      <c r="B16" s="4" t="s">
        <v>42</v>
      </c>
      <c r="C16" s="2">
        <v>3.63</v>
      </c>
      <c r="D16" s="2"/>
      <c r="E16" s="2">
        <v>926</v>
      </c>
      <c r="F16" s="12">
        <f t="shared" si="0"/>
        <v>3361.38</v>
      </c>
      <c r="G16" s="12">
        <v>2031</v>
      </c>
      <c r="H16" s="12"/>
      <c r="I16" s="21">
        <v>976</v>
      </c>
      <c r="J16" s="12">
        <f t="shared" si="1"/>
        <v>3542.88</v>
      </c>
      <c r="K16" s="12"/>
      <c r="L16" s="21">
        <f t="shared" si="2"/>
        <v>181.5</v>
      </c>
      <c r="M16" s="12"/>
      <c r="N16" s="27">
        <f t="shared" si="5"/>
        <v>2184</v>
      </c>
      <c r="O16" s="23"/>
      <c r="P16" s="27">
        <v>526</v>
      </c>
      <c r="Q16" s="30">
        <f t="shared" si="3"/>
        <v>2710</v>
      </c>
      <c r="S16">
        <f t="shared" si="4"/>
        <v>526.12559999999996</v>
      </c>
    </row>
    <row r="17" spans="1:19" x14ac:dyDescent="0.25">
      <c r="A17" s="61"/>
      <c r="B17" s="4" t="s">
        <v>43</v>
      </c>
      <c r="C17" s="2">
        <v>3.63</v>
      </c>
      <c r="D17" s="2"/>
      <c r="E17" s="2">
        <v>926</v>
      </c>
      <c r="F17" s="12">
        <f t="shared" si="0"/>
        <v>3361.38</v>
      </c>
      <c r="G17" s="12">
        <v>2031</v>
      </c>
      <c r="H17" s="12"/>
      <c r="I17" s="21">
        <v>976</v>
      </c>
      <c r="J17" s="12">
        <f t="shared" si="1"/>
        <v>3542.88</v>
      </c>
      <c r="K17" s="12"/>
      <c r="L17" s="21">
        <f t="shared" si="2"/>
        <v>181.5</v>
      </c>
      <c r="M17" s="12"/>
      <c r="N17" s="27">
        <f t="shared" si="5"/>
        <v>2184</v>
      </c>
      <c r="O17" s="23"/>
      <c r="P17" s="27">
        <v>526</v>
      </c>
      <c r="Q17" s="30">
        <f t="shared" si="3"/>
        <v>2710</v>
      </c>
      <c r="S17">
        <f t="shared" si="4"/>
        <v>526.12559999999996</v>
      </c>
    </row>
    <row r="18" spans="1:19" x14ac:dyDescent="0.25">
      <c r="A18" s="61"/>
      <c r="B18" s="4" t="s">
        <v>47</v>
      </c>
      <c r="C18" s="2">
        <v>3.63</v>
      </c>
      <c r="D18" s="2"/>
      <c r="E18" s="2">
        <v>926</v>
      </c>
      <c r="F18" s="12">
        <f t="shared" si="0"/>
        <v>3361.38</v>
      </c>
      <c r="G18" s="12">
        <v>2031</v>
      </c>
      <c r="H18" s="12"/>
      <c r="I18" s="21">
        <v>976</v>
      </c>
      <c r="J18" s="12">
        <f t="shared" si="1"/>
        <v>3542.88</v>
      </c>
      <c r="K18" s="12"/>
      <c r="L18" s="21">
        <f t="shared" si="2"/>
        <v>181.5</v>
      </c>
      <c r="M18" s="12"/>
      <c r="N18" s="27">
        <f t="shared" si="5"/>
        <v>2184</v>
      </c>
      <c r="O18" s="23"/>
      <c r="P18" s="27">
        <v>526</v>
      </c>
      <c r="Q18" s="30">
        <f t="shared" si="3"/>
        <v>2710</v>
      </c>
      <c r="S18">
        <f t="shared" si="4"/>
        <v>526.12559999999996</v>
      </c>
    </row>
    <row r="19" spans="1:19" x14ac:dyDescent="0.25">
      <c r="A19" s="62"/>
      <c r="B19" s="4" t="s">
        <v>44</v>
      </c>
      <c r="C19" s="2">
        <v>3.63</v>
      </c>
      <c r="D19" s="2"/>
      <c r="E19" s="2">
        <v>926</v>
      </c>
      <c r="F19" s="12">
        <f t="shared" si="0"/>
        <v>3361.38</v>
      </c>
      <c r="G19" s="12">
        <v>2031</v>
      </c>
      <c r="H19" s="12"/>
      <c r="I19" s="21">
        <v>976</v>
      </c>
      <c r="J19" s="12">
        <f t="shared" si="1"/>
        <v>3542.88</v>
      </c>
      <c r="K19" s="12"/>
      <c r="L19" s="21">
        <f t="shared" si="2"/>
        <v>181.5</v>
      </c>
      <c r="M19" s="12"/>
      <c r="N19" s="27">
        <f t="shared" si="5"/>
        <v>2184</v>
      </c>
      <c r="O19" s="23"/>
      <c r="P19" s="27">
        <v>526</v>
      </c>
      <c r="Q19" s="30">
        <f t="shared" si="3"/>
        <v>2710</v>
      </c>
      <c r="S19">
        <f t="shared" si="4"/>
        <v>526.12559999999996</v>
      </c>
    </row>
    <row r="20" spans="1:19" x14ac:dyDescent="0.25">
      <c r="A20" s="2"/>
      <c r="B20" s="58" t="s">
        <v>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28"/>
      <c r="O20" s="28"/>
      <c r="P20" s="28"/>
      <c r="Q20" s="31"/>
    </row>
    <row r="21" spans="1:19" ht="15.75" customHeight="1" x14ac:dyDescent="0.25">
      <c r="A21" s="55" t="s">
        <v>29</v>
      </c>
      <c r="B21" s="8" t="s">
        <v>3</v>
      </c>
      <c r="C21" s="2">
        <v>4.05</v>
      </c>
      <c r="D21" s="49" t="s">
        <v>16</v>
      </c>
      <c r="E21" s="2">
        <v>926</v>
      </c>
      <c r="F21" s="12">
        <f t="shared" ref="F21:F45" si="6">E21*C21</f>
        <v>3750.2999999999997</v>
      </c>
      <c r="G21" s="13">
        <v>2900</v>
      </c>
      <c r="H21" s="19">
        <f>F21/2</f>
        <v>1875.1499999999999</v>
      </c>
      <c r="I21" s="21">
        <v>976</v>
      </c>
      <c r="J21" s="12">
        <f t="shared" ref="J21:J45" si="7">I21*C21</f>
        <v>3952.7999999999997</v>
      </c>
      <c r="K21" s="12">
        <f t="shared" ref="K21:K27" si="8">J21/2</f>
        <v>1976.3999999999999</v>
      </c>
      <c r="L21" s="22">
        <f t="shared" ref="L21:L45" si="9">J21-F21</f>
        <v>202.5</v>
      </c>
      <c r="M21" s="22">
        <f t="shared" ref="M21:M27" si="10">K21-H21</f>
        <v>101.25</v>
      </c>
      <c r="N21" s="27">
        <f>203*12</f>
        <v>2436</v>
      </c>
      <c r="O21" s="27">
        <f>101*12</f>
        <v>1212</v>
      </c>
      <c r="P21" s="27">
        <v>879</v>
      </c>
      <c r="Q21" s="30">
        <f t="shared" ref="Q21:Q36" si="11">N21+O21+P21</f>
        <v>4527</v>
      </c>
      <c r="R21" s="38"/>
      <c r="S21">
        <f>(N21+O21)*24.09%</f>
        <v>878.80320000000006</v>
      </c>
    </row>
    <row r="22" spans="1:19" x14ac:dyDescent="0.25">
      <c r="A22" s="56"/>
      <c r="B22" s="7" t="s">
        <v>21</v>
      </c>
      <c r="C22" s="2">
        <v>3.32</v>
      </c>
      <c r="D22" s="50"/>
      <c r="E22" s="2">
        <v>926</v>
      </c>
      <c r="F22" s="12">
        <f t="shared" si="6"/>
        <v>3074.3199999999997</v>
      </c>
      <c r="G22" s="13">
        <v>2377</v>
      </c>
      <c r="H22" s="19">
        <f>F22/2</f>
        <v>1537.1599999999999</v>
      </c>
      <c r="I22" s="21">
        <v>976</v>
      </c>
      <c r="J22" s="12">
        <f t="shared" si="7"/>
        <v>3240.3199999999997</v>
      </c>
      <c r="K22" s="12">
        <f t="shared" si="8"/>
        <v>1620.1599999999999</v>
      </c>
      <c r="L22" s="22">
        <f t="shared" si="9"/>
        <v>166</v>
      </c>
      <c r="M22" s="22">
        <f t="shared" si="10"/>
        <v>83</v>
      </c>
      <c r="N22" s="27">
        <f>166*12</f>
        <v>1992</v>
      </c>
      <c r="O22" s="27">
        <f>83*12</f>
        <v>996</v>
      </c>
      <c r="P22" s="27">
        <v>720</v>
      </c>
      <c r="Q22" s="30">
        <f t="shared" si="11"/>
        <v>3708</v>
      </c>
      <c r="S22">
        <f t="shared" ref="S22:S27" si="12">(N22+O22)*24.09%</f>
        <v>719.80920000000003</v>
      </c>
    </row>
    <row r="23" spans="1:19" x14ac:dyDescent="0.25">
      <c r="A23" s="56"/>
      <c r="B23" s="7" t="s">
        <v>22</v>
      </c>
      <c r="C23" s="2">
        <v>3.32</v>
      </c>
      <c r="D23" s="50"/>
      <c r="E23" s="2">
        <v>926</v>
      </c>
      <c r="F23" s="12">
        <f t="shared" si="6"/>
        <v>3074.3199999999997</v>
      </c>
      <c r="G23" s="13">
        <v>2377</v>
      </c>
      <c r="H23" s="19">
        <f t="shared" ref="H23:H27" si="13">F23/2</f>
        <v>1537.1599999999999</v>
      </c>
      <c r="I23" s="21">
        <v>976</v>
      </c>
      <c r="J23" s="12">
        <f t="shared" si="7"/>
        <v>3240.3199999999997</v>
      </c>
      <c r="K23" s="12">
        <f t="shared" si="8"/>
        <v>1620.1599999999999</v>
      </c>
      <c r="L23" s="22">
        <f t="shared" si="9"/>
        <v>166</v>
      </c>
      <c r="M23" s="22">
        <f t="shared" si="10"/>
        <v>83</v>
      </c>
      <c r="N23" s="27">
        <f t="shared" ref="N23:N27" si="14">166*12</f>
        <v>1992</v>
      </c>
      <c r="O23" s="27">
        <f t="shared" ref="O23:O27" si="15">83*12</f>
        <v>996</v>
      </c>
      <c r="P23" s="27">
        <v>720</v>
      </c>
      <c r="Q23" s="30">
        <f t="shared" si="11"/>
        <v>3708</v>
      </c>
      <c r="S23">
        <f t="shared" si="12"/>
        <v>719.80920000000003</v>
      </c>
    </row>
    <row r="24" spans="1:19" x14ac:dyDescent="0.25">
      <c r="A24" s="56"/>
      <c r="B24" s="7" t="s">
        <v>17</v>
      </c>
      <c r="C24" s="2">
        <v>3.32</v>
      </c>
      <c r="D24" s="50"/>
      <c r="E24" s="2">
        <v>926</v>
      </c>
      <c r="F24" s="12">
        <f t="shared" si="6"/>
        <v>3074.3199999999997</v>
      </c>
      <c r="G24" s="13">
        <v>2377</v>
      </c>
      <c r="H24" s="19">
        <f t="shared" si="13"/>
        <v>1537.1599999999999</v>
      </c>
      <c r="I24" s="21">
        <v>976</v>
      </c>
      <c r="J24" s="12">
        <f t="shared" si="7"/>
        <v>3240.3199999999997</v>
      </c>
      <c r="K24" s="12">
        <f t="shared" si="8"/>
        <v>1620.1599999999999</v>
      </c>
      <c r="L24" s="22">
        <f t="shared" si="9"/>
        <v>166</v>
      </c>
      <c r="M24" s="22">
        <f t="shared" si="10"/>
        <v>83</v>
      </c>
      <c r="N24" s="27">
        <f t="shared" si="14"/>
        <v>1992</v>
      </c>
      <c r="O24" s="27">
        <f t="shared" si="15"/>
        <v>996</v>
      </c>
      <c r="P24" s="27">
        <v>720</v>
      </c>
      <c r="Q24" s="30">
        <f t="shared" si="11"/>
        <v>3708</v>
      </c>
      <c r="S24">
        <f t="shared" si="12"/>
        <v>719.80920000000003</v>
      </c>
    </row>
    <row r="25" spans="1:19" x14ac:dyDescent="0.25">
      <c r="A25" s="56"/>
      <c r="B25" s="7" t="s">
        <v>18</v>
      </c>
      <c r="C25" s="2">
        <v>3.32</v>
      </c>
      <c r="D25" s="50"/>
      <c r="E25" s="2">
        <v>926</v>
      </c>
      <c r="F25" s="12">
        <f t="shared" si="6"/>
        <v>3074.3199999999997</v>
      </c>
      <c r="G25" s="13">
        <v>2377</v>
      </c>
      <c r="H25" s="19">
        <f t="shared" si="13"/>
        <v>1537.1599999999999</v>
      </c>
      <c r="I25" s="21">
        <v>976</v>
      </c>
      <c r="J25" s="12">
        <f t="shared" si="7"/>
        <v>3240.3199999999997</v>
      </c>
      <c r="K25" s="12">
        <f t="shared" si="8"/>
        <v>1620.1599999999999</v>
      </c>
      <c r="L25" s="22">
        <f t="shared" si="9"/>
        <v>166</v>
      </c>
      <c r="M25" s="22">
        <f t="shared" si="10"/>
        <v>83</v>
      </c>
      <c r="N25" s="27">
        <f t="shared" si="14"/>
        <v>1992</v>
      </c>
      <c r="O25" s="27">
        <f t="shared" si="15"/>
        <v>996</v>
      </c>
      <c r="P25" s="27">
        <v>720</v>
      </c>
      <c r="Q25" s="30">
        <f t="shared" si="11"/>
        <v>3708</v>
      </c>
      <c r="S25">
        <f t="shared" si="12"/>
        <v>719.80920000000003</v>
      </c>
    </row>
    <row r="26" spans="1:19" x14ac:dyDescent="0.25">
      <c r="A26" s="56"/>
      <c r="B26" s="7" t="s">
        <v>19</v>
      </c>
      <c r="C26" s="2">
        <v>3.32</v>
      </c>
      <c r="D26" s="50"/>
      <c r="E26" s="2">
        <v>926</v>
      </c>
      <c r="F26" s="12">
        <f t="shared" si="6"/>
        <v>3074.3199999999997</v>
      </c>
      <c r="G26" s="13">
        <v>2377</v>
      </c>
      <c r="H26" s="19">
        <f t="shared" si="13"/>
        <v>1537.1599999999999</v>
      </c>
      <c r="I26" s="21">
        <v>976</v>
      </c>
      <c r="J26" s="12">
        <f t="shared" si="7"/>
        <v>3240.3199999999997</v>
      </c>
      <c r="K26" s="12">
        <f t="shared" si="8"/>
        <v>1620.1599999999999</v>
      </c>
      <c r="L26" s="22">
        <f t="shared" si="9"/>
        <v>166</v>
      </c>
      <c r="M26" s="22">
        <f t="shared" si="10"/>
        <v>83</v>
      </c>
      <c r="N26" s="27">
        <f t="shared" si="14"/>
        <v>1992</v>
      </c>
      <c r="O26" s="27">
        <f t="shared" si="15"/>
        <v>996</v>
      </c>
      <c r="P26" s="27">
        <v>720</v>
      </c>
      <c r="Q26" s="30">
        <f t="shared" si="11"/>
        <v>3708</v>
      </c>
      <c r="S26">
        <f t="shared" si="12"/>
        <v>719.80920000000003</v>
      </c>
    </row>
    <row r="27" spans="1:19" x14ac:dyDescent="0.25">
      <c r="A27" s="57"/>
      <c r="B27" s="7" t="s">
        <v>20</v>
      </c>
      <c r="C27" s="2">
        <v>3.32</v>
      </c>
      <c r="D27" s="51"/>
      <c r="E27" s="2">
        <v>926</v>
      </c>
      <c r="F27" s="12">
        <f t="shared" si="6"/>
        <v>3074.3199999999997</v>
      </c>
      <c r="G27" s="13">
        <v>2377</v>
      </c>
      <c r="H27" s="19">
        <f t="shared" si="13"/>
        <v>1537.1599999999999</v>
      </c>
      <c r="I27" s="21">
        <v>976</v>
      </c>
      <c r="J27" s="12">
        <f t="shared" si="7"/>
        <v>3240.3199999999997</v>
      </c>
      <c r="K27" s="12">
        <f t="shared" si="8"/>
        <v>1620.1599999999999</v>
      </c>
      <c r="L27" s="22">
        <f t="shared" si="9"/>
        <v>166</v>
      </c>
      <c r="M27" s="22">
        <f t="shared" si="10"/>
        <v>83</v>
      </c>
      <c r="N27" s="27">
        <f t="shared" si="14"/>
        <v>1992</v>
      </c>
      <c r="O27" s="27">
        <f t="shared" si="15"/>
        <v>996</v>
      </c>
      <c r="P27" s="27">
        <v>720</v>
      </c>
      <c r="Q27" s="30">
        <f t="shared" si="11"/>
        <v>3708</v>
      </c>
      <c r="S27">
        <f t="shared" si="12"/>
        <v>719.80920000000003</v>
      </c>
    </row>
    <row r="28" spans="1:19" ht="55.5" x14ac:dyDescent="0.25">
      <c r="A28" s="16" t="s">
        <v>35</v>
      </c>
      <c r="B28" s="3" t="s">
        <v>4</v>
      </c>
      <c r="C28" s="2">
        <v>4.05</v>
      </c>
      <c r="D28" s="2"/>
      <c r="E28" s="2">
        <v>926</v>
      </c>
      <c r="F28" s="12">
        <f t="shared" si="6"/>
        <v>3750.2999999999997</v>
      </c>
      <c r="G28" s="13">
        <v>2336</v>
      </c>
      <c r="H28" s="20"/>
      <c r="I28" s="21">
        <v>976</v>
      </c>
      <c r="J28" s="12">
        <f t="shared" si="7"/>
        <v>3952.7999999999997</v>
      </c>
      <c r="K28" s="12"/>
      <c r="L28" s="21">
        <f t="shared" si="9"/>
        <v>202.5</v>
      </c>
      <c r="M28" s="12"/>
      <c r="N28" s="27">
        <f>203*12</f>
        <v>2436</v>
      </c>
      <c r="O28" s="27"/>
      <c r="P28" s="27">
        <v>587</v>
      </c>
      <c r="Q28" s="30">
        <f t="shared" si="11"/>
        <v>3023</v>
      </c>
      <c r="S28">
        <f t="shared" ref="S28:S45" si="16">N28*24.09%</f>
        <v>586.83240000000001</v>
      </c>
    </row>
    <row r="29" spans="1:19" ht="15.75" customHeight="1" x14ac:dyDescent="0.25">
      <c r="A29" s="55" t="s">
        <v>31</v>
      </c>
      <c r="B29" s="3" t="s">
        <v>5</v>
      </c>
      <c r="C29" s="2">
        <v>2.78</v>
      </c>
      <c r="D29" s="2"/>
      <c r="E29" s="2">
        <v>926</v>
      </c>
      <c r="F29" s="12">
        <f t="shared" si="6"/>
        <v>2574.2799999999997</v>
      </c>
      <c r="G29" s="13">
        <v>1905</v>
      </c>
      <c r="H29" s="20"/>
      <c r="I29" s="21">
        <v>976</v>
      </c>
      <c r="J29" s="12">
        <f t="shared" si="7"/>
        <v>2713.2799999999997</v>
      </c>
      <c r="K29" s="12"/>
      <c r="L29" s="21">
        <f t="shared" si="9"/>
        <v>139</v>
      </c>
      <c r="M29" s="12"/>
      <c r="N29" s="27">
        <f>139*12</f>
        <v>1668</v>
      </c>
      <c r="O29" s="27"/>
      <c r="P29" s="27">
        <v>402</v>
      </c>
      <c r="Q29" s="30">
        <f t="shared" si="11"/>
        <v>2070</v>
      </c>
      <c r="S29">
        <f t="shared" si="16"/>
        <v>401.82120000000003</v>
      </c>
    </row>
    <row r="30" spans="1:19" ht="15.75" customHeight="1" x14ac:dyDescent="0.25">
      <c r="A30" s="56"/>
      <c r="B30" s="4" t="s">
        <v>6</v>
      </c>
      <c r="C30" s="2">
        <v>2.64</v>
      </c>
      <c r="D30" s="60" t="s">
        <v>14</v>
      </c>
      <c r="E30" s="2">
        <v>926</v>
      </c>
      <c r="F30" s="12">
        <f t="shared" si="6"/>
        <v>2444.6400000000003</v>
      </c>
      <c r="G30" s="13">
        <v>1809</v>
      </c>
      <c r="H30" s="20"/>
      <c r="I30" s="21">
        <v>976</v>
      </c>
      <c r="J30" s="12">
        <f t="shared" si="7"/>
        <v>2576.6400000000003</v>
      </c>
      <c r="K30" s="12"/>
      <c r="L30" s="21">
        <f t="shared" si="9"/>
        <v>132</v>
      </c>
      <c r="M30" s="12"/>
      <c r="N30" s="27">
        <f>132*12</f>
        <v>1584</v>
      </c>
      <c r="O30" s="27"/>
      <c r="P30" s="27">
        <v>382</v>
      </c>
      <c r="Q30" s="30">
        <f t="shared" si="11"/>
        <v>1966</v>
      </c>
      <c r="S30">
        <f t="shared" si="16"/>
        <v>381.5856</v>
      </c>
    </row>
    <row r="31" spans="1:19" x14ac:dyDescent="0.25">
      <c r="A31" s="56"/>
      <c r="B31" s="4" t="s">
        <v>37</v>
      </c>
      <c r="C31" s="2">
        <v>2.31</v>
      </c>
      <c r="D31" s="61"/>
      <c r="E31" s="2">
        <v>926</v>
      </c>
      <c r="F31" s="12">
        <f t="shared" si="6"/>
        <v>2139.06</v>
      </c>
      <c r="G31" s="13">
        <v>1654</v>
      </c>
      <c r="H31" s="20"/>
      <c r="I31" s="21">
        <v>976</v>
      </c>
      <c r="J31" s="12">
        <f t="shared" si="7"/>
        <v>2254.56</v>
      </c>
      <c r="K31" s="12"/>
      <c r="L31" s="21">
        <f t="shared" si="9"/>
        <v>115.5</v>
      </c>
      <c r="M31" s="12"/>
      <c r="N31" s="27">
        <f>116*12</f>
        <v>1392</v>
      </c>
      <c r="O31" s="27"/>
      <c r="P31" s="27">
        <v>335</v>
      </c>
      <c r="Q31" s="30">
        <f t="shared" si="11"/>
        <v>1727</v>
      </c>
      <c r="S31">
        <f t="shared" si="16"/>
        <v>335.33280000000002</v>
      </c>
    </row>
    <row r="32" spans="1:19" x14ac:dyDescent="0.25">
      <c r="A32" s="56"/>
      <c r="B32" s="4" t="s">
        <v>37</v>
      </c>
      <c r="C32" s="2">
        <v>2.31</v>
      </c>
      <c r="D32" s="61"/>
      <c r="E32" s="2">
        <v>926</v>
      </c>
      <c r="F32" s="12">
        <f t="shared" si="6"/>
        <v>2139.06</v>
      </c>
      <c r="G32" s="13">
        <v>1655</v>
      </c>
      <c r="H32" s="20"/>
      <c r="I32" s="21">
        <v>976</v>
      </c>
      <c r="J32" s="12">
        <f t="shared" si="7"/>
        <v>2254.56</v>
      </c>
      <c r="K32" s="12"/>
      <c r="L32" s="21">
        <f t="shared" si="9"/>
        <v>115.5</v>
      </c>
      <c r="M32" s="12"/>
      <c r="N32" s="27">
        <f t="shared" ref="N32:N33" si="17">116*12</f>
        <v>1392</v>
      </c>
      <c r="O32" s="27"/>
      <c r="P32" s="27">
        <v>335</v>
      </c>
      <c r="Q32" s="30">
        <f t="shared" si="11"/>
        <v>1727</v>
      </c>
      <c r="S32">
        <f t="shared" si="16"/>
        <v>335.33280000000002</v>
      </c>
    </row>
    <row r="33" spans="1:19" x14ac:dyDescent="0.25">
      <c r="A33" s="57"/>
      <c r="B33" s="4" t="s">
        <v>37</v>
      </c>
      <c r="C33" s="2">
        <v>2.31</v>
      </c>
      <c r="D33" s="62"/>
      <c r="E33" s="2">
        <v>926</v>
      </c>
      <c r="F33" s="12">
        <f t="shared" si="6"/>
        <v>2139.06</v>
      </c>
      <c r="G33" s="13">
        <v>1656</v>
      </c>
      <c r="H33" s="20"/>
      <c r="I33" s="21">
        <v>976</v>
      </c>
      <c r="J33" s="12">
        <f t="shared" si="7"/>
        <v>2254.56</v>
      </c>
      <c r="K33" s="12"/>
      <c r="L33" s="21">
        <f t="shared" si="9"/>
        <v>115.5</v>
      </c>
      <c r="M33" s="12"/>
      <c r="N33" s="27">
        <f t="shared" si="17"/>
        <v>1392</v>
      </c>
      <c r="O33" s="27"/>
      <c r="P33" s="27">
        <v>335</v>
      </c>
      <c r="Q33" s="30">
        <f t="shared" si="11"/>
        <v>1727</v>
      </c>
      <c r="S33">
        <f t="shared" si="16"/>
        <v>335.33280000000002</v>
      </c>
    </row>
    <row r="34" spans="1:19" ht="15.75" customHeight="1" x14ac:dyDescent="0.25">
      <c r="A34" s="47" t="s">
        <v>32</v>
      </c>
      <c r="B34" s="4" t="s">
        <v>7</v>
      </c>
      <c r="C34" s="2">
        <v>3.32</v>
      </c>
      <c r="D34" s="2"/>
      <c r="E34" s="2">
        <v>926</v>
      </c>
      <c r="F34" s="12">
        <f t="shared" si="6"/>
        <v>3074.3199999999997</v>
      </c>
      <c r="G34" s="13">
        <v>2377</v>
      </c>
      <c r="H34" s="20"/>
      <c r="I34" s="21">
        <v>976</v>
      </c>
      <c r="J34" s="12">
        <f t="shared" si="7"/>
        <v>3240.3199999999997</v>
      </c>
      <c r="K34" s="12"/>
      <c r="L34" s="21">
        <f t="shared" si="9"/>
        <v>166</v>
      </c>
      <c r="M34" s="12"/>
      <c r="N34" s="27">
        <f>166*12</f>
        <v>1992</v>
      </c>
      <c r="O34" s="27"/>
      <c r="P34" s="27">
        <v>480</v>
      </c>
      <c r="Q34" s="30">
        <f t="shared" si="11"/>
        <v>2472</v>
      </c>
      <c r="S34">
        <f t="shared" si="16"/>
        <v>479.87279999999998</v>
      </c>
    </row>
    <row r="35" spans="1:19" x14ac:dyDescent="0.25">
      <c r="A35" s="63"/>
      <c r="B35" s="4" t="s">
        <v>8</v>
      </c>
      <c r="C35" s="2">
        <v>2.82</v>
      </c>
      <c r="D35" s="2"/>
      <c r="E35" s="2">
        <v>926</v>
      </c>
      <c r="F35" s="12">
        <f t="shared" si="6"/>
        <v>2611.3199999999997</v>
      </c>
      <c r="G35" s="13">
        <v>2019</v>
      </c>
      <c r="H35" s="20"/>
      <c r="I35" s="21">
        <v>976</v>
      </c>
      <c r="J35" s="12">
        <f t="shared" si="7"/>
        <v>2752.3199999999997</v>
      </c>
      <c r="K35" s="12"/>
      <c r="L35" s="21">
        <f t="shared" si="9"/>
        <v>141</v>
      </c>
      <c r="M35" s="12"/>
      <c r="N35" s="27">
        <f>141*12</f>
        <v>1692</v>
      </c>
      <c r="O35" s="27"/>
      <c r="P35" s="27">
        <v>408</v>
      </c>
      <c r="Q35" s="30">
        <f t="shared" si="11"/>
        <v>2100</v>
      </c>
      <c r="S35">
        <f t="shared" si="16"/>
        <v>407.6028</v>
      </c>
    </row>
    <row r="36" spans="1:19" x14ac:dyDescent="0.25">
      <c r="A36" s="63"/>
      <c r="B36" s="4" t="s">
        <v>9</v>
      </c>
      <c r="C36" s="2">
        <v>2.82</v>
      </c>
      <c r="D36" s="2"/>
      <c r="E36" s="2">
        <v>926</v>
      </c>
      <c r="F36" s="12">
        <f t="shared" si="6"/>
        <v>2611.3199999999997</v>
      </c>
      <c r="G36" s="13">
        <v>2019</v>
      </c>
      <c r="H36" s="20"/>
      <c r="I36" s="21">
        <v>976</v>
      </c>
      <c r="J36" s="12">
        <f t="shared" si="7"/>
        <v>2752.3199999999997</v>
      </c>
      <c r="K36" s="12"/>
      <c r="L36" s="21">
        <f t="shared" si="9"/>
        <v>141</v>
      </c>
      <c r="M36" s="12"/>
      <c r="N36" s="27">
        <f>141*12</f>
        <v>1692</v>
      </c>
      <c r="O36" s="27"/>
      <c r="P36" s="27">
        <v>408</v>
      </c>
      <c r="Q36" s="30">
        <f t="shared" si="11"/>
        <v>2100</v>
      </c>
      <c r="S36">
        <f t="shared" si="16"/>
        <v>407.6028</v>
      </c>
    </row>
    <row r="37" spans="1:19" ht="47.25" customHeight="1" x14ac:dyDescent="0.25">
      <c r="A37" s="63"/>
      <c r="B37" s="4" t="s">
        <v>38</v>
      </c>
      <c r="C37" s="2">
        <v>2.12</v>
      </c>
      <c r="D37" s="60" t="s">
        <v>14</v>
      </c>
      <c r="E37" s="2">
        <v>926</v>
      </c>
      <c r="F37" s="12">
        <f t="shared" si="6"/>
        <v>1963.1200000000001</v>
      </c>
      <c r="G37" s="13">
        <v>1518</v>
      </c>
      <c r="H37" s="20"/>
      <c r="I37" s="21">
        <v>976</v>
      </c>
      <c r="J37" s="12">
        <f t="shared" si="7"/>
        <v>2069.12</v>
      </c>
      <c r="K37" s="12"/>
      <c r="L37" s="21">
        <f t="shared" si="9"/>
        <v>105.99999999999977</v>
      </c>
      <c r="M37" s="12"/>
      <c r="N37" s="27">
        <f>106*12</f>
        <v>1272</v>
      </c>
      <c r="O37" s="27"/>
      <c r="P37" s="27">
        <v>306</v>
      </c>
      <c r="Q37" s="30">
        <f>N37+O37+P37</f>
        <v>1578</v>
      </c>
      <c r="S37">
        <f t="shared" si="16"/>
        <v>306.4248</v>
      </c>
    </row>
    <row r="38" spans="1:19" x14ac:dyDescent="0.25">
      <c r="A38" s="63"/>
      <c r="B38" s="4" t="s">
        <v>38</v>
      </c>
      <c r="C38" s="2">
        <v>2.12</v>
      </c>
      <c r="D38" s="61"/>
      <c r="E38" s="2">
        <v>926</v>
      </c>
      <c r="F38" s="12">
        <f t="shared" si="6"/>
        <v>1963.1200000000001</v>
      </c>
      <c r="G38" s="13">
        <v>1519</v>
      </c>
      <c r="H38" s="20"/>
      <c r="I38" s="21">
        <v>976</v>
      </c>
      <c r="J38" s="12">
        <f t="shared" si="7"/>
        <v>2069.12</v>
      </c>
      <c r="K38" s="12"/>
      <c r="L38" s="21">
        <f t="shared" si="9"/>
        <v>105.99999999999977</v>
      </c>
      <c r="M38" s="12"/>
      <c r="N38" s="27">
        <f t="shared" ref="N38:N42" si="18">106*12</f>
        <v>1272</v>
      </c>
      <c r="O38" s="27"/>
      <c r="P38" s="27">
        <v>306</v>
      </c>
      <c r="Q38" s="30">
        <f>N38+O38+P38</f>
        <v>1578</v>
      </c>
      <c r="S38">
        <f t="shared" si="16"/>
        <v>306.4248</v>
      </c>
    </row>
    <row r="39" spans="1:19" x14ac:dyDescent="0.25">
      <c r="A39" s="63"/>
      <c r="B39" s="4" t="s">
        <v>38</v>
      </c>
      <c r="C39" s="2">
        <v>2.12</v>
      </c>
      <c r="D39" s="61"/>
      <c r="E39" s="2">
        <v>926</v>
      </c>
      <c r="F39" s="12">
        <f t="shared" si="6"/>
        <v>1963.1200000000001</v>
      </c>
      <c r="G39" s="13">
        <v>1520</v>
      </c>
      <c r="H39" s="20"/>
      <c r="I39" s="21">
        <v>976</v>
      </c>
      <c r="J39" s="12">
        <f t="shared" si="7"/>
        <v>2069.12</v>
      </c>
      <c r="K39" s="12"/>
      <c r="L39" s="21">
        <f t="shared" si="9"/>
        <v>105.99999999999977</v>
      </c>
      <c r="M39" s="12"/>
      <c r="N39" s="27">
        <f t="shared" si="18"/>
        <v>1272</v>
      </c>
      <c r="O39" s="27"/>
      <c r="P39" s="27">
        <v>306</v>
      </c>
      <c r="Q39" s="30">
        <f t="shared" ref="Q39:Q45" si="19">N39+O39+P39</f>
        <v>1578</v>
      </c>
      <c r="S39">
        <f t="shared" si="16"/>
        <v>306.4248</v>
      </c>
    </row>
    <row r="40" spans="1:19" x14ac:dyDescent="0.25">
      <c r="A40" s="63"/>
      <c r="B40" s="4" t="s">
        <v>38</v>
      </c>
      <c r="C40" s="2">
        <v>2.12</v>
      </c>
      <c r="D40" s="61"/>
      <c r="E40" s="2">
        <v>926</v>
      </c>
      <c r="F40" s="12">
        <f t="shared" si="6"/>
        <v>1963.1200000000001</v>
      </c>
      <c r="G40" s="13">
        <v>1521</v>
      </c>
      <c r="H40" s="20"/>
      <c r="I40" s="21">
        <v>976</v>
      </c>
      <c r="J40" s="12">
        <f t="shared" si="7"/>
        <v>2069.12</v>
      </c>
      <c r="K40" s="12"/>
      <c r="L40" s="21">
        <f t="shared" si="9"/>
        <v>105.99999999999977</v>
      </c>
      <c r="M40" s="12"/>
      <c r="N40" s="27">
        <f t="shared" si="18"/>
        <v>1272</v>
      </c>
      <c r="O40" s="27"/>
      <c r="P40" s="27">
        <v>306</v>
      </c>
      <c r="Q40" s="30">
        <f t="shared" si="19"/>
        <v>1578</v>
      </c>
      <c r="S40">
        <f t="shared" si="16"/>
        <v>306.4248</v>
      </c>
    </row>
    <row r="41" spans="1:19" x14ac:dyDescent="0.25">
      <c r="A41" s="63"/>
      <c r="B41" s="4" t="s">
        <v>38</v>
      </c>
      <c r="C41" s="2">
        <v>2.12</v>
      </c>
      <c r="D41" s="61"/>
      <c r="E41" s="2">
        <v>926</v>
      </c>
      <c r="F41" s="12">
        <f t="shared" si="6"/>
        <v>1963.1200000000001</v>
      </c>
      <c r="G41" s="13">
        <v>1522</v>
      </c>
      <c r="H41" s="20"/>
      <c r="I41" s="21">
        <v>976</v>
      </c>
      <c r="J41" s="12">
        <f t="shared" si="7"/>
        <v>2069.12</v>
      </c>
      <c r="K41" s="12"/>
      <c r="L41" s="21">
        <f t="shared" si="9"/>
        <v>105.99999999999977</v>
      </c>
      <c r="M41" s="12"/>
      <c r="N41" s="27">
        <f t="shared" si="18"/>
        <v>1272</v>
      </c>
      <c r="O41" s="27"/>
      <c r="P41" s="27">
        <v>306</v>
      </c>
      <c r="Q41" s="30">
        <f t="shared" si="19"/>
        <v>1578</v>
      </c>
      <c r="S41">
        <f t="shared" si="16"/>
        <v>306.4248</v>
      </c>
    </row>
    <row r="42" spans="1:19" x14ac:dyDescent="0.25">
      <c r="A42" s="48"/>
      <c r="B42" s="4" t="s">
        <v>38</v>
      </c>
      <c r="C42" s="2">
        <v>2.12</v>
      </c>
      <c r="D42" s="62"/>
      <c r="E42" s="2">
        <v>926</v>
      </c>
      <c r="F42" s="12">
        <f t="shared" si="6"/>
        <v>1963.1200000000001</v>
      </c>
      <c r="G42" s="13">
        <v>1523</v>
      </c>
      <c r="H42" s="20"/>
      <c r="I42" s="21">
        <v>976</v>
      </c>
      <c r="J42" s="12">
        <f t="shared" si="7"/>
        <v>2069.12</v>
      </c>
      <c r="K42" s="12"/>
      <c r="L42" s="21">
        <f t="shared" si="9"/>
        <v>105.99999999999977</v>
      </c>
      <c r="M42" s="12"/>
      <c r="N42" s="27">
        <f t="shared" si="18"/>
        <v>1272</v>
      </c>
      <c r="O42" s="27"/>
      <c r="P42" s="27">
        <v>306</v>
      </c>
      <c r="Q42" s="30">
        <f t="shared" si="19"/>
        <v>1578</v>
      </c>
      <c r="S42">
        <f t="shared" si="16"/>
        <v>306.4248</v>
      </c>
    </row>
    <row r="43" spans="1:19" ht="31.5" x14ac:dyDescent="0.25">
      <c r="A43" s="17" t="s">
        <v>33</v>
      </c>
      <c r="B43" s="6" t="s">
        <v>23</v>
      </c>
      <c r="C43" s="2">
        <v>0.8</v>
      </c>
      <c r="D43" s="2"/>
      <c r="E43" s="2">
        <v>926</v>
      </c>
      <c r="F43" s="12">
        <f t="shared" si="6"/>
        <v>740.80000000000007</v>
      </c>
      <c r="G43" s="13">
        <v>1170</v>
      </c>
      <c r="H43" s="20"/>
      <c r="I43" s="21">
        <v>976</v>
      </c>
      <c r="J43" s="12">
        <f t="shared" si="7"/>
        <v>780.80000000000007</v>
      </c>
      <c r="K43" s="12"/>
      <c r="L43" s="21">
        <f t="shared" si="9"/>
        <v>40</v>
      </c>
      <c r="M43" s="12"/>
      <c r="N43" s="27">
        <f>40*12</f>
        <v>480</v>
      </c>
      <c r="O43" s="27"/>
      <c r="P43" s="27">
        <v>116</v>
      </c>
      <c r="Q43" s="30">
        <f t="shared" si="19"/>
        <v>596</v>
      </c>
      <c r="S43">
        <f t="shared" si="16"/>
        <v>115.63200000000001</v>
      </c>
    </row>
    <row r="44" spans="1:19" ht="31.5" x14ac:dyDescent="0.25">
      <c r="A44" s="47" t="s">
        <v>34</v>
      </c>
      <c r="B44" s="5" t="s">
        <v>10</v>
      </c>
      <c r="C44" s="2">
        <v>2.33</v>
      </c>
      <c r="D44" s="2"/>
      <c r="E44" s="2">
        <v>926</v>
      </c>
      <c r="F44" s="12">
        <f t="shared" si="6"/>
        <v>2157.58</v>
      </c>
      <c r="G44" s="13">
        <v>1571</v>
      </c>
      <c r="H44" s="20"/>
      <c r="I44" s="21">
        <v>976</v>
      </c>
      <c r="J44" s="12">
        <f t="shared" si="7"/>
        <v>2274.08</v>
      </c>
      <c r="K44" s="12"/>
      <c r="L44" s="21">
        <f t="shared" si="9"/>
        <v>116.5</v>
      </c>
      <c r="M44" s="12"/>
      <c r="N44" s="27">
        <f>117*12</f>
        <v>1404</v>
      </c>
      <c r="O44" s="27"/>
      <c r="P44" s="27">
        <v>338</v>
      </c>
      <c r="Q44" s="30">
        <f t="shared" si="19"/>
        <v>1742</v>
      </c>
      <c r="S44">
        <f t="shared" si="16"/>
        <v>338.22359999999998</v>
      </c>
    </row>
    <row r="45" spans="1:19" ht="63.75" customHeight="1" x14ac:dyDescent="0.25">
      <c r="A45" s="48"/>
      <c r="B45" s="6" t="s">
        <v>36</v>
      </c>
      <c r="C45" s="2">
        <v>0.22</v>
      </c>
      <c r="D45" s="1" t="s">
        <v>14</v>
      </c>
      <c r="E45" s="2">
        <v>926</v>
      </c>
      <c r="F45" s="12">
        <f t="shared" si="6"/>
        <v>203.72</v>
      </c>
      <c r="G45" s="14" t="s">
        <v>26</v>
      </c>
      <c r="H45" s="20"/>
      <c r="I45" s="21">
        <v>976</v>
      </c>
      <c r="J45" s="12">
        <f t="shared" si="7"/>
        <v>214.72</v>
      </c>
      <c r="K45" s="12"/>
      <c r="L45" s="21">
        <f t="shared" si="9"/>
        <v>11</v>
      </c>
      <c r="M45" s="12"/>
      <c r="N45" s="27">
        <f>11*12*12</f>
        <v>1584</v>
      </c>
      <c r="O45" s="27"/>
      <c r="P45" s="27">
        <v>382</v>
      </c>
      <c r="Q45" s="30">
        <f t="shared" si="19"/>
        <v>1966</v>
      </c>
      <c r="S45">
        <f t="shared" si="16"/>
        <v>381.5856</v>
      </c>
    </row>
    <row r="46" spans="1:19" s="11" customFormat="1" x14ac:dyDescent="0.25">
      <c r="A46" s="9"/>
      <c r="B46" s="10" t="s">
        <v>28</v>
      </c>
      <c r="C46" s="10"/>
      <c r="D46" s="10"/>
      <c r="E46" s="10"/>
      <c r="F46" s="15"/>
      <c r="G46" s="15"/>
      <c r="H46" s="15"/>
      <c r="I46" s="15"/>
      <c r="J46" s="15"/>
      <c r="K46" s="15"/>
      <c r="L46" s="15"/>
      <c r="M46" s="15"/>
      <c r="N46" s="32">
        <f>N7+N38+N39+N40+N41+N42+N8+N10+N21+N22+N23+N24+N25+N26+N27+N28+N29+N30+N31+N34+N35+N36+N37+N43+N44+N45+N13+N14+N19+N15+N16+N17+N18+N32+N33+N9+N11+N12</f>
        <v>104220</v>
      </c>
      <c r="O46" s="32">
        <f>O7+O38+O39+O40+O41+O42+O8+O10+O21+O22+O23+O24+O25+O26+O27+O28+O29+O30+O31+O34+O35+O36+O37+O43+O44+O45+O13+O14+O19+O15+O16+O17+O18+O32+O33+O9+O11+O12</f>
        <v>7188</v>
      </c>
      <c r="P46" s="32">
        <f>P7+P38+P39+P40+P41+P42+P8+P10+P21+P22+P23+P24+P25+P26+P27+P28+P29+P30+P31+P34+P35+P36+P37+P43+P44+P45+P13+P14+P19+P15+P16+P17+P18+P32+P33+P9+P11+P12</f>
        <v>26837</v>
      </c>
      <c r="Q46" s="32">
        <f>Q7+Q38+Q39+Q40+Q41+Q42+Q8+Q10+Q21+Q22+Q23+Q24+Q25+Q26+Q27+Q28+Q29+Q30+Q31+Q34+Q35+Q36+Q37+Q43+Q44+Q45+Q13+Q14+Q19+Q15+Q16+Q17+Q18+Q32+Q33+Q9+Q11+Q12</f>
        <v>138245</v>
      </c>
    </row>
    <row r="47" spans="1:19" x14ac:dyDescent="0.25">
      <c r="Q47" s="33"/>
    </row>
    <row r="48" spans="1:19" x14ac:dyDescent="0.25">
      <c r="A48" t="s">
        <v>61</v>
      </c>
    </row>
    <row r="49" spans="1:3" x14ac:dyDescent="0.25">
      <c r="A49" t="s">
        <v>62</v>
      </c>
      <c r="C49">
        <f>926*1.0535</f>
        <v>975.54100000000005</v>
      </c>
    </row>
  </sheetData>
  <sheetProtection algorithmName="SHA-512" hashValue="2W5qIpHlShQiStdN4cRLSdbKaX3Dqqr220yWbGhNdVNUu/6cM5QiPvJtKgrAP7SEIhKJeEUYR4E9wNJ6ZwtRMw==" saltValue="Yj1ieer9G2XCnMNavC5pzg==" spinCount="100000" sheet="1" objects="1" scenarios="1"/>
  <mergeCells count="25">
    <mergeCell ref="M4:M5"/>
    <mergeCell ref="N4:Q4"/>
    <mergeCell ref="A34:A42"/>
    <mergeCell ref="D37:D42"/>
    <mergeCell ref="A44:A45"/>
    <mergeCell ref="A10:A19"/>
    <mergeCell ref="B20:M20"/>
    <mergeCell ref="A21:A27"/>
    <mergeCell ref="D21:D27"/>
    <mergeCell ref="A29:A33"/>
    <mergeCell ref="D30:D33"/>
    <mergeCell ref="A7:A9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="70" zoomScaleNormal="70" workbookViewId="0">
      <selection activeCell="E5" sqref="E5:E6"/>
    </sheetView>
  </sheetViews>
  <sheetFormatPr defaultRowHeight="15.75" x14ac:dyDescent="0.25"/>
  <cols>
    <col min="1" max="1" width="12" customWidth="1"/>
    <col min="2" max="2" width="28.625" customWidth="1"/>
    <col min="4" max="4" width="13.875" customWidth="1"/>
    <col min="5" max="5" width="15.875" customWidth="1"/>
    <col min="6" max="6" width="11.75" customWidth="1"/>
    <col min="7" max="7" width="13" hidden="1" customWidth="1"/>
    <col min="8" max="8" width="13" customWidth="1"/>
    <col min="9" max="9" width="12.375" customWidth="1"/>
    <col min="10" max="11" width="11.75" customWidth="1"/>
    <col min="12" max="13" width="10.375" customWidth="1"/>
    <col min="14" max="14" width="13.75" customWidth="1"/>
    <col min="15" max="15" width="10.5" customWidth="1"/>
    <col min="16" max="16" width="12.875" customWidth="1"/>
    <col min="18" max="18" width="2.5" customWidth="1"/>
    <col min="19" max="19" width="9" hidden="1" customWidth="1"/>
  </cols>
  <sheetData>
    <row r="1" spans="1:19" x14ac:dyDescent="0.25">
      <c r="P1" t="s">
        <v>98</v>
      </c>
    </row>
    <row r="3" spans="1:19" ht="20.25" customHeight="1" x14ac:dyDescent="0.25">
      <c r="A3" s="65" t="s">
        <v>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4"/>
    </row>
    <row r="5" spans="1:19" ht="65.25" customHeight="1" x14ac:dyDescent="0.25">
      <c r="A5" s="52" t="s">
        <v>39</v>
      </c>
      <c r="B5" s="59" t="s">
        <v>0</v>
      </c>
      <c r="C5" s="59" t="s">
        <v>1</v>
      </c>
      <c r="D5" s="59" t="s">
        <v>13</v>
      </c>
      <c r="E5" s="66" t="s">
        <v>77</v>
      </c>
      <c r="F5" s="66" t="s">
        <v>71</v>
      </c>
      <c r="G5" s="66" t="s">
        <v>25</v>
      </c>
      <c r="H5" s="53" t="s">
        <v>72</v>
      </c>
      <c r="I5" s="67" t="s">
        <v>78</v>
      </c>
      <c r="J5" s="66" t="s">
        <v>73</v>
      </c>
      <c r="K5" s="53" t="s">
        <v>74</v>
      </c>
      <c r="L5" s="64" t="s">
        <v>75</v>
      </c>
      <c r="M5" s="66" t="s">
        <v>76</v>
      </c>
      <c r="N5" s="46" t="s">
        <v>94</v>
      </c>
      <c r="O5" s="46"/>
      <c r="P5" s="46"/>
      <c r="Q5" s="46"/>
    </row>
    <row r="6" spans="1:19" ht="72" customHeight="1" x14ac:dyDescent="0.25">
      <c r="A6" s="52"/>
      <c r="B6" s="59"/>
      <c r="C6" s="59"/>
      <c r="D6" s="59"/>
      <c r="E6" s="66"/>
      <c r="F6" s="66"/>
      <c r="G6" s="66"/>
      <c r="H6" s="54"/>
      <c r="I6" s="67"/>
      <c r="J6" s="66"/>
      <c r="K6" s="54"/>
      <c r="L6" s="64"/>
      <c r="M6" s="66"/>
      <c r="N6" s="25" t="s">
        <v>11</v>
      </c>
      <c r="O6" s="25" t="s">
        <v>27</v>
      </c>
      <c r="P6" s="25" t="s">
        <v>59</v>
      </c>
      <c r="Q6" s="39" t="s">
        <v>12</v>
      </c>
    </row>
    <row r="7" spans="1:19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6"/>
      <c r="O7" s="26"/>
      <c r="P7" s="26"/>
      <c r="Q7" s="29"/>
    </row>
    <row r="8" spans="1:19" ht="15.75" customHeight="1" x14ac:dyDescent="0.25">
      <c r="A8" s="60" t="s">
        <v>30</v>
      </c>
      <c r="B8" s="3" t="s">
        <v>15</v>
      </c>
      <c r="C8" s="2">
        <v>4.93</v>
      </c>
      <c r="D8" s="2"/>
      <c r="E8" s="43">
        <v>976</v>
      </c>
      <c r="F8" s="12">
        <f t="shared" ref="F8:F20" si="0">E8*C8</f>
        <v>4811.6799999999994</v>
      </c>
      <c r="G8" s="13">
        <v>2900</v>
      </c>
      <c r="H8" s="18"/>
      <c r="I8" s="21">
        <v>1017</v>
      </c>
      <c r="J8" s="12">
        <f t="shared" ref="J8:J20" si="1">I8*C8</f>
        <v>5013.8099999999995</v>
      </c>
      <c r="K8" s="12"/>
      <c r="L8" s="21">
        <f t="shared" ref="L8:L20" si="2">J8-F8</f>
        <v>202.13000000000011</v>
      </c>
      <c r="M8" s="12"/>
      <c r="N8" s="27">
        <f>202*12</f>
        <v>2424</v>
      </c>
      <c r="O8" s="23"/>
      <c r="P8" s="27">
        <v>584</v>
      </c>
      <c r="Q8" s="30">
        <f>N8+O8+P8</f>
        <v>3008</v>
      </c>
      <c r="S8">
        <f>N8*24.09%</f>
        <v>583.94159999999999</v>
      </c>
    </row>
    <row r="9" spans="1:19" x14ac:dyDescent="0.25">
      <c r="A9" s="61"/>
      <c r="B9" s="3" t="s">
        <v>24</v>
      </c>
      <c r="C9" s="2">
        <v>4.68</v>
      </c>
      <c r="D9" s="2"/>
      <c r="E9" s="43">
        <v>976</v>
      </c>
      <c r="F9" s="12">
        <f t="shared" si="0"/>
        <v>4567.6799999999994</v>
      </c>
      <c r="G9" s="13">
        <v>2612</v>
      </c>
      <c r="H9" s="18"/>
      <c r="I9" s="21">
        <v>1017</v>
      </c>
      <c r="J9" s="12">
        <f t="shared" si="1"/>
        <v>4759.5599999999995</v>
      </c>
      <c r="K9" s="12"/>
      <c r="L9" s="21">
        <f t="shared" si="2"/>
        <v>191.88000000000011</v>
      </c>
      <c r="M9" s="12"/>
      <c r="N9" s="27">
        <f>192*12*13</f>
        <v>29952</v>
      </c>
      <c r="O9" s="23"/>
      <c r="P9" s="27">
        <v>7215</v>
      </c>
      <c r="Q9" s="30">
        <f t="shared" ref="Q9:Q20" si="3">N9+O9+P9</f>
        <v>37167</v>
      </c>
      <c r="S9">
        <f t="shared" ref="S9:S20" si="4">N9*24.09%</f>
        <v>7215.4368000000004</v>
      </c>
    </row>
    <row r="10" spans="1:19" x14ac:dyDescent="0.25">
      <c r="A10" s="62"/>
      <c r="B10" s="34" t="s">
        <v>48</v>
      </c>
      <c r="C10" s="35">
        <v>3.63</v>
      </c>
      <c r="D10" s="35"/>
      <c r="E10" s="43">
        <v>976</v>
      </c>
      <c r="F10" s="36">
        <f t="shared" si="0"/>
        <v>3542.88</v>
      </c>
      <c r="G10" s="36">
        <v>2031</v>
      </c>
      <c r="H10" s="36"/>
      <c r="I10" s="21">
        <v>1017</v>
      </c>
      <c r="J10" s="36">
        <f t="shared" si="1"/>
        <v>3691.71</v>
      </c>
      <c r="K10" s="36"/>
      <c r="L10" s="37">
        <f t="shared" si="2"/>
        <v>148.82999999999993</v>
      </c>
      <c r="M10" s="36"/>
      <c r="N10" s="27">
        <f>149*12</f>
        <v>1788</v>
      </c>
      <c r="O10" s="23"/>
      <c r="P10" s="27">
        <v>431</v>
      </c>
      <c r="Q10" s="30">
        <f t="shared" si="3"/>
        <v>2219</v>
      </c>
      <c r="S10">
        <f t="shared" si="4"/>
        <v>430.72919999999999</v>
      </c>
    </row>
    <row r="11" spans="1:19" ht="33" customHeight="1" x14ac:dyDescent="0.25">
      <c r="A11" s="60" t="s">
        <v>51</v>
      </c>
      <c r="B11" s="4" t="s">
        <v>46</v>
      </c>
      <c r="C11" s="2">
        <v>3.63</v>
      </c>
      <c r="D11" s="2"/>
      <c r="E11" s="43">
        <v>976</v>
      </c>
      <c r="F11" s="12">
        <f t="shared" si="0"/>
        <v>3542.88</v>
      </c>
      <c r="G11" s="12">
        <v>2031</v>
      </c>
      <c r="H11" s="12"/>
      <c r="I11" s="21">
        <v>1017</v>
      </c>
      <c r="J11" s="12">
        <f t="shared" si="1"/>
        <v>3691.71</v>
      </c>
      <c r="K11" s="12"/>
      <c r="L11" s="21">
        <f t="shared" si="2"/>
        <v>148.82999999999993</v>
      </c>
      <c r="M11" s="12"/>
      <c r="N11" s="27">
        <f t="shared" ref="N11:N20" si="5">149*12</f>
        <v>1788</v>
      </c>
      <c r="O11" s="23"/>
      <c r="P11" s="27">
        <v>431</v>
      </c>
      <c r="Q11" s="30">
        <f t="shared" si="3"/>
        <v>2219</v>
      </c>
      <c r="S11">
        <f t="shared" si="4"/>
        <v>430.72919999999999</v>
      </c>
    </row>
    <row r="12" spans="1:19" ht="33" customHeight="1" x14ac:dyDescent="0.25">
      <c r="A12" s="61"/>
      <c r="B12" s="4" t="s">
        <v>50</v>
      </c>
      <c r="C12" s="2">
        <v>3.63</v>
      </c>
      <c r="D12" s="2"/>
      <c r="E12" s="43">
        <v>976</v>
      </c>
      <c r="F12" s="12">
        <f t="shared" si="0"/>
        <v>3542.88</v>
      </c>
      <c r="G12" s="12">
        <v>2031</v>
      </c>
      <c r="H12" s="12"/>
      <c r="I12" s="21">
        <v>1017</v>
      </c>
      <c r="J12" s="12">
        <f t="shared" si="1"/>
        <v>3691.71</v>
      </c>
      <c r="K12" s="12"/>
      <c r="L12" s="21">
        <f t="shared" si="2"/>
        <v>148.82999999999993</v>
      </c>
      <c r="M12" s="12"/>
      <c r="N12" s="27">
        <f t="shared" si="5"/>
        <v>1788</v>
      </c>
      <c r="O12" s="23"/>
      <c r="P12" s="27">
        <v>431</v>
      </c>
      <c r="Q12" s="30">
        <f t="shared" si="3"/>
        <v>2219</v>
      </c>
      <c r="S12">
        <f t="shared" si="4"/>
        <v>430.72919999999999</v>
      </c>
    </row>
    <row r="13" spans="1:19" ht="33" customHeight="1" x14ac:dyDescent="0.25">
      <c r="A13" s="61"/>
      <c r="B13" s="4" t="s">
        <v>49</v>
      </c>
      <c r="C13" s="2">
        <v>3.63</v>
      </c>
      <c r="D13" s="2"/>
      <c r="E13" s="43">
        <v>976</v>
      </c>
      <c r="F13" s="12">
        <f t="shared" si="0"/>
        <v>3542.88</v>
      </c>
      <c r="G13" s="12">
        <v>2031</v>
      </c>
      <c r="H13" s="12"/>
      <c r="I13" s="21">
        <v>1017</v>
      </c>
      <c r="J13" s="12">
        <f t="shared" si="1"/>
        <v>3691.71</v>
      </c>
      <c r="K13" s="12"/>
      <c r="L13" s="21">
        <f t="shared" si="2"/>
        <v>148.82999999999993</v>
      </c>
      <c r="M13" s="12"/>
      <c r="N13" s="27">
        <f t="shared" si="5"/>
        <v>1788</v>
      </c>
      <c r="O13" s="23"/>
      <c r="P13" s="27">
        <v>431</v>
      </c>
      <c r="Q13" s="30">
        <f t="shared" si="3"/>
        <v>2219</v>
      </c>
      <c r="S13">
        <f t="shared" si="4"/>
        <v>430.72919999999999</v>
      </c>
    </row>
    <row r="14" spans="1:19" x14ac:dyDescent="0.25">
      <c r="A14" s="61"/>
      <c r="B14" s="4" t="s">
        <v>40</v>
      </c>
      <c r="C14" s="2">
        <v>3.63</v>
      </c>
      <c r="D14" s="2"/>
      <c r="E14" s="43">
        <v>976</v>
      </c>
      <c r="F14" s="12">
        <f t="shared" si="0"/>
        <v>3542.88</v>
      </c>
      <c r="G14" s="12">
        <v>2031</v>
      </c>
      <c r="H14" s="12"/>
      <c r="I14" s="21">
        <v>1017</v>
      </c>
      <c r="J14" s="12">
        <f t="shared" si="1"/>
        <v>3691.71</v>
      </c>
      <c r="K14" s="12"/>
      <c r="L14" s="21">
        <f t="shared" si="2"/>
        <v>148.82999999999993</v>
      </c>
      <c r="M14" s="12"/>
      <c r="N14" s="27">
        <f t="shared" si="5"/>
        <v>1788</v>
      </c>
      <c r="O14" s="23"/>
      <c r="P14" s="27">
        <v>431</v>
      </c>
      <c r="Q14" s="30">
        <f t="shared" si="3"/>
        <v>2219</v>
      </c>
      <c r="S14">
        <f t="shared" si="4"/>
        <v>430.72919999999999</v>
      </c>
    </row>
    <row r="15" spans="1:19" x14ac:dyDescent="0.25">
      <c r="A15" s="61"/>
      <c r="B15" s="4" t="s">
        <v>41</v>
      </c>
      <c r="C15" s="2">
        <v>3.63</v>
      </c>
      <c r="D15" s="2"/>
      <c r="E15" s="43">
        <v>976</v>
      </c>
      <c r="F15" s="12">
        <f t="shared" si="0"/>
        <v>3542.88</v>
      </c>
      <c r="G15" s="12">
        <v>2031</v>
      </c>
      <c r="H15" s="12"/>
      <c r="I15" s="21">
        <v>1017</v>
      </c>
      <c r="J15" s="12">
        <f t="shared" si="1"/>
        <v>3691.71</v>
      </c>
      <c r="K15" s="12"/>
      <c r="L15" s="21">
        <f t="shared" si="2"/>
        <v>148.82999999999993</v>
      </c>
      <c r="M15" s="12"/>
      <c r="N15" s="27">
        <f t="shared" si="5"/>
        <v>1788</v>
      </c>
      <c r="O15" s="23"/>
      <c r="P15" s="27">
        <v>431</v>
      </c>
      <c r="Q15" s="30">
        <f t="shared" si="3"/>
        <v>2219</v>
      </c>
      <c r="S15">
        <f t="shared" si="4"/>
        <v>430.72919999999999</v>
      </c>
    </row>
    <row r="16" spans="1:19" x14ac:dyDescent="0.25">
      <c r="A16" s="61"/>
      <c r="B16" s="4" t="s">
        <v>45</v>
      </c>
      <c r="C16" s="2">
        <v>3.63</v>
      </c>
      <c r="D16" s="2"/>
      <c r="E16" s="43">
        <v>976</v>
      </c>
      <c r="F16" s="12">
        <f t="shared" si="0"/>
        <v>3542.88</v>
      </c>
      <c r="G16" s="12">
        <v>2031</v>
      </c>
      <c r="H16" s="12"/>
      <c r="I16" s="21">
        <v>1017</v>
      </c>
      <c r="J16" s="12">
        <f t="shared" si="1"/>
        <v>3691.71</v>
      </c>
      <c r="K16" s="12"/>
      <c r="L16" s="21">
        <f t="shared" si="2"/>
        <v>148.82999999999993</v>
      </c>
      <c r="M16" s="12"/>
      <c r="N16" s="27">
        <f t="shared" si="5"/>
        <v>1788</v>
      </c>
      <c r="O16" s="23"/>
      <c r="P16" s="27">
        <v>431</v>
      </c>
      <c r="Q16" s="30">
        <f t="shared" si="3"/>
        <v>2219</v>
      </c>
      <c r="S16">
        <f t="shared" si="4"/>
        <v>430.72919999999999</v>
      </c>
    </row>
    <row r="17" spans="1:19" x14ac:dyDescent="0.25">
      <c r="A17" s="61"/>
      <c r="B17" s="4" t="s">
        <v>42</v>
      </c>
      <c r="C17" s="2">
        <v>3.63</v>
      </c>
      <c r="D17" s="2"/>
      <c r="E17" s="43">
        <v>976</v>
      </c>
      <c r="F17" s="12">
        <f t="shared" si="0"/>
        <v>3542.88</v>
      </c>
      <c r="G17" s="12">
        <v>2031</v>
      </c>
      <c r="H17" s="12"/>
      <c r="I17" s="21">
        <v>1017</v>
      </c>
      <c r="J17" s="12">
        <f t="shared" si="1"/>
        <v>3691.71</v>
      </c>
      <c r="K17" s="12"/>
      <c r="L17" s="21">
        <f t="shared" si="2"/>
        <v>148.82999999999993</v>
      </c>
      <c r="M17" s="12"/>
      <c r="N17" s="27">
        <f t="shared" si="5"/>
        <v>1788</v>
      </c>
      <c r="O17" s="23"/>
      <c r="P17" s="27">
        <v>431</v>
      </c>
      <c r="Q17" s="30">
        <f t="shared" si="3"/>
        <v>2219</v>
      </c>
      <c r="S17">
        <f t="shared" si="4"/>
        <v>430.72919999999999</v>
      </c>
    </row>
    <row r="18" spans="1:19" x14ac:dyDescent="0.25">
      <c r="A18" s="61"/>
      <c r="B18" s="4" t="s">
        <v>43</v>
      </c>
      <c r="C18" s="2">
        <v>3.63</v>
      </c>
      <c r="D18" s="2"/>
      <c r="E18" s="43">
        <v>976</v>
      </c>
      <c r="F18" s="12">
        <f t="shared" si="0"/>
        <v>3542.88</v>
      </c>
      <c r="G18" s="12">
        <v>2031</v>
      </c>
      <c r="H18" s="12"/>
      <c r="I18" s="21">
        <v>1017</v>
      </c>
      <c r="J18" s="12">
        <f t="shared" si="1"/>
        <v>3691.71</v>
      </c>
      <c r="K18" s="12"/>
      <c r="L18" s="21">
        <f t="shared" si="2"/>
        <v>148.82999999999993</v>
      </c>
      <c r="M18" s="12"/>
      <c r="N18" s="27">
        <f t="shared" si="5"/>
        <v>1788</v>
      </c>
      <c r="O18" s="23"/>
      <c r="P18" s="27">
        <v>431</v>
      </c>
      <c r="Q18" s="30">
        <f t="shared" si="3"/>
        <v>2219</v>
      </c>
      <c r="S18">
        <f t="shared" si="4"/>
        <v>430.72919999999999</v>
      </c>
    </row>
    <row r="19" spans="1:19" x14ac:dyDescent="0.25">
      <c r="A19" s="61"/>
      <c r="B19" s="4" t="s">
        <v>47</v>
      </c>
      <c r="C19" s="2">
        <v>3.63</v>
      </c>
      <c r="D19" s="2"/>
      <c r="E19" s="43">
        <v>976</v>
      </c>
      <c r="F19" s="12">
        <f t="shared" si="0"/>
        <v>3542.88</v>
      </c>
      <c r="G19" s="12">
        <v>2031</v>
      </c>
      <c r="H19" s="12"/>
      <c r="I19" s="21">
        <v>1017</v>
      </c>
      <c r="J19" s="12">
        <f t="shared" si="1"/>
        <v>3691.71</v>
      </c>
      <c r="K19" s="12"/>
      <c r="L19" s="21">
        <f t="shared" si="2"/>
        <v>148.82999999999993</v>
      </c>
      <c r="M19" s="12"/>
      <c r="N19" s="27">
        <f t="shared" si="5"/>
        <v>1788</v>
      </c>
      <c r="O19" s="23"/>
      <c r="P19" s="27">
        <v>431</v>
      </c>
      <c r="Q19" s="30">
        <f t="shared" si="3"/>
        <v>2219</v>
      </c>
      <c r="S19">
        <f t="shared" si="4"/>
        <v>430.72919999999999</v>
      </c>
    </row>
    <row r="20" spans="1:19" x14ac:dyDescent="0.25">
      <c r="A20" s="62"/>
      <c r="B20" s="4" t="s">
        <v>44</v>
      </c>
      <c r="C20" s="2">
        <v>3.63</v>
      </c>
      <c r="D20" s="2"/>
      <c r="E20" s="43">
        <v>976</v>
      </c>
      <c r="F20" s="12">
        <f t="shared" si="0"/>
        <v>3542.88</v>
      </c>
      <c r="G20" s="12">
        <v>2031</v>
      </c>
      <c r="H20" s="12"/>
      <c r="I20" s="21">
        <v>1017</v>
      </c>
      <c r="J20" s="12">
        <f t="shared" si="1"/>
        <v>3691.71</v>
      </c>
      <c r="K20" s="12"/>
      <c r="L20" s="21">
        <f t="shared" si="2"/>
        <v>148.82999999999993</v>
      </c>
      <c r="M20" s="12"/>
      <c r="N20" s="27">
        <f t="shared" si="5"/>
        <v>1788</v>
      </c>
      <c r="O20" s="23"/>
      <c r="P20" s="27">
        <v>431</v>
      </c>
      <c r="Q20" s="30">
        <f t="shared" si="3"/>
        <v>2219</v>
      </c>
      <c r="S20">
        <f t="shared" si="4"/>
        <v>430.72919999999999</v>
      </c>
    </row>
    <row r="21" spans="1:19" x14ac:dyDescent="0.25">
      <c r="A21" s="2"/>
      <c r="B21" s="58" t="s">
        <v>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28"/>
      <c r="O21" s="28"/>
      <c r="P21" s="28"/>
      <c r="Q21" s="31"/>
    </row>
    <row r="22" spans="1:19" ht="15.75" customHeight="1" x14ac:dyDescent="0.25">
      <c r="A22" s="55" t="s">
        <v>29</v>
      </c>
      <c r="B22" s="8" t="s">
        <v>3</v>
      </c>
      <c r="C22" s="2">
        <v>4.05</v>
      </c>
      <c r="D22" s="49" t="s">
        <v>16</v>
      </c>
      <c r="E22" s="43">
        <v>976</v>
      </c>
      <c r="F22" s="12">
        <f t="shared" ref="F22:F46" si="6">E22*C22</f>
        <v>3952.7999999999997</v>
      </c>
      <c r="G22" s="13">
        <v>2900</v>
      </c>
      <c r="H22" s="19">
        <f>F22/2</f>
        <v>1976.3999999999999</v>
      </c>
      <c r="I22" s="21">
        <v>1017</v>
      </c>
      <c r="J22" s="12">
        <f t="shared" ref="J22:J46" si="7">I22*C22</f>
        <v>4118.8499999999995</v>
      </c>
      <c r="K22" s="12">
        <f t="shared" ref="K22:K28" si="8">J22/2</f>
        <v>2059.4249999999997</v>
      </c>
      <c r="L22" s="22">
        <f t="shared" ref="L22:L46" si="9">J22-F22</f>
        <v>166.04999999999973</v>
      </c>
      <c r="M22" s="22">
        <f t="shared" ref="M22:M28" si="10">K22-H22</f>
        <v>83.024999999999864</v>
      </c>
      <c r="N22" s="27">
        <f>166*12</f>
        <v>1992</v>
      </c>
      <c r="O22" s="27">
        <f>83*12</f>
        <v>996</v>
      </c>
      <c r="P22" s="27">
        <v>720</v>
      </c>
      <c r="Q22" s="30">
        <f t="shared" ref="Q22:Q37" si="11">N22+O22+P22</f>
        <v>3708</v>
      </c>
      <c r="R22" s="38"/>
      <c r="S22">
        <f>(N22+O22)*24.09%</f>
        <v>719.80920000000003</v>
      </c>
    </row>
    <row r="23" spans="1:19" x14ac:dyDescent="0.25">
      <c r="A23" s="56"/>
      <c r="B23" s="7" t="s">
        <v>21</v>
      </c>
      <c r="C23" s="2">
        <v>3.32</v>
      </c>
      <c r="D23" s="50"/>
      <c r="E23" s="43">
        <v>976</v>
      </c>
      <c r="F23" s="12">
        <f t="shared" si="6"/>
        <v>3240.3199999999997</v>
      </c>
      <c r="G23" s="13">
        <v>2377</v>
      </c>
      <c r="H23" s="19">
        <f>F23/2</f>
        <v>1620.1599999999999</v>
      </c>
      <c r="I23" s="21">
        <v>1017</v>
      </c>
      <c r="J23" s="12">
        <f t="shared" si="7"/>
        <v>3376.44</v>
      </c>
      <c r="K23" s="12">
        <f t="shared" si="8"/>
        <v>1688.22</v>
      </c>
      <c r="L23" s="22">
        <f t="shared" si="9"/>
        <v>136.12000000000035</v>
      </c>
      <c r="M23" s="22">
        <f t="shared" si="10"/>
        <v>68.060000000000173</v>
      </c>
      <c r="N23" s="27">
        <f>136*12</f>
        <v>1632</v>
      </c>
      <c r="O23" s="27">
        <f>68*12</f>
        <v>816</v>
      </c>
      <c r="P23" s="27">
        <v>590</v>
      </c>
      <c r="Q23" s="30">
        <f t="shared" si="11"/>
        <v>3038</v>
      </c>
      <c r="S23">
        <f t="shared" ref="S23:S28" si="12">(N23+O23)*24.09%</f>
        <v>589.72320000000002</v>
      </c>
    </row>
    <row r="24" spans="1:19" x14ac:dyDescent="0.25">
      <c r="A24" s="56"/>
      <c r="B24" s="7" t="s">
        <v>22</v>
      </c>
      <c r="C24" s="2">
        <v>3.32</v>
      </c>
      <c r="D24" s="50"/>
      <c r="E24" s="43">
        <v>976</v>
      </c>
      <c r="F24" s="12">
        <f t="shared" si="6"/>
        <v>3240.3199999999997</v>
      </c>
      <c r="G24" s="13">
        <v>2377</v>
      </c>
      <c r="H24" s="19">
        <f t="shared" ref="H24:H28" si="13">F24/2</f>
        <v>1620.1599999999999</v>
      </c>
      <c r="I24" s="21">
        <v>1017</v>
      </c>
      <c r="J24" s="12">
        <f t="shared" si="7"/>
        <v>3376.44</v>
      </c>
      <c r="K24" s="12">
        <f t="shared" si="8"/>
        <v>1688.22</v>
      </c>
      <c r="L24" s="22">
        <f t="shared" si="9"/>
        <v>136.12000000000035</v>
      </c>
      <c r="M24" s="22">
        <f t="shared" si="10"/>
        <v>68.060000000000173</v>
      </c>
      <c r="N24" s="27">
        <f t="shared" ref="N24:N28" si="14">136*12</f>
        <v>1632</v>
      </c>
      <c r="O24" s="27">
        <f t="shared" ref="O24:O28" si="15">68*12</f>
        <v>816</v>
      </c>
      <c r="P24" s="27">
        <v>590</v>
      </c>
      <c r="Q24" s="30">
        <f t="shared" si="11"/>
        <v>3038</v>
      </c>
      <c r="S24">
        <f t="shared" si="12"/>
        <v>589.72320000000002</v>
      </c>
    </row>
    <row r="25" spans="1:19" x14ac:dyDescent="0.25">
      <c r="A25" s="56"/>
      <c r="B25" s="7" t="s">
        <v>17</v>
      </c>
      <c r="C25" s="2">
        <v>3.32</v>
      </c>
      <c r="D25" s="50"/>
      <c r="E25" s="43">
        <v>976</v>
      </c>
      <c r="F25" s="12">
        <f t="shared" si="6"/>
        <v>3240.3199999999997</v>
      </c>
      <c r="G25" s="13">
        <v>2377</v>
      </c>
      <c r="H25" s="19">
        <f t="shared" si="13"/>
        <v>1620.1599999999999</v>
      </c>
      <c r="I25" s="21">
        <v>1017</v>
      </c>
      <c r="J25" s="12">
        <f t="shared" si="7"/>
        <v>3376.44</v>
      </c>
      <c r="K25" s="12">
        <f t="shared" si="8"/>
        <v>1688.22</v>
      </c>
      <c r="L25" s="22">
        <f t="shared" si="9"/>
        <v>136.12000000000035</v>
      </c>
      <c r="M25" s="22">
        <f t="shared" si="10"/>
        <v>68.060000000000173</v>
      </c>
      <c r="N25" s="27">
        <f t="shared" si="14"/>
        <v>1632</v>
      </c>
      <c r="O25" s="27">
        <f t="shared" si="15"/>
        <v>816</v>
      </c>
      <c r="P25" s="27">
        <v>590</v>
      </c>
      <c r="Q25" s="30">
        <f t="shared" si="11"/>
        <v>3038</v>
      </c>
      <c r="S25">
        <f t="shared" si="12"/>
        <v>589.72320000000002</v>
      </c>
    </row>
    <row r="26" spans="1:19" x14ac:dyDescent="0.25">
      <c r="A26" s="56"/>
      <c r="B26" s="7" t="s">
        <v>18</v>
      </c>
      <c r="C26" s="2">
        <v>3.32</v>
      </c>
      <c r="D26" s="50"/>
      <c r="E26" s="43">
        <v>976</v>
      </c>
      <c r="F26" s="12">
        <f t="shared" si="6"/>
        <v>3240.3199999999997</v>
      </c>
      <c r="G26" s="13">
        <v>2377</v>
      </c>
      <c r="H26" s="19">
        <f t="shared" si="13"/>
        <v>1620.1599999999999</v>
      </c>
      <c r="I26" s="21">
        <v>1017</v>
      </c>
      <c r="J26" s="12">
        <f t="shared" si="7"/>
        <v>3376.44</v>
      </c>
      <c r="K26" s="12">
        <f t="shared" si="8"/>
        <v>1688.22</v>
      </c>
      <c r="L26" s="22">
        <f t="shared" si="9"/>
        <v>136.12000000000035</v>
      </c>
      <c r="M26" s="22">
        <f t="shared" si="10"/>
        <v>68.060000000000173</v>
      </c>
      <c r="N26" s="27">
        <f t="shared" si="14"/>
        <v>1632</v>
      </c>
      <c r="O26" s="27">
        <f t="shared" si="15"/>
        <v>816</v>
      </c>
      <c r="P26" s="27">
        <v>590</v>
      </c>
      <c r="Q26" s="30">
        <f t="shared" si="11"/>
        <v>3038</v>
      </c>
      <c r="S26">
        <f t="shared" si="12"/>
        <v>589.72320000000002</v>
      </c>
    </row>
    <row r="27" spans="1:19" x14ac:dyDescent="0.25">
      <c r="A27" s="56"/>
      <c r="B27" s="7" t="s">
        <v>19</v>
      </c>
      <c r="C27" s="2">
        <v>3.32</v>
      </c>
      <c r="D27" s="50"/>
      <c r="E27" s="43">
        <v>976</v>
      </c>
      <c r="F27" s="12">
        <f t="shared" si="6"/>
        <v>3240.3199999999997</v>
      </c>
      <c r="G27" s="13">
        <v>2377</v>
      </c>
      <c r="H27" s="19">
        <f t="shared" si="13"/>
        <v>1620.1599999999999</v>
      </c>
      <c r="I27" s="21">
        <v>1017</v>
      </c>
      <c r="J27" s="12">
        <f t="shared" si="7"/>
        <v>3376.44</v>
      </c>
      <c r="K27" s="12">
        <f t="shared" si="8"/>
        <v>1688.22</v>
      </c>
      <c r="L27" s="22">
        <f t="shared" si="9"/>
        <v>136.12000000000035</v>
      </c>
      <c r="M27" s="22">
        <f t="shared" si="10"/>
        <v>68.060000000000173</v>
      </c>
      <c r="N27" s="27">
        <f t="shared" si="14"/>
        <v>1632</v>
      </c>
      <c r="O27" s="27">
        <f t="shared" si="15"/>
        <v>816</v>
      </c>
      <c r="P27" s="27">
        <v>590</v>
      </c>
      <c r="Q27" s="30">
        <f t="shared" si="11"/>
        <v>3038</v>
      </c>
      <c r="S27">
        <f t="shared" si="12"/>
        <v>589.72320000000002</v>
      </c>
    </row>
    <row r="28" spans="1:19" x14ac:dyDescent="0.25">
      <c r="A28" s="57"/>
      <c r="B28" s="7" t="s">
        <v>20</v>
      </c>
      <c r="C28" s="2">
        <v>3.32</v>
      </c>
      <c r="D28" s="51"/>
      <c r="E28" s="43">
        <v>976</v>
      </c>
      <c r="F28" s="12">
        <f t="shared" si="6"/>
        <v>3240.3199999999997</v>
      </c>
      <c r="G28" s="13">
        <v>2377</v>
      </c>
      <c r="H28" s="19">
        <f t="shared" si="13"/>
        <v>1620.1599999999999</v>
      </c>
      <c r="I28" s="21">
        <v>1017</v>
      </c>
      <c r="J28" s="12">
        <f t="shared" si="7"/>
        <v>3376.44</v>
      </c>
      <c r="K28" s="12">
        <f t="shared" si="8"/>
        <v>1688.22</v>
      </c>
      <c r="L28" s="22">
        <f t="shared" si="9"/>
        <v>136.12000000000035</v>
      </c>
      <c r="M28" s="22">
        <f t="shared" si="10"/>
        <v>68.060000000000173</v>
      </c>
      <c r="N28" s="27">
        <f t="shared" si="14"/>
        <v>1632</v>
      </c>
      <c r="O28" s="27">
        <f t="shared" si="15"/>
        <v>816</v>
      </c>
      <c r="P28" s="27">
        <v>590</v>
      </c>
      <c r="Q28" s="30">
        <f t="shared" si="11"/>
        <v>3038</v>
      </c>
      <c r="S28">
        <f t="shared" si="12"/>
        <v>589.72320000000002</v>
      </c>
    </row>
    <row r="29" spans="1:19" ht="55.5" x14ac:dyDescent="0.25">
      <c r="A29" s="16" t="s">
        <v>35</v>
      </c>
      <c r="B29" s="3" t="s">
        <v>4</v>
      </c>
      <c r="C29" s="2">
        <v>4.05</v>
      </c>
      <c r="D29" s="2"/>
      <c r="E29" s="43">
        <v>976</v>
      </c>
      <c r="F29" s="12">
        <f t="shared" si="6"/>
        <v>3952.7999999999997</v>
      </c>
      <c r="G29" s="13">
        <v>2336</v>
      </c>
      <c r="H29" s="20"/>
      <c r="I29" s="21">
        <v>1017</v>
      </c>
      <c r="J29" s="12">
        <f t="shared" si="7"/>
        <v>4118.8499999999995</v>
      </c>
      <c r="K29" s="12"/>
      <c r="L29" s="21">
        <f t="shared" si="9"/>
        <v>166.04999999999973</v>
      </c>
      <c r="M29" s="12"/>
      <c r="N29" s="27">
        <f>166*12</f>
        <v>1992</v>
      </c>
      <c r="O29" s="27"/>
      <c r="P29" s="27">
        <v>480</v>
      </c>
      <c r="Q29" s="30">
        <f t="shared" si="11"/>
        <v>2472</v>
      </c>
      <c r="S29">
        <f t="shared" ref="S29:S46" si="16">N29*24.09%</f>
        <v>479.87279999999998</v>
      </c>
    </row>
    <row r="30" spans="1:19" ht="15.75" customHeight="1" x14ac:dyDescent="0.25">
      <c r="A30" s="55" t="s">
        <v>31</v>
      </c>
      <c r="B30" s="3" t="s">
        <v>5</v>
      </c>
      <c r="C30" s="2">
        <v>2.78</v>
      </c>
      <c r="D30" s="2"/>
      <c r="E30" s="43">
        <v>976</v>
      </c>
      <c r="F30" s="12">
        <f t="shared" si="6"/>
        <v>2713.2799999999997</v>
      </c>
      <c r="G30" s="13">
        <v>1905</v>
      </c>
      <c r="H30" s="20"/>
      <c r="I30" s="21">
        <v>1017</v>
      </c>
      <c r="J30" s="12">
        <f t="shared" si="7"/>
        <v>2827.2599999999998</v>
      </c>
      <c r="K30" s="12"/>
      <c r="L30" s="21">
        <f t="shared" si="9"/>
        <v>113.98000000000002</v>
      </c>
      <c r="M30" s="12"/>
      <c r="N30" s="27">
        <f>114*12</f>
        <v>1368</v>
      </c>
      <c r="O30" s="27"/>
      <c r="P30" s="27">
        <v>330</v>
      </c>
      <c r="Q30" s="30">
        <f t="shared" si="11"/>
        <v>1698</v>
      </c>
      <c r="S30">
        <f t="shared" si="16"/>
        <v>329.55119999999999</v>
      </c>
    </row>
    <row r="31" spans="1:19" ht="15.75" customHeight="1" x14ac:dyDescent="0.25">
      <c r="A31" s="56"/>
      <c r="B31" s="4" t="s">
        <v>6</v>
      </c>
      <c r="C31" s="2">
        <v>2.64</v>
      </c>
      <c r="D31" s="60" t="s">
        <v>14</v>
      </c>
      <c r="E31" s="43">
        <v>976</v>
      </c>
      <c r="F31" s="12">
        <f t="shared" si="6"/>
        <v>2576.6400000000003</v>
      </c>
      <c r="G31" s="13">
        <v>1809</v>
      </c>
      <c r="H31" s="20"/>
      <c r="I31" s="21">
        <v>1017</v>
      </c>
      <c r="J31" s="12">
        <f t="shared" si="7"/>
        <v>2684.88</v>
      </c>
      <c r="K31" s="12"/>
      <c r="L31" s="21">
        <f t="shared" si="9"/>
        <v>108.23999999999978</v>
      </c>
      <c r="M31" s="12"/>
      <c r="N31" s="27">
        <f>108*12</f>
        <v>1296</v>
      </c>
      <c r="O31" s="27"/>
      <c r="P31" s="27">
        <v>312</v>
      </c>
      <c r="Q31" s="30">
        <f t="shared" si="11"/>
        <v>1608</v>
      </c>
      <c r="S31">
        <f t="shared" si="16"/>
        <v>312.20640000000003</v>
      </c>
    </row>
    <row r="32" spans="1:19" x14ac:dyDescent="0.25">
      <c r="A32" s="56"/>
      <c r="B32" s="4" t="s">
        <v>37</v>
      </c>
      <c r="C32" s="2">
        <v>2.31</v>
      </c>
      <c r="D32" s="61"/>
      <c r="E32" s="43">
        <v>976</v>
      </c>
      <c r="F32" s="12">
        <f t="shared" si="6"/>
        <v>2254.56</v>
      </c>
      <c r="G32" s="13">
        <v>1654</v>
      </c>
      <c r="H32" s="20"/>
      <c r="I32" s="21">
        <v>1017</v>
      </c>
      <c r="J32" s="12">
        <f t="shared" si="7"/>
        <v>2349.27</v>
      </c>
      <c r="K32" s="12"/>
      <c r="L32" s="21">
        <f t="shared" si="9"/>
        <v>94.710000000000036</v>
      </c>
      <c r="M32" s="12"/>
      <c r="N32" s="27">
        <f>95*12</f>
        <v>1140</v>
      </c>
      <c r="O32" s="27"/>
      <c r="P32" s="27">
        <v>275</v>
      </c>
      <c r="Q32" s="30">
        <f t="shared" si="11"/>
        <v>1415</v>
      </c>
      <c r="S32">
        <f t="shared" si="16"/>
        <v>274.62599999999998</v>
      </c>
    </row>
    <row r="33" spans="1:19" x14ac:dyDescent="0.25">
      <c r="A33" s="56"/>
      <c r="B33" s="4" t="s">
        <v>37</v>
      </c>
      <c r="C33" s="2">
        <v>2.31</v>
      </c>
      <c r="D33" s="61"/>
      <c r="E33" s="43">
        <v>976</v>
      </c>
      <c r="F33" s="12">
        <f t="shared" si="6"/>
        <v>2254.56</v>
      </c>
      <c r="G33" s="13">
        <v>1655</v>
      </c>
      <c r="H33" s="20"/>
      <c r="I33" s="21">
        <v>1017</v>
      </c>
      <c r="J33" s="12">
        <f t="shared" si="7"/>
        <v>2349.27</v>
      </c>
      <c r="K33" s="12"/>
      <c r="L33" s="21">
        <f t="shared" si="9"/>
        <v>94.710000000000036</v>
      </c>
      <c r="M33" s="12"/>
      <c r="N33" s="27">
        <f t="shared" ref="N33:N34" si="17">95*12</f>
        <v>1140</v>
      </c>
      <c r="O33" s="27"/>
      <c r="P33" s="27">
        <v>275</v>
      </c>
      <c r="Q33" s="30">
        <f t="shared" si="11"/>
        <v>1415</v>
      </c>
      <c r="S33">
        <f t="shared" si="16"/>
        <v>274.62599999999998</v>
      </c>
    </row>
    <row r="34" spans="1:19" x14ac:dyDescent="0.25">
      <c r="A34" s="57"/>
      <c r="B34" s="4" t="s">
        <v>37</v>
      </c>
      <c r="C34" s="2">
        <v>2.31</v>
      </c>
      <c r="D34" s="62"/>
      <c r="E34" s="43">
        <v>976</v>
      </c>
      <c r="F34" s="12">
        <f t="shared" si="6"/>
        <v>2254.56</v>
      </c>
      <c r="G34" s="13">
        <v>1656</v>
      </c>
      <c r="H34" s="20"/>
      <c r="I34" s="21">
        <v>1017</v>
      </c>
      <c r="J34" s="12">
        <f t="shared" si="7"/>
        <v>2349.27</v>
      </c>
      <c r="K34" s="12"/>
      <c r="L34" s="21">
        <f t="shared" si="9"/>
        <v>94.710000000000036</v>
      </c>
      <c r="M34" s="12"/>
      <c r="N34" s="27">
        <f t="shared" si="17"/>
        <v>1140</v>
      </c>
      <c r="O34" s="27"/>
      <c r="P34" s="27">
        <v>275</v>
      </c>
      <c r="Q34" s="30">
        <f t="shared" si="11"/>
        <v>1415</v>
      </c>
      <c r="S34">
        <f>N34*24.09%</f>
        <v>274.62599999999998</v>
      </c>
    </row>
    <row r="35" spans="1:19" ht="15.75" customHeight="1" x14ac:dyDescent="0.25">
      <c r="A35" s="47" t="s">
        <v>32</v>
      </c>
      <c r="B35" s="4" t="s">
        <v>7</v>
      </c>
      <c r="C35" s="2">
        <v>3.32</v>
      </c>
      <c r="D35" s="2"/>
      <c r="E35" s="43">
        <v>976</v>
      </c>
      <c r="F35" s="12">
        <f t="shared" si="6"/>
        <v>3240.3199999999997</v>
      </c>
      <c r="G35" s="13">
        <v>2377</v>
      </c>
      <c r="H35" s="20"/>
      <c r="I35" s="21">
        <v>1017</v>
      </c>
      <c r="J35" s="12">
        <f t="shared" si="7"/>
        <v>3376.44</v>
      </c>
      <c r="K35" s="12"/>
      <c r="L35" s="21">
        <f t="shared" si="9"/>
        <v>136.12000000000035</v>
      </c>
      <c r="M35" s="12"/>
      <c r="N35" s="27">
        <f>136*12</f>
        <v>1632</v>
      </c>
      <c r="O35" s="27"/>
      <c r="P35" s="27">
        <v>393</v>
      </c>
      <c r="Q35" s="30">
        <f t="shared" si="11"/>
        <v>2025</v>
      </c>
      <c r="S35">
        <f t="shared" si="16"/>
        <v>393.14879999999999</v>
      </c>
    </row>
    <row r="36" spans="1:19" x14ac:dyDescent="0.25">
      <c r="A36" s="63"/>
      <c r="B36" s="4" t="s">
        <v>8</v>
      </c>
      <c r="C36" s="2">
        <v>2.82</v>
      </c>
      <c r="D36" s="2"/>
      <c r="E36" s="43">
        <v>976</v>
      </c>
      <c r="F36" s="12">
        <f t="shared" si="6"/>
        <v>2752.3199999999997</v>
      </c>
      <c r="G36" s="13">
        <v>2019</v>
      </c>
      <c r="H36" s="20"/>
      <c r="I36" s="21">
        <v>1017</v>
      </c>
      <c r="J36" s="12">
        <f t="shared" si="7"/>
        <v>2867.94</v>
      </c>
      <c r="K36" s="12"/>
      <c r="L36" s="21">
        <f t="shared" si="9"/>
        <v>115.62000000000035</v>
      </c>
      <c r="M36" s="12"/>
      <c r="N36" s="27">
        <f>116*12</f>
        <v>1392</v>
      </c>
      <c r="O36" s="27"/>
      <c r="P36" s="27">
        <v>335</v>
      </c>
      <c r="Q36" s="30">
        <f t="shared" si="11"/>
        <v>1727</v>
      </c>
      <c r="S36">
        <f t="shared" si="16"/>
        <v>335.33280000000002</v>
      </c>
    </row>
    <row r="37" spans="1:19" x14ac:dyDescent="0.25">
      <c r="A37" s="63"/>
      <c r="B37" s="4" t="s">
        <v>9</v>
      </c>
      <c r="C37" s="2">
        <v>2.82</v>
      </c>
      <c r="D37" s="2"/>
      <c r="E37" s="43">
        <v>976</v>
      </c>
      <c r="F37" s="12">
        <f t="shared" si="6"/>
        <v>2752.3199999999997</v>
      </c>
      <c r="G37" s="13">
        <v>2019</v>
      </c>
      <c r="H37" s="20"/>
      <c r="I37" s="21">
        <v>1017</v>
      </c>
      <c r="J37" s="12">
        <f t="shared" si="7"/>
        <v>2867.94</v>
      </c>
      <c r="K37" s="12"/>
      <c r="L37" s="21">
        <f t="shared" si="9"/>
        <v>115.62000000000035</v>
      </c>
      <c r="M37" s="12"/>
      <c r="N37" s="27">
        <f>116*12</f>
        <v>1392</v>
      </c>
      <c r="O37" s="27"/>
      <c r="P37" s="27">
        <v>335</v>
      </c>
      <c r="Q37" s="30">
        <f t="shared" si="11"/>
        <v>1727</v>
      </c>
      <c r="S37">
        <f t="shared" si="16"/>
        <v>335.33280000000002</v>
      </c>
    </row>
    <row r="38" spans="1:19" ht="47.25" customHeight="1" x14ac:dyDescent="0.25">
      <c r="A38" s="63"/>
      <c r="B38" s="4" t="s">
        <v>38</v>
      </c>
      <c r="C38" s="2">
        <v>2.12</v>
      </c>
      <c r="D38" s="60" t="s">
        <v>14</v>
      </c>
      <c r="E38" s="43">
        <v>976</v>
      </c>
      <c r="F38" s="12">
        <f t="shared" si="6"/>
        <v>2069.12</v>
      </c>
      <c r="G38" s="13">
        <v>1518</v>
      </c>
      <c r="H38" s="20"/>
      <c r="I38" s="21">
        <v>1017</v>
      </c>
      <c r="J38" s="12">
        <f t="shared" si="7"/>
        <v>2156.04</v>
      </c>
      <c r="K38" s="12"/>
      <c r="L38" s="21">
        <f t="shared" si="9"/>
        <v>86.920000000000073</v>
      </c>
      <c r="M38" s="12"/>
      <c r="N38" s="27">
        <f>87*12</f>
        <v>1044</v>
      </c>
      <c r="O38" s="27"/>
      <c r="P38" s="27">
        <v>252</v>
      </c>
      <c r="Q38" s="30">
        <f>N38+O38+P38</f>
        <v>1296</v>
      </c>
      <c r="S38">
        <f t="shared" si="16"/>
        <v>251.49960000000002</v>
      </c>
    </row>
    <row r="39" spans="1:19" x14ac:dyDescent="0.25">
      <c r="A39" s="63"/>
      <c r="B39" s="4" t="s">
        <v>38</v>
      </c>
      <c r="C39" s="2">
        <v>2.12</v>
      </c>
      <c r="D39" s="61"/>
      <c r="E39" s="43">
        <v>976</v>
      </c>
      <c r="F39" s="12">
        <f t="shared" si="6"/>
        <v>2069.12</v>
      </c>
      <c r="G39" s="13">
        <v>1519</v>
      </c>
      <c r="H39" s="20"/>
      <c r="I39" s="21">
        <v>1017</v>
      </c>
      <c r="J39" s="12">
        <f t="shared" si="7"/>
        <v>2156.04</v>
      </c>
      <c r="K39" s="12"/>
      <c r="L39" s="21">
        <f t="shared" si="9"/>
        <v>86.920000000000073</v>
      </c>
      <c r="M39" s="12"/>
      <c r="N39" s="27">
        <f t="shared" ref="N39:N43" si="18">87*12</f>
        <v>1044</v>
      </c>
      <c r="O39" s="27"/>
      <c r="P39" s="27">
        <v>252</v>
      </c>
      <c r="Q39" s="30">
        <f>N39+O39+P39</f>
        <v>1296</v>
      </c>
      <c r="S39">
        <f t="shared" si="16"/>
        <v>251.49960000000002</v>
      </c>
    </row>
    <row r="40" spans="1:19" x14ac:dyDescent="0.25">
      <c r="A40" s="63"/>
      <c r="B40" s="4" t="s">
        <v>38</v>
      </c>
      <c r="C40" s="2">
        <v>2.12</v>
      </c>
      <c r="D40" s="61"/>
      <c r="E40" s="43">
        <v>976</v>
      </c>
      <c r="F40" s="12">
        <f t="shared" si="6"/>
        <v>2069.12</v>
      </c>
      <c r="G40" s="13">
        <v>1520</v>
      </c>
      <c r="H40" s="20"/>
      <c r="I40" s="21">
        <v>1017</v>
      </c>
      <c r="J40" s="12">
        <f t="shared" si="7"/>
        <v>2156.04</v>
      </c>
      <c r="K40" s="12"/>
      <c r="L40" s="21">
        <f t="shared" si="9"/>
        <v>86.920000000000073</v>
      </c>
      <c r="M40" s="12"/>
      <c r="N40" s="27">
        <f t="shared" si="18"/>
        <v>1044</v>
      </c>
      <c r="O40" s="27"/>
      <c r="P40" s="27">
        <v>252</v>
      </c>
      <c r="Q40" s="30">
        <f t="shared" ref="Q40:Q46" si="19">N40+O40+P40</f>
        <v>1296</v>
      </c>
      <c r="S40">
        <f t="shared" si="16"/>
        <v>251.49960000000002</v>
      </c>
    </row>
    <row r="41" spans="1:19" x14ac:dyDescent="0.25">
      <c r="A41" s="63"/>
      <c r="B41" s="4" t="s">
        <v>38</v>
      </c>
      <c r="C41" s="2">
        <v>2.12</v>
      </c>
      <c r="D41" s="61"/>
      <c r="E41" s="43">
        <v>976</v>
      </c>
      <c r="F41" s="12">
        <f t="shared" si="6"/>
        <v>2069.12</v>
      </c>
      <c r="G41" s="13">
        <v>1521</v>
      </c>
      <c r="H41" s="20"/>
      <c r="I41" s="21">
        <v>1017</v>
      </c>
      <c r="J41" s="12">
        <f t="shared" si="7"/>
        <v>2156.04</v>
      </c>
      <c r="K41" s="12"/>
      <c r="L41" s="21">
        <f t="shared" si="9"/>
        <v>86.920000000000073</v>
      </c>
      <c r="M41" s="12"/>
      <c r="N41" s="27">
        <f t="shared" si="18"/>
        <v>1044</v>
      </c>
      <c r="O41" s="27"/>
      <c r="P41" s="27">
        <v>252</v>
      </c>
      <c r="Q41" s="30">
        <f t="shared" si="19"/>
        <v>1296</v>
      </c>
      <c r="S41">
        <f t="shared" si="16"/>
        <v>251.49960000000002</v>
      </c>
    </row>
    <row r="42" spans="1:19" x14ac:dyDescent="0.25">
      <c r="A42" s="63"/>
      <c r="B42" s="4" t="s">
        <v>38</v>
      </c>
      <c r="C42" s="2">
        <v>2.12</v>
      </c>
      <c r="D42" s="61"/>
      <c r="E42" s="43">
        <v>976</v>
      </c>
      <c r="F42" s="12">
        <f t="shared" si="6"/>
        <v>2069.12</v>
      </c>
      <c r="G42" s="13">
        <v>1522</v>
      </c>
      <c r="H42" s="20"/>
      <c r="I42" s="21">
        <v>1017</v>
      </c>
      <c r="J42" s="12">
        <f t="shared" si="7"/>
        <v>2156.04</v>
      </c>
      <c r="K42" s="12"/>
      <c r="L42" s="21">
        <f t="shared" si="9"/>
        <v>86.920000000000073</v>
      </c>
      <c r="M42" s="12"/>
      <c r="N42" s="27">
        <f t="shared" si="18"/>
        <v>1044</v>
      </c>
      <c r="O42" s="27"/>
      <c r="P42" s="27">
        <v>252</v>
      </c>
      <c r="Q42" s="30">
        <f t="shared" si="19"/>
        <v>1296</v>
      </c>
      <c r="S42">
        <f t="shared" si="16"/>
        <v>251.49960000000002</v>
      </c>
    </row>
    <row r="43" spans="1:19" x14ac:dyDescent="0.25">
      <c r="A43" s="48"/>
      <c r="B43" s="4" t="s">
        <v>38</v>
      </c>
      <c r="C43" s="2">
        <v>2.12</v>
      </c>
      <c r="D43" s="62"/>
      <c r="E43" s="43">
        <v>976</v>
      </c>
      <c r="F43" s="12">
        <f t="shared" si="6"/>
        <v>2069.12</v>
      </c>
      <c r="G43" s="13">
        <v>1523</v>
      </c>
      <c r="H43" s="20"/>
      <c r="I43" s="21">
        <v>1017</v>
      </c>
      <c r="J43" s="12">
        <f t="shared" si="7"/>
        <v>2156.04</v>
      </c>
      <c r="K43" s="12"/>
      <c r="L43" s="21">
        <f t="shared" si="9"/>
        <v>86.920000000000073</v>
      </c>
      <c r="M43" s="12"/>
      <c r="N43" s="27">
        <f t="shared" si="18"/>
        <v>1044</v>
      </c>
      <c r="O43" s="27"/>
      <c r="P43" s="27">
        <v>252</v>
      </c>
      <c r="Q43" s="30">
        <f t="shared" si="19"/>
        <v>1296</v>
      </c>
      <c r="S43">
        <f t="shared" si="16"/>
        <v>251.49960000000002</v>
      </c>
    </row>
    <row r="44" spans="1:19" ht="31.5" x14ac:dyDescent="0.25">
      <c r="A44" s="17" t="s">
        <v>33</v>
      </c>
      <c r="B44" s="6" t="s">
        <v>23</v>
      </c>
      <c r="C44" s="2">
        <v>0.8</v>
      </c>
      <c r="D44" s="2"/>
      <c r="E44" s="43">
        <v>976</v>
      </c>
      <c r="F44" s="12">
        <f t="shared" si="6"/>
        <v>780.80000000000007</v>
      </c>
      <c r="G44" s="13">
        <v>1170</v>
      </c>
      <c r="H44" s="20"/>
      <c r="I44" s="21">
        <v>1017</v>
      </c>
      <c r="J44" s="12">
        <f t="shared" si="7"/>
        <v>813.6</v>
      </c>
      <c r="K44" s="12"/>
      <c r="L44" s="21">
        <f t="shared" si="9"/>
        <v>32.799999999999955</v>
      </c>
      <c r="M44" s="12"/>
      <c r="N44" s="27">
        <f>33*12</f>
        <v>396</v>
      </c>
      <c r="O44" s="27"/>
      <c r="P44" s="27">
        <v>95</v>
      </c>
      <c r="Q44" s="30">
        <f t="shared" si="19"/>
        <v>491</v>
      </c>
      <c r="S44">
        <f t="shared" si="16"/>
        <v>95.3964</v>
      </c>
    </row>
    <row r="45" spans="1:19" ht="31.5" x14ac:dyDescent="0.25">
      <c r="A45" s="47" t="s">
        <v>34</v>
      </c>
      <c r="B45" s="5" t="s">
        <v>10</v>
      </c>
      <c r="C45" s="2">
        <v>2.33</v>
      </c>
      <c r="D45" s="2"/>
      <c r="E45" s="43">
        <v>976</v>
      </c>
      <c r="F45" s="12">
        <f t="shared" si="6"/>
        <v>2274.08</v>
      </c>
      <c r="G45" s="13">
        <v>1571</v>
      </c>
      <c r="H45" s="20"/>
      <c r="I45" s="21">
        <v>1017</v>
      </c>
      <c r="J45" s="12">
        <f t="shared" si="7"/>
        <v>2369.61</v>
      </c>
      <c r="K45" s="12"/>
      <c r="L45" s="21">
        <f t="shared" si="9"/>
        <v>95.5300000000002</v>
      </c>
      <c r="M45" s="12"/>
      <c r="N45" s="27">
        <f>96*12</f>
        <v>1152</v>
      </c>
      <c r="O45" s="27"/>
      <c r="P45" s="27">
        <v>278</v>
      </c>
      <c r="Q45" s="30">
        <f t="shared" si="19"/>
        <v>1430</v>
      </c>
      <c r="S45">
        <f t="shared" si="16"/>
        <v>277.51679999999999</v>
      </c>
    </row>
    <row r="46" spans="1:19" ht="63.75" customHeight="1" x14ac:dyDescent="0.25">
      <c r="A46" s="48"/>
      <c r="B46" s="6" t="s">
        <v>36</v>
      </c>
      <c r="C46" s="2">
        <v>0.22</v>
      </c>
      <c r="D46" s="1" t="s">
        <v>14</v>
      </c>
      <c r="E46" s="43">
        <v>976</v>
      </c>
      <c r="F46" s="12">
        <f t="shared" si="6"/>
        <v>214.72</v>
      </c>
      <c r="G46" s="14" t="s">
        <v>26</v>
      </c>
      <c r="H46" s="20"/>
      <c r="I46" s="21">
        <v>1017</v>
      </c>
      <c r="J46" s="12">
        <f t="shared" si="7"/>
        <v>223.74</v>
      </c>
      <c r="K46" s="12"/>
      <c r="L46" s="21">
        <f t="shared" si="9"/>
        <v>9.0200000000000102</v>
      </c>
      <c r="M46" s="12"/>
      <c r="N46" s="27">
        <f>9*12*12</f>
        <v>1296</v>
      </c>
      <c r="O46" s="27"/>
      <c r="P46" s="27">
        <v>312</v>
      </c>
      <c r="Q46" s="30">
        <f t="shared" si="19"/>
        <v>1608</v>
      </c>
      <c r="S46">
        <f t="shared" si="16"/>
        <v>312.20640000000003</v>
      </c>
    </row>
    <row r="47" spans="1:19" s="11" customFormat="1" x14ac:dyDescent="0.25">
      <c r="A47" s="9"/>
      <c r="B47" s="10" t="s">
        <v>28</v>
      </c>
      <c r="C47" s="10"/>
      <c r="D47" s="10"/>
      <c r="E47" s="10"/>
      <c r="F47" s="15"/>
      <c r="G47" s="15"/>
      <c r="H47" s="15"/>
      <c r="I47" s="15"/>
      <c r="J47" s="15"/>
      <c r="K47" s="15"/>
      <c r="L47" s="15"/>
      <c r="M47" s="15"/>
      <c r="N47" s="32">
        <f>N8+N39+N40+N41+N42+N43+N9+N11+N22+N23+N24+N25+N26+N27+N28+N29+N30+N31+N32+N35+N36+N37+N38+N44+N45+N46+N14+N15+N20+N16+N17+N18+N19+N33+N34+N10+N12+N13</f>
        <v>85428</v>
      </c>
      <c r="O47" s="32">
        <f>O8+O39+O40+O41+O42+O43+O9+O11+O22+O23+O24+O25+O26+O27+O28+O29+O30+O31+O32+O35+O36+O37+O38+O44+O45+O46+O14+O15+O20+O16+O17+O18+O19+O33+O34+O10+O12+O13</f>
        <v>5892</v>
      </c>
      <c r="P47" s="32">
        <f>P8+P39+P40+P41+P42+P43+P9+P11+P22+P23+P24+P25+P26+P27+P28+P29+P30+P31+P32+P35+P36+P37+P38+P44+P45+P46+P14+P15+P20+P16+P17+P18+P19+P33+P34+P10+P12+P13</f>
        <v>22007</v>
      </c>
      <c r="Q47" s="32">
        <f>Q8+Q39+Q40+Q41+Q42+Q43+Q9+Q11+Q22+Q23+Q24+Q25+Q26+Q27+Q28+Q29+Q30+Q31+Q32+Q35+Q36+Q37+Q38+Q44+Q45+Q46+Q14+Q15+Q20+Q16+Q17+Q18+Q19+Q33+Q34+Q10+Q12+Q13</f>
        <v>113327</v>
      </c>
    </row>
    <row r="48" spans="1:19" x14ac:dyDescent="0.25">
      <c r="Q48" s="33"/>
    </row>
    <row r="49" spans="1:3" x14ac:dyDescent="0.25">
      <c r="A49" t="s">
        <v>61</v>
      </c>
    </row>
    <row r="50" spans="1:3" x14ac:dyDescent="0.25">
      <c r="A50" t="s">
        <v>69</v>
      </c>
      <c r="C50">
        <f>975.54*1.042</f>
        <v>1016.51268</v>
      </c>
    </row>
  </sheetData>
  <sheetProtection algorithmName="SHA-512" hashValue="2v7NRZaVkvr60rzcLWdqm4od8fBOUjKgXEFYGMtZwsIjvi/kvCB9nxJJfWdKr4u4P1WuOwDyhZDS/jgrdL9/kw==" saltValue="LPnQuEqi8mzalYGmLSzeUQ==" spinCount="100000" sheet="1" objects="1" scenarios="1"/>
  <mergeCells count="25">
    <mergeCell ref="M5:M6"/>
    <mergeCell ref="N5:Q5"/>
    <mergeCell ref="A35:A43"/>
    <mergeCell ref="D38:D43"/>
    <mergeCell ref="A45:A46"/>
    <mergeCell ref="A11:A20"/>
    <mergeCell ref="B21:M21"/>
    <mergeCell ref="A22:A28"/>
    <mergeCell ref="D22:D28"/>
    <mergeCell ref="A30:A34"/>
    <mergeCell ref="D31:D34"/>
    <mergeCell ref="A8:A10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zoomScaleNormal="100" workbookViewId="0">
      <selection activeCell="B2" sqref="B2:N2"/>
    </sheetView>
  </sheetViews>
  <sheetFormatPr defaultRowHeight="15.75" x14ac:dyDescent="0.25"/>
  <cols>
    <col min="1" max="1" width="3.375" customWidth="1"/>
    <col min="2" max="2" width="40.625" customWidth="1"/>
    <col min="3" max="3" width="10" customWidth="1"/>
    <col min="4" max="4" width="12.75" customWidth="1"/>
    <col min="5" max="5" width="12.625" customWidth="1"/>
    <col min="6" max="6" width="11.125" customWidth="1"/>
    <col min="7" max="7" width="10.375" customWidth="1"/>
    <col min="8" max="8" width="10.75" customWidth="1"/>
    <col min="9" max="9" width="11.125" customWidth="1"/>
    <col min="13" max="13" width="10.125" customWidth="1"/>
  </cols>
  <sheetData>
    <row r="1" spans="2:15" x14ac:dyDescent="0.25">
      <c r="M1" s="68" t="s">
        <v>99</v>
      </c>
      <c r="N1" s="68"/>
    </row>
    <row r="2" spans="2:15" x14ac:dyDescent="0.25">
      <c r="B2" s="68" t="s">
        <v>92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2:15" ht="32.25" customHeight="1" x14ac:dyDescent="0.25">
      <c r="C4" s="46" t="s">
        <v>86</v>
      </c>
      <c r="D4" s="46"/>
      <c r="E4" s="46"/>
      <c r="F4" s="46"/>
      <c r="G4" s="46" t="s">
        <v>87</v>
      </c>
      <c r="H4" s="46"/>
      <c r="I4" s="46"/>
      <c r="J4" s="46"/>
      <c r="K4" s="46" t="s">
        <v>88</v>
      </c>
      <c r="L4" s="46"/>
      <c r="M4" s="46"/>
      <c r="N4" s="46"/>
    </row>
    <row r="5" spans="2:15" ht="47.25" x14ac:dyDescent="0.25">
      <c r="C5" s="25" t="s">
        <v>11</v>
      </c>
      <c r="D5" s="25" t="s">
        <v>27</v>
      </c>
      <c r="E5" s="25" t="s">
        <v>59</v>
      </c>
      <c r="F5" s="39" t="s">
        <v>12</v>
      </c>
      <c r="G5" s="25" t="s">
        <v>11</v>
      </c>
      <c r="H5" s="25" t="s">
        <v>27</v>
      </c>
      <c r="I5" s="25" t="s">
        <v>59</v>
      </c>
      <c r="J5" s="39" t="s">
        <v>12</v>
      </c>
      <c r="K5" s="25" t="s">
        <v>11</v>
      </c>
      <c r="L5" s="25" t="s">
        <v>27</v>
      </c>
      <c r="M5" s="25" t="s">
        <v>59</v>
      </c>
      <c r="N5" s="39" t="s">
        <v>12</v>
      </c>
    </row>
    <row r="6" spans="2:15" x14ac:dyDescent="0.25">
      <c r="B6" s="2" t="s">
        <v>80</v>
      </c>
      <c r="C6" s="44">
        <f>'Valdība un saeimas ieceltie2019'!N46</f>
        <v>139548</v>
      </c>
      <c r="D6" s="12">
        <f>'Valdība un saeimas ieceltie2019'!O46</f>
        <v>9696</v>
      </c>
      <c r="E6" s="12">
        <f>'Valdība un saeimas ieceltie2019'!P46</f>
        <v>35947</v>
      </c>
      <c r="F6" s="12">
        <f>'Valdība un saeimas ieceltie2019'!Q46</f>
        <v>185191</v>
      </c>
      <c r="G6" s="12">
        <f>C6</f>
        <v>139548</v>
      </c>
      <c r="H6" s="12">
        <f t="shared" ref="H6:J6" si="0">D6</f>
        <v>9696</v>
      </c>
      <c r="I6" s="12">
        <f t="shared" si="0"/>
        <v>35947</v>
      </c>
      <c r="J6" s="12">
        <f t="shared" si="0"/>
        <v>185191</v>
      </c>
      <c r="K6" s="12">
        <f>C6</f>
        <v>139548</v>
      </c>
      <c r="L6" s="12">
        <f t="shared" ref="L6:N6" si="1">D6</f>
        <v>9696</v>
      </c>
      <c r="M6" s="12">
        <f t="shared" si="1"/>
        <v>35947</v>
      </c>
      <c r="N6" s="12">
        <f t="shared" si="1"/>
        <v>185191</v>
      </c>
      <c r="O6" s="33"/>
    </row>
    <row r="7" spans="2:15" x14ac:dyDescent="0.25">
      <c r="B7" s="2" t="s">
        <v>81</v>
      </c>
      <c r="C7" s="44">
        <v>139548</v>
      </c>
      <c r="D7" s="12">
        <v>9696</v>
      </c>
      <c r="E7" s="12">
        <v>35947</v>
      </c>
      <c r="F7" s="12">
        <v>185191</v>
      </c>
      <c r="G7" s="12">
        <v>139548</v>
      </c>
      <c r="H7" s="12">
        <v>9696</v>
      </c>
      <c r="I7" s="12">
        <v>35947</v>
      </c>
      <c r="J7" s="12">
        <v>185191</v>
      </c>
      <c r="K7" s="12">
        <v>139548</v>
      </c>
      <c r="L7" s="12">
        <v>9696</v>
      </c>
      <c r="M7" s="12">
        <v>35947</v>
      </c>
      <c r="N7" s="12">
        <v>185191</v>
      </c>
      <c r="O7" s="33"/>
    </row>
    <row r="8" spans="2:15" x14ac:dyDescent="0.25">
      <c r="B8" s="42" t="s">
        <v>97</v>
      </c>
      <c r="C8" s="45">
        <f>C6-C7</f>
        <v>0</v>
      </c>
      <c r="D8" s="41">
        <f t="shared" ref="D8:N8" si="2">D6-D7</f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33"/>
    </row>
    <row r="9" spans="2:15" ht="8.25" customHeight="1" x14ac:dyDescent="0.25">
      <c r="B9" s="42"/>
      <c r="C9" s="45"/>
      <c r="D9" s="41"/>
      <c r="E9" s="41"/>
      <c r="F9" s="41"/>
      <c r="G9" s="40"/>
      <c r="H9" s="40"/>
      <c r="I9" s="40"/>
      <c r="J9" s="40"/>
      <c r="K9" s="40"/>
      <c r="L9" s="40"/>
      <c r="M9" s="40"/>
      <c r="N9" s="40"/>
      <c r="O9" s="33"/>
    </row>
    <row r="10" spans="2:15" x14ac:dyDescent="0.25">
      <c r="B10" s="2" t="s">
        <v>82</v>
      </c>
      <c r="C10" s="44"/>
      <c r="D10" s="12"/>
      <c r="E10" s="12"/>
      <c r="F10" s="12"/>
      <c r="G10" s="12">
        <f>'Valdiba un saeima ieceltie2020'!N46</f>
        <v>104220</v>
      </c>
      <c r="H10" s="12">
        <f>'Valdiba un saeima ieceltie2020'!O46</f>
        <v>7188</v>
      </c>
      <c r="I10" s="12">
        <f>'Valdiba un saeima ieceltie2020'!P46</f>
        <v>26837</v>
      </c>
      <c r="J10" s="12">
        <f>'Valdiba un saeima ieceltie2020'!Q46</f>
        <v>138245</v>
      </c>
      <c r="K10" s="12">
        <f>G10</f>
        <v>104220</v>
      </c>
      <c r="L10" s="12">
        <f t="shared" ref="L10:N11" si="3">H10</f>
        <v>7188</v>
      </c>
      <c r="M10" s="12">
        <f t="shared" si="3"/>
        <v>26837</v>
      </c>
      <c r="N10" s="12">
        <f t="shared" si="3"/>
        <v>138245</v>
      </c>
      <c r="O10" s="33"/>
    </row>
    <row r="11" spans="2:15" x14ac:dyDescent="0.25">
      <c r="B11" s="2" t="s">
        <v>83</v>
      </c>
      <c r="C11" s="44"/>
      <c r="D11" s="12"/>
      <c r="E11" s="12"/>
      <c r="F11" s="12"/>
      <c r="G11" s="12">
        <v>154116</v>
      </c>
      <c r="H11" s="12">
        <v>10656</v>
      </c>
      <c r="I11" s="12">
        <v>39700</v>
      </c>
      <c r="J11" s="12">
        <v>204472</v>
      </c>
      <c r="K11" s="12">
        <f>G11</f>
        <v>154116</v>
      </c>
      <c r="L11" s="12">
        <f t="shared" si="3"/>
        <v>10656</v>
      </c>
      <c r="M11" s="12">
        <f t="shared" si="3"/>
        <v>39700</v>
      </c>
      <c r="N11" s="12">
        <f t="shared" si="3"/>
        <v>204472</v>
      </c>
      <c r="O11" s="33"/>
    </row>
    <row r="12" spans="2:15" x14ac:dyDescent="0.25">
      <c r="B12" s="42" t="s">
        <v>97</v>
      </c>
      <c r="C12" s="44"/>
      <c r="D12" s="12"/>
      <c r="E12" s="12"/>
      <c r="F12" s="12"/>
      <c r="G12" s="41">
        <f>G10-G11</f>
        <v>-49896</v>
      </c>
      <c r="H12" s="41">
        <f t="shared" ref="H12:N12" si="4">H10-H11</f>
        <v>-3468</v>
      </c>
      <c r="I12" s="41">
        <f t="shared" si="4"/>
        <v>-12863</v>
      </c>
      <c r="J12" s="41">
        <f t="shared" si="4"/>
        <v>-66227</v>
      </c>
      <c r="K12" s="41">
        <f t="shared" si="4"/>
        <v>-49896</v>
      </c>
      <c r="L12" s="41">
        <f t="shared" si="4"/>
        <v>-3468</v>
      </c>
      <c r="M12" s="41">
        <f t="shared" si="4"/>
        <v>-12863</v>
      </c>
      <c r="N12" s="41">
        <f t="shared" si="4"/>
        <v>-66227</v>
      </c>
      <c r="O12" s="33"/>
    </row>
    <row r="13" spans="2:15" ht="6" customHeight="1" x14ac:dyDescent="0.25">
      <c r="B13" s="42"/>
      <c r="C13" s="44"/>
      <c r="D13" s="12"/>
      <c r="E13" s="12"/>
      <c r="F13" s="12"/>
      <c r="G13" s="40"/>
      <c r="H13" s="40"/>
      <c r="I13" s="40"/>
      <c r="J13" s="40"/>
      <c r="K13" s="40"/>
      <c r="L13" s="40"/>
      <c r="M13" s="40"/>
      <c r="N13" s="40"/>
      <c r="O13" s="33"/>
    </row>
    <row r="14" spans="2:15" x14ac:dyDescent="0.25">
      <c r="B14" s="2" t="s">
        <v>84</v>
      </c>
      <c r="C14" s="44"/>
      <c r="D14" s="12"/>
      <c r="E14" s="12"/>
      <c r="F14" s="12"/>
      <c r="G14" s="12"/>
      <c r="H14" s="12"/>
      <c r="I14" s="12"/>
      <c r="J14" s="12"/>
      <c r="K14" s="12">
        <f>'valdiba un saeimas ieceltie2021'!N47</f>
        <v>85428</v>
      </c>
      <c r="L14" s="12">
        <f>'valdiba un saeimas ieceltie2021'!O47</f>
        <v>5892</v>
      </c>
      <c r="M14" s="12">
        <f>'valdiba un saeimas ieceltie2021'!P47</f>
        <v>22007</v>
      </c>
      <c r="N14" s="12">
        <f>'valdiba un saeimas ieceltie2021'!Q47</f>
        <v>113327</v>
      </c>
      <c r="O14" s="33"/>
    </row>
    <row r="15" spans="2:15" x14ac:dyDescent="0.25">
      <c r="B15" s="2" t="s">
        <v>85</v>
      </c>
      <c r="C15" s="44"/>
      <c r="D15" s="12"/>
      <c r="E15" s="12"/>
      <c r="F15" s="12"/>
      <c r="G15" s="12"/>
      <c r="H15" s="12"/>
      <c r="I15" s="12"/>
      <c r="J15" s="12"/>
      <c r="K15" s="12">
        <v>124944</v>
      </c>
      <c r="L15" s="12">
        <v>8664</v>
      </c>
      <c r="M15" s="12">
        <v>32183</v>
      </c>
      <c r="N15" s="12">
        <v>165791</v>
      </c>
      <c r="O15" s="33"/>
    </row>
    <row r="16" spans="2:15" x14ac:dyDescent="0.25">
      <c r="B16" s="42" t="s">
        <v>97</v>
      </c>
      <c r="C16" s="44"/>
      <c r="D16" s="12"/>
      <c r="E16" s="12"/>
      <c r="F16" s="12"/>
      <c r="G16" s="12"/>
      <c r="H16" s="12"/>
      <c r="I16" s="12"/>
      <c r="J16" s="12"/>
      <c r="K16" s="41">
        <f>K14-K15</f>
        <v>-39516</v>
      </c>
      <c r="L16" s="41">
        <f t="shared" ref="L16:N16" si="5">L14-L15</f>
        <v>-2772</v>
      </c>
      <c r="M16" s="41">
        <f t="shared" si="5"/>
        <v>-10176</v>
      </c>
      <c r="N16" s="41">
        <f t="shared" si="5"/>
        <v>-52464</v>
      </c>
      <c r="O16" s="33"/>
    </row>
    <row r="17" spans="2:15" ht="4.5" customHeight="1" x14ac:dyDescent="0.25">
      <c r="B17" s="2" t="s">
        <v>89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x14ac:dyDescent="0.25">
      <c r="B18" s="2" t="s">
        <v>90</v>
      </c>
      <c r="C18" s="44">
        <f>C6+C10+C14</f>
        <v>139548</v>
      </c>
      <c r="D18" s="12">
        <f t="shared" ref="D18:N18" si="6">D6+D10+D14</f>
        <v>9696</v>
      </c>
      <c r="E18" s="12">
        <f t="shared" si="6"/>
        <v>35947</v>
      </c>
      <c r="F18" s="12">
        <f t="shared" si="6"/>
        <v>185191</v>
      </c>
      <c r="G18" s="12">
        <f t="shared" si="6"/>
        <v>243768</v>
      </c>
      <c r="H18" s="12">
        <f t="shared" si="6"/>
        <v>16884</v>
      </c>
      <c r="I18" s="12">
        <f t="shared" si="6"/>
        <v>62784</v>
      </c>
      <c r="J18" s="12">
        <f t="shared" si="6"/>
        <v>323436</v>
      </c>
      <c r="K18" s="12">
        <f t="shared" si="6"/>
        <v>329196</v>
      </c>
      <c r="L18" s="12">
        <f t="shared" si="6"/>
        <v>22776</v>
      </c>
      <c r="M18" s="12">
        <f t="shared" si="6"/>
        <v>84791</v>
      </c>
      <c r="N18" s="12">
        <f t="shared" si="6"/>
        <v>436763</v>
      </c>
      <c r="O18" s="33"/>
    </row>
    <row r="19" spans="2:15" x14ac:dyDescent="0.25">
      <c r="B19" s="2" t="s">
        <v>91</v>
      </c>
      <c r="C19" s="44">
        <f>C7+C11+C15</f>
        <v>139548</v>
      </c>
      <c r="D19" s="12">
        <f t="shared" ref="D19:N19" si="7">D7+D11+D15</f>
        <v>9696</v>
      </c>
      <c r="E19" s="12">
        <f t="shared" si="7"/>
        <v>35947</v>
      </c>
      <c r="F19" s="12">
        <f t="shared" si="7"/>
        <v>185191</v>
      </c>
      <c r="G19" s="12">
        <f t="shared" si="7"/>
        <v>293664</v>
      </c>
      <c r="H19" s="12">
        <f t="shared" si="7"/>
        <v>20352</v>
      </c>
      <c r="I19" s="12">
        <f t="shared" si="7"/>
        <v>75647</v>
      </c>
      <c r="J19" s="12">
        <f t="shared" si="7"/>
        <v>389663</v>
      </c>
      <c r="K19" s="12">
        <f t="shared" si="7"/>
        <v>418608</v>
      </c>
      <c r="L19" s="12">
        <f t="shared" si="7"/>
        <v>29016</v>
      </c>
      <c r="M19" s="12">
        <f t="shared" si="7"/>
        <v>107830</v>
      </c>
      <c r="N19" s="12">
        <f t="shared" si="7"/>
        <v>555454</v>
      </c>
      <c r="O19" s="33"/>
    </row>
    <row r="20" spans="2:15" x14ac:dyDescent="0.25">
      <c r="B20" s="42" t="s">
        <v>97</v>
      </c>
      <c r="C20" s="44">
        <f>C18-C19</f>
        <v>0</v>
      </c>
      <c r="D20" s="12">
        <f t="shared" ref="D20:N20" si="8">D18-D19</f>
        <v>0</v>
      </c>
      <c r="E20" s="12">
        <f t="shared" si="8"/>
        <v>0</v>
      </c>
      <c r="F20" s="12">
        <f t="shared" si="8"/>
        <v>0</v>
      </c>
      <c r="G20" s="12">
        <f t="shared" si="8"/>
        <v>-49896</v>
      </c>
      <c r="H20" s="12">
        <f t="shared" si="8"/>
        <v>-3468</v>
      </c>
      <c r="I20" s="12">
        <f t="shared" si="8"/>
        <v>-12863</v>
      </c>
      <c r="J20" s="12">
        <f t="shared" si="8"/>
        <v>-66227</v>
      </c>
      <c r="K20" s="12">
        <f t="shared" si="8"/>
        <v>-89412</v>
      </c>
      <c r="L20" s="12">
        <f t="shared" si="8"/>
        <v>-6240</v>
      </c>
      <c r="M20" s="12">
        <f t="shared" si="8"/>
        <v>-23039</v>
      </c>
      <c r="N20" s="12">
        <f t="shared" si="8"/>
        <v>-118691</v>
      </c>
      <c r="O20" s="33"/>
    </row>
  </sheetData>
  <mergeCells count="5">
    <mergeCell ref="C4:F4"/>
    <mergeCell ref="G4:J4"/>
    <mergeCell ref="K4:N4"/>
    <mergeCell ref="B2:N2"/>
    <mergeCell ref="M1:N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Valdība un saeimas ieceltie2019</vt:lpstr>
      <vt:lpstr>Valdiba un saeima ieceltie2020</vt:lpstr>
      <vt:lpstr>valdiba un saeimas ieceltie2021</vt:lpstr>
      <vt:lpstr>kopsavilkums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Saeimas iecelto algu prognozes jaunā sistēmā</dc:title>
  <dc:creator>Ruškule Laila</dc:creator>
  <cp:lastModifiedBy>Laila Ruškule</cp:lastModifiedBy>
  <cp:lastPrinted>2018-10-05T10:27:22Z</cp:lastPrinted>
  <dcterms:created xsi:type="dcterms:W3CDTF">2015-07-29T09:57:03Z</dcterms:created>
  <dcterms:modified xsi:type="dcterms:W3CDTF">2018-10-19T05:16:13Z</dcterms:modified>
</cp:coreProperties>
</file>