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vnozare.pri\vm\Redirect_profiles\lzandberga\Desktop\valsts tiesu medicinas ekspertizes centrs\Uzsaukšanai 2018\"/>
    </mc:Choice>
  </mc:AlternateContent>
  <xr:revisionPtr revIDLastSave="0" documentId="10_ncr:100000_{2D610C68-F31D-4FC3-A287-9B8269C8EFD9}" xr6:coauthVersionLast="31" xr6:coauthVersionMax="31" xr10:uidLastSave="{00000000-0000-0000-0000-000000000000}"/>
  <bookViews>
    <workbookView xWindow="0" yWindow="0" windowWidth="19200" windowHeight="6435" tabRatio="886" xr2:uid="{00000000-000D-0000-FFFF-FFFF00000000}"/>
  </bookViews>
  <sheets>
    <sheet name="Saraksts" sheetId="5" r:id="rId1"/>
    <sheet name="1.1." sheetId="6" r:id="rId2"/>
    <sheet name="1.2." sheetId="7" r:id="rId3"/>
    <sheet name="1.3." sheetId="8" r:id="rId4"/>
    <sheet name="1.4." sheetId="9" r:id="rId5"/>
    <sheet name="1.5." sheetId="10" r:id="rId6"/>
    <sheet name="1.6." sheetId="11" r:id="rId7"/>
    <sheet name="1.7." sheetId="12" r:id="rId8"/>
    <sheet name="1.8." sheetId="13" r:id="rId9"/>
    <sheet name="1.9." sheetId="14" r:id="rId10"/>
    <sheet name="1.10." sheetId="15" r:id="rId11"/>
    <sheet name="1.11." sheetId="16" r:id="rId12"/>
    <sheet name="1.12." sheetId="17" r:id="rId13"/>
    <sheet name="1.13." sheetId="18" r:id="rId14"/>
    <sheet name="1.14." sheetId="19" r:id="rId15"/>
    <sheet name="1.15." sheetId="20" r:id="rId16"/>
    <sheet name="1.16." sheetId="21" r:id="rId17"/>
    <sheet name="1.17." sheetId="22" r:id="rId18"/>
    <sheet name="1.18." sheetId="23" r:id="rId19"/>
    <sheet name="1.19." sheetId="24" r:id="rId20"/>
    <sheet name="1.20." sheetId="25" r:id="rId21"/>
    <sheet name="1.21." sheetId="26" r:id="rId22"/>
    <sheet name="2.1." sheetId="28" r:id="rId23"/>
    <sheet name="2.2." sheetId="86" r:id="rId24"/>
    <sheet name="2.3." sheetId="87" r:id="rId25"/>
    <sheet name="2.4." sheetId="88" r:id="rId26"/>
    <sheet name="2.5." sheetId="36" r:id="rId27"/>
    <sheet name="2.6." sheetId="89" r:id="rId28"/>
    <sheet name="2.7." sheetId="39" r:id="rId29"/>
    <sheet name="2.8." sheetId="90" r:id="rId30"/>
    <sheet name="2.9." sheetId="91" r:id="rId31"/>
    <sheet name="3.1." sheetId="114" r:id="rId32"/>
    <sheet name="3.2." sheetId="112" r:id="rId33"/>
    <sheet name="3.3." sheetId="92" r:id="rId34"/>
    <sheet name="4.1." sheetId="115" r:id="rId35"/>
    <sheet name="4.2." sheetId="116" r:id="rId36"/>
    <sheet name="5." sheetId="48" r:id="rId37"/>
    <sheet name="6.1." sheetId="41" r:id="rId38"/>
    <sheet name="6.2." sheetId="117" r:id="rId39"/>
    <sheet name="6.3." sheetId="43" r:id="rId40"/>
    <sheet name="7.1." sheetId="45" r:id="rId41"/>
    <sheet name="7.2." sheetId="46" r:id="rId42"/>
    <sheet name="7.3." sheetId="47" r:id="rId43"/>
    <sheet name="7.4." sheetId="93" r:id="rId44"/>
    <sheet name="7.5." sheetId="94" r:id="rId45"/>
    <sheet name="7.6." sheetId="106" r:id="rId46"/>
    <sheet name="8." sheetId="49" r:id="rId47"/>
    <sheet name="9." sheetId="50" r:id="rId48"/>
    <sheet name="10." sheetId="55" r:id="rId49"/>
    <sheet name="11." sheetId="56" r:id="rId50"/>
    <sheet name="12." sheetId="57" r:id="rId51"/>
    <sheet name="13." sheetId="58" r:id="rId52"/>
    <sheet name="14." sheetId="59" r:id="rId53"/>
    <sheet name="15." sheetId="84" r:id="rId54"/>
    <sheet name="16." sheetId="85" r:id="rId55"/>
    <sheet name="17.1." sheetId="51" r:id="rId56"/>
    <sheet name="17.2" sheetId="118" r:id="rId57"/>
    <sheet name="17.3." sheetId="53" r:id="rId58"/>
    <sheet name="18.1." sheetId="97" r:id="rId59"/>
    <sheet name="18.2." sheetId="54" r:id="rId60"/>
    <sheet name="18.3." sheetId="98" r:id="rId61"/>
    <sheet name="19" sheetId="107" r:id="rId62"/>
    <sheet name="20" sheetId="68" r:id="rId63"/>
    <sheet name="21" sheetId="69" r:id="rId64"/>
  </sheets>
  <definedNames>
    <definedName name="_xlnm.Print_Area" localSheetId="1">'1.1.'!$A$1:$C$26</definedName>
    <definedName name="_xlnm.Print_Area" localSheetId="10">'1.10.'!$A$1:$C$25</definedName>
    <definedName name="_xlnm.Print_Area" localSheetId="11">'1.11.'!$A$1:$C$24</definedName>
    <definedName name="_xlnm.Print_Area" localSheetId="12">'1.12.'!$A$1:$C$25</definedName>
    <definedName name="_xlnm.Print_Area" localSheetId="13">'1.13.'!$A$1:$C$24</definedName>
    <definedName name="_xlnm.Print_Area" localSheetId="14">'1.14.'!$A$1:$C$24</definedName>
    <definedName name="_xlnm.Print_Area" localSheetId="15">'1.15.'!$A$1:$C$25</definedName>
    <definedName name="_xlnm.Print_Area" localSheetId="16">'1.16.'!$A$1:$C$24</definedName>
    <definedName name="_xlnm.Print_Area" localSheetId="17">'1.17.'!$A$1:$C$24</definedName>
    <definedName name="_xlnm.Print_Area" localSheetId="18">'1.18.'!$A$1:$C$24</definedName>
    <definedName name="_xlnm.Print_Area" localSheetId="19">'1.19.'!$A$1:$C$25</definedName>
    <definedName name="_xlnm.Print_Area" localSheetId="2">'1.2.'!$A$1:$C$25</definedName>
    <definedName name="_xlnm.Print_Area" localSheetId="20">'1.20.'!$A$1:$C$24</definedName>
    <definedName name="_xlnm.Print_Area" localSheetId="3">'1.3.'!$A$1:$C$24</definedName>
    <definedName name="_xlnm.Print_Area" localSheetId="4">'1.4.'!$A$1:$C$24</definedName>
    <definedName name="_xlnm.Print_Area" localSheetId="5">'1.5.'!$A$1:$C$24</definedName>
    <definedName name="_xlnm.Print_Area" localSheetId="6">'1.6.'!$A$1:$C$26</definedName>
    <definedName name="_xlnm.Print_Area" localSheetId="7">'1.7.'!$A$1:$C$24</definedName>
    <definedName name="_xlnm.Print_Area" localSheetId="8">'1.8.'!$A$1:$C$25</definedName>
    <definedName name="_xlnm.Print_Area" localSheetId="9">'1.9.'!$A$1:$C$25</definedName>
    <definedName name="_xlnm.Print_Area" localSheetId="48">'10.'!$A$1:$C$23</definedName>
    <definedName name="_xlnm.Print_Area" localSheetId="54">'16.'!$A$1:$C$23</definedName>
    <definedName name="_xlnm.Print_Area" localSheetId="55">'17.1.'!$A$1:$C$26</definedName>
    <definedName name="_xlnm.Print_Area" localSheetId="57">'17.3.'!$A$1:$C$26</definedName>
    <definedName name="_xlnm.Print_Area" localSheetId="61">'19'!$A$1:$C$24</definedName>
    <definedName name="_xlnm.Print_Area" localSheetId="22">'2.1.'!$A$1:$C$25</definedName>
    <definedName name="_xlnm.Print_Area" localSheetId="23">'2.2.'!$A$1:$C$27</definedName>
    <definedName name="_xlnm.Print_Area" localSheetId="24">'2.3.'!$A$1:$C$27</definedName>
    <definedName name="_xlnm.Print_Area" localSheetId="25">'2.4.'!$A$1:$C$26</definedName>
    <definedName name="_xlnm.Print_Area" localSheetId="26">'2.5.'!$A$1:$C$25</definedName>
    <definedName name="_xlnm.Print_Area" localSheetId="27">'2.6.'!$A$1:$C$26</definedName>
    <definedName name="_xlnm.Print_Area" localSheetId="28">'2.7.'!$A$1:$C$24</definedName>
    <definedName name="_xlnm.Print_Area" localSheetId="29">'2.8.'!$A$1:$C$27</definedName>
    <definedName name="_xlnm.Print_Area" localSheetId="30">'2.9.'!$A$1:$C$27</definedName>
    <definedName name="_xlnm.Print_Area" localSheetId="31">'3.1.'!$A$1:$C$28</definedName>
    <definedName name="_xlnm.Print_Area" localSheetId="33">'3.3.'!$A$1:$C$27</definedName>
    <definedName name="_xlnm.Print_Area" localSheetId="34">'4.1.'!$A$1:$C$27</definedName>
    <definedName name="_xlnm.Print_Area" localSheetId="36">'5.'!$A$1:$C$26</definedName>
    <definedName name="_xlnm.Print_Area" localSheetId="37">'6.1.'!$A$1:$C$26</definedName>
    <definedName name="_xlnm.Print_Area" localSheetId="38">'6.2.'!$A$1:$C$26</definedName>
    <definedName name="_xlnm.Print_Area" localSheetId="39">'6.3.'!$A$1:$C$24</definedName>
    <definedName name="_xlnm.Print_Area" localSheetId="40">'7.1.'!$A$1:$C$26</definedName>
    <definedName name="_xlnm.Print_Area" localSheetId="41">'7.2.'!$A$1:$C$26</definedName>
    <definedName name="_xlnm.Print_Area" localSheetId="42">'7.3.'!$A$1:$C$25</definedName>
    <definedName name="_xlnm.Print_Area" localSheetId="43">'7.4.'!$A$1:$C$24</definedName>
    <definedName name="_xlnm.Print_Area" localSheetId="44">'7.5.'!$A$1:$C$23</definedName>
    <definedName name="_xlnm.Print_Area" localSheetId="45">'7.6.'!$A$1:$C$25</definedName>
    <definedName name="_xlnm.Print_Area" localSheetId="46">'8.'!$A$1:$C$25</definedName>
    <definedName name="_xlnm.Print_Area" localSheetId="0">Saraksts!$A$1:$F$94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18" l="1"/>
  <c r="C16" i="84"/>
  <c r="C17" i="84"/>
  <c r="C8" i="49"/>
  <c r="C8" i="93"/>
  <c r="C17" i="115"/>
  <c r="C17" i="92" l="1"/>
  <c r="C20" i="114"/>
  <c r="C17" i="114"/>
  <c r="C8" i="91"/>
  <c r="C18" i="91"/>
  <c r="C18" i="90"/>
  <c r="C8" i="39"/>
  <c r="C17" i="88"/>
  <c r="C8" i="86"/>
  <c r="C8" i="12"/>
  <c r="C17" i="8"/>
  <c r="C8" i="55" l="1"/>
  <c r="C9" i="55"/>
  <c r="C9" i="93"/>
  <c r="C8" i="112"/>
  <c r="C9" i="112"/>
  <c r="C10" i="91"/>
  <c r="C8" i="87"/>
  <c r="C10" i="87"/>
  <c r="C11" i="87" s="1"/>
  <c r="C8" i="23"/>
  <c r="C9" i="23" s="1"/>
  <c r="C8" i="8"/>
  <c r="C19" i="6"/>
  <c r="C17" i="6"/>
  <c r="C9" i="6"/>
  <c r="C16" i="85" l="1"/>
  <c r="C15" i="85"/>
  <c r="C14" i="85"/>
  <c r="C13" i="85"/>
  <c r="C12" i="85"/>
  <c r="C8" i="85"/>
  <c r="C9" i="85" s="1"/>
  <c r="C19" i="25"/>
  <c r="C18" i="25"/>
  <c r="C16" i="25"/>
  <c r="C15" i="25"/>
  <c r="C14" i="25"/>
  <c r="C13" i="25"/>
  <c r="C12" i="25"/>
  <c r="C8" i="25"/>
  <c r="C9" i="25" s="1"/>
  <c r="C19" i="23"/>
  <c r="C18" i="23"/>
  <c r="C16" i="23"/>
  <c r="C15" i="23"/>
  <c r="C14" i="23"/>
  <c r="C13" i="23"/>
  <c r="C12" i="23"/>
  <c r="C19" i="22"/>
  <c r="C18" i="22"/>
  <c r="C17" i="22"/>
  <c r="C16" i="22"/>
  <c r="C15" i="22"/>
  <c r="C14" i="22"/>
  <c r="C13" i="22"/>
  <c r="C12" i="22"/>
  <c r="C8" i="22"/>
  <c r="C19" i="18"/>
  <c r="C18" i="18"/>
  <c r="C16" i="18"/>
  <c r="C15" i="18"/>
  <c r="C14" i="18"/>
  <c r="C13" i="18"/>
  <c r="C12" i="18"/>
  <c r="C8" i="18"/>
  <c r="C20" i="53" l="1"/>
  <c r="C18" i="53"/>
  <c r="C17" i="53"/>
  <c r="C16" i="53"/>
  <c r="C15" i="53"/>
  <c r="C14" i="53"/>
  <c r="C13" i="53"/>
  <c r="C12" i="53"/>
  <c r="C8" i="53"/>
  <c r="C20" i="6"/>
  <c r="C16" i="6"/>
  <c r="C15" i="6"/>
  <c r="C14" i="6"/>
  <c r="C13" i="6"/>
  <c r="C21" i="6" l="1"/>
  <c r="C15" i="84"/>
  <c r="C14" i="84"/>
  <c r="C13" i="84"/>
  <c r="C12" i="84"/>
  <c r="C8" i="84"/>
  <c r="C17" i="59"/>
  <c r="C16" i="59"/>
  <c r="C15" i="59"/>
  <c r="C14" i="59"/>
  <c r="C13" i="59"/>
  <c r="C12" i="59"/>
  <c r="C8" i="59"/>
  <c r="C9" i="59" s="1"/>
  <c r="C17" i="55"/>
  <c r="C16" i="55"/>
  <c r="C14" i="55"/>
  <c r="C13" i="55"/>
  <c r="C12" i="55"/>
  <c r="C18" i="84" l="1"/>
  <c r="C16" i="49"/>
  <c r="C8" i="45" l="1"/>
  <c r="C8" i="41"/>
  <c r="C9" i="41" s="1"/>
  <c r="C9" i="69" l="1"/>
  <c r="C9" i="68"/>
  <c r="C8" i="107"/>
  <c r="C9" i="107" s="1"/>
  <c r="C8" i="98"/>
  <c r="C9" i="98" s="1"/>
  <c r="C8" i="54"/>
  <c r="C9" i="54" s="1"/>
  <c r="C9" i="97"/>
  <c r="C8" i="97"/>
  <c r="C9" i="53"/>
  <c r="C8" i="118"/>
  <c r="C9" i="118" s="1"/>
  <c r="C8" i="51"/>
  <c r="C9" i="51" s="1"/>
  <c r="C9" i="84"/>
  <c r="C10" i="84" s="1"/>
  <c r="C8" i="58"/>
  <c r="C9" i="58" s="1"/>
  <c r="C8" i="57"/>
  <c r="C9" i="57" s="1"/>
  <c r="C8" i="56"/>
  <c r="C9" i="56" s="1"/>
  <c r="C8" i="50"/>
  <c r="C9" i="50" s="1"/>
  <c r="C9" i="49"/>
  <c r="C8" i="106"/>
  <c r="C9" i="106" s="1"/>
  <c r="C8" i="94"/>
  <c r="C9" i="94" s="1"/>
  <c r="C8" i="47"/>
  <c r="C9" i="47" s="1"/>
  <c r="C8" i="46"/>
  <c r="C9" i="46" s="1"/>
  <c r="C9" i="45"/>
  <c r="C8" i="43"/>
  <c r="C9" i="43" s="1"/>
  <c r="C8" i="117"/>
  <c r="C9" i="117" s="1"/>
  <c r="C8" i="48" l="1"/>
  <c r="C9" i="48" s="1"/>
  <c r="C8" i="116"/>
  <c r="C8" i="115"/>
  <c r="C9" i="115" s="1"/>
  <c r="C8" i="92"/>
  <c r="C9" i="92" s="1"/>
  <c r="C8" i="114"/>
  <c r="C9" i="114" s="1"/>
  <c r="C9" i="116" l="1"/>
  <c r="C10" i="116"/>
  <c r="C8" i="90"/>
  <c r="C10" i="90" s="1"/>
  <c r="C9" i="39" l="1"/>
  <c r="C8" i="89"/>
  <c r="C10" i="89" s="1"/>
  <c r="C8" i="28"/>
  <c r="C8" i="88"/>
  <c r="C8" i="36"/>
  <c r="C9" i="36" l="1"/>
  <c r="C10" i="88"/>
  <c r="C10" i="86"/>
  <c r="C11" i="86" s="1"/>
  <c r="C9" i="28"/>
  <c r="C10" i="28" s="1"/>
  <c r="C8" i="26"/>
  <c r="C9" i="26" s="1"/>
  <c r="C8" i="24"/>
  <c r="C9" i="24" s="1"/>
  <c r="C9" i="22"/>
  <c r="C8" i="21"/>
  <c r="C9" i="21" s="1"/>
  <c r="C8" i="20"/>
  <c r="C8" i="19"/>
  <c r="C9" i="19" s="1"/>
  <c r="C9" i="18"/>
  <c r="C8" i="17"/>
  <c r="C9" i="17" s="1"/>
  <c r="C8" i="16"/>
  <c r="C9" i="16" s="1"/>
  <c r="C8" i="15"/>
  <c r="C9" i="15" s="1"/>
  <c r="C8" i="14"/>
  <c r="C9" i="14" s="1"/>
  <c r="C8" i="13"/>
  <c r="C9" i="13" s="1"/>
  <c r="C9" i="12"/>
  <c r="C9" i="11"/>
  <c r="C10" i="11" s="1"/>
  <c r="C8" i="10"/>
  <c r="C9" i="10" s="1"/>
  <c r="C8" i="9"/>
  <c r="C8" i="7"/>
  <c r="C9" i="8"/>
  <c r="C10" i="8" s="1"/>
  <c r="C9" i="7"/>
  <c r="C10" i="6"/>
  <c r="C11" i="6" s="1"/>
  <c r="C22" i="6" s="1"/>
  <c r="C9" i="9" l="1"/>
  <c r="C10" i="9"/>
  <c r="C9" i="20"/>
  <c r="C10" i="20"/>
  <c r="C18" i="118"/>
  <c r="C17" i="118"/>
  <c r="C16" i="118"/>
  <c r="C15" i="118"/>
  <c r="C14" i="118"/>
  <c r="C13" i="118"/>
  <c r="C12" i="118"/>
  <c r="C10" i="118"/>
  <c r="C21" i="118" l="1"/>
  <c r="C22" i="118" s="1"/>
  <c r="C26" i="118" s="1"/>
  <c r="D74" i="5" s="1"/>
  <c r="C20" i="117"/>
  <c r="C19" i="117"/>
  <c r="C18" i="117"/>
  <c r="C17" i="117"/>
  <c r="C16" i="117"/>
  <c r="C15" i="117"/>
  <c r="C14" i="117"/>
  <c r="C13" i="117"/>
  <c r="C12" i="117"/>
  <c r="C21" i="117" l="1"/>
  <c r="C10" i="117"/>
  <c r="C20" i="41"/>
  <c r="C22" i="117" l="1"/>
  <c r="C26" i="117" s="1"/>
  <c r="D54" i="5" s="1"/>
  <c r="C17" i="36"/>
  <c r="C17" i="107" l="1"/>
  <c r="C16" i="107"/>
  <c r="C15" i="107"/>
  <c r="C14" i="107"/>
  <c r="C13" i="107"/>
  <c r="C12" i="107"/>
  <c r="C20" i="98"/>
  <c r="C19" i="98"/>
  <c r="C18" i="98"/>
  <c r="C17" i="98"/>
  <c r="C16" i="98"/>
  <c r="C15" i="98"/>
  <c r="C14" i="98"/>
  <c r="C13" i="98"/>
  <c r="C12" i="98"/>
  <c r="C20" i="54"/>
  <c r="C19" i="54"/>
  <c r="C18" i="54"/>
  <c r="C17" i="54"/>
  <c r="C16" i="54"/>
  <c r="C15" i="54"/>
  <c r="C14" i="54"/>
  <c r="C13" i="54"/>
  <c r="C12" i="54"/>
  <c r="C20" i="97"/>
  <c r="C19" i="97"/>
  <c r="C18" i="97"/>
  <c r="C17" i="97"/>
  <c r="C16" i="97"/>
  <c r="C15" i="97"/>
  <c r="C14" i="97"/>
  <c r="C13" i="97"/>
  <c r="C12" i="97"/>
  <c r="C19" i="51"/>
  <c r="C18" i="51"/>
  <c r="C17" i="51"/>
  <c r="C16" i="51"/>
  <c r="C15" i="51"/>
  <c r="C14" i="51"/>
  <c r="C13" i="51"/>
  <c r="C12" i="51"/>
  <c r="C17" i="58"/>
  <c r="C16" i="58"/>
  <c r="C15" i="58"/>
  <c r="C14" i="58"/>
  <c r="C13" i="58"/>
  <c r="C12" i="58"/>
  <c r="C17" i="57"/>
  <c r="C16" i="57"/>
  <c r="C15" i="57"/>
  <c r="C14" i="57"/>
  <c r="C13" i="57"/>
  <c r="C12" i="57"/>
  <c r="C17" i="56"/>
  <c r="C16" i="56"/>
  <c r="C15" i="56"/>
  <c r="C14" i="56"/>
  <c r="C13" i="56"/>
  <c r="C12" i="56"/>
  <c r="C15" i="50"/>
  <c r="C14" i="50"/>
  <c r="C13" i="50"/>
  <c r="C12" i="50"/>
  <c r="C19" i="49"/>
  <c r="C17" i="49"/>
  <c r="C15" i="49"/>
  <c r="C14" i="49"/>
  <c r="C13" i="49"/>
  <c r="C12" i="49"/>
  <c r="C19" i="106"/>
  <c r="C18" i="106"/>
  <c r="C17" i="106"/>
  <c r="C16" i="106"/>
  <c r="C15" i="106"/>
  <c r="C14" i="106"/>
  <c r="C13" i="106"/>
  <c r="C12" i="106"/>
  <c r="C18" i="94"/>
  <c r="C17" i="94"/>
  <c r="C16" i="94"/>
  <c r="C15" i="94"/>
  <c r="C14" i="94"/>
  <c r="C13" i="94"/>
  <c r="C12" i="94"/>
  <c r="C18" i="93"/>
  <c r="C17" i="93"/>
  <c r="C16" i="93"/>
  <c r="C15" i="93"/>
  <c r="C14" i="93"/>
  <c r="C13" i="93"/>
  <c r="C12" i="93"/>
  <c r="C19" i="47"/>
  <c r="C18" i="47"/>
  <c r="C17" i="47"/>
  <c r="C15" i="47"/>
  <c r="C14" i="47"/>
  <c r="C13" i="47"/>
  <c r="C12" i="47"/>
  <c r="C19" i="93" l="1"/>
  <c r="C20" i="106"/>
  <c r="C20" i="46"/>
  <c r="C19" i="46"/>
  <c r="C18" i="46"/>
  <c r="C17" i="46"/>
  <c r="C16" i="46"/>
  <c r="C15" i="46"/>
  <c r="C14" i="46"/>
  <c r="C13" i="46"/>
  <c r="C12" i="46"/>
  <c r="C20" i="45"/>
  <c r="C19" i="45"/>
  <c r="C18" i="45"/>
  <c r="C17" i="45"/>
  <c r="C16" i="45"/>
  <c r="C15" i="45"/>
  <c r="C14" i="45"/>
  <c r="C13" i="45"/>
  <c r="C12" i="45"/>
  <c r="C19" i="43"/>
  <c r="C18" i="43"/>
  <c r="C16" i="43"/>
  <c r="C15" i="43"/>
  <c r="C14" i="43"/>
  <c r="C13" i="43"/>
  <c r="C12" i="43"/>
  <c r="C19" i="41"/>
  <c r="C18" i="41"/>
  <c r="C17" i="41"/>
  <c r="C16" i="41"/>
  <c r="C15" i="41"/>
  <c r="C14" i="41"/>
  <c r="C13" i="41"/>
  <c r="C12" i="41"/>
  <c r="C20" i="48"/>
  <c r="C19" i="48"/>
  <c r="C18" i="48"/>
  <c r="C17" i="48"/>
  <c r="C16" i="48"/>
  <c r="C15" i="48"/>
  <c r="C14" i="48"/>
  <c r="C13" i="48"/>
  <c r="C12" i="48"/>
  <c r="C18" i="116"/>
  <c r="C17" i="116"/>
  <c r="C16" i="116"/>
  <c r="C14" i="116"/>
  <c r="C13" i="116"/>
  <c r="C12" i="116"/>
  <c r="C21" i="115"/>
  <c r="C20" i="115"/>
  <c r="C19" i="115"/>
  <c r="C16" i="115"/>
  <c r="C15" i="115"/>
  <c r="C14" i="115"/>
  <c r="C13" i="115"/>
  <c r="C12" i="115"/>
  <c r="C21" i="92"/>
  <c r="C19" i="92"/>
  <c r="C16" i="92"/>
  <c r="C15" i="92"/>
  <c r="C14" i="92"/>
  <c r="C13" i="92"/>
  <c r="C12" i="92"/>
  <c r="C18" i="112"/>
  <c r="C17" i="112"/>
  <c r="C16" i="112"/>
  <c r="C14" i="112"/>
  <c r="C13" i="112"/>
  <c r="C12" i="112"/>
  <c r="C19" i="114"/>
  <c r="C16" i="114"/>
  <c r="C15" i="114"/>
  <c r="C14" i="114"/>
  <c r="C13" i="114"/>
  <c r="C12" i="114"/>
  <c r="C17" i="91"/>
  <c r="C16" i="91"/>
  <c r="C15" i="91"/>
  <c r="C14" i="91"/>
  <c r="C13" i="91"/>
  <c r="C21" i="90"/>
  <c r="C20" i="90"/>
  <c r="C17" i="90"/>
  <c r="C16" i="90"/>
  <c r="C15" i="90"/>
  <c r="C14" i="90"/>
  <c r="C13" i="90"/>
  <c r="C19" i="39"/>
  <c r="C18" i="39"/>
  <c r="C17" i="39"/>
  <c r="C16" i="39"/>
  <c r="C15" i="39"/>
  <c r="C14" i="39"/>
  <c r="C13" i="39"/>
  <c r="C12" i="39"/>
  <c r="C21" i="89"/>
  <c r="C20" i="89"/>
  <c r="C18" i="89"/>
  <c r="C17" i="89"/>
  <c r="C16" i="89"/>
  <c r="C15" i="89"/>
  <c r="C14" i="89"/>
  <c r="C13" i="89"/>
  <c r="C19" i="36"/>
  <c r="C18" i="36"/>
  <c r="C16" i="36"/>
  <c r="C15" i="36"/>
  <c r="C14" i="36"/>
  <c r="C13" i="36"/>
  <c r="C12" i="36"/>
  <c r="C21" i="88"/>
  <c r="C20" i="88"/>
  <c r="C18" i="88"/>
  <c r="C16" i="88"/>
  <c r="C15" i="88"/>
  <c r="C14" i="88"/>
  <c r="C13" i="88"/>
  <c r="C21" i="87"/>
  <c r="C20" i="87"/>
  <c r="C18" i="87"/>
  <c r="C17" i="87"/>
  <c r="C16" i="87"/>
  <c r="C15" i="87"/>
  <c r="C14" i="87"/>
  <c r="C13" i="87"/>
  <c r="C21" i="86"/>
  <c r="C20" i="86"/>
  <c r="C18" i="86"/>
  <c r="C17" i="86"/>
  <c r="C16" i="86"/>
  <c r="C15" i="86"/>
  <c r="C14" i="86"/>
  <c r="C13" i="86"/>
  <c r="C19" i="28"/>
  <c r="C18" i="28"/>
  <c r="C17" i="28"/>
  <c r="C16" i="28"/>
  <c r="C15" i="28"/>
  <c r="C14" i="28"/>
  <c r="C13" i="28"/>
  <c r="C12" i="28"/>
  <c r="C19" i="26"/>
  <c r="C18" i="26"/>
  <c r="C17" i="26"/>
  <c r="C16" i="26"/>
  <c r="C15" i="26"/>
  <c r="C14" i="26"/>
  <c r="C13" i="26"/>
  <c r="C12" i="26"/>
  <c r="C19" i="24"/>
  <c r="C18" i="24"/>
  <c r="C16" i="24"/>
  <c r="C15" i="24"/>
  <c r="C14" i="24"/>
  <c r="C13" i="24"/>
  <c r="C12" i="24"/>
  <c r="C19" i="7"/>
  <c r="C18" i="7"/>
  <c r="C21" i="91"/>
  <c r="C22" i="91"/>
  <c r="C22" i="87" l="1"/>
  <c r="C22" i="90"/>
  <c r="C23" i="92"/>
  <c r="C16" i="21"/>
  <c r="C17" i="21"/>
  <c r="C19" i="21"/>
  <c r="C18" i="21"/>
  <c r="C15" i="21"/>
  <c r="C14" i="21"/>
  <c r="C13" i="21"/>
  <c r="C12" i="21"/>
  <c r="C19" i="20"/>
  <c r="C18" i="20"/>
  <c r="C16" i="20"/>
  <c r="C15" i="20"/>
  <c r="C14" i="20"/>
  <c r="C13" i="20"/>
  <c r="C12" i="20"/>
  <c r="C19" i="19"/>
  <c r="C18" i="19"/>
  <c r="C16" i="19"/>
  <c r="C15" i="19"/>
  <c r="C14" i="19"/>
  <c r="C13" i="19"/>
  <c r="C12" i="19"/>
  <c r="C19" i="17"/>
  <c r="C18" i="17"/>
  <c r="C16" i="17"/>
  <c r="C15" i="17"/>
  <c r="C14" i="17"/>
  <c r="C13" i="17"/>
  <c r="C12" i="17"/>
  <c r="C19" i="16"/>
  <c r="C18" i="16"/>
  <c r="C16" i="16"/>
  <c r="C15" i="16"/>
  <c r="C14" i="16"/>
  <c r="C13" i="16"/>
  <c r="C12" i="16"/>
  <c r="C19" i="15"/>
  <c r="C18" i="15"/>
  <c r="C16" i="15"/>
  <c r="C15" i="15"/>
  <c r="C14" i="15"/>
  <c r="C13" i="15"/>
  <c r="C12" i="15"/>
  <c r="C19" i="14"/>
  <c r="C18" i="14"/>
  <c r="C16" i="14"/>
  <c r="C15" i="14"/>
  <c r="C14" i="14"/>
  <c r="C13" i="14"/>
  <c r="C12" i="14"/>
  <c r="C19" i="13"/>
  <c r="C18" i="13"/>
  <c r="C16" i="13"/>
  <c r="C15" i="13"/>
  <c r="C14" i="13"/>
  <c r="C13" i="13"/>
  <c r="C12" i="13"/>
  <c r="C19" i="12"/>
  <c r="C18" i="12"/>
  <c r="C16" i="12"/>
  <c r="C15" i="12"/>
  <c r="C14" i="12"/>
  <c r="C13" i="12"/>
  <c r="C12" i="12"/>
  <c r="C20" i="11"/>
  <c r="C19" i="11"/>
  <c r="C17" i="11"/>
  <c r="C16" i="11"/>
  <c r="C15" i="11"/>
  <c r="C14" i="11"/>
  <c r="C13" i="11"/>
  <c r="C19" i="10"/>
  <c r="C18" i="10"/>
  <c r="C16" i="10"/>
  <c r="C15" i="10"/>
  <c r="C14" i="10"/>
  <c r="C12" i="10"/>
  <c r="C19" i="9"/>
  <c r="C18" i="9"/>
  <c r="C16" i="9"/>
  <c r="C15" i="9"/>
  <c r="C14" i="9"/>
  <c r="C13" i="9"/>
  <c r="C12" i="9"/>
  <c r="C19" i="8"/>
  <c r="C18" i="8"/>
  <c r="C16" i="8"/>
  <c r="C15" i="8"/>
  <c r="C14" i="8"/>
  <c r="C13" i="8"/>
  <c r="C12" i="8"/>
  <c r="C16" i="7"/>
  <c r="C15" i="7"/>
  <c r="C14" i="7"/>
  <c r="C13" i="7"/>
  <c r="C12" i="7"/>
  <c r="C20" i="15" l="1"/>
  <c r="C20" i="116"/>
  <c r="C23" i="115"/>
  <c r="C10" i="115"/>
  <c r="C23" i="114"/>
  <c r="C10" i="114"/>
  <c r="C24" i="115" l="1"/>
  <c r="C27" i="115" s="1"/>
  <c r="D49" i="5" s="1"/>
  <c r="C24" i="114"/>
  <c r="C28" i="114" s="1"/>
  <c r="C21" i="116"/>
  <c r="C24" i="116" s="1"/>
  <c r="D50" i="5" s="1"/>
  <c r="C20" i="112"/>
  <c r="C10" i="112"/>
  <c r="D45" i="5" l="1"/>
  <c r="C21" i="112"/>
  <c r="C24" i="112" s="1"/>
  <c r="D46" i="5" s="1"/>
  <c r="C19" i="107" l="1"/>
  <c r="C10" i="107"/>
  <c r="C20" i="107" l="1"/>
  <c r="C24" i="107" s="1"/>
  <c r="D80" i="5" s="1"/>
  <c r="C10" i="106" l="1"/>
  <c r="C19" i="94"/>
  <c r="C10" i="94"/>
  <c r="C10" i="93"/>
  <c r="C21" i="106" l="1"/>
  <c r="C25" i="106" s="1"/>
  <c r="D62" i="5" s="1"/>
  <c r="F62" i="5" s="1"/>
  <c r="C20" i="94"/>
  <c r="C23" i="94" s="1"/>
  <c r="D61" i="5" s="1"/>
  <c r="E61" i="5" s="1"/>
  <c r="C20" i="93"/>
  <c r="C24" i="93" s="1"/>
  <c r="D60" i="5" s="1"/>
  <c r="E60" i="5" s="1"/>
  <c r="C21" i="98" l="1"/>
  <c r="C10" i="98"/>
  <c r="C21" i="97"/>
  <c r="C10" i="97"/>
  <c r="F60" i="5"/>
  <c r="F61" i="5"/>
  <c r="C22" i="98" l="1"/>
  <c r="C26" i="98" s="1"/>
  <c r="D79" i="5" s="1"/>
  <c r="C22" i="97"/>
  <c r="C26" i="97" s="1"/>
  <c r="D77" i="5" s="1"/>
  <c r="F79" i="5" l="1"/>
  <c r="F77" i="5"/>
  <c r="C10" i="92"/>
  <c r="C24" i="92" l="1"/>
  <c r="C13" i="69"/>
  <c r="C10" i="69"/>
  <c r="C13" i="68"/>
  <c r="C10" i="68"/>
  <c r="C21" i="54"/>
  <c r="C10" i="54"/>
  <c r="C21" i="53"/>
  <c r="C10" i="53"/>
  <c r="C21" i="51"/>
  <c r="C10" i="51"/>
  <c r="C18" i="85"/>
  <c r="C10" i="85"/>
  <c r="C18" i="59"/>
  <c r="C10" i="59"/>
  <c r="C18" i="58"/>
  <c r="C10" i="58"/>
  <c r="C18" i="57"/>
  <c r="C10" i="57"/>
  <c r="C18" i="56"/>
  <c r="C10" i="56"/>
  <c r="C18" i="55"/>
  <c r="C10" i="55"/>
  <c r="C16" i="50"/>
  <c r="C10" i="50"/>
  <c r="C20" i="49"/>
  <c r="C10" i="49"/>
  <c r="C21" i="48"/>
  <c r="C10" i="48"/>
  <c r="C20" i="47"/>
  <c r="C10" i="47"/>
  <c r="C21" i="46"/>
  <c r="C10" i="46"/>
  <c r="C21" i="45"/>
  <c r="C10" i="45"/>
  <c r="C20" i="43"/>
  <c r="C10" i="43"/>
  <c r="C21" i="41"/>
  <c r="C10" i="41"/>
  <c r="C23" i="91"/>
  <c r="C11" i="91"/>
  <c r="C11" i="90"/>
  <c r="C20" i="39"/>
  <c r="C10" i="39"/>
  <c r="C22" i="89"/>
  <c r="C11" i="89"/>
  <c r="C20" i="36"/>
  <c r="C10" i="36"/>
  <c r="C22" i="88"/>
  <c r="C11" i="88"/>
  <c r="C22" i="86"/>
  <c r="C20" i="28"/>
  <c r="C21" i="28" s="1"/>
  <c r="C20" i="26"/>
  <c r="C10" i="26"/>
  <c r="C20" i="25"/>
  <c r="C10" i="25"/>
  <c r="C20" i="24"/>
  <c r="C10" i="24"/>
  <c r="C20" i="23"/>
  <c r="C10" i="23"/>
  <c r="C20" i="22"/>
  <c r="C10" i="22"/>
  <c r="C20" i="21"/>
  <c r="C10" i="21"/>
  <c r="C20" i="20"/>
  <c r="C20" i="19"/>
  <c r="C10" i="19"/>
  <c r="C20" i="18"/>
  <c r="C10" i="18"/>
  <c r="C20" i="17"/>
  <c r="C10" i="17"/>
  <c r="C20" i="16"/>
  <c r="C10" i="16"/>
  <c r="C10" i="15"/>
  <c r="C20" i="14"/>
  <c r="C10" i="14"/>
  <c r="C20" i="13"/>
  <c r="C21" i="13" s="1"/>
  <c r="C10" i="13"/>
  <c r="C20" i="12"/>
  <c r="C10" i="12"/>
  <c r="C21" i="11"/>
  <c r="C11" i="11"/>
  <c r="C20" i="10"/>
  <c r="C10" i="10"/>
  <c r="C20" i="9"/>
  <c r="C20" i="8"/>
  <c r="C21" i="8" s="1"/>
  <c r="C20" i="7"/>
  <c r="C10" i="7"/>
  <c r="C27" i="92" l="1"/>
  <c r="D47" i="5" s="1"/>
  <c r="F47" i="5" s="1"/>
  <c r="C21" i="19"/>
  <c r="C21" i="47"/>
  <c r="C25" i="47" s="1"/>
  <c r="D59" i="5" s="1"/>
  <c r="F59" i="5" s="1"/>
  <c r="C21" i="43"/>
  <c r="C25" i="13"/>
  <c r="D20" i="5" s="1"/>
  <c r="F20" i="5" s="1"/>
  <c r="C21" i="7"/>
  <c r="C24" i="8"/>
  <c r="D15" i="5" s="1"/>
  <c r="F15" i="5" s="1"/>
  <c r="C21" i="12"/>
  <c r="C21" i="14"/>
  <c r="C21" i="16"/>
  <c r="C21" i="18"/>
  <c r="C24" i="18" s="1"/>
  <c r="D25" i="5" s="1"/>
  <c r="F25" i="5" s="1"/>
  <c r="C21" i="20"/>
  <c r="C21" i="22"/>
  <c r="C24" i="22" s="1"/>
  <c r="D29" i="5" s="1"/>
  <c r="F29" i="5" s="1"/>
  <c r="C21" i="24"/>
  <c r="C21" i="36"/>
  <c r="C25" i="36" s="1"/>
  <c r="D39" i="5" s="1"/>
  <c r="C14" i="69"/>
  <c r="C17" i="69" s="1"/>
  <c r="D82" i="5" s="1"/>
  <c r="C19" i="57"/>
  <c r="C23" i="57" s="1"/>
  <c r="D67" i="5" s="1"/>
  <c r="E67" i="5" s="1"/>
  <c r="C19" i="85"/>
  <c r="C21" i="9"/>
  <c r="C19" i="84"/>
  <c r="C22" i="84" s="1"/>
  <c r="D70" i="5" s="1"/>
  <c r="E70" i="5" s="1"/>
  <c r="C21" i="23"/>
  <c r="C24" i="23" s="1"/>
  <c r="D30" i="5" s="1"/>
  <c r="F30" i="5" s="1"/>
  <c r="C23" i="86"/>
  <c r="C27" i="86" s="1"/>
  <c r="D36" i="5" s="1"/>
  <c r="C23" i="88"/>
  <c r="C26" i="88" s="1"/>
  <c r="D38" i="5" s="1"/>
  <c r="C23" i="89"/>
  <c r="C26" i="89" s="1"/>
  <c r="D40" i="5" s="1"/>
  <c r="C22" i="48"/>
  <c r="C26" i="48" s="1"/>
  <c r="D51" i="5" s="1"/>
  <c r="C19" i="56"/>
  <c r="C23" i="56" s="1"/>
  <c r="D66" i="5" s="1"/>
  <c r="E66" i="5" s="1"/>
  <c r="C19" i="58"/>
  <c r="C22" i="58" s="1"/>
  <c r="D68" i="5" s="1"/>
  <c r="E68" i="5" s="1"/>
  <c r="C25" i="28"/>
  <c r="D35" i="5" s="1"/>
  <c r="C23" i="87"/>
  <c r="C27" i="87" s="1"/>
  <c r="D37" i="5" s="1"/>
  <c r="C21" i="39"/>
  <c r="C24" i="39" s="1"/>
  <c r="D41" i="5" s="1"/>
  <c r="C22" i="45"/>
  <c r="C26" i="45" s="1"/>
  <c r="D57" i="5" s="1"/>
  <c r="C21" i="49"/>
  <c r="C25" i="49" s="1"/>
  <c r="D63" i="5" s="1"/>
  <c r="E63" i="5" s="1"/>
  <c r="C22" i="46"/>
  <c r="C26" i="46" s="1"/>
  <c r="D58" i="5" s="1"/>
  <c r="C22" i="53"/>
  <c r="C22" i="54"/>
  <c r="C26" i="54" s="1"/>
  <c r="D78" i="5" s="1"/>
  <c r="C14" i="68"/>
  <c r="C18" i="68" s="1"/>
  <c r="D81" i="5" s="1"/>
  <c r="C19" i="55"/>
  <c r="C23" i="55" s="1"/>
  <c r="D65" i="5" s="1"/>
  <c r="E65" i="5" s="1"/>
  <c r="C22" i="41"/>
  <c r="C26" i="41" s="1"/>
  <c r="D53" i="5" s="1"/>
  <c r="C21" i="26"/>
  <c r="C25" i="26" s="1"/>
  <c r="D33" i="5" s="1"/>
  <c r="F33" i="5" s="1"/>
  <c r="C21" i="25"/>
  <c r="C21" i="21"/>
  <c r="C24" i="21" s="1"/>
  <c r="D28" i="5" s="1"/>
  <c r="F28" i="5" s="1"/>
  <c r="C21" i="17"/>
  <c r="C25" i="17" s="1"/>
  <c r="D24" i="5" s="1"/>
  <c r="F24" i="5" s="1"/>
  <c r="C21" i="15"/>
  <c r="C22" i="11"/>
  <c r="C21" i="10"/>
  <c r="F49" i="5"/>
  <c r="C19" i="59"/>
  <c r="C23" i="59" s="1"/>
  <c r="D69" i="5" s="1"/>
  <c r="E69" i="5" s="1"/>
  <c r="C22" i="51"/>
  <c r="C17" i="50"/>
  <c r="C21" i="50" s="1"/>
  <c r="D64" i="5" s="1"/>
  <c r="E64" i="5" s="1"/>
  <c r="C24" i="91"/>
  <c r="C27" i="91" s="1"/>
  <c r="D43" i="5" s="1"/>
  <c r="C23" i="90"/>
  <c r="C27" i="90" s="1"/>
  <c r="D42" i="5" s="1"/>
  <c r="C26" i="6"/>
  <c r="D13" i="5" s="1"/>
  <c r="C24" i="19" l="1"/>
  <c r="D26" i="5" s="1"/>
  <c r="F26" i="5" s="1"/>
  <c r="C26" i="53"/>
  <c r="D75" i="5" s="1"/>
  <c r="F75" i="5" s="1"/>
  <c r="C26" i="51"/>
  <c r="D73" i="5" s="1"/>
  <c r="F73" i="5" s="1"/>
  <c r="C23" i="85"/>
  <c r="D71" i="5" s="1"/>
  <c r="C24" i="43"/>
  <c r="D55" i="5" s="1"/>
  <c r="F55" i="5" s="1"/>
  <c r="C24" i="25"/>
  <c r="D32" i="5" s="1"/>
  <c r="F32" i="5" s="1"/>
  <c r="C25" i="24"/>
  <c r="D31" i="5" s="1"/>
  <c r="F31" i="5" s="1"/>
  <c r="C25" i="20"/>
  <c r="D27" i="5" s="1"/>
  <c r="F27" i="5" s="1"/>
  <c r="C24" i="16"/>
  <c r="D23" i="5" s="1"/>
  <c r="F23" i="5" s="1"/>
  <c r="C25" i="15"/>
  <c r="D22" i="5" s="1"/>
  <c r="F22" i="5" s="1"/>
  <c r="C25" i="14"/>
  <c r="D21" i="5" s="1"/>
  <c r="F21" i="5" s="1"/>
  <c r="C24" i="12"/>
  <c r="D19" i="5" s="1"/>
  <c r="F19" i="5" s="1"/>
  <c r="C26" i="11"/>
  <c r="D18" i="5" s="1"/>
  <c r="F18" i="5" s="1"/>
  <c r="C24" i="10"/>
  <c r="D17" i="5" s="1"/>
  <c r="F17" i="5" s="1"/>
  <c r="C24" i="9"/>
  <c r="D16" i="5" s="1"/>
  <c r="F16" i="5" s="1"/>
  <c r="C25" i="7"/>
  <c r="D14" i="5" s="1"/>
  <c r="F14" i="5" s="1"/>
  <c r="F58" i="5"/>
  <c r="F51" i="5"/>
  <c r="F39" i="5"/>
  <c r="F63" i="5"/>
  <c r="F57" i="5"/>
  <c r="F53" i="5"/>
  <c r="F82" i="5"/>
  <c r="F81" i="5"/>
  <c r="F78" i="5"/>
  <c r="F70" i="5"/>
  <c r="F68" i="5"/>
  <c r="F67" i="5"/>
  <c r="F66" i="5"/>
  <c r="F41" i="5"/>
  <c r="F40" i="5"/>
  <c r="F35" i="5"/>
  <c r="F36" i="5"/>
  <c r="F37" i="5"/>
  <c r="F38" i="5"/>
  <c r="F50" i="5"/>
  <c r="F46" i="5"/>
  <c r="F42" i="5"/>
  <c r="F69" i="5"/>
  <c r="F43" i="5"/>
  <c r="F74" i="5"/>
  <c r="F80" i="5"/>
  <c r="F54" i="5"/>
  <c r="F45" i="5"/>
  <c r="F64" i="5"/>
  <c r="F65" i="5"/>
  <c r="F13" i="5"/>
  <c r="E71" i="5" l="1"/>
  <c r="F71" i="5" s="1"/>
</calcChain>
</file>

<file path=xl/sharedStrings.xml><?xml version="1.0" encoding="utf-8"?>
<sst xmlns="http://schemas.openxmlformats.org/spreadsheetml/2006/main" count="2339" uniqueCount="811">
  <si>
    <t>Izdevumu klasifikācijas kods</t>
  </si>
  <si>
    <t>Rādītājs (materiāla/izejvielas nosaukums, atlīdzība un citi izmaksu veidi)</t>
  </si>
  <si>
    <t>Izmaksu apjoms noteiktā laikposmā viena maksas pakalpojuma veida nodrošināšanai</t>
  </si>
  <si>
    <t>Tiešās izmaksas</t>
  </si>
  <si>
    <t>Tiešās izmaksas kopā:</t>
  </si>
  <si>
    <t>Netiešās izmaksas</t>
  </si>
  <si>
    <t>EEK 2220</t>
  </si>
  <si>
    <t>EEK 2240</t>
  </si>
  <si>
    <t>EEK 2311</t>
  </si>
  <si>
    <t>EEK 2350</t>
  </si>
  <si>
    <t>Netiešās izmaksas kopā:</t>
  </si>
  <si>
    <t>Pakalpojuma izmaksas kopā:</t>
  </si>
  <si>
    <r>
      <rPr>
        <b/>
        <sz val="12"/>
        <color theme="1"/>
        <rFont val="Times New Roman"/>
        <family val="1"/>
        <charset val="186"/>
      </rPr>
      <t>Iestāde:</t>
    </r>
    <r>
      <rPr>
        <sz val="12"/>
        <color theme="1"/>
        <rFont val="Times New Roman"/>
        <family val="1"/>
        <charset val="186"/>
      </rPr>
      <t xml:space="preserve"> Valsts tiesu medicīnas ekspertīzes centrs</t>
    </r>
  </si>
  <si>
    <t>Maksas pakalpojuma vienību skaits noteiktā laikposmā (gab.)</t>
  </si>
  <si>
    <r>
      <t xml:space="preserve">Maksas pakalpojuma izcenojums (euro) </t>
    </r>
    <r>
      <rPr>
        <i/>
        <sz val="12"/>
        <color rgb="FF000000"/>
        <rFont val="Times New Roman"/>
        <family val="1"/>
        <charset val="186"/>
      </rPr>
      <t>(pakalpojuma izmaksas kopā, dalītas ar maksas pakalpojuma vienību skaitu noteiktā laikposmā)</t>
    </r>
  </si>
  <si>
    <t>Pakalpojuma veids</t>
  </si>
  <si>
    <t>Mērvienība</t>
  </si>
  <si>
    <t>1 analīze</t>
  </si>
  <si>
    <t>3 kompleksas izpētes</t>
  </si>
  <si>
    <t>1 izpēte</t>
  </si>
  <si>
    <t>1 atzinums</t>
  </si>
  <si>
    <t>1 traips</t>
  </si>
  <si>
    <t>1.</t>
  </si>
  <si>
    <t>1.1.</t>
  </si>
  <si>
    <t>1.2.</t>
  </si>
  <si>
    <t>1.3.</t>
  </si>
  <si>
    <t>1.4.</t>
  </si>
  <si>
    <t>1.5.</t>
  </si>
  <si>
    <t>1.6.</t>
  </si>
  <si>
    <t>1.7.</t>
  </si>
  <si>
    <t>1.8.</t>
  </si>
  <si>
    <t>1.9.</t>
  </si>
  <si>
    <t>1.10.</t>
  </si>
  <si>
    <t>1.11.</t>
  </si>
  <si>
    <t>1.12.</t>
  </si>
  <si>
    <t>1.13.</t>
  </si>
  <si>
    <t>1.14.</t>
  </si>
  <si>
    <t>1.15.</t>
  </si>
  <si>
    <t>1.16.</t>
  </si>
  <si>
    <t>1.17.</t>
  </si>
  <si>
    <t>1.18.</t>
  </si>
  <si>
    <t>1.19.</t>
  </si>
  <si>
    <t>1.20.</t>
  </si>
  <si>
    <t>1.21.</t>
  </si>
  <si>
    <t>2.</t>
  </si>
  <si>
    <t>5.</t>
  </si>
  <si>
    <t>6.</t>
  </si>
  <si>
    <t>Ķīmiski toksikoloģiskā izpēte uz narkotiskām un psihotropām vielām matos</t>
  </si>
  <si>
    <r>
      <rPr>
        <b/>
        <sz val="12"/>
        <color theme="1"/>
        <rFont val="Times New Roman"/>
        <family val="1"/>
        <charset val="186"/>
      </rPr>
      <t>Maksas pakalpojuma veids:</t>
    </r>
    <r>
      <rPr>
        <sz val="12"/>
        <color theme="1"/>
        <rFont val="Times New Roman"/>
        <family val="1"/>
        <charset val="186"/>
      </rPr>
      <t xml:space="preserve"> ķīmiski toksikoloģiskā izpēte karboksihemoglobīna noteikšanai</t>
    </r>
  </si>
  <si>
    <t>EEK 2312</t>
  </si>
  <si>
    <t>EEK 2341</t>
  </si>
  <si>
    <t>EEK 2313</t>
  </si>
  <si>
    <t>EEK 5220</t>
  </si>
  <si>
    <t>EEK 5212</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</si>
  <si>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Pilna ķīmiski toksikoloģiskā izpēte</t>
    </r>
  </si>
  <si>
    <t>Ķīmiski toksikoloģiskā izpēte opija alkaloīdu noteikšanai</t>
  </si>
  <si>
    <r>
      <rPr>
        <b/>
        <sz val="12"/>
        <rFont val="Times New Roman"/>
        <family val="1"/>
        <charset val="186"/>
      </rPr>
      <t>Iestāde:</t>
    </r>
    <r>
      <rPr>
        <sz val="12"/>
        <rFont val="Times New Roman"/>
        <family val="1"/>
        <charset val="186"/>
      </rPr>
      <t xml:space="preserve"> Valsts tiesu medicīnas ekspertīzes centrs</t>
    </r>
  </si>
  <si>
    <r>
      <rPr>
        <b/>
        <sz val="12"/>
        <rFont val="Times New Roman"/>
        <family val="1"/>
        <charset val="186"/>
      </rPr>
      <t>Maksas pakalpojuma veids:</t>
    </r>
    <r>
      <rPr>
        <sz val="12"/>
        <rFont val="Times New Roman"/>
        <family val="1"/>
        <charset val="186"/>
      </rPr>
      <t xml:space="preserve"> </t>
    </r>
    <r>
      <rPr>
        <u/>
        <sz val="12"/>
        <rFont val="Times New Roman"/>
        <family val="1"/>
        <charset val="186"/>
      </rPr>
      <t>Ķīmiski toksikoloģiskā izpēte opija alkaloīdu noteikšanai</t>
    </r>
  </si>
  <si>
    <r>
      <rPr>
        <b/>
        <sz val="12"/>
        <rFont val="Times New Roman"/>
        <family val="1"/>
        <charset val="186"/>
      </rPr>
      <t>Laikposms:</t>
    </r>
    <r>
      <rPr>
        <sz val="12"/>
        <rFont val="Times New Roman"/>
        <family val="1"/>
        <charset val="186"/>
      </rPr>
      <t xml:space="preserve"> 1.gads </t>
    </r>
  </si>
  <si>
    <r>
      <t xml:space="preserve">Maksas pakalpojuma izcenojums (euro) </t>
    </r>
    <r>
      <rPr>
        <i/>
        <sz val="12"/>
        <rFont val="Times New Roman"/>
        <family val="1"/>
        <charset val="186"/>
      </rPr>
      <t>(pakalpojuma izmaksas kopā, dalītas ar maksas pakalpojuma vienību skaitu noteiktā laikposmā)</t>
    </r>
  </si>
  <si>
    <r>
      <rPr>
        <b/>
        <sz val="12"/>
        <rFont val="Times New Roman"/>
        <family val="1"/>
        <charset val="186"/>
      </rPr>
      <t>Maksas pakalpojuma veids:</t>
    </r>
    <r>
      <rPr>
        <sz val="12"/>
        <rFont val="Times New Roman"/>
        <family val="1"/>
        <charset val="186"/>
      </rPr>
      <t xml:space="preserve"> </t>
    </r>
    <r>
      <rPr>
        <u/>
        <sz val="12"/>
        <rFont val="Times New Roman"/>
        <family val="1"/>
        <charset val="186"/>
      </rPr>
      <t>Ķīmiski toksikoloģiskā izpēte amfetamīna un tā atvasinājumu noteikšanai</t>
    </r>
  </si>
  <si>
    <t>Ķīmiski toksikoloģiskā izpēte amfetamīna un tā atvasinājumu noteikšanai</t>
  </si>
  <si>
    <t>Ķīmiski toksikoloģiskā izpēte tetrahidrokanabinola un tā atvasinājumu noteikšanai</t>
  </si>
  <si>
    <r>
      <rPr>
        <b/>
        <sz val="12"/>
        <rFont val="Times New Roman"/>
        <family val="1"/>
        <charset val="186"/>
      </rPr>
      <t>Maksas pakalpojuma veids:</t>
    </r>
    <r>
      <rPr>
        <sz val="12"/>
        <rFont val="Times New Roman"/>
        <family val="1"/>
        <charset val="186"/>
      </rPr>
      <t xml:space="preserve"> </t>
    </r>
    <r>
      <rPr>
        <u/>
        <sz val="12"/>
        <rFont val="Times New Roman"/>
        <family val="1"/>
        <charset val="186"/>
      </rPr>
      <t>Ķīmiski toksikoloģiskā izpēte tetrahidrokanabinola un tā atvasinājumu noteikšanai</t>
    </r>
  </si>
  <si>
    <t>Ķīmiski toksikoloģiskā izpēte kokaīna un tā metabolītu noteikšanai</t>
  </si>
  <si>
    <t>Ķīmiski toksikoloģiskā izpēte barbiturātu noteikšanai</t>
  </si>
  <si>
    <r>
      <rPr>
        <b/>
        <sz val="12"/>
        <rFont val="Times New Roman"/>
        <family val="1"/>
        <charset val="186"/>
      </rPr>
      <t xml:space="preserve">Maksas pakalpojuma veids: </t>
    </r>
    <r>
      <rPr>
        <sz val="12"/>
        <rFont val="Times New Roman"/>
        <family val="1"/>
        <charset val="186"/>
      </rPr>
      <t>Ķīmiski toksikoloģiskā izpēte barbiturātu noteikšanai</t>
    </r>
  </si>
  <si>
    <r>
      <rPr>
        <b/>
        <sz val="12"/>
        <rFont val="Times New Roman"/>
        <family val="1"/>
        <charset val="186"/>
      </rPr>
      <t xml:space="preserve">Maksas pakalpojuma veids: </t>
    </r>
    <r>
      <rPr>
        <sz val="12"/>
        <rFont val="Times New Roman"/>
        <family val="1"/>
        <charset val="186"/>
      </rPr>
      <t>Ķīmiski toksikoloģiskā izpēte 1,4-benzodiazepīna grupas preparātu noteikšanai</t>
    </r>
  </si>
  <si>
    <r>
      <rPr>
        <b/>
        <sz val="12"/>
        <rFont val="Times New Roman"/>
        <family val="1"/>
        <charset val="186"/>
      </rPr>
      <t xml:space="preserve">Maksas pakalpojuma veids: </t>
    </r>
    <r>
      <rPr>
        <sz val="12"/>
        <rFont val="Times New Roman"/>
        <family val="1"/>
        <charset val="186"/>
      </rPr>
      <t>Ķīmiski toksikoloģiskā izpēte fenotiazīna grupas preparātu noteikšanai</t>
    </r>
  </si>
  <si>
    <r>
      <rPr>
        <b/>
        <sz val="12"/>
        <rFont val="Times New Roman"/>
        <family val="1"/>
        <charset val="186"/>
      </rPr>
      <t xml:space="preserve">Maksas pakalpojuma veids: </t>
    </r>
    <r>
      <rPr>
        <sz val="12"/>
        <rFont val="Times New Roman"/>
        <family val="1"/>
        <charset val="186"/>
      </rPr>
      <t>Ķīmiski toksikoloģiskā izpēte triciklisko antidepresantu noteikšanai</t>
    </r>
  </si>
  <si>
    <r>
      <rPr>
        <b/>
        <sz val="12"/>
        <rFont val="Times New Roman"/>
        <family val="1"/>
        <charset val="186"/>
      </rPr>
      <t xml:space="preserve">Maksas pakalpojuma veids: </t>
    </r>
    <r>
      <rPr>
        <sz val="12"/>
        <rFont val="Times New Roman"/>
        <family val="1"/>
        <charset val="186"/>
      </rPr>
      <t xml:space="preserve"> Ķīmiski toksikoloģiskā izpēte difenhidramīna (dimedrola) noteikšanai</t>
    </r>
  </si>
  <si>
    <r>
      <rPr>
        <b/>
        <sz val="12"/>
        <rFont val="Times New Roman"/>
        <family val="1"/>
        <charset val="186"/>
      </rPr>
      <t xml:space="preserve">Maksas pakalpojuma veids: </t>
    </r>
    <r>
      <rPr>
        <sz val="12"/>
        <rFont val="Times New Roman"/>
        <family val="1"/>
        <charset val="186"/>
      </rPr>
      <t xml:space="preserve"> Ķīmiski toksikoloģiskā izpēte nesteroīdo pretiekaisuma līdzekļu noteikšanai</t>
    </r>
  </si>
  <si>
    <r>
      <rPr>
        <b/>
        <sz val="12"/>
        <rFont val="Times New Roman"/>
        <family val="1"/>
        <charset val="186"/>
      </rPr>
      <t xml:space="preserve">Maksas pakalpojuma veids: </t>
    </r>
    <r>
      <rPr>
        <sz val="12"/>
        <rFont val="Times New Roman"/>
        <family val="1"/>
        <charset val="186"/>
      </rPr>
      <t>Ķīmiski toksikoloģiskā izpēte triheksifenidila (ciklodola) noteikšanai</t>
    </r>
  </si>
  <si>
    <r>
      <rPr>
        <b/>
        <sz val="12"/>
        <rFont val="Times New Roman"/>
        <family val="1"/>
        <charset val="186"/>
      </rPr>
      <t xml:space="preserve">Maksas pakalpojuma veids: </t>
    </r>
    <r>
      <rPr>
        <sz val="12"/>
        <rFont val="Times New Roman"/>
        <family val="1"/>
        <charset val="186"/>
      </rPr>
      <t xml:space="preserve">  Ķīmiski toksikoloģiskā izpēte klonidīna (klofelīna) noteikšanai</t>
    </r>
  </si>
  <si>
    <t>Ķīmiski toksikoloģiskā izpēte bēta adrenoblokatoru noteikšanai</t>
  </si>
  <si>
    <r>
      <rPr>
        <b/>
        <sz val="12"/>
        <rFont val="Times New Roman"/>
        <family val="1"/>
        <charset val="186"/>
      </rPr>
      <t xml:space="preserve">Maksas pakalpojuma veids: </t>
    </r>
    <r>
      <rPr>
        <sz val="12"/>
        <rFont val="Times New Roman"/>
        <family val="1"/>
        <charset val="186"/>
      </rPr>
      <t xml:space="preserve">  Ķīmiski toksikoloģiskā izpēte bēta adrenoblokatoru noteikšanai</t>
    </r>
  </si>
  <si>
    <t>Ķīmiski toksikoloģiskā izpēte etilēnglikola noteikšanai</t>
  </si>
  <si>
    <r>
      <rPr>
        <b/>
        <sz val="12"/>
        <rFont val="Times New Roman"/>
        <family val="1"/>
        <charset val="186"/>
      </rPr>
      <t xml:space="preserve">Maksas pakalpojuma veids: </t>
    </r>
    <r>
      <rPr>
        <sz val="12"/>
        <rFont val="Times New Roman"/>
        <family val="1"/>
        <charset val="186"/>
      </rPr>
      <t xml:space="preserve"> Ķīmiski toksikoloģiskā izpēte etilēnglikola noteikšanai</t>
    </r>
  </si>
  <si>
    <t>Amanitīnu identifikācija augu (sēņu) materiālā</t>
  </si>
  <si>
    <r>
      <rPr>
        <b/>
        <sz val="12"/>
        <rFont val="Times New Roman"/>
        <family val="1"/>
        <charset val="186"/>
      </rPr>
      <t xml:space="preserve">Maksas pakalpojuma veids: </t>
    </r>
    <r>
      <rPr>
        <sz val="12"/>
        <rFont val="Times New Roman"/>
        <family val="1"/>
        <charset val="186"/>
      </rPr>
      <t>Amanitīnu identifikācija augu (sēņu) materiālā</t>
    </r>
  </si>
  <si>
    <r>
      <rPr>
        <b/>
        <sz val="12"/>
        <rFont val="Times New Roman"/>
        <family val="1"/>
        <charset val="186"/>
      </rPr>
      <t>Maksas pakalpojuma veids:</t>
    </r>
    <r>
      <rPr>
        <sz val="12"/>
        <rFont val="Times New Roman"/>
        <family val="1"/>
        <charset val="186"/>
      </rPr>
      <t xml:space="preserve"> </t>
    </r>
    <r>
      <rPr>
        <u/>
        <sz val="12"/>
        <rFont val="Times New Roman"/>
        <family val="1"/>
        <charset val="186"/>
      </rPr>
      <t>Ķīmiski toksikoloģiskā izpēte uz narkotiskām un psihotropām vielām matos</t>
    </r>
  </si>
  <si>
    <t>Ķīmiski toksikoloģiskā izpēte citu (šajā cenrādī neminēto) psihoaktīvo vielu noteikšanai</t>
  </si>
  <si>
    <r>
      <rPr>
        <b/>
        <sz val="12"/>
        <rFont val="Times New Roman"/>
        <family val="1"/>
        <charset val="186"/>
      </rPr>
      <t xml:space="preserve">Maksas pakalpojuma veids: </t>
    </r>
    <r>
      <rPr>
        <sz val="12"/>
        <rFont val="Times New Roman"/>
        <family val="1"/>
        <charset val="186"/>
      </rPr>
      <t xml:space="preserve">  Ķīmiski toksikoloģiskā izpēte citu (šajā cenrādī neminēto) psihoaktīvo vielu noteikšanai</t>
    </r>
  </si>
  <si>
    <t>Ķīmiski toksikoloģiskā izpēte ar gāzes hromatogrāfijas metodi alkohola un tā surogātu noteikšanai</t>
  </si>
  <si>
    <r>
      <rPr>
        <b/>
        <sz val="12"/>
        <rFont val="Times New Roman"/>
        <family val="1"/>
        <charset val="186"/>
      </rPr>
      <t xml:space="preserve">Maksas pakalpojuma veids: </t>
    </r>
    <r>
      <rPr>
        <sz val="12"/>
        <rFont val="Times New Roman"/>
        <family val="1"/>
        <charset val="186"/>
      </rPr>
      <t>Ķīmiski toksikoloģiskā izpēte ar gāzes hromatogrāfijas metodi alkohola un tā surogātu noteikšanai</t>
    </r>
  </si>
  <si>
    <t>Gaistošo savienojumu identifikācija biomateriālā un lietiskajos pierādījumos</t>
  </si>
  <si>
    <r>
      <rPr>
        <b/>
        <sz val="12"/>
        <rFont val="Times New Roman"/>
        <family val="1"/>
        <charset val="186"/>
      </rPr>
      <t xml:space="preserve">Maksas pakalpojuma veids: </t>
    </r>
    <r>
      <rPr>
        <sz val="12"/>
        <rFont val="Times New Roman"/>
        <family val="1"/>
        <charset val="186"/>
      </rPr>
      <t>Gaistošo savienojumu identifikācija biomateriālā un lietiskajos pierādījumos</t>
    </r>
  </si>
  <si>
    <t>Ķīmiski toksikoloģiskā izpēte karboksihemoglobīna noteikšanai</t>
  </si>
  <si>
    <t>2.1.</t>
  </si>
  <si>
    <t>Asins un izdalījumu sugas piederības noteikšana (1 traips)</t>
  </si>
  <si>
    <r>
      <rPr>
        <b/>
        <sz val="12"/>
        <rFont val="Times New Roman"/>
        <family val="1"/>
        <charset val="186"/>
      </rPr>
      <t>Maksas pakalpojuma veids:</t>
    </r>
    <r>
      <rPr>
        <sz val="12"/>
        <rFont val="Times New Roman"/>
        <family val="1"/>
        <charset val="186"/>
      </rPr>
      <t xml:space="preserve"> Asins un izdalījumu sugas piederības noteikšana (1 traips)</t>
    </r>
  </si>
  <si>
    <t>2.2.</t>
  </si>
  <si>
    <t>2.3.</t>
  </si>
  <si>
    <t>2.4.</t>
  </si>
  <si>
    <t>2.5.</t>
  </si>
  <si>
    <t>Vaginālo šūnu klātbūtnes noteikšana ar morfoloģisko metodi (1 traips)</t>
  </si>
  <si>
    <r>
      <rPr>
        <b/>
        <sz val="12"/>
        <rFont val="Times New Roman"/>
        <family val="1"/>
        <charset val="186"/>
      </rPr>
      <t>Maksas pakalpojuma veids:</t>
    </r>
    <r>
      <rPr>
        <sz val="12"/>
        <rFont val="Times New Roman"/>
        <family val="1"/>
        <charset val="186"/>
      </rPr>
      <t xml:space="preserve"> Vaginālo šūnu klātbūtnes noteikšana ar morfoloģisko metodi (1 traips)</t>
    </r>
  </si>
  <si>
    <t>2.6.</t>
  </si>
  <si>
    <t>2.7.</t>
  </si>
  <si>
    <t>3.1.</t>
  </si>
  <si>
    <t>Autopsija</t>
  </si>
  <si>
    <t>Histoloģiskā izpēte</t>
  </si>
  <si>
    <t>3.2.</t>
  </si>
  <si>
    <t>Ūdens un citu šķidrumu kvalitatīvās analīzes ar "Spectroscan" aparātu</t>
  </si>
  <si>
    <t>4.1.</t>
  </si>
  <si>
    <r>
      <t>Cena bez PVN (</t>
    </r>
    <r>
      <rPr>
        <b/>
        <i/>
        <sz val="12"/>
        <rFont val="Times New Roman"/>
        <family val="1"/>
        <charset val="186"/>
      </rPr>
      <t>euro</t>
    </r>
    <r>
      <rPr>
        <b/>
        <sz val="12"/>
        <rFont val="Times New Roman"/>
        <family val="1"/>
        <charset val="186"/>
      </rPr>
      <t>)</t>
    </r>
  </si>
  <si>
    <r>
      <t>PVN (</t>
    </r>
    <r>
      <rPr>
        <b/>
        <i/>
        <sz val="12"/>
        <rFont val="Times New Roman"/>
        <family val="1"/>
        <charset val="186"/>
      </rPr>
      <t>euro</t>
    </r>
    <r>
      <rPr>
        <b/>
        <sz val="12"/>
        <rFont val="Times New Roman"/>
        <family val="1"/>
        <charset val="186"/>
      </rPr>
      <t>)</t>
    </r>
  </si>
  <si>
    <r>
      <t>Cena ar PVN (</t>
    </r>
    <r>
      <rPr>
        <b/>
        <i/>
        <sz val="12"/>
        <rFont val="Times New Roman"/>
        <family val="1"/>
        <charset val="186"/>
      </rPr>
      <t>euro</t>
    </r>
    <r>
      <rPr>
        <b/>
        <sz val="12"/>
        <rFont val="Times New Roman"/>
        <family val="1"/>
        <charset val="186"/>
      </rPr>
      <t>)</t>
    </r>
  </si>
  <si>
    <t>Izraksts no tiesu medicīniskās ekspertīzes atzinuma, iepriekš iesniedzot procesa virzītāja atļauju</t>
  </si>
  <si>
    <t>1 izraksts</t>
  </si>
  <si>
    <t>EEK 2322</t>
  </si>
  <si>
    <t>EEK 2519</t>
  </si>
  <si>
    <t>1 lekcija</t>
  </si>
  <si>
    <t>6.1.</t>
  </si>
  <si>
    <t>6.2.</t>
  </si>
  <si>
    <t>6.3.</t>
  </si>
  <si>
    <t>1 mirušais</t>
  </si>
  <si>
    <t>Mirušā grimēšana</t>
  </si>
  <si>
    <t>Mirušā mazgāšana, higiēniskā apstrāde</t>
  </si>
  <si>
    <t>Mirušā ģērbšana</t>
  </si>
  <si>
    <t>Pakalpojuma komplekts (mazgāšana, skūšana, ģērbšana, grimēšana, iezārkošana)</t>
  </si>
  <si>
    <t>Maska uz sejas un rokām</t>
  </si>
  <si>
    <r>
      <rPr>
        <u/>
        <sz val="12"/>
        <rFont val="Times New Roman"/>
        <family val="1"/>
        <charset val="186"/>
      </rPr>
      <t>Sertificēts ārsts.</t>
    </r>
    <r>
      <rPr>
        <sz val="12"/>
        <rFont val="Times New Roman"/>
        <family val="1"/>
        <charset val="186"/>
      </rPr>
      <t xml:space="preserve"> Stundas tarifa likme 10,00 euro. 
 </t>
    </r>
    <r>
      <rPr>
        <b/>
        <sz val="12"/>
        <rFont val="Times New Roman"/>
        <family val="1"/>
        <charset val="186"/>
      </rPr>
      <t/>
    </r>
  </si>
  <si>
    <r>
      <rPr>
        <u/>
        <sz val="12"/>
        <rFont val="Times New Roman"/>
        <family val="1"/>
        <charset val="186"/>
      </rPr>
      <t>Sertificēts ārsts.</t>
    </r>
    <r>
      <rPr>
        <sz val="12"/>
        <rFont val="Times New Roman"/>
        <family val="1"/>
        <charset val="186"/>
      </rPr>
      <t xml:space="preserve"> Stundas tarifa likme 15,00 euro. 
 </t>
    </r>
    <r>
      <rPr>
        <b/>
        <sz val="12"/>
        <rFont val="Times New Roman"/>
        <family val="1"/>
        <charset val="186"/>
      </rPr>
      <t/>
    </r>
  </si>
  <si>
    <t>1 eksperta stunda</t>
  </si>
  <si>
    <r>
      <rPr>
        <b/>
        <sz val="12"/>
        <rFont val="Times New Roman"/>
        <family val="1"/>
        <charset val="186"/>
      </rPr>
      <t xml:space="preserve">Maksas pakalpojuma veids: </t>
    </r>
    <r>
      <rPr>
        <sz val="12"/>
        <rFont val="Times New Roman"/>
        <family val="1"/>
        <charset val="186"/>
      </rPr>
      <t>Ķīmiski toksikoloģiskā izpēte kokaīna un tā metabolītu noteikšanai</t>
    </r>
  </si>
  <si>
    <t>2.8.</t>
  </si>
  <si>
    <t>Asins klātbūtnes noteikšana (1 traips)</t>
  </si>
  <si>
    <t>2.9.</t>
  </si>
  <si>
    <t>1 papildus kompleksā izpēte</t>
  </si>
  <si>
    <t>Spermas klātbūtnes noteikšana (1 traips)</t>
  </si>
  <si>
    <r>
      <rPr>
        <b/>
        <sz val="12"/>
        <rFont val="Times New Roman"/>
        <family val="1"/>
        <charset val="186"/>
      </rPr>
      <t>Maksas pakalpojuma veids:</t>
    </r>
    <r>
      <rPr>
        <sz val="12"/>
        <rFont val="Times New Roman"/>
        <family val="1"/>
        <charset val="186"/>
      </rPr>
      <t xml:space="preserve"> Spermas klātbūtnes noteikšana ar morfoloģijas metodi, krāsojot ar 1% skābā fuksīna šķīdumu (1 traips)</t>
    </r>
  </si>
  <si>
    <t>DNS izpēte (DNS profila noteikšana) vienam paraugam - bioloģiskas izcelsmes traipam</t>
  </si>
  <si>
    <t>1 papildus izpēte</t>
  </si>
  <si>
    <t>DNS izpēte (DNS profila noteikšana) vienam paraugam - bioloģiskas izcelsmes traipam (1 papildus paraugs)</t>
  </si>
  <si>
    <t>1 diennakts</t>
  </si>
  <si>
    <t>Piezīmes:</t>
  </si>
  <si>
    <r>
      <rPr>
        <b/>
        <sz val="12"/>
        <rFont val="Times New Roman"/>
        <family val="1"/>
        <charset val="186"/>
      </rPr>
      <t>Maksas pakalpojuma veids:</t>
    </r>
    <r>
      <rPr>
        <sz val="12"/>
        <rFont val="Times New Roman"/>
        <family val="1"/>
        <charset val="186"/>
      </rPr>
      <t xml:space="preserve"> Sviedru klātbūtnes noteikšana   (1 traips)</t>
    </r>
  </si>
  <si>
    <r>
      <rPr>
        <b/>
        <sz val="12"/>
        <rFont val="Times New Roman"/>
        <family val="1"/>
        <charset val="186"/>
      </rPr>
      <t>Maksas pakalpojuma veids:</t>
    </r>
    <r>
      <rPr>
        <sz val="12"/>
        <rFont val="Times New Roman"/>
        <family val="1"/>
        <charset val="186"/>
      </rPr>
      <t xml:space="preserve"> Urīna klātbūtnes noteikšana (1 traips)</t>
    </r>
  </si>
  <si>
    <r>
      <rPr>
        <b/>
        <sz val="12"/>
        <rFont val="Times New Roman"/>
        <family val="1"/>
        <charset val="186"/>
      </rPr>
      <t>Maksas pakalpojuma veids:</t>
    </r>
    <r>
      <rPr>
        <sz val="12"/>
        <rFont val="Times New Roman"/>
        <family val="1"/>
        <charset val="186"/>
      </rPr>
      <t xml:space="preserve"> Siekalu klātbūtnes noteikšana (1 traips)</t>
    </r>
  </si>
  <si>
    <r>
      <rPr>
        <b/>
        <sz val="12"/>
        <rFont val="Times New Roman"/>
        <family val="1"/>
        <charset val="186"/>
      </rPr>
      <t>Maksas pakalpojuma veids:</t>
    </r>
    <r>
      <rPr>
        <sz val="12"/>
        <rFont val="Times New Roman"/>
        <family val="1"/>
        <charset val="186"/>
      </rPr>
      <t xml:space="preserve"> Fekāliju elementu klātbūtnes noteikšana (1 traips)</t>
    </r>
  </si>
  <si>
    <r>
      <rPr>
        <b/>
        <sz val="12"/>
        <rFont val="Times New Roman"/>
        <family val="1"/>
        <charset val="186"/>
      </rPr>
      <t>Maksas pakalpojuma veids:</t>
    </r>
    <r>
      <rPr>
        <sz val="12"/>
        <rFont val="Times New Roman"/>
        <family val="1"/>
        <charset val="186"/>
      </rPr>
      <t xml:space="preserve"> Asins klātbūtnes noteikšana (1 traips)</t>
    </r>
  </si>
  <si>
    <t>2 kompleksas izpētes</t>
  </si>
  <si>
    <t>3.3.</t>
  </si>
  <si>
    <t>4.2.</t>
  </si>
  <si>
    <t>7.</t>
  </si>
  <si>
    <t>8.</t>
  </si>
  <si>
    <t>9.</t>
  </si>
  <si>
    <t>10.</t>
  </si>
  <si>
    <t>11.</t>
  </si>
  <si>
    <t>12.</t>
  </si>
  <si>
    <t>13.</t>
  </si>
  <si>
    <t>14.</t>
  </si>
  <si>
    <t>16.</t>
  </si>
  <si>
    <t>17.</t>
  </si>
  <si>
    <t>18.</t>
  </si>
  <si>
    <t>21.</t>
  </si>
  <si>
    <r>
      <t>Toksikoloģiskā (etanola noteikšana asinīs) izpēte</t>
    </r>
    <r>
      <rPr>
        <vertAlign val="superscript"/>
        <sz val="12"/>
        <rFont val="Times New Roman"/>
        <family val="1"/>
        <charset val="186"/>
      </rPr>
      <t>1</t>
    </r>
  </si>
  <si>
    <r>
      <t xml:space="preserve">Toksikoloģiskā (etanola noteikšana asinīs) izpēte </t>
    </r>
    <r>
      <rPr>
        <vertAlign val="superscript"/>
        <sz val="12"/>
        <rFont val="Times New Roman"/>
        <family val="1"/>
        <charset val="186"/>
      </rPr>
      <t>1</t>
    </r>
  </si>
  <si>
    <t>Kaulu un skrimšļu (objekta) bojājumu izmeklēšana</t>
  </si>
  <si>
    <t>1 objekts</t>
  </si>
  <si>
    <r>
      <rPr>
        <b/>
        <sz val="12"/>
        <rFont val="Times New Roman"/>
        <family val="1"/>
        <charset val="186"/>
      </rPr>
      <t xml:space="preserve">Maksas pakalpojuma veids: </t>
    </r>
    <r>
      <rPr>
        <sz val="12"/>
        <rFont val="Times New Roman"/>
        <family val="1"/>
        <charset val="186"/>
      </rPr>
      <t>Kaulu un skrimšļu (objekta) bojājumu izmeklēšana (1 objekts)</t>
    </r>
  </si>
  <si>
    <r>
      <rPr>
        <b/>
        <sz val="12"/>
        <rFont val="Times New Roman"/>
        <family val="1"/>
        <charset val="186"/>
      </rPr>
      <t xml:space="preserve">Maksas pakalpojuma veids: </t>
    </r>
    <r>
      <rPr>
        <sz val="12"/>
        <rFont val="Times New Roman"/>
        <family val="1"/>
        <charset val="186"/>
      </rPr>
      <t>Ādas un mīksto audu (objekta) bojājumu izmeklēšana (1 objekts)</t>
    </r>
  </si>
  <si>
    <t>Asins grupas piederības noteikšana šķidrās asinīs</t>
  </si>
  <si>
    <t xml:space="preserve">Ādas un mīksto audu (objekta) bojājumu izmeklēšana </t>
  </si>
  <si>
    <t>1 paraugs</t>
  </si>
  <si>
    <r>
      <rPr>
        <b/>
        <sz val="12"/>
        <rFont val="Times New Roman"/>
        <family val="1"/>
        <charset val="186"/>
      </rPr>
      <t>Maksas pakalpojuma veids:</t>
    </r>
    <r>
      <rPr>
        <sz val="12"/>
        <rFont val="Times New Roman"/>
        <family val="1"/>
        <charset val="186"/>
      </rPr>
      <t xml:space="preserve"> Asins grupas piederības noteikšana šķidrās asinīs (1 paraugs)</t>
    </r>
  </si>
  <si>
    <r>
      <rPr>
        <b/>
        <sz val="12"/>
        <rFont val="Times New Roman"/>
        <family val="1"/>
        <charset val="186"/>
      </rPr>
      <t xml:space="preserve">Maksas pakalpojuma veids: </t>
    </r>
    <r>
      <rPr>
        <sz val="12"/>
        <rFont val="Times New Roman"/>
        <family val="1"/>
        <charset val="186"/>
      </rPr>
      <t>Autopsija (1 izpēte)</t>
    </r>
  </si>
  <si>
    <r>
      <rPr>
        <b/>
        <sz val="12"/>
        <rFont val="Times New Roman"/>
        <family val="1"/>
        <charset val="186"/>
      </rPr>
      <t>Maksas pakalpojuma veids:</t>
    </r>
    <r>
      <rPr>
        <sz val="12"/>
        <rFont val="Times New Roman"/>
        <family val="1"/>
        <charset val="186"/>
      </rPr>
      <t xml:space="preserve"> Toksikoloģiskā (etanola noteikšana asinīs) izpēte (1 izpēte)</t>
    </r>
  </si>
  <si>
    <r>
      <rPr>
        <b/>
        <sz val="12"/>
        <rFont val="Times New Roman"/>
        <family val="1"/>
        <charset val="186"/>
      </rPr>
      <t>Maksas pakalpojuma veids:</t>
    </r>
    <r>
      <rPr>
        <sz val="12"/>
        <rFont val="Times New Roman"/>
        <family val="1"/>
        <charset val="186"/>
      </rPr>
      <t xml:space="preserve"> Histoloģiskā izpēte  (1 izpēte)</t>
    </r>
  </si>
  <si>
    <r>
      <rPr>
        <b/>
        <sz val="12"/>
        <rFont val="Times New Roman"/>
        <family val="1"/>
        <charset val="186"/>
      </rPr>
      <t>Maksas pakalpojuma veids:</t>
    </r>
    <r>
      <rPr>
        <sz val="12"/>
        <rFont val="Times New Roman"/>
        <family val="1"/>
        <charset val="186"/>
      </rPr>
      <t>Toksikoloģiskā (etanola noteikšana asinīs) izpēte  (1 izpēte)</t>
    </r>
  </si>
  <si>
    <t>Valsts tiesu medicīnas ekspertīzes centra maksas pakalpojumu cenrādis</t>
  </si>
  <si>
    <t>Nr.p.k.</t>
  </si>
  <si>
    <r>
      <rPr>
        <b/>
        <sz val="12"/>
        <rFont val="Times New Roman"/>
        <family val="1"/>
        <charset val="186"/>
      </rPr>
      <t xml:space="preserve">Maksas pakalpojuma veids: </t>
    </r>
    <r>
      <rPr>
        <sz val="12"/>
        <rFont val="Times New Roman"/>
        <family val="1"/>
        <charset val="186"/>
      </rPr>
      <t>Maska uz sejas un rokām (1 mirušais)</t>
    </r>
  </si>
  <si>
    <r>
      <rPr>
        <b/>
        <sz val="12"/>
        <rFont val="Times New Roman"/>
        <family val="1"/>
        <charset val="186"/>
      </rPr>
      <t xml:space="preserve">Maksas pakalpojuma veids: </t>
    </r>
    <r>
      <rPr>
        <sz val="12"/>
        <rFont val="Times New Roman"/>
        <family val="1"/>
        <charset val="186"/>
      </rPr>
      <t>Izraksts no tiesu medicīniskās ekspertīzes atzinuma, iepriekš iesniedzot procesa virzītāja atļauju (1 izraksts)</t>
    </r>
  </si>
  <si>
    <r>
      <rPr>
        <b/>
        <sz val="12"/>
        <rFont val="Times New Roman"/>
        <family val="1"/>
        <charset val="186"/>
      </rPr>
      <t xml:space="preserve">Maksas pakalpojuma veids: </t>
    </r>
    <r>
      <rPr>
        <sz val="12"/>
        <rFont val="Times New Roman"/>
        <family val="1"/>
        <charset val="186"/>
      </rPr>
      <t>Mirušā grimēšana (1 mirušais)</t>
    </r>
  </si>
  <si>
    <r>
      <rPr>
        <b/>
        <sz val="12"/>
        <rFont val="Times New Roman"/>
        <family val="1"/>
        <charset val="186"/>
      </rPr>
      <t xml:space="preserve">Maksas pakalpojuma veids: </t>
    </r>
    <r>
      <rPr>
        <sz val="12"/>
        <rFont val="Times New Roman"/>
        <family val="1"/>
        <charset val="186"/>
      </rPr>
      <t>Mirušā mazgāšana, higiēniskā apstrāde (1 mirušais)</t>
    </r>
  </si>
  <si>
    <r>
      <rPr>
        <b/>
        <sz val="12"/>
        <rFont val="Times New Roman"/>
        <family val="1"/>
        <charset val="186"/>
      </rPr>
      <t xml:space="preserve">Maksas pakalpojuma veids: </t>
    </r>
    <r>
      <rPr>
        <sz val="12"/>
        <rFont val="Times New Roman"/>
        <family val="1"/>
        <charset val="186"/>
      </rPr>
      <t>Mirušā ģērbšana (1 mirušais)</t>
    </r>
  </si>
  <si>
    <r>
      <rPr>
        <b/>
        <sz val="12"/>
        <rFont val="Times New Roman"/>
        <family val="1"/>
        <charset val="186"/>
      </rPr>
      <t xml:space="preserve">Maksas pakalpojuma veids: </t>
    </r>
    <r>
      <rPr>
        <sz val="12"/>
        <rFont val="Times New Roman"/>
        <family val="1"/>
        <charset val="186"/>
      </rPr>
      <t>Mirušā uzglabāšana no ceturtās dienas pēc tiesu medicīniskās autopsijas pabeigšanas un Medicīniskās apliecības par nāves cēloni izsniegšanas (1 diennakts)</t>
    </r>
  </si>
  <si>
    <r>
      <rPr>
        <b/>
        <sz val="12"/>
        <rFont val="Times New Roman"/>
        <family val="1"/>
        <charset val="186"/>
      </rPr>
      <t xml:space="preserve">Maksas pakalpojuma veids: </t>
    </r>
    <r>
      <rPr>
        <sz val="12"/>
        <rFont val="Times New Roman"/>
        <family val="1"/>
        <charset val="186"/>
      </rPr>
      <t>Mirušā uzglabāšana, ja nav noteikta tiesu medicīniskā ekspertīze (autopsija) (1 diennakts)</t>
    </r>
  </si>
  <si>
    <t>DNS izpēte (DNS profila noteikšana) vienam paraugam - bioloģiskas izcelsmes traipam (1 paraugs)</t>
  </si>
  <si>
    <t>18.1.</t>
  </si>
  <si>
    <t>18.2.</t>
  </si>
  <si>
    <t>18.3.</t>
  </si>
  <si>
    <t>Apsekojot (izpētot) dzīvu personu bez medicīnisko dokumentu izpētes</t>
  </si>
  <si>
    <t>Apsekojot (izpētot) dzīvu personu ar medicīnisko dokumentu izpēti</t>
  </si>
  <si>
    <t>Apsekojot (izpētot) dzīvu fizisku personu bez medicīnisko dokumentu izpētes</t>
  </si>
  <si>
    <t>Atbilstoši iesniegtiem medicīniskajiem dokumentiem</t>
  </si>
  <si>
    <t>Sviedru klātbūtnes noteikšana (1 traips)</t>
  </si>
  <si>
    <t>Urīna klātbūtnes noteikšana (1 traips)</t>
  </si>
  <si>
    <t>Siekalu klātbūtnes noteikšana (1 traips)</t>
  </si>
  <si>
    <t>Fekāliju elementu klātbūtnes noteikšana (1 traips)</t>
  </si>
  <si>
    <r>
      <rPr>
        <vertAlign val="superscript"/>
        <sz val="12"/>
        <rFont val="Times New Roman"/>
        <family val="1"/>
        <charset val="186"/>
      </rPr>
      <t>1</t>
    </r>
    <r>
      <rPr>
        <sz val="12"/>
        <rFont val="Times New Roman"/>
        <family val="1"/>
        <charset val="186"/>
      </rPr>
      <t xml:space="preserve"> Pievienotās vērtības nodokli nepiemēro saskaņā ar Pievienotās vērtības nodokļa likuma 3.panta astoto daļu.</t>
    </r>
  </si>
  <si>
    <r>
      <rPr>
        <b/>
        <sz val="12"/>
        <rFont val="Times New Roman"/>
        <family val="1"/>
        <charset val="186"/>
      </rPr>
      <t>Maksas pakalpojuma veids:</t>
    </r>
    <r>
      <rPr>
        <sz val="12"/>
        <rFont val="Times New Roman"/>
        <family val="1"/>
        <charset val="186"/>
      </rPr>
      <t xml:space="preserve"> Viena mata izpēte </t>
    </r>
  </si>
  <si>
    <t xml:space="preserve">Viena mata izpēte </t>
  </si>
  <si>
    <r>
      <rPr>
        <b/>
        <sz val="12"/>
        <rFont val="Times New Roman"/>
        <family val="1"/>
        <charset val="186"/>
      </rPr>
      <t>Maksas pakalpojuma veids:</t>
    </r>
    <r>
      <rPr>
        <sz val="12"/>
        <rFont val="Times New Roman"/>
        <family val="1"/>
        <charset val="186"/>
      </rPr>
      <t xml:space="preserve"> DNS izpēte (DNS profila noteikšana) vienam paraugam - bioloģiskas izcelsmes traipam (1 paraugs)</t>
    </r>
  </si>
  <si>
    <r>
      <rPr>
        <b/>
        <sz val="12"/>
        <rFont val="Times New Roman"/>
        <family val="1"/>
        <charset val="186"/>
      </rPr>
      <t>Maksas pakalpojuma veids:</t>
    </r>
    <r>
      <rPr>
        <sz val="12"/>
        <rFont val="Times New Roman"/>
        <family val="1"/>
        <charset val="186"/>
      </rPr>
      <t xml:space="preserve"> DNS izpēte (DNS profila noteikšana) vienam paraugam - bioloģiskas izcelsmes traipam (1 papildus paraugs)</t>
    </r>
  </si>
  <si>
    <r>
      <rPr>
        <b/>
        <sz val="12"/>
        <rFont val="Times New Roman"/>
        <family val="1"/>
        <charset val="186"/>
      </rPr>
      <t xml:space="preserve">Maksas pakalpojuma veids: </t>
    </r>
    <r>
      <rPr>
        <sz val="12"/>
        <rFont val="Times New Roman"/>
        <family val="1"/>
        <charset val="186"/>
      </rPr>
      <t>Ūdens un citu šķidrumu kvalitatīvās analīzes ar "Spectroscan" iekārtu</t>
    </r>
  </si>
  <si>
    <r>
      <rPr>
        <b/>
        <sz val="12"/>
        <rFont val="Times New Roman"/>
        <family val="1"/>
        <charset val="186"/>
      </rPr>
      <t xml:space="preserve">Maksas pakalpojuma veids: </t>
    </r>
    <r>
      <rPr>
        <sz val="12"/>
        <rFont val="Times New Roman"/>
        <family val="1"/>
        <charset val="186"/>
      </rPr>
      <t>Apsekojot (izpētot) dzīvu personu bez medicīnisko dokumentu izpētes</t>
    </r>
  </si>
  <si>
    <r>
      <rPr>
        <b/>
        <sz val="12"/>
        <rFont val="Times New Roman"/>
        <family val="1"/>
        <charset val="186"/>
      </rPr>
      <t xml:space="preserve">Maksas pakalpojuma veids: </t>
    </r>
    <r>
      <rPr>
        <sz val="12"/>
        <rFont val="Times New Roman"/>
        <family val="1"/>
        <charset val="186"/>
      </rPr>
      <t>Apsekojot (izpētot) dzīvu personu ar medicīnisko dokumentu izpēti</t>
    </r>
  </si>
  <si>
    <r>
      <rPr>
        <b/>
        <sz val="12"/>
        <rFont val="Times New Roman"/>
        <family val="1"/>
        <charset val="186"/>
      </rPr>
      <t xml:space="preserve">Maksas pakalpojuma veids: </t>
    </r>
    <r>
      <rPr>
        <sz val="12"/>
        <rFont val="Times New Roman"/>
        <family val="1"/>
        <charset val="186"/>
      </rPr>
      <t>Atbilstoši iesniegtiem medicīniskajiem dokumentiem</t>
    </r>
  </si>
  <si>
    <r>
      <t xml:space="preserve">Maksas pakalpojuma veids: </t>
    </r>
    <r>
      <rPr>
        <sz val="12"/>
        <rFont val="Times New Roman"/>
        <family val="1"/>
        <charset val="186"/>
      </rPr>
      <t>Apsekojot (izpētot) dzīvu personu bez medicīnisko dokumentu izpētes</t>
    </r>
  </si>
  <si>
    <t>7.2.</t>
  </si>
  <si>
    <t>7.1.</t>
  </si>
  <si>
    <t>7.3.</t>
  </si>
  <si>
    <t>7.4.</t>
  </si>
  <si>
    <t>7.5.</t>
  </si>
  <si>
    <t>7.6.</t>
  </si>
  <si>
    <r>
      <rPr>
        <b/>
        <sz val="12"/>
        <rFont val="Times New Roman"/>
        <family val="1"/>
        <charset val="186"/>
      </rPr>
      <t xml:space="preserve">Maksas pakalpojuma veids: </t>
    </r>
    <r>
      <rPr>
        <sz val="12"/>
        <rFont val="Times New Roman"/>
        <family val="1"/>
        <charset val="186"/>
      </rPr>
      <t>Tiesu medicīniskās komisijas ekspertīze civillietā,  pamatojoties uz ekspertīzes noteicēja lēmumu par tiesu medicīniskās ekspertīzes noteikšanu, neieskaitot pieaicināto ārstu speciālistu (līdz 5 jautājumiem ieskaitot) (1 atzinums)</t>
    </r>
  </si>
  <si>
    <t>Bioloģiskas izcelsmes pēdu klātbūtnes noteikšana uz priekšmetiem:</t>
  </si>
  <si>
    <r>
      <rPr>
        <b/>
        <sz val="12"/>
        <rFont val="Times New Roman"/>
        <family val="1"/>
        <charset val="186"/>
      </rPr>
      <t xml:space="preserve">Maksas pakalpojuma veids: </t>
    </r>
    <r>
      <rPr>
        <sz val="12"/>
        <rFont val="Times New Roman"/>
        <family val="1"/>
        <charset val="186"/>
      </rPr>
      <t>Pakalpojuma komplekts (mazgāšana, skūšana, ģērbšana, grimēšana, iezārkošana) (1 mirušais)</t>
    </r>
  </si>
  <si>
    <t>Ķīmiski toksikoloģiskā izpēte 1,4-benzodiazepīna grupas preparātu noteikšanai</t>
  </si>
  <si>
    <t>Ķīmiski toksikoloģiskā izpēte fenotiazīna grupas preparātu noteikšanai</t>
  </si>
  <si>
    <t>Ķīmiski toksikoloģiskā izpēte triciklisko antidepresantu noteikšanai</t>
  </si>
  <si>
    <t>Ķīmiski toksikoloģiskā izpēte difenhidramīna (dimedrola) noteikšanai</t>
  </si>
  <si>
    <t>Ķīmiski toksikoloģiskā izpēte nesteroīdo pretiekaisuma līdzekļu noteikšanai</t>
  </si>
  <si>
    <t>Ķīmiski toksikoloģiskā izpēte triheksifenidila (ciklodola) noteikšanai</t>
  </si>
  <si>
    <t>Ķīmiski toksikoloģiskā izpēte klonidīna (klofelīna) noteikšanai</t>
  </si>
  <si>
    <t>17.1.</t>
  </si>
  <si>
    <t>17.2.</t>
  </si>
  <si>
    <t>17.3.</t>
  </si>
  <si>
    <t>20.</t>
  </si>
  <si>
    <t>Ministru kabineta noteikumu projekta "Valsts tiesu medicīnas ekspertīzes centra maksas pakalpojumu cenrādis" sākotnējās (ex-ante) ietekmes novērtējuma ziņojumam (anotācijai)</t>
  </si>
  <si>
    <t>Veselības ministre:</t>
  </si>
  <si>
    <t>Anda Čakša</t>
  </si>
  <si>
    <t>Zandberga, 67876041</t>
  </si>
  <si>
    <t>lasma.zandberga@vm.gov.lv</t>
  </si>
  <si>
    <t>evija.casnoita@vtmec.gov.lv</t>
  </si>
  <si>
    <t>Maksas pakalpojuma izcenojuma aprēķins</t>
  </si>
  <si>
    <r>
      <rPr>
        <b/>
        <sz val="12"/>
        <rFont val="Times New Roman"/>
        <family val="1"/>
        <charset val="186"/>
      </rPr>
      <t>Laikposms:</t>
    </r>
    <r>
      <rPr>
        <sz val="12"/>
        <rFont val="Times New Roman"/>
        <family val="1"/>
        <charset val="186"/>
      </rPr>
      <t xml:space="preserve"> 1 gads </t>
    </r>
  </si>
  <si>
    <r>
      <rPr>
        <b/>
        <sz val="12"/>
        <color theme="1"/>
        <rFont val="Times New Roman"/>
        <family val="1"/>
        <charset val="186"/>
      </rPr>
      <t>Laikposms:</t>
    </r>
    <r>
      <rPr>
        <sz val="12"/>
        <color theme="1"/>
        <rFont val="Times New Roman"/>
        <family val="1"/>
        <charset val="186"/>
      </rPr>
      <t xml:space="preserve"> 1 gads </t>
    </r>
  </si>
  <si>
    <r>
      <t>Ķīmiski-toksikoloģiskās izpētes</t>
    </r>
    <r>
      <rPr>
        <vertAlign val="superscript"/>
        <sz val="12"/>
        <rFont val="Times New Roman"/>
        <family val="1"/>
        <charset val="186"/>
      </rPr>
      <t>1, 2</t>
    </r>
    <r>
      <rPr>
        <sz val="12"/>
        <rFont val="Times New Roman"/>
        <family val="1"/>
        <charset val="186"/>
      </rPr>
      <t>:</t>
    </r>
  </si>
  <si>
    <r>
      <rPr>
        <vertAlign val="superscript"/>
        <sz val="12"/>
        <rFont val="Times New Roman"/>
        <family val="1"/>
        <charset val="186"/>
      </rPr>
      <t>3</t>
    </r>
    <r>
      <rPr>
        <sz val="12"/>
        <rFont val="Times New Roman"/>
        <family val="1"/>
        <charset val="186"/>
      </rPr>
      <t xml:space="preserve"> Ja vienam ķīmiski toksikoloģiskās izpētes objektam jāveic vairāk par 3 izpētēm, tiek piemērots viens pakalpojuma veids – “Pilna ķīmiski toksikoloģiskā izpēte”.</t>
    </r>
  </si>
  <si>
    <r>
      <t>Pilna ķīmiski toksikoloģiskā izpēte</t>
    </r>
    <r>
      <rPr>
        <vertAlign val="superscript"/>
        <sz val="12"/>
        <rFont val="Times New Roman"/>
        <family val="1"/>
        <charset val="186"/>
      </rPr>
      <t>3</t>
    </r>
  </si>
  <si>
    <r>
      <rPr>
        <vertAlign val="superscript"/>
        <sz val="12"/>
        <rFont val="Times New Roman"/>
        <family val="1"/>
        <charset val="186"/>
      </rPr>
      <t>2</t>
    </r>
    <r>
      <rPr>
        <sz val="12"/>
        <rFont val="Times New Roman"/>
        <family val="1"/>
        <charset val="186"/>
      </rPr>
      <t xml:space="preserve"> Ja pakalpojumu ir nepieciešams sniegt ārpus darba laika, piemēro koeficientu 1,71.</t>
    </r>
  </si>
  <si>
    <r>
      <rPr>
        <b/>
        <sz val="12"/>
        <rFont val="Times New Roman"/>
        <family val="1"/>
        <charset val="186"/>
      </rPr>
      <t xml:space="preserve">Maksas pakalpojuma veids: </t>
    </r>
    <r>
      <rPr>
        <sz val="12"/>
        <rFont val="Times New Roman"/>
        <family val="1"/>
        <charset val="186"/>
      </rPr>
      <t>Pieaicinātā eksperta dalība komisijas ekspertīzē atzinuma sniegšanā/dalība tiesā civilprocesā (pieaicinātā ārsta speciālista 1 stundas likme) (1 eksperta stunda)</t>
    </r>
  </si>
  <si>
    <r>
      <rPr>
        <b/>
        <sz val="12"/>
        <rFont val="Times New Roman"/>
        <family val="1"/>
        <charset val="186"/>
      </rPr>
      <t xml:space="preserve">Maksas pakalpojuma veids: </t>
    </r>
    <r>
      <rPr>
        <sz val="12"/>
        <rFont val="Times New Roman"/>
        <family val="1"/>
        <charset val="186"/>
      </rPr>
      <t>Pieaicinātā eksperta dalība komisijas ekspertīzē atzinuma sniegšanā/dalība tiesā civilprocesā (pieaicinātā ārsta speciālista ar doktora grādu 1 stundas likme) (1 eksperta stunda)</t>
    </r>
  </si>
  <si>
    <r>
      <rPr>
        <b/>
        <sz val="12"/>
        <rFont val="Times New Roman"/>
        <family val="1"/>
        <charset val="186"/>
      </rPr>
      <t xml:space="preserve">Maksas pakalpojuma veids: </t>
    </r>
    <r>
      <rPr>
        <sz val="12"/>
        <rFont val="Times New Roman"/>
        <family val="1"/>
        <charset val="186"/>
      </rPr>
      <t>Mācību lekcija (izņemot medicīniska  un juridiska profila augstskolas studentiem), pēc juridiskas personas iesnieguma (1 lekcija)</t>
    </r>
  </si>
  <si>
    <t>Pielikums</t>
  </si>
  <si>
    <r>
      <t>Miruša cilvēka tiesu medicīniskā izpēte pēc fiziskas vai juridiskas personas pieprasījuma nāves cēloņa noteikšanai, ietverot mirušā autopsiju, histoloģisko un toksikoloģisko (etanola noteikšana asinīs) izpēti, bez procesa virzītāja lēmuma par tiesu medicīniskās ekspertīzes noteikšanu:</t>
    </r>
    <r>
      <rPr>
        <vertAlign val="superscript"/>
        <sz val="12"/>
        <rFont val="Times New Roman"/>
        <family val="1"/>
        <charset val="186"/>
      </rPr>
      <t xml:space="preserve">5 </t>
    </r>
    <r>
      <rPr>
        <sz val="12"/>
        <rFont val="Times New Roman"/>
        <family val="1"/>
        <charset val="186"/>
      </rPr>
      <t xml:space="preserve"> </t>
    </r>
  </si>
  <si>
    <t>Atzinuma sniegšana par dzīvu fizisku personu bez ekspertīzes noteicēja lēmuma par tiesu medicīniskās ekspertīzes noteikšanu:</t>
  </si>
  <si>
    <t>Darba devēja valsts sociālās apdrošināšanas obligātā iemaksas, sociāla rakstura pabalsti un kompensācijas (24,09%)</t>
  </si>
  <si>
    <t>Darba devēja valsts sociālās apdrošināšanas obligātā iemaksas, sociāla rakstura pabalsti un kompensācijas (24,09 %)</t>
  </si>
  <si>
    <t>EKK 1110</t>
  </si>
  <si>
    <t>EKK 1210</t>
  </si>
  <si>
    <t xml:space="preserve"> EKK 1210</t>
  </si>
  <si>
    <t>EKK1210</t>
  </si>
  <si>
    <t>Plānotais pakalpojuma sniegšanas vienību skaits: 120</t>
  </si>
  <si>
    <r>
      <rPr>
        <vertAlign val="superscript"/>
        <sz val="12"/>
        <rFont val="Times New Roman"/>
        <family val="1"/>
        <charset val="186"/>
      </rPr>
      <t>10</t>
    </r>
    <r>
      <rPr>
        <sz val="12"/>
        <rFont val="Times New Roman"/>
        <family val="1"/>
        <charset val="186"/>
      </rPr>
      <t xml:space="preserve"> Par katriem nākamajiem pieciem izskatītajiem jautājumiem piemēro koeficientu 0,2.</t>
    </r>
  </si>
  <si>
    <r>
      <rPr>
        <vertAlign val="superscript"/>
        <sz val="12"/>
        <rFont val="Times New Roman"/>
        <family val="1"/>
        <charset val="186"/>
      </rPr>
      <t>11</t>
    </r>
    <r>
      <rPr>
        <sz val="12"/>
        <rFont val="Times New Roman"/>
        <family val="1"/>
        <charset val="186"/>
      </rPr>
      <t xml:space="preserve"> Samaksu par pieaicinātā eksperta dalību komisijas ekspertīzē atzinuma sniegšanā kriminālprocesa un administratīvā procesa ietvaros Valsts tiesu medicīnas ekspertīzes centram atlīdzina saskaņā ar Ministru kabineta 2005.gada 4.oktobra noteikumiem Nr.754 "Noteikumi par kriminālprocesuālo izdevumu atlīdzināšanas kārtību un apmēru" un Ministru kabineta 2004.gada 31.augusta noteikumiem Nr.748 "Noteikumi par atlīdzības izmaksu lieciniekam, tulkam un ekspertam administratīvajā procesā tiesā".”.</t>
    </r>
  </si>
  <si>
    <r>
      <t>Mācību lekcija (izņemot medicīniska  un juridiska profila augstskolas studentiem), pēc juridiskas personas iesnieguma</t>
    </r>
    <r>
      <rPr>
        <vertAlign val="superscript"/>
        <sz val="12"/>
        <rFont val="Times New Roman"/>
        <family val="1"/>
        <charset val="186"/>
      </rPr>
      <t>6</t>
    </r>
  </si>
  <si>
    <r>
      <t>Mirušā uzglabāšana no ceturtās dienas pēc tiesu medicīniskās autopsijas pabeigšanas un Medicīniskās apliecības par nāves cēloni izsniegšanas</t>
    </r>
    <r>
      <rPr>
        <vertAlign val="superscript"/>
        <sz val="12"/>
        <rFont val="Times New Roman"/>
        <family val="1"/>
        <charset val="186"/>
      </rPr>
      <t>7</t>
    </r>
  </si>
  <si>
    <r>
      <t>Mirušā uzglabāšana, ja nav noteikta tiesu medicīniskā ekspertīze (autopsija)</t>
    </r>
    <r>
      <rPr>
        <vertAlign val="superscript"/>
        <sz val="12"/>
        <rFont val="Times New Roman"/>
        <family val="1"/>
        <charset val="186"/>
      </rPr>
      <t>8</t>
    </r>
  </si>
  <si>
    <r>
      <t>Atbilstoši iesniegtiem medicīniskajiem dokumentiem</t>
    </r>
    <r>
      <rPr>
        <vertAlign val="superscript"/>
        <sz val="12"/>
        <rFont val="Times New Roman"/>
        <family val="1"/>
        <charset val="186"/>
      </rPr>
      <t>9</t>
    </r>
  </si>
  <si>
    <r>
      <t>Tiesu medicīniskās komisijas ekspertīze civillietā, pamatojoties uz ekspertīzes noteicēja lēmumu par tiesu medicīniskās ekspertīzes noteikšanu, neieskaitot pieaicināto ārstu speciālistu (līdz 5 jautājumiem ieskaitot)</t>
    </r>
    <r>
      <rPr>
        <vertAlign val="superscript"/>
        <sz val="12"/>
        <rFont val="Times New Roman"/>
        <family val="1"/>
        <charset val="186"/>
      </rPr>
      <t>10</t>
    </r>
  </si>
  <si>
    <r>
      <t>Pieaicinātā eksperta dalība komisijas ekspertīzē atzinuma sniegšanā</t>
    </r>
    <r>
      <rPr>
        <vertAlign val="superscript"/>
        <sz val="12"/>
        <rFont val="Times New Roman"/>
        <family val="1"/>
        <charset val="186"/>
      </rPr>
      <t>11</t>
    </r>
    <r>
      <rPr>
        <sz val="12"/>
        <rFont val="Times New Roman"/>
        <family val="1"/>
        <charset val="186"/>
      </rPr>
      <t>/dalība tiesā civilprocesā (pieaicinātā ārsta speciālista 1 stundas likme)</t>
    </r>
  </si>
  <si>
    <r>
      <t>Pieaicinātā eksperta dalība komisijas ekspertīzē atzinuma sniegšanā</t>
    </r>
    <r>
      <rPr>
        <vertAlign val="superscript"/>
        <sz val="12"/>
        <rFont val="Times New Roman"/>
        <family val="1"/>
        <charset val="186"/>
      </rPr>
      <t>11</t>
    </r>
    <r>
      <rPr>
        <sz val="12"/>
        <rFont val="Times New Roman"/>
        <family val="1"/>
        <charset val="186"/>
      </rPr>
      <t>/dalība tiesā civilprocesā (pieaicinātā ārsta speciālista ar doktora grādu 1 stundas likme)</t>
    </r>
  </si>
  <si>
    <t xml:space="preserve">Paternitātes un parentitātes noteikšanas ekspertīze ar DNS izpētes metodi </t>
  </si>
  <si>
    <t>Paternitātes un parentitātes noteikšanas ekspertīze ar DNS izpētes metodi (standarta variants - 3 cilvēki)</t>
  </si>
  <si>
    <r>
      <t>Paternitātes un parentitātes noteikšanas ekspertīze ar DNS izpētes metodi (1  papildus cilvēks)</t>
    </r>
    <r>
      <rPr>
        <vertAlign val="superscript"/>
        <sz val="12"/>
        <rFont val="Times New Roman"/>
        <family val="1"/>
        <charset val="186"/>
      </rPr>
      <t>4</t>
    </r>
  </si>
  <si>
    <t>Paternitātes un parentitātes noteikšanas ekspertīze ar DNS izpētes metodi (nestandarta variants 2 cilvēki - bērns + tēvs)</t>
  </si>
  <si>
    <r>
      <rPr>
        <b/>
        <sz val="12"/>
        <rFont val="Times New Roman"/>
        <family val="1"/>
        <charset val="186"/>
      </rPr>
      <t>Maksas pakalpojuma veids:</t>
    </r>
    <r>
      <rPr>
        <sz val="12"/>
        <rFont val="Times New Roman"/>
        <family val="1"/>
        <charset val="186"/>
      </rPr>
      <t xml:space="preserve"> Paternitātes un parentitātes noteikšanas ekspertīze ar DNS izpētes metodi (standarta variants - 3 cilvēki)</t>
    </r>
  </si>
  <si>
    <r>
      <rPr>
        <b/>
        <sz val="12"/>
        <rFont val="Times New Roman"/>
        <family val="1"/>
        <charset val="186"/>
      </rPr>
      <t>Maksas pakalpojuma veids:</t>
    </r>
    <r>
      <rPr>
        <sz val="12"/>
        <rFont val="Times New Roman"/>
        <family val="1"/>
        <charset val="186"/>
      </rPr>
      <t xml:space="preserve"> Paternitātes un parentitātes noteikšanas ekspertīze ar DNS izpētes metodi (1 papildus cilvēks)</t>
    </r>
  </si>
  <si>
    <r>
      <rPr>
        <b/>
        <sz val="12"/>
        <rFont val="Times New Roman"/>
        <family val="1"/>
        <charset val="186"/>
      </rPr>
      <t>Maksas pakalpojuma veids:</t>
    </r>
    <r>
      <rPr>
        <sz val="12"/>
        <rFont val="Times New Roman"/>
        <family val="1"/>
        <charset val="186"/>
      </rPr>
      <t xml:space="preserve"> Paternitātes un parentitātes noteikšanas ekspertīze ar DNS izpētes metodi (variants 2 cilvēki - bērns + tēvs)</t>
    </r>
  </si>
  <si>
    <r>
      <rPr>
        <vertAlign val="superscript"/>
        <sz val="12"/>
        <rFont val="Times New Roman"/>
        <family val="1"/>
        <charset val="186"/>
      </rPr>
      <t xml:space="preserve">5 </t>
    </r>
    <r>
      <rPr>
        <sz val="12"/>
        <rFont val="Times New Roman"/>
        <family val="1"/>
        <charset val="186"/>
      </rPr>
      <t xml:space="preserve"> Pakalpojumus var tikt sniegti atsevišķi, kā arī visus kopā. Pakalpojumu nesniedz tādos gadījumos, ja kriminālprocesa ietvaros mirušajam noteikta tiesu medicīniskā ekspertīze.</t>
    </r>
  </si>
  <si>
    <r>
      <rPr>
        <vertAlign val="superscript"/>
        <sz val="12"/>
        <rFont val="Times New Roman"/>
        <family val="1"/>
        <charset val="186"/>
      </rPr>
      <t xml:space="preserve">6 </t>
    </r>
    <r>
      <rPr>
        <sz val="12"/>
        <rFont val="Times New Roman"/>
        <family val="1"/>
        <charset val="186"/>
      </rPr>
      <t>Pakalpojumu nodrošina līdz 15 personām vienā apmeklējuma reizē.</t>
    </r>
  </si>
  <si>
    <r>
      <rPr>
        <vertAlign val="superscript"/>
        <sz val="12"/>
        <rFont val="Times New Roman"/>
        <family val="1"/>
        <charset val="186"/>
      </rPr>
      <t xml:space="preserve">8 </t>
    </r>
    <r>
      <rPr>
        <sz val="12"/>
        <rFont val="Times New Roman"/>
        <family val="1"/>
        <charset val="186"/>
      </rPr>
      <t>Mirušais tiek pieņemts uzglabāšanai, ja attiecīgā centra struktūrvienība to spēj nodrošināt.</t>
    </r>
  </si>
  <si>
    <t>Vīza: Valsts sekretārs</t>
  </si>
  <si>
    <t>Aivars Lapiņš</t>
  </si>
  <si>
    <r>
      <t xml:space="preserve">Pamatlīdzeklis:
Gadā 1 izpēte. </t>
    </r>
    <r>
      <rPr>
        <b/>
        <sz val="12"/>
        <rFont val="Times New Roman"/>
        <family val="1"/>
        <charset val="186"/>
      </rPr>
      <t>Pavisam kopā patēriņš 1 izpētei ir 0,22 euro.</t>
    </r>
  </si>
  <si>
    <r>
      <t xml:space="preserve">Biroja preces: </t>
    </r>
    <r>
      <rPr>
        <sz val="12"/>
        <rFont val="Times New Roman"/>
        <family val="1"/>
        <charset val="186"/>
      </rPr>
      <t xml:space="preserve">Gadā 1 izpētes. </t>
    </r>
    <r>
      <rPr>
        <b/>
        <sz val="12"/>
        <rFont val="Times New Roman"/>
        <family val="1"/>
        <charset val="186"/>
      </rPr>
      <t>Pavisam kopā patēriņš 1 izpētei ir 0,05 euro</t>
    </r>
    <r>
      <rPr>
        <sz val="12"/>
        <rFont val="Times New Roman"/>
        <family val="1"/>
        <charset val="186"/>
      </rPr>
      <t xml:space="preserve"> =0,052 euro * 1 izpēte</t>
    </r>
  </si>
  <si>
    <t>Atalgojums. Gadā 1 izpēte. Pavisam kopā 27,65 euro</t>
  </si>
  <si>
    <r>
      <t xml:space="preserve">Pamatlīdzeklis: Gadā 1 izpēte. </t>
    </r>
    <r>
      <rPr>
        <b/>
        <sz val="12"/>
        <rFont val="Times New Roman"/>
        <family val="1"/>
        <charset val="186"/>
      </rPr>
      <t>Pavisam kopā patēriņš 1 izpētei ir 0,16 euro</t>
    </r>
  </si>
  <si>
    <r>
      <t xml:space="preserve">Gadā 1 traipa izpēte. Pavisam kopā </t>
    </r>
    <r>
      <rPr>
        <b/>
        <sz val="12"/>
        <rFont val="Times New Roman"/>
        <family val="1"/>
        <charset val="186"/>
      </rPr>
      <t>16,05 euro</t>
    </r>
  </si>
  <si>
    <t>Atalgojums.</t>
  </si>
  <si>
    <r>
      <t>Pamatlīdzekļi:</t>
    </r>
    <r>
      <rPr>
        <sz val="12"/>
        <rFont val="Times New Roman"/>
        <family val="1"/>
        <charset val="186"/>
      </rPr>
      <t xml:space="preserve"> </t>
    </r>
    <r>
      <rPr>
        <b/>
        <sz val="12"/>
        <rFont val="Times New Roman"/>
        <family val="1"/>
        <charset val="186"/>
      </rPr>
      <t>Gadā 1 izpēte. Pavisam kopā patēriņš1 izpētei ir 1,16 euro</t>
    </r>
  </si>
  <si>
    <r>
      <t>Pamatlīdzekļi:</t>
    </r>
    <r>
      <rPr>
        <sz val="12"/>
        <rFont val="Times New Roman"/>
        <family val="1"/>
        <charset val="186"/>
      </rPr>
      <t xml:space="preserve"> </t>
    </r>
    <r>
      <rPr>
        <b/>
        <sz val="12"/>
        <rFont val="Times New Roman"/>
        <family val="1"/>
        <charset val="186"/>
      </rPr>
      <t>Gadā 1 izpēte. Pavisam kopā patēriņš 1 izpētei ir 0,98 euro.</t>
    </r>
  </si>
  <si>
    <r>
      <t xml:space="preserve">Spectērpu izdevumi: </t>
    </r>
    <r>
      <rPr>
        <sz val="12"/>
        <rFont val="Times New Roman"/>
        <family val="1"/>
        <charset val="186"/>
      </rPr>
      <t xml:space="preserve">
Gadā 1 izpētes. </t>
    </r>
    <r>
      <rPr>
        <b/>
        <sz val="12"/>
        <rFont val="Times New Roman"/>
        <family val="1"/>
        <charset val="186"/>
      </rPr>
      <t>Pavisam kopā patēriņš 1 izpētei ir 0,002 euro</t>
    </r>
  </si>
  <si>
    <r>
      <t xml:space="preserve">Izdevumi inventāram:
</t>
    </r>
    <r>
      <rPr>
        <b/>
        <sz val="12"/>
        <rFont val="Times New Roman"/>
        <family val="1"/>
        <charset val="186"/>
      </rPr>
      <t>Pavisam kopā inventāra patēriņš 1 traipam 0,06 euro</t>
    </r>
    <r>
      <rPr>
        <b/>
        <u/>
        <sz val="12"/>
        <color rgb="FFFF0000"/>
        <rFont val="Times New Roman"/>
        <family val="1"/>
        <charset val="186"/>
      </rPr>
      <t/>
    </r>
  </si>
  <si>
    <r>
      <t xml:space="preserve">Biroja preces: </t>
    </r>
    <r>
      <rPr>
        <i/>
        <sz val="12"/>
        <rFont val="Times New Roman"/>
        <family val="1"/>
        <charset val="186"/>
      </rPr>
      <t xml:space="preserve">
</t>
    </r>
    <r>
      <rPr>
        <sz val="12"/>
        <rFont val="Times New Roman"/>
        <family val="1"/>
        <charset val="186"/>
      </rPr>
      <t xml:space="preserve">Gadā 1 izpētes. </t>
    </r>
    <r>
      <rPr>
        <b/>
        <sz val="12"/>
        <rFont val="Times New Roman"/>
        <family val="1"/>
        <charset val="186"/>
      </rPr>
      <t>Pavisam kopā patēriņš 1 izpētei ir 0,05 euro</t>
    </r>
  </si>
  <si>
    <r>
      <t>Vidējie izdevumi par komunālajiem pakalpojumiem:</t>
    </r>
    <r>
      <rPr>
        <vertAlign val="superscript"/>
        <sz val="12"/>
        <rFont val="Times New Roman"/>
        <family val="1"/>
        <charset val="186"/>
      </rPr>
      <t xml:space="preserve">
</t>
    </r>
    <r>
      <rPr>
        <sz val="12"/>
        <rFont val="Times New Roman"/>
        <family val="1"/>
        <charset val="186"/>
      </rPr>
      <t xml:space="preserve">Gadā 1 izpēte. </t>
    </r>
    <r>
      <rPr>
        <b/>
        <u/>
        <sz val="12"/>
        <rFont val="Times New Roman"/>
        <family val="1"/>
        <charset val="186"/>
      </rPr>
      <t>Pavisam kopā patēriņš 1 izpētei ir 0,34 euro</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</si>
  <si>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0,10 euro</t>
    </r>
  </si>
  <si>
    <t>Atalgojums. Pavisam kopā 1 pakalpojuma sniegšanai 13,62 euro.</t>
  </si>
  <si>
    <r>
      <t xml:space="preserve">Spectērpu izdevumi: </t>
    </r>
    <r>
      <rPr>
        <sz val="12"/>
        <rFont val="Times New Roman"/>
        <family val="1"/>
        <charset val="186"/>
      </rPr>
      <t xml:space="preserve">
Gadā 1 izpēte. </t>
    </r>
    <r>
      <rPr>
        <b/>
        <sz val="12"/>
        <rFont val="Times New Roman"/>
        <family val="1"/>
        <charset val="186"/>
      </rPr>
      <t>Pavisam kopā patēriņš 1 izpētei ir 0,002 euro</t>
    </r>
  </si>
  <si>
    <r>
      <t xml:space="preserve">Izdevumi inventāram:
</t>
    </r>
    <r>
      <rPr>
        <b/>
        <sz val="12"/>
        <rFont val="Times New Roman"/>
        <family val="1"/>
        <charset val="186"/>
      </rPr>
      <t xml:space="preserve">Gadā 1 izpēte. Pavisam kopā patēriņš 1 izpētei ir </t>
    </r>
    <r>
      <rPr>
        <b/>
        <u/>
        <sz val="12"/>
        <rFont val="Times New Roman"/>
        <family val="1"/>
        <charset val="186"/>
      </rPr>
      <t xml:space="preserve">0,0002 </t>
    </r>
    <r>
      <rPr>
        <b/>
        <sz val="12"/>
        <rFont val="Times New Roman"/>
        <family val="1"/>
        <charset val="186"/>
      </rPr>
      <t>euro</t>
    </r>
    <r>
      <rPr>
        <b/>
        <u/>
        <sz val="12"/>
        <color rgb="FFFF0000"/>
        <rFont val="Times New Roman"/>
        <family val="1"/>
        <charset val="186"/>
      </rPr>
      <t/>
    </r>
  </si>
  <si>
    <r>
      <t xml:space="preserve">Biroja preces: </t>
    </r>
    <r>
      <rPr>
        <i/>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0,03 euro</t>
    </r>
    <r>
      <rPr>
        <sz val="12"/>
        <rFont val="Times New Roman"/>
        <family val="1"/>
        <charset val="186"/>
      </rPr>
      <t xml:space="preserve"> </t>
    </r>
  </si>
  <si>
    <r>
      <t>Gadā 1 traipa izpēte. Pavisam kopā</t>
    </r>
    <r>
      <rPr>
        <b/>
        <sz val="12"/>
        <rFont val="Times New Roman"/>
        <family val="1"/>
        <charset val="186"/>
      </rPr>
      <t xml:space="preserve"> 27,79 euro</t>
    </r>
  </si>
  <si>
    <r>
      <t xml:space="preserve">Pamatlīdzekļi: </t>
    </r>
    <r>
      <rPr>
        <b/>
        <sz val="12"/>
        <rFont val="Times New Roman"/>
        <family val="1"/>
        <charset val="186"/>
      </rPr>
      <t>Gadā 1 izpēte. Pavisam kopā patēriņš 1 izpētei ir 1,57 euro.</t>
    </r>
  </si>
  <si>
    <r>
      <t>Pamatlīdzeklis:</t>
    </r>
    <r>
      <rPr>
        <b/>
        <sz val="12"/>
        <rFont val="Times New Roman"/>
        <family val="1"/>
        <charset val="186"/>
      </rPr>
      <t>Gadā 1 izpēte.</t>
    </r>
    <r>
      <rPr>
        <sz val="12"/>
        <rFont val="Times New Roman"/>
        <family val="1"/>
        <charset val="186"/>
      </rPr>
      <t xml:space="preserve"> </t>
    </r>
    <r>
      <rPr>
        <b/>
        <sz val="12"/>
        <rFont val="Times New Roman"/>
        <family val="1"/>
        <charset val="186"/>
      </rPr>
      <t>Pavisam kopā patēriņš 1 izpētēm ir 0,18 euro</t>
    </r>
  </si>
  <si>
    <r>
      <t xml:space="preserve">Pamatlīdzeklis:
</t>
    </r>
    <r>
      <rPr>
        <sz val="12"/>
        <rFont val="Times New Roman"/>
        <family val="1"/>
        <charset val="186"/>
      </rPr>
      <t xml:space="preserve">Gadā 1 izpēte. </t>
    </r>
    <r>
      <rPr>
        <b/>
        <sz val="12"/>
        <rFont val="Times New Roman"/>
        <family val="1"/>
        <charset val="186"/>
      </rPr>
      <t>Pavisam kopā patēriņš 1 izpētei ir 0,23 euro</t>
    </r>
    <r>
      <rPr>
        <sz val="12"/>
        <rFont val="Times New Roman"/>
        <family val="1"/>
        <charset val="186"/>
      </rPr>
      <t xml:space="preserve"> </t>
    </r>
  </si>
  <si>
    <r>
      <t xml:space="preserve">Spectērpu izdevumi: </t>
    </r>
    <r>
      <rPr>
        <sz val="12"/>
        <rFont val="Times New Roman"/>
        <family val="1"/>
        <charset val="186"/>
      </rPr>
      <t xml:space="preserve">Gadā 1 izpētes. </t>
    </r>
    <r>
      <rPr>
        <b/>
        <sz val="12"/>
        <rFont val="Times New Roman"/>
        <family val="1"/>
        <charset val="186"/>
      </rPr>
      <t>Pavisam kopā patēriņš 1 izpētei ir 0,002 euro</t>
    </r>
  </si>
  <si>
    <r>
      <t xml:space="preserve">Izdevumi inventāram:
</t>
    </r>
    <r>
      <rPr>
        <sz val="12"/>
        <rFont val="Times New Roman"/>
        <family val="1"/>
        <charset val="186"/>
      </rPr>
      <t xml:space="preserve">Gadā 1 izpēte. Patēriņš 1 izpētei ir </t>
    </r>
    <r>
      <rPr>
        <b/>
        <u/>
        <sz val="12"/>
        <rFont val="Times New Roman"/>
        <family val="1"/>
        <charset val="186"/>
      </rPr>
      <t>0,0002</t>
    </r>
    <r>
      <rPr>
        <u/>
        <sz val="12"/>
        <rFont val="Times New Roman"/>
        <family val="1"/>
        <charset val="186"/>
      </rPr>
      <t xml:space="preserve"> </t>
    </r>
    <r>
      <rPr>
        <sz val="12"/>
        <rFont val="Times New Roman"/>
        <family val="1"/>
        <charset val="186"/>
      </rPr>
      <t>euro</t>
    </r>
    <r>
      <rPr>
        <b/>
        <u/>
        <sz val="12"/>
        <color rgb="FFFF0000"/>
        <rFont val="Times New Roman"/>
        <family val="1"/>
        <charset val="186"/>
      </rPr>
      <t/>
    </r>
  </si>
  <si>
    <r>
      <rPr>
        <u/>
        <sz val="12"/>
        <rFont val="Times New Roman"/>
        <family val="1"/>
        <charset val="186"/>
      </rPr>
      <t>Atalgojums.</t>
    </r>
    <r>
      <rPr>
        <sz val="12"/>
        <rFont val="Times New Roman"/>
        <family val="1"/>
        <charset val="186"/>
      </rPr>
      <t xml:space="preserve">
Gadā 1 traipa izpēte. </t>
    </r>
    <r>
      <rPr>
        <b/>
        <sz val="12"/>
        <rFont val="Times New Roman"/>
        <family val="1"/>
        <charset val="186"/>
      </rPr>
      <t>Pavisam kopā 16,64 euro</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</si>
  <si>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 izpēte. </t>
    </r>
    <r>
      <rPr>
        <b/>
        <u/>
        <sz val="12"/>
        <rFont val="Times New Roman"/>
        <family val="1"/>
        <charset val="186"/>
      </rPr>
      <t>Pavisam kopā patēriņš 1 izpētei ir 0,39 euro</t>
    </r>
  </si>
  <si>
    <r>
      <t>Biroja preces:</t>
    </r>
    <r>
      <rPr>
        <i/>
        <sz val="12"/>
        <rFont val="Times New Roman"/>
        <family val="1"/>
        <charset val="186"/>
      </rPr>
      <t xml:space="preserve">
</t>
    </r>
    <r>
      <rPr>
        <sz val="12"/>
        <rFont val="Times New Roman"/>
        <family val="1"/>
        <charset val="186"/>
      </rPr>
      <t xml:space="preserve">Gadā 1 izpētes. </t>
    </r>
    <r>
      <rPr>
        <b/>
        <sz val="12"/>
        <rFont val="Times New Roman"/>
        <family val="1"/>
        <charset val="186"/>
      </rPr>
      <t>Pavisam kopā patēriņš 1 izpētei ir 0,03 euro</t>
    </r>
    <r>
      <rPr>
        <sz val="12"/>
        <rFont val="Times New Roman"/>
        <family val="1"/>
        <charset val="186"/>
      </rPr>
      <t xml:space="preserve"> </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</si>
  <si>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0,11 euro</t>
    </r>
    <r>
      <rPr>
        <sz val="12"/>
        <rFont val="Times New Roman"/>
        <family val="1"/>
        <charset val="186"/>
      </rPr>
      <t xml:space="preserve"> </t>
    </r>
  </si>
  <si>
    <r>
      <t>Biroja preces:</t>
    </r>
    <r>
      <rPr>
        <i/>
        <sz val="12"/>
        <rFont val="Times New Roman"/>
        <family val="1"/>
        <charset val="186"/>
      </rPr>
      <t xml:space="preserve">
</t>
    </r>
    <r>
      <rPr>
        <sz val="12"/>
        <rFont val="Times New Roman"/>
        <family val="1"/>
        <charset val="186"/>
      </rPr>
      <t xml:space="preserve">Gadā 6 izpētes. </t>
    </r>
    <r>
      <rPr>
        <b/>
        <sz val="12"/>
        <rFont val="Times New Roman"/>
        <family val="1"/>
        <charset val="186"/>
      </rPr>
      <t>Pavisam kopā patēriņš 6 izpētēm ir 0,31 euro</t>
    </r>
    <r>
      <rPr>
        <sz val="12"/>
        <rFont val="Times New Roman"/>
        <family val="1"/>
        <charset val="186"/>
      </rPr>
      <t xml:space="preserve"> </t>
    </r>
  </si>
  <si>
    <r>
      <t xml:space="preserve">Izdevumi inventāram:
</t>
    </r>
    <r>
      <rPr>
        <sz val="12"/>
        <rFont val="Times New Roman"/>
        <family val="1"/>
        <charset val="186"/>
      </rPr>
      <t xml:space="preserve">Gadā 6 izpētes. Patēriņš 6 izpētēm ir </t>
    </r>
    <r>
      <rPr>
        <b/>
        <u/>
        <sz val="12"/>
        <rFont val="Times New Roman"/>
        <family val="1"/>
        <charset val="186"/>
      </rPr>
      <t>0,001</t>
    </r>
    <r>
      <rPr>
        <u/>
        <sz val="12"/>
        <rFont val="Times New Roman"/>
        <family val="1"/>
        <charset val="186"/>
      </rPr>
      <t xml:space="preserve"> </t>
    </r>
    <r>
      <rPr>
        <sz val="12"/>
        <rFont val="Times New Roman"/>
        <family val="1"/>
        <charset val="186"/>
      </rPr>
      <t>euro</t>
    </r>
  </si>
  <si>
    <r>
      <rPr>
        <u/>
        <sz val="12"/>
        <rFont val="Times New Roman"/>
        <family val="1"/>
        <charset val="186"/>
      </rPr>
      <t>Atalgojums</t>
    </r>
    <r>
      <rPr>
        <sz val="12"/>
        <rFont val="Times New Roman"/>
        <family val="1"/>
        <charset val="186"/>
      </rPr>
      <t xml:space="preserve">
</t>
    </r>
    <r>
      <rPr>
        <b/>
        <sz val="12"/>
        <rFont val="Times New Roman"/>
        <family val="1"/>
        <charset val="186"/>
      </rPr>
      <t/>
    </r>
  </si>
  <si>
    <r>
      <t xml:space="preserve">Gadā 6 traipa izpētes. </t>
    </r>
    <r>
      <rPr>
        <b/>
        <u/>
        <sz val="12"/>
        <rFont val="Times New Roman"/>
        <family val="1"/>
        <charset val="186"/>
      </rPr>
      <t>Pavisam kopā 114,85 euro</t>
    </r>
    <r>
      <rPr>
        <sz val="12"/>
        <rFont val="Times New Roman"/>
        <family val="1"/>
        <charset val="186"/>
      </rPr>
      <t xml:space="preserve"> </t>
    </r>
  </si>
  <si>
    <t>Atalgojums</t>
  </si>
  <si>
    <t xml:space="preserve">Vienreizlietojamās preces:
</t>
  </si>
  <si>
    <t>Pavisam kopā izdevumi vienreizlietojamām precēm 19,451 euro</t>
  </si>
  <si>
    <t xml:space="preserve">Pamatlīdzeklis:
</t>
  </si>
  <si>
    <r>
      <t xml:space="preserve">Izdevumi laboratorijas precēm:
</t>
    </r>
    <r>
      <rPr>
        <sz val="12"/>
        <rFont val="Times New Roman"/>
        <family val="1"/>
        <charset val="186"/>
      </rPr>
      <t xml:space="preserve">
</t>
    </r>
    <r>
      <rPr>
        <u/>
        <sz val="12"/>
        <rFont val="Times New Roman"/>
        <family val="1"/>
        <charset val="186"/>
      </rPr>
      <t/>
    </r>
  </si>
  <si>
    <r>
      <t>Atalgojums.
Gadā 23 izpētes. Pavisam kopā patēriņš 23 izpētēm</t>
    </r>
    <r>
      <rPr>
        <b/>
        <sz val="12"/>
        <rFont val="Times New Roman"/>
        <family val="1"/>
        <charset val="186"/>
      </rPr>
      <t xml:space="preserve"> 4105,96 euro</t>
    </r>
    <r>
      <rPr>
        <sz val="12"/>
        <rFont val="Times New Roman"/>
        <family val="1"/>
        <charset val="186"/>
      </rPr>
      <t xml:space="preserve"> </t>
    </r>
  </si>
  <si>
    <t xml:space="preserve">Pamatlīdzeklis: </t>
  </si>
  <si>
    <r>
      <t xml:space="preserve">Izdevumi laboratorijas precēm:
</t>
    </r>
    <r>
      <rPr>
        <b/>
        <sz val="12"/>
        <rFont val="Times New Roman"/>
        <family val="1"/>
        <charset val="186"/>
      </rPr>
      <t/>
    </r>
  </si>
  <si>
    <r>
      <t xml:space="preserve">Atalgojums.
Gadā 3 izpētes. Pavisam kopā patēriņš 3 izpētēm ir </t>
    </r>
    <r>
      <rPr>
        <b/>
        <sz val="12"/>
        <rFont val="Times New Roman"/>
        <family val="1"/>
        <charset val="186"/>
      </rPr>
      <t xml:space="preserve"> 174,02</t>
    </r>
  </si>
  <si>
    <t>Izdevumi laboratorijas precēm</t>
  </si>
  <si>
    <r>
      <t xml:space="preserve">Gadā 19 izpētes. Pavisam kopā patēriņš 19 izpētēm </t>
    </r>
    <r>
      <rPr>
        <b/>
        <u/>
        <sz val="12"/>
        <rFont val="Times New Roman"/>
        <family val="1"/>
        <charset val="186"/>
      </rPr>
      <t>ir 2514,45 euro</t>
    </r>
  </si>
  <si>
    <r>
      <t xml:space="preserve">Pamatlīdzekļi: </t>
    </r>
    <r>
      <rPr>
        <vertAlign val="superscript"/>
        <sz val="12"/>
        <rFont val="Times New Roman"/>
        <family val="1"/>
        <charset val="186"/>
      </rPr>
      <t xml:space="preserve"> </t>
    </r>
    <r>
      <rPr>
        <b/>
        <sz val="12"/>
        <rFont val="Times New Roman"/>
        <family val="1"/>
        <charset val="186"/>
      </rPr>
      <t>Gadā 19 izpētes. Pavisam kopā patēriņš 19 izpētēm ir 197,59 euro</t>
    </r>
  </si>
  <si>
    <r>
      <rPr>
        <b/>
        <u/>
        <sz val="12"/>
        <rFont val="Times New Roman"/>
        <family val="1"/>
        <charset val="186"/>
      </rPr>
      <t>Atalgojums</t>
    </r>
    <r>
      <rPr>
        <sz val="12"/>
        <rFont val="Times New Roman"/>
        <family val="1"/>
        <charset val="186"/>
      </rPr>
      <t xml:space="preserve">
Gadā 1 izpēte. </t>
    </r>
    <r>
      <rPr>
        <b/>
        <sz val="12"/>
        <rFont val="Times New Roman"/>
        <family val="1"/>
        <charset val="186"/>
      </rPr>
      <t>Pavisam kopā 83,5197 euro</t>
    </r>
  </si>
  <si>
    <r>
      <t xml:space="preserve">Izdevumi inventāram:
</t>
    </r>
    <r>
      <rPr>
        <b/>
        <sz val="12"/>
        <rFont val="Times New Roman"/>
        <family val="1"/>
        <charset val="186"/>
      </rPr>
      <t xml:space="preserve">Gadā 1 izpēte. Pavisam kopā patēriņš 1 izpētei ir </t>
    </r>
    <r>
      <rPr>
        <b/>
        <u/>
        <sz val="12"/>
        <rFont val="Times New Roman"/>
        <family val="1"/>
        <charset val="186"/>
      </rPr>
      <t xml:space="preserve">0,003 </t>
    </r>
    <r>
      <rPr>
        <b/>
        <sz val="12"/>
        <rFont val="Times New Roman"/>
        <family val="1"/>
        <charset val="186"/>
      </rPr>
      <t>euro</t>
    </r>
    <r>
      <rPr>
        <b/>
        <u/>
        <sz val="12"/>
        <color rgb="FFFF0000"/>
        <rFont val="Times New Roman"/>
        <family val="1"/>
        <charset val="186"/>
      </rPr>
      <t/>
    </r>
  </si>
  <si>
    <r>
      <t xml:space="preserve">Biroja preces: </t>
    </r>
    <r>
      <rPr>
        <i/>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0,03 euro</t>
    </r>
  </si>
  <si>
    <r>
      <t>Spectērpu izdevumi</t>
    </r>
    <r>
      <rPr>
        <sz val="12"/>
        <rFont val="Times New Roman"/>
        <family val="1"/>
        <charset val="186"/>
      </rPr>
      <t xml:space="preserve">
Gadā 1 izpēte. </t>
    </r>
    <r>
      <rPr>
        <b/>
        <sz val="12"/>
        <rFont val="Times New Roman"/>
        <family val="1"/>
        <charset val="186"/>
      </rPr>
      <t>Pavisam kopā patēriņš 1 izpētei ir 0,03 euro</t>
    </r>
  </si>
  <si>
    <r>
      <rPr>
        <sz val="12"/>
        <rFont val="Times New Roman"/>
        <family val="1"/>
        <charset val="186"/>
      </rPr>
      <t xml:space="preserve">Izdevumi laboratorijas precēm:
</t>
    </r>
    <r>
      <rPr>
        <sz val="12"/>
        <rFont val="Times New Roman"/>
        <family val="1"/>
        <charset val="186"/>
      </rPr>
      <t xml:space="preserve">
</t>
    </r>
    <r>
      <rPr>
        <sz val="12"/>
        <color rgb="FFFF0000"/>
        <rFont val="Times New Roman"/>
        <family val="1"/>
        <charset val="186"/>
      </rPr>
      <t xml:space="preserve">
</t>
    </r>
    <r>
      <rPr>
        <sz val="12"/>
        <rFont val="Times New Roman"/>
        <family val="1"/>
        <charset val="186"/>
      </rPr>
      <t/>
    </r>
  </si>
  <si>
    <r>
      <t xml:space="preserve">Vienai izpētei nepieciešams 5 gb, patēriņš ir </t>
    </r>
    <r>
      <rPr>
        <b/>
        <sz val="12"/>
        <rFont val="Times New Roman"/>
        <family val="1"/>
        <charset val="186"/>
      </rPr>
      <t>0,03</t>
    </r>
    <r>
      <rPr>
        <sz val="12"/>
        <rFont val="Times New Roman"/>
        <family val="1"/>
        <charset val="186"/>
      </rPr>
      <t xml:space="preserve"> euro. Gadā 1 izpēte.</t>
    </r>
  </si>
  <si>
    <r>
      <t>Pamatlīdzekļi:</t>
    </r>
    <r>
      <rPr>
        <vertAlign val="superscript"/>
        <sz val="12"/>
        <rFont val="Times New Roman"/>
        <family val="1"/>
        <charset val="186"/>
      </rPr>
      <t xml:space="preserve">
</t>
    </r>
    <r>
      <rPr>
        <b/>
        <sz val="12"/>
        <rFont val="Times New Roman"/>
        <family val="1"/>
        <charset val="186"/>
      </rPr>
      <t>Gadā 1 izpēte. Pavisam kopā patēriņš 1 izpētei ir 10,83 euro</t>
    </r>
  </si>
  <si>
    <t>Pamatlīdzeklis:</t>
  </si>
  <si>
    <t>Pavisam kopā izdevumi inventāram 1 izpētes veikšanai 19,20 euro</t>
  </si>
  <si>
    <r>
      <t xml:space="preserve">Vienai izpētei nepieciešams 2 gb, patēriņš ir </t>
    </r>
    <r>
      <rPr>
        <b/>
        <sz val="12"/>
        <rFont val="Times New Roman"/>
        <family val="1"/>
        <charset val="186"/>
      </rPr>
      <t>0,03</t>
    </r>
    <r>
      <rPr>
        <sz val="12"/>
        <rFont val="Times New Roman"/>
        <family val="1"/>
        <charset val="186"/>
      </rPr>
      <t xml:space="preserve"> euro. Gadā 1 izpēte.</t>
    </r>
  </si>
  <si>
    <r>
      <t xml:space="preserve">Pamatlīdzekļi: </t>
    </r>
    <r>
      <rPr>
        <vertAlign val="superscript"/>
        <sz val="12"/>
        <rFont val="Times New Roman"/>
        <family val="1"/>
        <charset val="186"/>
      </rPr>
      <t xml:space="preserve">
</t>
    </r>
    <r>
      <rPr>
        <b/>
        <sz val="12"/>
        <rFont val="Times New Roman"/>
        <family val="1"/>
        <charset val="186"/>
      </rPr>
      <t>Gadā 1 izpēte. Pavisam kopā patēriņš 1 izpētei ir 7,01 euro</t>
    </r>
    <r>
      <rPr>
        <sz val="12"/>
        <rFont val="Times New Roman"/>
        <family val="1"/>
        <charset val="186"/>
      </rPr>
      <t xml:space="preserve"> </t>
    </r>
  </si>
  <si>
    <r>
      <t xml:space="preserve">Gadā 1 izpēte. </t>
    </r>
    <r>
      <rPr>
        <b/>
        <sz val="12"/>
        <rFont val="Times New Roman"/>
        <family val="1"/>
        <charset val="186"/>
      </rPr>
      <t>Pavisam kopā patēriņš 1 izpētei ir 14,21 euro</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</si>
  <si>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 izpēte. </t>
    </r>
    <r>
      <rPr>
        <b/>
        <u/>
        <sz val="12"/>
        <rFont val="Times New Roman"/>
        <family val="1"/>
        <charset val="186"/>
      </rPr>
      <t>Pavisam kopā patēriņš 1 izpētei ir 2,45 euro</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</si>
  <si>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0,70 euro</t>
    </r>
  </si>
  <si>
    <r>
      <rPr>
        <b/>
        <u/>
        <sz val="12"/>
        <rFont val="Times New Roman"/>
        <family val="1"/>
        <charset val="186"/>
      </rPr>
      <t>Atalgojums.</t>
    </r>
    <r>
      <rPr>
        <sz val="12"/>
        <rFont val="Times New Roman"/>
        <family val="1"/>
        <charset val="186"/>
      </rPr>
      <t xml:space="preserve">
Gadā 1 izpēte. </t>
    </r>
    <r>
      <rPr>
        <b/>
        <sz val="12"/>
        <rFont val="Times New Roman"/>
        <family val="1"/>
        <charset val="186"/>
      </rPr>
      <t>Pavisam kopā 58,0082 euro</t>
    </r>
    <r>
      <rPr>
        <sz val="12"/>
        <rFont val="Times New Roman"/>
        <family val="1"/>
        <charset val="186"/>
      </rPr>
      <t xml:space="preserve"> </t>
    </r>
  </si>
  <si>
    <r>
      <t xml:space="preserve">Spectērpu izdevumi:
Gadā 1 izpēte. </t>
    </r>
    <r>
      <rPr>
        <b/>
        <sz val="12"/>
        <rFont val="Times New Roman"/>
        <family val="1"/>
        <charset val="186"/>
      </rPr>
      <t>Pavisam kopā patēriņš 1 izpētei ir 0,01 euro</t>
    </r>
    <r>
      <rPr>
        <sz val="12"/>
        <rFont val="Times New Roman"/>
        <family val="1"/>
        <charset val="186"/>
      </rPr>
      <t xml:space="preserve"> </t>
    </r>
  </si>
  <si>
    <r>
      <t xml:space="preserve">Izdevumi inventāram:
</t>
    </r>
    <r>
      <rPr>
        <b/>
        <sz val="12"/>
        <rFont val="Times New Roman"/>
        <family val="1"/>
        <charset val="186"/>
      </rPr>
      <t>Gadā 1 izpēte. Pavisam kopā patēriņš 1 izpētei ir 0,04 euro</t>
    </r>
    <r>
      <rPr>
        <b/>
        <u/>
        <sz val="12"/>
        <rFont val="Times New Roman"/>
        <family val="1"/>
        <charset val="186"/>
      </rPr>
      <t/>
    </r>
  </si>
  <si>
    <r>
      <t xml:space="preserve">Izdevumi laboratorijas precēm:
</t>
    </r>
    <r>
      <rPr>
        <sz val="12"/>
        <rFont val="Times New Roman"/>
        <family val="1"/>
        <charset val="186"/>
      </rPr>
      <t xml:space="preserve">Gadā 1 izpēte. </t>
    </r>
    <r>
      <rPr>
        <b/>
        <sz val="12"/>
        <rFont val="Times New Roman"/>
        <family val="1"/>
        <charset val="186"/>
      </rPr>
      <t>Pavisam kopā patēriņš 1 izpētei ir 0,34</t>
    </r>
    <r>
      <rPr>
        <sz val="12"/>
        <rFont val="Times New Roman"/>
        <family val="1"/>
        <charset val="186"/>
      </rPr>
      <t xml:space="preserve"> euro</t>
    </r>
  </si>
  <si>
    <t>Gadā 1 izpēte. Pavisam kopā patēriņš 1 izpētei ir 0,01 euro</t>
  </si>
  <si>
    <r>
      <t xml:space="preserve">Pamatlīdzekļi: </t>
    </r>
    <r>
      <rPr>
        <sz val="12"/>
        <rFont val="Times New Roman"/>
        <family val="1"/>
        <charset val="186"/>
      </rPr>
      <t xml:space="preserve">Gadā 1 izpēte. </t>
    </r>
    <r>
      <rPr>
        <b/>
        <sz val="12"/>
        <rFont val="Times New Roman"/>
        <family val="1"/>
        <charset val="186"/>
      </rPr>
      <t>Pavisam kopā patēriņš 1 izpētei ir 1,67 euro</t>
    </r>
  </si>
  <si>
    <r>
      <t xml:space="preserve">Pamatlīdzeklis:
</t>
    </r>
    <r>
      <rPr>
        <sz val="12"/>
        <rFont val="Times New Roman"/>
        <family val="1"/>
        <charset val="186"/>
      </rPr>
      <t>Gadā 1 izpēte. Pavisam kopā patēriņš 1 izpētei ir 0,07 euro</t>
    </r>
  </si>
  <si>
    <r>
      <t xml:space="preserve">Vidējais uzturēšanas izdevumu apjoms: 
Gadā 1 izpēte. </t>
    </r>
    <r>
      <rPr>
        <b/>
        <sz val="12"/>
        <rFont val="Times New Roman"/>
        <family val="1"/>
        <charset val="186"/>
      </rPr>
      <t>Pavisam kopā patēriņš 1 izpētei ir 0,17 euro</t>
    </r>
  </si>
  <si>
    <r>
      <t>Vidējie izdevumi par komunālajiem pakalpojumiem:</t>
    </r>
    <r>
      <rPr>
        <sz val="12"/>
        <rFont val="Times New Roman"/>
        <family val="1"/>
        <charset val="186"/>
      </rPr>
      <t xml:space="preserve">
Gadā 1 izpēte. </t>
    </r>
    <r>
      <rPr>
        <b/>
        <sz val="12"/>
        <rFont val="Times New Roman"/>
        <family val="1"/>
        <charset val="186"/>
      </rPr>
      <t>Pavisam kopā patēriņš 1 izpētei ir 0,59 euro</t>
    </r>
  </si>
  <si>
    <r>
      <rPr>
        <u/>
        <sz val="12"/>
        <rFont val="Times New Roman"/>
        <family val="1"/>
        <charset val="186"/>
      </rPr>
      <t>Atalgojums.</t>
    </r>
    <r>
      <rPr>
        <sz val="12"/>
        <rFont val="Times New Roman"/>
        <family val="1"/>
        <charset val="186"/>
      </rPr>
      <t xml:space="preserve">
Gadā 1 izpēte. </t>
    </r>
    <r>
      <rPr>
        <b/>
        <sz val="12"/>
        <rFont val="Times New Roman"/>
        <family val="1"/>
        <charset val="186"/>
      </rPr>
      <t>Pavisam kopā 13,60 euro</t>
    </r>
  </si>
  <si>
    <r>
      <t xml:space="preserve">Pamatlīdzekļi: </t>
    </r>
    <r>
      <rPr>
        <b/>
        <u/>
        <sz val="12"/>
        <rFont val="Times New Roman"/>
        <family val="1"/>
        <charset val="186"/>
      </rPr>
      <t>Autopsijas veikšana:</t>
    </r>
    <r>
      <rPr>
        <sz val="12"/>
        <rFont val="Times New Roman"/>
        <family val="1"/>
        <charset val="186"/>
      </rPr>
      <t xml:space="preserve">
</t>
    </r>
    <r>
      <rPr>
        <sz val="12"/>
        <rFont val="Times New Roman"/>
        <family val="1"/>
        <charset val="186"/>
      </rPr>
      <t xml:space="preserve">Gadā 7 autopsijas. </t>
    </r>
    <r>
      <rPr>
        <b/>
        <sz val="12"/>
        <rFont val="Times New Roman"/>
        <family val="1"/>
        <charset val="186"/>
      </rPr>
      <t>Pavisam kopā izmaksas 7 autopsiju veikšanai 86,23</t>
    </r>
    <r>
      <rPr>
        <sz val="12"/>
        <rFont val="Times New Roman"/>
        <family val="1"/>
        <charset val="186"/>
      </rPr>
      <t xml:space="preserve"> euro</t>
    </r>
  </si>
  <si>
    <r>
      <t xml:space="preserve">Autopsijas veikšana:
</t>
    </r>
    <r>
      <rPr>
        <sz val="12"/>
        <rFont val="Times New Roman"/>
        <family val="1"/>
        <charset val="186"/>
      </rPr>
      <t>Gadā 7 autopsijas.</t>
    </r>
    <r>
      <rPr>
        <b/>
        <sz val="12"/>
        <rFont val="Times New Roman"/>
        <family val="1"/>
        <charset val="186"/>
      </rPr>
      <t xml:space="preserve"> Pavisam kopā izmaksas 7 autopsiju veikšanai 1,56 </t>
    </r>
    <r>
      <rPr>
        <sz val="12"/>
        <rFont val="Times New Roman"/>
        <family val="1"/>
        <charset val="186"/>
      </rPr>
      <t xml:space="preserve">euro </t>
    </r>
  </si>
  <si>
    <r>
      <rPr>
        <b/>
        <u/>
        <sz val="12"/>
        <color theme="1"/>
        <rFont val="Times New Roman"/>
        <family val="1"/>
        <charset val="186"/>
      </rPr>
      <t xml:space="preserve">Autopsijas veikšana: </t>
    </r>
    <r>
      <rPr>
        <sz val="12"/>
        <color theme="1"/>
        <rFont val="Times New Roman"/>
        <family val="1"/>
        <charset val="186"/>
      </rPr>
      <t xml:space="preserve">  Gadā 7 autopsijas. </t>
    </r>
    <r>
      <rPr>
        <b/>
        <sz val="12"/>
        <color theme="1"/>
        <rFont val="Times New Roman"/>
        <family val="1"/>
        <charset val="186"/>
      </rPr>
      <t>Pavisam kopā izmaksas 7 autopsiju veikšanai 0,38 euro</t>
    </r>
    <r>
      <rPr>
        <sz val="12"/>
        <color theme="1"/>
        <rFont val="Times New Roman"/>
        <family val="1"/>
        <charset val="186"/>
      </rPr>
      <t xml:space="preserve">  </t>
    </r>
  </si>
  <si>
    <r>
      <rPr>
        <b/>
        <u/>
        <sz val="12"/>
        <rFont val="Times New Roman"/>
        <family val="1"/>
        <charset val="186"/>
      </rPr>
      <t xml:space="preserve">Autopsijas veikšana: </t>
    </r>
    <r>
      <rPr>
        <sz val="12"/>
        <rFont val="Times New Roman"/>
        <family val="1"/>
        <charset val="186"/>
      </rPr>
      <t xml:space="preserve">  Gadā 7 autopsijas. </t>
    </r>
    <r>
      <rPr>
        <b/>
        <sz val="12"/>
        <rFont val="Times New Roman"/>
        <family val="1"/>
        <charset val="186"/>
      </rPr>
      <t>Pavisam kopā izmaksas 7 autopsiju veikšanai</t>
    </r>
    <r>
      <rPr>
        <sz val="12"/>
        <rFont val="Times New Roman"/>
        <family val="1"/>
        <charset val="186"/>
      </rPr>
      <t xml:space="preserve"> </t>
    </r>
    <r>
      <rPr>
        <b/>
        <sz val="12"/>
        <rFont val="Times New Roman"/>
        <family val="1"/>
        <charset val="186"/>
      </rPr>
      <t>0,06</t>
    </r>
    <r>
      <rPr>
        <sz val="12"/>
        <rFont val="Times New Roman"/>
        <family val="1"/>
        <charset val="186"/>
      </rPr>
      <t xml:space="preserve"> euro </t>
    </r>
  </si>
  <si>
    <r>
      <rPr>
        <b/>
        <u/>
        <sz val="12"/>
        <rFont val="Times New Roman"/>
        <family val="1"/>
        <charset val="186"/>
      </rPr>
      <t xml:space="preserve">Autopsijas veikšana:
</t>
    </r>
    <r>
      <rPr>
        <sz val="12"/>
        <rFont val="Times New Roman"/>
        <family val="1"/>
        <charset val="186"/>
      </rPr>
      <t>Vidējie izdevumi par komunālajiem pakalpojumiem:</t>
    </r>
    <r>
      <rPr>
        <sz val="12"/>
        <rFont val="Times New Roman"/>
        <family val="1"/>
        <charset val="186"/>
      </rPr>
      <t xml:space="preserve"> Gadā 7 autopsijas.</t>
    </r>
    <r>
      <rPr>
        <b/>
        <sz val="12"/>
        <rFont val="Times New Roman"/>
        <family val="1"/>
        <charset val="186"/>
      </rPr>
      <t xml:space="preserve"> Pavisam kopā izmaksas 7 autopsiju veikšanai 35,71</t>
    </r>
  </si>
  <si>
    <r>
      <rPr>
        <b/>
        <u/>
        <sz val="12"/>
        <rFont val="Times New Roman"/>
        <family val="1"/>
        <charset val="186"/>
      </rPr>
      <t xml:space="preserve">Autopsijas veikšana:
</t>
    </r>
    <r>
      <rPr>
        <sz val="12"/>
        <rFont val="Times New Roman"/>
        <family val="1"/>
        <charset val="186"/>
      </rPr>
      <t xml:space="preserve">Vidējie izdevumi par uzturēšanu mēnesī: Gadā 7 autopsijas. </t>
    </r>
    <r>
      <rPr>
        <b/>
        <sz val="12"/>
        <rFont val="Times New Roman"/>
        <family val="1"/>
        <charset val="186"/>
      </rPr>
      <t xml:space="preserve">Pavisam kopā izmaksas 7 autopsiju veikšanai 8,26 </t>
    </r>
    <r>
      <rPr>
        <sz val="12"/>
        <rFont val="Times New Roman"/>
        <family val="1"/>
        <charset val="186"/>
      </rPr>
      <t xml:space="preserve">euro </t>
    </r>
  </si>
  <si>
    <r>
      <rPr>
        <u/>
        <sz val="12"/>
        <rFont val="Times New Roman"/>
        <family val="1"/>
        <charset val="186"/>
      </rPr>
      <t xml:space="preserve">Atalgojums. </t>
    </r>
    <r>
      <rPr>
        <sz val="12"/>
        <rFont val="Times New Roman"/>
        <family val="1"/>
        <charset val="186"/>
      </rPr>
      <t xml:space="preserve">Gadā 7 autopsijas. Pavisam kopā izmaksas 7 autopsiju veikšanai </t>
    </r>
    <r>
      <rPr>
        <b/>
        <u/>
        <sz val="12"/>
        <rFont val="Times New Roman"/>
        <family val="1"/>
        <charset val="186"/>
      </rPr>
      <t>1421,07</t>
    </r>
    <r>
      <rPr>
        <sz val="12"/>
        <rFont val="Times New Roman"/>
        <family val="1"/>
        <charset val="186"/>
      </rPr>
      <t>euro</t>
    </r>
    <r>
      <rPr>
        <b/>
        <u/>
        <sz val="12"/>
        <rFont val="Times New Roman"/>
        <family val="1"/>
        <charset val="186"/>
      </rPr>
      <t/>
    </r>
  </si>
  <si>
    <r>
      <t xml:space="preserve">Pamatlīdzeklis:
</t>
    </r>
    <r>
      <rPr>
        <sz val="12"/>
        <color theme="1"/>
        <rFont val="Times New Roman"/>
        <family val="1"/>
        <charset val="186"/>
      </rPr>
      <t xml:space="preserve">Gadā 7 izpētes, patēriņš 7 izpētēm </t>
    </r>
    <r>
      <rPr>
        <b/>
        <u/>
        <sz val="12"/>
        <color theme="1"/>
        <rFont val="Times New Roman"/>
        <family val="1"/>
        <charset val="186"/>
      </rPr>
      <t>4,96</t>
    </r>
    <r>
      <rPr>
        <sz val="12"/>
        <color theme="1"/>
        <rFont val="Times New Roman"/>
        <family val="1"/>
        <charset val="186"/>
      </rPr>
      <t xml:space="preserve"> euro </t>
    </r>
    <r>
      <rPr>
        <b/>
        <u/>
        <sz val="12"/>
        <color theme="1"/>
        <rFont val="Times New Roman"/>
        <family val="1"/>
        <charset val="186"/>
      </rPr>
      <t xml:space="preserve">
</t>
    </r>
  </si>
  <si>
    <r>
      <t xml:space="preserve">Pamatlīdzekļi: </t>
    </r>
    <r>
      <rPr>
        <b/>
        <u/>
        <sz val="12"/>
        <rFont val="Times New Roman"/>
        <family val="1"/>
        <charset val="186"/>
      </rPr>
      <t xml:space="preserve">Histoloģijas laboratorijas pakalpojumi:
</t>
    </r>
    <r>
      <rPr>
        <sz val="12"/>
        <rFont val="Times New Roman"/>
        <family val="1"/>
        <charset val="186"/>
      </rPr>
      <t xml:space="preserve">Gadā 7 izpētes, patēriņš 7 izpētēm ir </t>
    </r>
    <r>
      <rPr>
        <b/>
        <sz val="12"/>
        <rFont val="Times New Roman"/>
        <family val="1"/>
        <charset val="186"/>
      </rPr>
      <t>123,73</t>
    </r>
    <r>
      <rPr>
        <sz val="12"/>
        <rFont val="Times New Roman"/>
        <family val="1"/>
        <charset val="186"/>
      </rPr>
      <t xml:space="preserve"> euro</t>
    </r>
  </si>
  <si>
    <r>
      <t xml:space="preserve">Histoloģijas laboratorijas pakalpojumi:
</t>
    </r>
    <r>
      <rPr>
        <sz val="12"/>
        <rFont val="Times New Roman"/>
        <family val="1"/>
        <charset val="186"/>
      </rPr>
      <t xml:space="preserve">Gadā 7 izpētes, patēriņš 7 izpētēm </t>
    </r>
    <r>
      <rPr>
        <b/>
        <u/>
        <sz val="12"/>
        <rFont val="Times New Roman"/>
        <family val="1"/>
        <charset val="186"/>
      </rPr>
      <t>0,35</t>
    </r>
    <r>
      <rPr>
        <sz val="12"/>
        <rFont val="Times New Roman"/>
        <family val="1"/>
        <charset val="186"/>
      </rPr>
      <t xml:space="preserve"> euro</t>
    </r>
  </si>
  <si>
    <r>
      <rPr>
        <b/>
        <u/>
        <sz val="12"/>
        <color theme="1"/>
        <rFont val="Times New Roman"/>
        <family val="1"/>
        <charset val="186"/>
      </rPr>
      <t xml:space="preserve">Histoloģijas laboratorijas pakalpojumi:
</t>
    </r>
    <r>
      <rPr>
        <sz val="12"/>
        <color theme="1"/>
        <rFont val="Times New Roman"/>
        <family val="1"/>
        <charset val="186"/>
      </rPr>
      <t xml:space="preserve">Gadā 7 izpētes, patēriņš 7 izpēšu veikšanai </t>
    </r>
    <r>
      <rPr>
        <b/>
        <sz val="12"/>
        <color theme="1"/>
        <rFont val="Times New Roman"/>
        <family val="1"/>
        <charset val="186"/>
      </rPr>
      <t>37,65</t>
    </r>
    <r>
      <rPr>
        <sz val="12"/>
        <color theme="1"/>
        <rFont val="Times New Roman"/>
        <family val="1"/>
        <charset val="186"/>
      </rPr>
      <t xml:space="preserve"> euro</t>
    </r>
  </si>
  <si>
    <r>
      <rPr>
        <b/>
        <u/>
        <sz val="12"/>
        <color theme="1"/>
        <rFont val="Times New Roman"/>
        <family val="1"/>
        <charset val="186"/>
      </rPr>
      <t xml:space="preserve">Histoloģijas laboratorijas pakalpojumi:
</t>
    </r>
    <r>
      <rPr>
        <sz val="12"/>
        <color theme="1"/>
        <rFont val="Times New Roman"/>
        <family val="1"/>
        <charset val="186"/>
      </rPr>
      <t xml:space="preserve">Gadā 7 izpētes, patēriņš 7 izpētēm </t>
    </r>
    <r>
      <rPr>
        <b/>
        <u/>
        <sz val="12"/>
        <color theme="1"/>
        <rFont val="Times New Roman"/>
        <family val="1"/>
        <charset val="186"/>
      </rPr>
      <t>0,39</t>
    </r>
    <r>
      <rPr>
        <sz val="12"/>
        <color theme="1"/>
        <rFont val="Times New Roman"/>
        <family val="1"/>
        <charset val="186"/>
      </rPr>
      <t xml:space="preserve"> euro </t>
    </r>
  </si>
  <si>
    <r>
      <rPr>
        <b/>
        <u/>
        <sz val="12"/>
        <rFont val="Times New Roman"/>
        <family val="1"/>
        <charset val="186"/>
      </rPr>
      <t xml:space="preserve">Histoloģijas laboratorijas pakalpojumi:
</t>
    </r>
    <r>
      <rPr>
        <sz val="12"/>
        <rFont val="Times New Roman"/>
        <family val="1"/>
        <charset val="186"/>
      </rPr>
      <t xml:space="preserve">Gadā 7 izpētes, patēriņš 7 izpētēm </t>
    </r>
    <r>
      <rPr>
        <b/>
        <sz val="12"/>
        <rFont val="Times New Roman"/>
        <family val="1"/>
        <charset val="186"/>
      </rPr>
      <t>0,022</t>
    </r>
    <r>
      <rPr>
        <sz val="12"/>
        <rFont val="Times New Roman"/>
        <family val="1"/>
        <charset val="186"/>
      </rPr>
      <t xml:space="preserve"> euro </t>
    </r>
  </si>
  <si>
    <r>
      <rPr>
        <b/>
        <u/>
        <sz val="12"/>
        <rFont val="Times New Roman"/>
        <family val="1"/>
        <charset val="186"/>
      </rPr>
      <t>Histoloģijas laboratorijas pakalpojumi:</t>
    </r>
    <r>
      <rPr>
        <b/>
        <u/>
        <sz val="12"/>
        <color rgb="FFFF0000"/>
        <rFont val="Times New Roman"/>
        <family val="1"/>
        <charset val="186"/>
      </rPr>
      <t xml:space="preserve">
</t>
    </r>
    <r>
      <rPr>
        <sz val="12"/>
        <rFont val="Times New Roman"/>
        <family val="1"/>
        <charset val="186"/>
      </rPr>
      <t>Biroja preces</t>
    </r>
    <r>
      <rPr>
        <sz val="12"/>
        <rFont val="Times New Roman"/>
        <family val="1"/>
        <charset val="186"/>
      </rPr>
      <t xml:space="preserve"> Gadā 7 izpētes, patēriņš 7 izpētēm </t>
    </r>
    <r>
      <rPr>
        <b/>
        <sz val="12"/>
        <rFont val="Times New Roman"/>
        <family val="1"/>
        <charset val="186"/>
      </rPr>
      <t>0,36</t>
    </r>
    <r>
      <rPr>
        <sz val="12"/>
        <rFont val="Times New Roman"/>
        <family val="1"/>
        <charset val="186"/>
      </rPr>
      <t xml:space="preserve"> euro</t>
    </r>
  </si>
  <si>
    <r>
      <rPr>
        <b/>
        <u/>
        <sz val="12"/>
        <rFont val="Times New Roman"/>
        <family val="1"/>
        <charset val="186"/>
      </rPr>
      <t xml:space="preserve">Histoloģijas laboratorijas pakalpojumi: </t>
    </r>
    <r>
      <rPr>
        <sz val="12"/>
        <rFont val="Times New Roman"/>
        <family val="1"/>
        <charset val="186"/>
      </rPr>
      <t>Vidējais uzturēšanas izdevumu apjoms mēnesī: Gadā 7 izpētes, patēriņš uz 7 izpētēm ir</t>
    </r>
    <r>
      <rPr>
        <b/>
        <sz val="12"/>
        <rFont val="Times New Roman"/>
        <family val="1"/>
        <charset val="186"/>
      </rPr>
      <t xml:space="preserve"> 12,37</t>
    </r>
    <r>
      <rPr>
        <sz val="12"/>
        <rFont val="Times New Roman"/>
        <family val="1"/>
        <charset val="186"/>
      </rPr>
      <t xml:space="preserve"> euro</t>
    </r>
  </si>
  <si>
    <r>
      <rPr>
        <b/>
        <u/>
        <sz val="12"/>
        <rFont val="Times New Roman"/>
        <family val="1"/>
        <charset val="186"/>
      </rPr>
      <t xml:space="preserve">Histoloģijas laboratorijas pakalpojumi: </t>
    </r>
    <r>
      <rPr>
        <sz val="12"/>
        <rFont val="Times New Roman"/>
        <family val="1"/>
        <charset val="186"/>
      </rPr>
      <t xml:space="preserve">Vidējie izdevumi par komunālajiem pakalpojumiem: </t>
    </r>
    <r>
      <rPr>
        <sz val="12"/>
        <rFont val="Times New Roman"/>
        <family val="1"/>
        <charset val="186"/>
      </rPr>
      <t xml:space="preserve">Gadā 7 izpētes, patēriņš uz 7 izpētēm </t>
    </r>
    <r>
      <rPr>
        <b/>
        <sz val="12"/>
        <rFont val="Times New Roman"/>
        <family val="1"/>
        <charset val="186"/>
      </rPr>
      <t>43,31</t>
    </r>
    <r>
      <rPr>
        <sz val="12"/>
        <rFont val="Times New Roman"/>
        <family val="1"/>
        <charset val="186"/>
      </rPr>
      <t>euro</t>
    </r>
  </si>
  <si>
    <r>
      <rPr>
        <u/>
        <sz val="12"/>
        <rFont val="Times New Roman"/>
        <family val="1"/>
        <charset val="186"/>
      </rPr>
      <t xml:space="preserve">Atalgojums. </t>
    </r>
    <r>
      <rPr>
        <sz val="12"/>
        <rFont val="Times New Roman"/>
        <family val="1"/>
        <charset val="186"/>
      </rPr>
      <t xml:space="preserve">Gadā 7 izpētes. Pavisam kopā izmaksas autopsijas veikšanai </t>
    </r>
    <r>
      <rPr>
        <b/>
        <u/>
        <sz val="12"/>
        <rFont val="Times New Roman"/>
        <family val="1"/>
        <charset val="186"/>
      </rPr>
      <t>941,39</t>
    </r>
    <r>
      <rPr>
        <sz val="12"/>
        <rFont val="Times New Roman"/>
        <family val="1"/>
        <charset val="186"/>
      </rPr>
      <t xml:space="preserve"> euro</t>
    </r>
  </si>
  <si>
    <r>
      <t xml:space="preserve">Pamatlīdzekļi: 
</t>
    </r>
    <r>
      <rPr>
        <b/>
        <u/>
        <sz val="12"/>
        <rFont val="Times New Roman"/>
        <family val="1"/>
        <charset val="186"/>
      </rPr>
      <t>Ķīmiski toskikoloģiskā izpēte ar gāzes hromatogrāfijas metodi alkohola un tā surogātu noteikšanai:</t>
    </r>
    <r>
      <rPr>
        <sz val="12"/>
        <rFont val="Times New Roman"/>
        <family val="1"/>
        <charset val="186"/>
      </rPr>
      <t xml:space="preserve">
</t>
    </r>
    <r>
      <rPr>
        <sz val="12"/>
        <rFont val="Times New Roman"/>
        <family val="1"/>
        <charset val="186"/>
      </rPr>
      <t xml:space="preserve">Gadā 7 izpētes. Pavisam kopā izmaksas izpētes veikšanai </t>
    </r>
    <r>
      <rPr>
        <b/>
        <u/>
        <sz val="12"/>
        <rFont val="Times New Roman"/>
        <family val="1"/>
        <charset val="186"/>
      </rPr>
      <t>22,62</t>
    </r>
    <r>
      <rPr>
        <sz val="12"/>
        <rFont val="Times New Roman"/>
        <family val="1"/>
        <charset val="186"/>
      </rPr>
      <t xml:space="preserve"> euro </t>
    </r>
  </si>
  <si>
    <r>
      <rPr>
        <b/>
        <u/>
        <sz val="12"/>
        <color theme="1"/>
        <rFont val="Times New Roman"/>
        <family val="1"/>
        <charset val="186"/>
      </rPr>
      <t>Ķīmiski toskikoloģiskā izpēte ar gāzes hromatogrāfijas metodi alkohola un tā surogātu noteikšanai:</t>
    </r>
    <r>
      <rPr>
        <sz val="12"/>
        <color theme="1"/>
        <rFont val="Times New Roman"/>
        <family val="1"/>
        <charset val="186"/>
      </rPr>
      <t xml:space="preserve">
Spectērpu izdevumi: </t>
    </r>
    <r>
      <rPr>
        <sz val="12"/>
        <color theme="1"/>
        <rFont val="Times New Roman"/>
        <family val="1"/>
        <charset val="186"/>
      </rPr>
      <t xml:space="preserve">Gadā 7 izpētes. Pavisam kopā izmaksas izpētes veikšanai </t>
    </r>
    <r>
      <rPr>
        <b/>
        <u/>
        <sz val="12"/>
        <color theme="1"/>
        <rFont val="Times New Roman"/>
        <family val="1"/>
        <charset val="186"/>
      </rPr>
      <t>0,02</t>
    </r>
    <r>
      <rPr>
        <sz val="12"/>
        <color theme="1"/>
        <rFont val="Times New Roman"/>
        <family val="1"/>
        <charset val="186"/>
      </rPr>
      <t xml:space="preserve"> euro</t>
    </r>
  </si>
  <si>
    <r>
      <rPr>
        <b/>
        <u/>
        <sz val="12"/>
        <color theme="1"/>
        <rFont val="Times New Roman"/>
        <family val="1"/>
        <charset val="186"/>
      </rPr>
      <t>Ķīmiski toskikoloģiskā izpēte ar gāzes hromatogrāfijas metodi alkohola un tā surogātu noteikšanai:</t>
    </r>
    <r>
      <rPr>
        <sz val="12"/>
        <color theme="1"/>
        <rFont val="Times New Roman"/>
        <family val="1"/>
        <charset val="186"/>
      </rPr>
      <t xml:space="preserve">
Daudzreiz lietojamās preces:</t>
    </r>
    <r>
      <rPr>
        <sz val="12"/>
        <color theme="1"/>
        <rFont val="Times New Roman"/>
        <family val="1"/>
        <charset val="186"/>
      </rPr>
      <t xml:space="preserve"> Gadā 7 izpētes. Pavisam kopā izmaksas izpētes veikšanai </t>
    </r>
    <r>
      <rPr>
        <b/>
        <u/>
        <sz val="12"/>
        <color theme="1"/>
        <rFont val="Times New Roman"/>
        <family val="1"/>
        <charset val="186"/>
      </rPr>
      <t>0,05</t>
    </r>
    <r>
      <rPr>
        <sz val="12"/>
        <color theme="1"/>
        <rFont val="Times New Roman"/>
        <family val="1"/>
        <charset val="186"/>
      </rPr>
      <t xml:space="preserve"> euro </t>
    </r>
  </si>
  <si>
    <r>
      <rPr>
        <b/>
        <u/>
        <sz val="12"/>
        <rFont val="Times New Roman"/>
        <family val="1"/>
        <charset val="186"/>
      </rPr>
      <t>Ķīmiski toskikoloģiskā izpēte ar gāzes hromatogrāfijas metodi alkohola un tā surogātu noteikšanai:</t>
    </r>
    <r>
      <rPr>
        <sz val="12"/>
        <rFont val="Times New Roman"/>
        <family val="1"/>
        <charset val="186"/>
      </rPr>
      <t xml:space="preserve">
Biroja preces: </t>
    </r>
    <r>
      <rPr>
        <sz val="12"/>
        <rFont val="Times New Roman"/>
        <family val="1"/>
        <charset val="186"/>
      </rPr>
      <t xml:space="preserve">Gadā 7 izpētes. Pavisam kopā izmaksas izpētes veikšanai </t>
    </r>
    <r>
      <rPr>
        <b/>
        <u/>
        <sz val="12"/>
        <rFont val="Times New Roman"/>
        <family val="1"/>
        <charset val="186"/>
      </rPr>
      <t>0,09</t>
    </r>
    <r>
      <rPr>
        <sz val="12"/>
        <rFont val="Times New Roman"/>
        <family val="1"/>
        <charset val="186"/>
      </rPr>
      <t xml:space="preserve"> euro </t>
    </r>
  </si>
  <si>
    <r>
      <rPr>
        <b/>
        <u/>
        <sz val="12"/>
        <rFont val="Times New Roman"/>
        <family val="1"/>
        <charset val="186"/>
      </rPr>
      <t>Ķīmiski toskikoloģiskā izpēte ar gāzes hromatogrāfijas metodi alkohola un tā surogātu noteikšanai:</t>
    </r>
    <r>
      <rPr>
        <sz val="12"/>
        <rFont val="Times New Roman"/>
        <family val="1"/>
        <charset val="186"/>
      </rPr>
      <t xml:space="preserve">
Vidējais uzturēšanas izdevumu apjoms mēnesī: Gadā 7 izpētes. Pavisam kopā izmaksas izpētes veikšanai </t>
    </r>
    <r>
      <rPr>
        <b/>
        <u/>
        <sz val="12"/>
        <rFont val="Times New Roman"/>
        <family val="1"/>
        <charset val="186"/>
      </rPr>
      <t>2,26</t>
    </r>
    <r>
      <rPr>
        <sz val="12"/>
        <rFont val="Times New Roman"/>
        <family val="1"/>
        <charset val="186"/>
      </rPr>
      <t xml:space="preserve"> euro </t>
    </r>
  </si>
  <si>
    <r>
      <rPr>
        <b/>
        <u/>
        <sz val="12"/>
        <rFont val="Times New Roman"/>
        <family val="1"/>
        <charset val="186"/>
      </rPr>
      <t>Ķīmiski toskikoloģiskā izpēte ar gāzes hromatogrāfijas metodi alkohola un tā surogātu noteikšanai:</t>
    </r>
    <r>
      <rPr>
        <sz val="12"/>
        <rFont val="Times New Roman"/>
        <family val="1"/>
        <charset val="186"/>
      </rPr>
      <t xml:space="preserve">
Vidējie izdevumi par komunālajiem pakalpojumiem: </t>
    </r>
    <r>
      <rPr>
        <sz val="12"/>
        <rFont val="Times New Roman"/>
        <family val="1"/>
        <charset val="186"/>
      </rPr>
      <t xml:space="preserve">Gadā 7 izpētes. Pavisam kopā izmaksas izpētes veikšanai </t>
    </r>
    <r>
      <rPr>
        <b/>
        <u/>
        <sz val="12"/>
        <rFont val="Times New Roman"/>
        <family val="1"/>
        <charset val="186"/>
      </rPr>
      <t>7,92</t>
    </r>
    <r>
      <rPr>
        <sz val="12"/>
        <rFont val="Times New Roman"/>
        <family val="1"/>
        <charset val="186"/>
      </rPr>
      <t xml:space="preserve"> euro </t>
    </r>
  </si>
  <si>
    <r>
      <rPr>
        <u/>
        <sz val="12"/>
        <rFont val="Times New Roman"/>
        <family val="1"/>
        <charset val="186"/>
      </rPr>
      <t xml:space="preserve">Atalgojums. </t>
    </r>
    <r>
      <rPr>
        <sz val="12"/>
        <rFont val="Times New Roman"/>
        <family val="1"/>
        <charset val="186"/>
      </rPr>
      <t xml:space="preserve"> Gadā 7 izpētes. Pavisam kopā izmaksas ķīmiski toksikoloģiskai izpētei </t>
    </r>
    <r>
      <rPr>
        <b/>
        <u/>
        <sz val="12"/>
        <rFont val="Times New Roman"/>
        <family val="1"/>
        <charset val="186"/>
      </rPr>
      <t xml:space="preserve">106,14 </t>
    </r>
    <r>
      <rPr>
        <sz val="12"/>
        <rFont val="Times New Roman"/>
        <family val="1"/>
        <charset val="186"/>
      </rPr>
      <t xml:space="preserve">euro </t>
    </r>
  </si>
  <si>
    <r>
      <rPr>
        <b/>
        <u/>
        <sz val="12"/>
        <color theme="1"/>
        <rFont val="Times New Roman"/>
        <family val="1"/>
        <charset val="186"/>
      </rPr>
      <t xml:space="preserve">Autopsijas veikšana:
</t>
    </r>
    <r>
      <rPr>
        <sz val="12"/>
        <color theme="1"/>
        <rFont val="Times New Roman"/>
        <family val="1"/>
        <charset val="186"/>
      </rPr>
      <t xml:space="preserve">Spectērpu izdevumi: Izdevumi 1 izpētes veikšanai </t>
    </r>
    <r>
      <rPr>
        <b/>
        <u/>
        <sz val="12"/>
        <color theme="1"/>
        <rFont val="Times New Roman"/>
        <family val="1"/>
        <charset val="186"/>
      </rPr>
      <t xml:space="preserve">0,05 </t>
    </r>
    <r>
      <rPr>
        <sz val="12"/>
        <color theme="1"/>
        <rFont val="Times New Roman"/>
        <family val="1"/>
        <charset val="186"/>
      </rPr>
      <t>euro.</t>
    </r>
  </si>
  <si>
    <r>
      <rPr>
        <b/>
        <u/>
        <sz val="12"/>
        <rFont val="Times New Roman"/>
        <family val="1"/>
        <charset val="186"/>
      </rPr>
      <t xml:space="preserve">Autopsijas veikšana:
</t>
    </r>
    <r>
      <rPr>
        <b/>
        <u/>
        <sz val="12"/>
        <rFont val="Times New Roman"/>
        <family val="1"/>
        <charset val="186"/>
      </rPr>
      <t>Izdevumi 1 izpētes veikšanai 0,01 euro</t>
    </r>
    <r>
      <rPr>
        <sz val="12"/>
        <rFont val="Times New Roman"/>
        <family val="1"/>
        <charset val="186"/>
      </rPr>
      <t xml:space="preserve"> </t>
    </r>
    <r>
      <rPr>
        <b/>
        <u/>
        <sz val="12"/>
        <rFont val="Times New Roman"/>
        <family val="1"/>
        <charset val="186"/>
      </rPr>
      <t/>
    </r>
  </si>
  <si>
    <r>
      <rPr>
        <b/>
        <u/>
        <sz val="12"/>
        <rFont val="Times New Roman"/>
        <family val="1"/>
        <charset val="186"/>
      </rPr>
      <t xml:space="preserve">Autopsijas veikšana:
</t>
    </r>
    <r>
      <rPr>
        <sz val="12"/>
        <rFont val="Times New Roman"/>
        <family val="1"/>
        <charset val="186"/>
      </rPr>
      <t xml:space="preserve">Biroja preces:  Patēriņš 1 izpētei ir </t>
    </r>
    <r>
      <rPr>
        <b/>
        <sz val="12"/>
        <rFont val="Times New Roman"/>
        <family val="1"/>
        <charset val="186"/>
      </rPr>
      <t>0,26</t>
    </r>
    <r>
      <rPr>
        <sz val="12"/>
        <rFont val="Times New Roman"/>
        <family val="1"/>
        <charset val="186"/>
      </rPr>
      <t xml:space="preserve"> euro = (0,009 euro+0,004 euro)*20 gb</t>
    </r>
    <r>
      <rPr>
        <sz val="12"/>
        <rFont val="Times New Roman"/>
        <family val="1"/>
        <charset val="186"/>
      </rPr>
      <t/>
    </r>
  </si>
  <si>
    <r>
      <rPr>
        <b/>
        <u/>
        <sz val="12"/>
        <rFont val="Times New Roman"/>
        <family val="1"/>
        <charset val="186"/>
      </rPr>
      <t xml:space="preserve">Autopsijas veikšana:
</t>
    </r>
    <r>
      <rPr>
        <sz val="12"/>
        <rFont val="Times New Roman"/>
        <family val="1"/>
        <charset val="186"/>
      </rPr>
      <t>Vidējie izdevumi par uzturēšanu mēnesī: Izdevumi 1 autopsijas veikšanai</t>
    </r>
    <r>
      <rPr>
        <b/>
        <sz val="12"/>
        <rFont val="Times New Roman"/>
        <family val="1"/>
        <charset val="186"/>
      </rPr>
      <t xml:space="preserve"> 1,18</t>
    </r>
    <r>
      <rPr>
        <sz val="12"/>
        <rFont val="Times New Roman"/>
        <family val="1"/>
        <charset val="186"/>
      </rPr>
      <t xml:space="preserve"> euro </t>
    </r>
  </si>
  <si>
    <r>
      <rPr>
        <b/>
        <u/>
        <sz val="12"/>
        <rFont val="Times New Roman"/>
        <family val="1"/>
        <charset val="186"/>
      </rPr>
      <t xml:space="preserve">Autopsijas veikšana:
</t>
    </r>
    <r>
      <rPr>
        <sz val="12"/>
        <rFont val="Times New Roman"/>
        <family val="1"/>
        <charset val="186"/>
      </rPr>
      <t xml:space="preserve">Vidējie izdevumi par komunālajiem pakalpojumiem mēnesī: Izdevumi 1 autopsijas veikšanai </t>
    </r>
    <r>
      <rPr>
        <b/>
        <sz val="12"/>
        <rFont val="Times New Roman"/>
        <family val="1"/>
        <charset val="186"/>
      </rPr>
      <t>5,10 euro</t>
    </r>
    <r>
      <rPr>
        <sz val="12"/>
        <rFont val="Times New Roman"/>
        <family val="1"/>
        <charset val="186"/>
      </rPr>
      <t xml:space="preserve"> </t>
    </r>
  </si>
  <si>
    <r>
      <rPr>
        <u/>
        <sz val="12"/>
        <rFont val="Times New Roman"/>
        <family val="1"/>
        <charset val="186"/>
      </rPr>
      <t xml:space="preserve">Atalgojums. </t>
    </r>
    <r>
      <rPr>
        <sz val="12"/>
        <rFont val="Times New Roman"/>
        <family val="1"/>
        <charset val="186"/>
      </rPr>
      <t xml:space="preserve">Gadā 1 autopsija. Pavisam kopā izmaksas autopsijas veikšanai </t>
    </r>
    <r>
      <rPr>
        <b/>
        <u/>
        <sz val="12"/>
        <rFont val="Times New Roman"/>
        <family val="1"/>
        <charset val="186"/>
      </rPr>
      <t>296,30</t>
    </r>
    <r>
      <rPr>
        <sz val="12"/>
        <rFont val="Times New Roman"/>
        <family val="1"/>
        <charset val="186"/>
      </rPr>
      <t xml:space="preserve"> euro </t>
    </r>
  </si>
  <si>
    <r>
      <t xml:space="preserve">Pamatlīdzekļi: </t>
    </r>
    <r>
      <rPr>
        <b/>
        <u/>
        <sz val="12"/>
        <rFont val="Times New Roman"/>
        <family val="1"/>
        <charset val="186"/>
      </rPr>
      <t xml:space="preserve">Histoloģijas laboratorijas pakalpojumi:
</t>
    </r>
    <r>
      <rPr>
        <sz val="12"/>
        <rFont val="Times New Roman"/>
        <family val="1"/>
        <charset val="186"/>
      </rPr>
      <t xml:space="preserve">Patēriņš uz 1 izpēti ir </t>
    </r>
    <r>
      <rPr>
        <b/>
        <sz val="12"/>
        <rFont val="Times New Roman"/>
        <family val="1"/>
        <charset val="186"/>
      </rPr>
      <t>17,68</t>
    </r>
    <r>
      <rPr>
        <sz val="12"/>
        <rFont val="Times New Roman"/>
        <family val="1"/>
        <charset val="186"/>
      </rPr>
      <t xml:space="preserve"> euro </t>
    </r>
    <r>
      <rPr>
        <b/>
        <u/>
        <sz val="12"/>
        <rFont val="Times New Roman"/>
        <family val="1"/>
        <charset val="186"/>
      </rPr>
      <t/>
    </r>
  </si>
  <si>
    <r>
      <t xml:space="preserve">Histoloģijas laboratorijas pakalpojumi:
</t>
    </r>
    <r>
      <rPr>
        <sz val="12"/>
        <rFont val="Times New Roman"/>
        <family val="1"/>
        <charset val="186"/>
      </rPr>
      <t xml:space="preserve">Izdevumi kopā 1 izpētes veikšanai </t>
    </r>
    <r>
      <rPr>
        <b/>
        <u/>
        <sz val="12"/>
        <rFont val="Times New Roman"/>
        <family val="1"/>
        <charset val="186"/>
      </rPr>
      <t xml:space="preserve">0,05 </t>
    </r>
    <r>
      <rPr>
        <sz val="12"/>
        <rFont val="Times New Roman"/>
        <family val="1"/>
        <charset val="186"/>
      </rPr>
      <t>euro</t>
    </r>
  </si>
  <si>
    <r>
      <rPr>
        <b/>
        <u/>
        <sz val="12"/>
        <color theme="1"/>
        <rFont val="Times New Roman"/>
        <family val="1"/>
        <charset val="186"/>
      </rPr>
      <t xml:space="preserve">Histoloģijas laboratorijas pakalpojumi:
</t>
    </r>
    <r>
      <rPr>
        <b/>
        <u/>
        <sz val="12"/>
        <color theme="1"/>
        <rFont val="Times New Roman"/>
        <family val="1"/>
        <charset val="186"/>
      </rPr>
      <t xml:space="preserve">Kopā 1 izpētes veikšanai 5,38 </t>
    </r>
    <r>
      <rPr>
        <sz val="12"/>
        <color theme="1"/>
        <rFont val="Times New Roman"/>
        <family val="1"/>
        <charset val="186"/>
      </rPr>
      <t>euro</t>
    </r>
  </si>
  <si>
    <r>
      <rPr>
        <b/>
        <u/>
        <sz val="12"/>
        <color theme="1"/>
        <rFont val="Times New Roman"/>
        <family val="1"/>
        <charset val="186"/>
      </rPr>
      <t xml:space="preserve">Histoloģijas laboratorijas pakalpojumi:
</t>
    </r>
    <r>
      <rPr>
        <sz val="12"/>
        <color theme="1"/>
        <rFont val="Times New Roman"/>
        <family val="1"/>
        <charset val="186"/>
      </rPr>
      <t xml:space="preserve">Spectērpu izdevumi: </t>
    </r>
    <r>
      <rPr>
        <sz val="12"/>
        <color theme="1"/>
        <rFont val="Times New Roman"/>
        <family val="1"/>
        <charset val="186"/>
      </rPr>
      <t xml:space="preserve">Izdevumi 1 izpētes veikšanai </t>
    </r>
    <r>
      <rPr>
        <b/>
        <u/>
        <sz val="12"/>
        <color theme="1"/>
        <rFont val="Times New Roman"/>
        <family val="1"/>
        <charset val="186"/>
      </rPr>
      <t>0,06</t>
    </r>
    <r>
      <rPr>
        <sz val="12"/>
        <color theme="1"/>
        <rFont val="Times New Roman"/>
        <family val="1"/>
        <charset val="186"/>
      </rPr>
      <t xml:space="preserve"> euro </t>
    </r>
  </si>
  <si>
    <r>
      <rPr>
        <b/>
        <u/>
        <sz val="12"/>
        <rFont val="Times New Roman"/>
        <family val="1"/>
        <charset val="186"/>
      </rPr>
      <t xml:space="preserve">Histoloģijas laboratorijas pakalpojumi:
</t>
    </r>
    <r>
      <rPr>
        <b/>
        <u/>
        <sz val="12"/>
        <rFont val="Times New Roman"/>
        <family val="1"/>
        <charset val="186"/>
      </rPr>
      <t>Izdevumi 1 izpētes veikšanai 0,003 euro</t>
    </r>
    <r>
      <rPr>
        <b/>
        <u/>
        <sz val="12"/>
        <rFont val="Times New Roman"/>
        <family val="1"/>
        <charset val="186"/>
      </rPr>
      <t/>
    </r>
  </si>
  <si>
    <r>
      <rPr>
        <b/>
        <u/>
        <sz val="12"/>
        <rFont val="Times New Roman"/>
        <family val="1"/>
        <charset val="186"/>
      </rPr>
      <t>Histoloģijas laboratorijas pakalpojumi:</t>
    </r>
    <r>
      <rPr>
        <b/>
        <u/>
        <sz val="12"/>
        <color rgb="FFFF0000"/>
        <rFont val="Times New Roman"/>
        <family val="1"/>
        <charset val="186"/>
      </rPr>
      <t xml:space="preserve">
</t>
    </r>
    <r>
      <rPr>
        <sz val="12"/>
        <rFont val="Times New Roman"/>
        <family val="1"/>
        <charset val="186"/>
      </rPr>
      <t xml:space="preserve">Biroja preces: Patēriņš 1 izpētei ir </t>
    </r>
    <r>
      <rPr>
        <b/>
        <sz val="12"/>
        <rFont val="Times New Roman"/>
        <family val="1"/>
        <charset val="186"/>
      </rPr>
      <t xml:space="preserve">0,05 </t>
    </r>
    <r>
      <rPr>
        <sz val="12"/>
        <rFont val="Times New Roman"/>
        <family val="1"/>
        <charset val="186"/>
      </rPr>
      <t>euro</t>
    </r>
  </si>
  <si>
    <r>
      <rPr>
        <b/>
        <u/>
        <sz val="12"/>
        <rFont val="Times New Roman"/>
        <family val="1"/>
        <charset val="186"/>
      </rPr>
      <t xml:space="preserve">Histoloģijas laboratorijas pakalpojumi: </t>
    </r>
    <r>
      <rPr>
        <sz val="12"/>
        <rFont val="Times New Roman"/>
        <family val="1"/>
        <charset val="186"/>
      </rPr>
      <t>Vidējais uzturēšanas izdevumu apjoms mēnesī: Patēriņš uz 1 izpēti ir</t>
    </r>
    <r>
      <rPr>
        <b/>
        <sz val="12"/>
        <rFont val="Times New Roman"/>
        <family val="1"/>
        <charset val="186"/>
      </rPr>
      <t xml:space="preserve"> 1,77</t>
    </r>
    <r>
      <rPr>
        <sz val="12"/>
        <rFont val="Times New Roman"/>
        <family val="1"/>
        <charset val="186"/>
      </rPr>
      <t xml:space="preserve"> euro </t>
    </r>
    <r>
      <rPr>
        <b/>
        <u/>
        <sz val="12"/>
        <rFont val="Times New Roman"/>
        <family val="1"/>
        <charset val="186"/>
      </rPr>
      <t/>
    </r>
  </si>
  <si>
    <r>
      <rPr>
        <b/>
        <u/>
        <sz val="12"/>
        <rFont val="Times New Roman"/>
        <family val="1"/>
        <charset val="186"/>
      </rPr>
      <t xml:space="preserve">Histoloģijas laboratorijas pakalpojumi: </t>
    </r>
    <r>
      <rPr>
        <sz val="12"/>
        <rFont val="Times New Roman"/>
        <family val="1"/>
        <charset val="186"/>
      </rPr>
      <t xml:space="preserve">Vidējie izdevumi par komunālajiem pakalpojumiem: Patēriņš uz 1 izpēti ir </t>
    </r>
    <r>
      <rPr>
        <b/>
        <sz val="12"/>
        <rFont val="Times New Roman"/>
        <family val="1"/>
        <charset val="186"/>
      </rPr>
      <t>6,19</t>
    </r>
    <r>
      <rPr>
        <sz val="12"/>
        <rFont val="Times New Roman"/>
        <family val="1"/>
        <charset val="186"/>
      </rPr>
      <t xml:space="preserve"> euro</t>
    </r>
    <r>
      <rPr>
        <b/>
        <u/>
        <sz val="12"/>
        <rFont val="Times New Roman"/>
        <family val="1"/>
        <charset val="186"/>
      </rPr>
      <t/>
    </r>
  </si>
  <si>
    <r>
      <rPr>
        <u/>
        <sz val="12"/>
        <rFont val="Times New Roman"/>
        <family val="1"/>
        <charset val="186"/>
      </rPr>
      <t>Atalgojums.</t>
    </r>
    <r>
      <rPr>
        <sz val="12"/>
        <rFont val="Times New Roman"/>
        <family val="1"/>
        <charset val="186"/>
      </rPr>
      <t xml:space="preserve"> Gadā 1 izpēte. Pavisam kopā izmaksas autopsijas veikšanai </t>
    </r>
    <r>
      <rPr>
        <b/>
        <u/>
        <sz val="12"/>
        <rFont val="Times New Roman"/>
        <family val="1"/>
        <charset val="186"/>
      </rPr>
      <t>134,48</t>
    </r>
    <r>
      <rPr>
        <sz val="12"/>
        <rFont val="Times New Roman"/>
        <family val="1"/>
        <charset val="186"/>
      </rPr>
      <t xml:space="preserve"> euro </t>
    </r>
  </si>
  <si>
    <r>
      <rPr>
        <b/>
        <u/>
        <sz val="12"/>
        <color theme="1"/>
        <rFont val="Times New Roman"/>
        <family val="1"/>
        <charset val="186"/>
      </rPr>
      <t>Ķīmiski toskikoloģiskā izpēte ar gāzes hromatogrāfijas metodi alkohola un tā surogātu noteikšanai:</t>
    </r>
    <r>
      <rPr>
        <sz val="12"/>
        <color theme="1"/>
        <rFont val="Times New Roman"/>
        <family val="1"/>
        <charset val="186"/>
      </rPr>
      <t xml:space="preserve">
Izdevumi laboratorijas precēm:
</t>
    </r>
    <r>
      <rPr>
        <u/>
        <sz val="12"/>
        <color theme="1"/>
        <rFont val="Times New Roman"/>
        <family val="1"/>
        <charset val="186"/>
      </rPr>
      <t xml:space="preserve">Pavisam kopā izdevumi labarotorijas precēm ir </t>
    </r>
    <r>
      <rPr>
        <b/>
        <u/>
        <sz val="12"/>
        <color theme="1"/>
        <rFont val="Times New Roman"/>
        <family val="1"/>
        <charset val="186"/>
      </rPr>
      <t>7,24</t>
    </r>
    <r>
      <rPr>
        <b/>
        <sz val="12"/>
        <color theme="1"/>
        <rFont val="Times New Roman"/>
        <family val="1"/>
        <charset val="186"/>
      </rPr>
      <t xml:space="preserve"> </t>
    </r>
    <r>
      <rPr>
        <sz val="12"/>
        <color theme="1"/>
        <rFont val="Times New Roman"/>
        <family val="1"/>
        <charset val="186"/>
      </rPr>
      <t>euro</t>
    </r>
  </si>
  <si>
    <r>
      <rPr>
        <b/>
        <u/>
        <sz val="12"/>
        <color theme="1"/>
        <rFont val="Times New Roman"/>
        <family val="1"/>
        <charset val="186"/>
      </rPr>
      <t>Ķīmiski toskikoloģiskā izpēte ar gāzes hromatogrāfijas metodi alkohola un tā surogātu noteikšanai:</t>
    </r>
    <r>
      <rPr>
        <sz val="12"/>
        <color theme="1"/>
        <rFont val="Times New Roman"/>
        <family val="1"/>
        <charset val="186"/>
      </rPr>
      <t xml:space="preserve">
Spectērpu izdevumi: Izdevumi 1 izpētes veikšanai</t>
    </r>
    <r>
      <rPr>
        <b/>
        <sz val="12"/>
        <color theme="1"/>
        <rFont val="Times New Roman"/>
        <family val="1"/>
        <charset val="186"/>
      </rPr>
      <t xml:space="preserve"> </t>
    </r>
    <r>
      <rPr>
        <b/>
        <u/>
        <sz val="12"/>
        <color theme="1"/>
        <rFont val="Times New Roman"/>
        <family val="1"/>
        <charset val="186"/>
      </rPr>
      <t>0,003</t>
    </r>
    <r>
      <rPr>
        <b/>
        <sz val="12"/>
        <color theme="1"/>
        <rFont val="Times New Roman"/>
        <family val="1"/>
        <charset val="186"/>
      </rPr>
      <t xml:space="preserve"> euro</t>
    </r>
    <r>
      <rPr>
        <sz val="12"/>
        <color theme="1"/>
        <rFont val="Times New Roman"/>
        <family val="1"/>
        <charset val="186"/>
      </rPr>
      <t xml:space="preserve"> </t>
    </r>
  </si>
  <si>
    <r>
      <rPr>
        <b/>
        <u/>
        <sz val="12"/>
        <color theme="1"/>
        <rFont val="Times New Roman"/>
        <family val="1"/>
        <charset val="186"/>
      </rPr>
      <t>Ķīmiski toskikoloģiskā izpēte ar gāzes hromatogrāfijas metodi alkohola un tā surogātu noteikšanai:</t>
    </r>
    <r>
      <rPr>
        <sz val="12"/>
        <color theme="1"/>
        <rFont val="Times New Roman"/>
        <family val="1"/>
        <charset val="186"/>
      </rPr>
      <t xml:space="preserve">
</t>
    </r>
    <r>
      <rPr>
        <b/>
        <u/>
        <sz val="12"/>
        <color theme="1"/>
        <rFont val="Times New Roman"/>
        <family val="1"/>
        <charset val="186"/>
      </rPr>
      <t>Izdevumi 1 izpētes veikšanai 0,007 euro</t>
    </r>
    <r>
      <rPr>
        <sz val="12"/>
        <color theme="1"/>
        <rFont val="Times New Roman"/>
        <family val="1"/>
        <charset val="186"/>
      </rPr>
      <t xml:space="preserve"> </t>
    </r>
    <r>
      <rPr>
        <b/>
        <u/>
        <sz val="12"/>
        <rFont val="Times New Roman"/>
        <family val="1"/>
        <charset val="186"/>
      </rPr>
      <t/>
    </r>
  </si>
  <si>
    <r>
      <rPr>
        <b/>
        <u/>
        <sz val="12"/>
        <rFont val="Times New Roman"/>
        <family val="1"/>
        <charset val="186"/>
      </rPr>
      <t>Ķīmiski toskikoloģiskā izpēte ar gāzes hromatogrāfijas metodi alkohola un tā surogātu noteikšanai:</t>
    </r>
    <r>
      <rPr>
        <sz val="12"/>
        <rFont val="Times New Roman"/>
        <family val="1"/>
        <charset val="186"/>
      </rPr>
      <t xml:space="preserve">
Biroja preces: Patēriņš 1 izpētei ir </t>
    </r>
    <r>
      <rPr>
        <b/>
        <sz val="12"/>
        <rFont val="Times New Roman"/>
        <family val="1"/>
        <charset val="186"/>
      </rPr>
      <t>0,01</t>
    </r>
    <r>
      <rPr>
        <sz val="12"/>
        <rFont val="Times New Roman"/>
        <family val="1"/>
        <charset val="186"/>
      </rPr>
      <t xml:space="preserve"> </t>
    </r>
    <r>
      <rPr>
        <i/>
        <sz val="12"/>
        <rFont val="Times New Roman"/>
        <family val="1"/>
        <charset val="186"/>
      </rPr>
      <t>euro</t>
    </r>
    <r>
      <rPr>
        <sz val="12"/>
        <rFont val="Times New Roman"/>
        <family val="1"/>
        <charset val="186"/>
      </rPr>
      <t xml:space="preserve"> </t>
    </r>
    <r>
      <rPr>
        <sz val="12"/>
        <rFont val="Times New Roman"/>
        <family val="1"/>
        <charset val="186"/>
      </rPr>
      <t/>
    </r>
  </si>
  <si>
    <r>
      <rPr>
        <b/>
        <u/>
        <sz val="12"/>
        <rFont val="Times New Roman"/>
        <family val="1"/>
        <charset val="186"/>
      </rPr>
      <t>Ķīmiski toskikoloģiskā izpēte ar gāzes hromatogrāfijas metodi alkohola un tā surogātu noteikšanai:</t>
    </r>
    <r>
      <rPr>
        <sz val="12"/>
        <rFont val="Times New Roman"/>
        <family val="1"/>
        <charset val="186"/>
      </rPr>
      <t xml:space="preserve">
Vidējais uzturēšanas izdevumu apjoms: Patēriņš uz 1 izpēti ir </t>
    </r>
    <r>
      <rPr>
        <b/>
        <sz val="12"/>
        <rFont val="Times New Roman"/>
        <family val="1"/>
        <charset val="186"/>
      </rPr>
      <t>0,32</t>
    </r>
    <r>
      <rPr>
        <sz val="12"/>
        <rFont val="Times New Roman"/>
        <family val="1"/>
        <charset val="186"/>
      </rPr>
      <t xml:space="preserve"> euro </t>
    </r>
    <r>
      <rPr>
        <b/>
        <sz val="12"/>
        <rFont val="Times New Roman"/>
        <family val="1"/>
        <charset val="186"/>
      </rPr>
      <t/>
    </r>
  </si>
  <si>
    <r>
      <rPr>
        <u/>
        <sz val="12"/>
        <rFont val="Times New Roman"/>
        <family val="1"/>
        <charset val="186"/>
      </rPr>
      <t>Atalgojums.</t>
    </r>
    <r>
      <rPr>
        <sz val="12"/>
        <rFont val="Times New Roman"/>
        <family val="1"/>
        <charset val="186"/>
      </rPr>
      <t xml:space="preserve">
Gadā 1 izpēte. Pavisam kopā izmaksas ķīmiski toksikoloģiskai izpētei </t>
    </r>
    <r>
      <rPr>
        <b/>
        <u/>
        <sz val="12"/>
        <rFont val="Times New Roman"/>
        <family val="1"/>
        <charset val="186"/>
      </rPr>
      <t>15,16</t>
    </r>
    <r>
      <rPr>
        <sz val="12"/>
        <rFont val="Times New Roman"/>
        <family val="1"/>
        <charset val="186"/>
      </rPr>
      <t xml:space="preserve"> euro </t>
    </r>
  </si>
  <si>
    <r>
      <t xml:space="preserve">Pamatlīdzeklis:
</t>
    </r>
    <r>
      <rPr>
        <sz val="12"/>
        <rFont val="Times New Roman"/>
        <family val="1"/>
        <charset val="186"/>
      </rPr>
      <t xml:space="preserve">Gadā 1 izpēte. Pavisam kopā patēriņš 1 izpētei ir </t>
    </r>
    <r>
      <rPr>
        <b/>
        <sz val="12"/>
        <rFont val="Times New Roman"/>
        <family val="1"/>
        <charset val="186"/>
      </rPr>
      <t>1,29</t>
    </r>
    <r>
      <rPr>
        <sz val="12"/>
        <rFont val="Times New Roman"/>
        <family val="1"/>
        <charset val="186"/>
      </rPr>
      <t xml:space="preserve"> euro</t>
    </r>
  </si>
  <si>
    <r>
      <t xml:space="preserve">Pamatlīdzekļi: Gada nolietojums ēkai: </t>
    </r>
    <r>
      <rPr>
        <sz val="12"/>
        <rFont val="Times New Roman"/>
        <family val="1"/>
        <charset val="186"/>
      </rPr>
      <t xml:space="preserve">
Gadā 1 izpēte. </t>
    </r>
    <r>
      <rPr>
        <b/>
        <sz val="12"/>
        <rFont val="Times New Roman"/>
        <family val="1"/>
        <charset val="186"/>
      </rPr>
      <t>Pavisam kopā patēriņš 1 izpētei ir 5,86 euro</t>
    </r>
  </si>
  <si>
    <r>
      <t xml:space="preserve">Izdevumi laboratorijas precēm:
</t>
    </r>
    <r>
      <rPr>
        <sz val="12"/>
        <rFont val="Times New Roman"/>
        <family val="1"/>
        <charset val="186"/>
      </rPr>
      <t xml:space="preserve">Gadā 1 izpēte. </t>
    </r>
    <r>
      <rPr>
        <b/>
        <sz val="12"/>
        <rFont val="Times New Roman"/>
        <family val="1"/>
        <charset val="186"/>
      </rPr>
      <t xml:space="preserve">Pavisam kopā patēriņš 1 izpētei ir 0,32 </t>
    </r>
    <r>
      <rPr>
        <sz val="12"/>
        <rFont val="Times New Roman"/>
        <family val="1"/>
        <charset val="186"/>
      </rPr>
      <t>euro</t>
    </r>
  </si>
  <si>
    <r>
      <t xml:space="preserve">Spectērpu izdevumi: </t>
    </r>
    <r>
      <rPr>
        <sz val="12"/>
        <rFont val="Times New Roman"/>
        <family val="1"/>
        <charset val="186"/>
      </rPr>
      <t xml:space="preserve">
Gadā 1 izpēte. </t>
    </r>
    <r>
      <rPr>
        <b/>
        <sz val="12"/>
        <rFont val="Times New Roman"/>
        <family val="1"/>
        <charset val="186"/>
      </rPr>
      <t>Pavisam kopā patēriņš 1 izpētei ir 0,01 euro</t>
    </r>
    <r>
      <rPr>
        <sz val="12"/>
        <rFont val="Times New Roman"/>
        <family val="1"/>
        <charset val="186"/>
      </rPr>
      <t xml:space="preserve"> </t>
    </r>
  </si>
  <si>
    <r>
      <t>Biroja preces:</t>
    </r>
    <r>
      <rPr>
        <i/>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0,04 euro</t>
    </r>
    <r>
      <rPr>
        <sz val="12"/>
        <rFont val="Times New Roman"/>
        <family val="1"/>
        <charset val="186"/>
      </rPr>
      <t xml:space="preserve"> </t>
    </r>
  </si>
  <si>
    <r>
      <t xml:space="preserve">Vidējais uzturēšanas izdevumu apjoms: </t>
    </r>
    <r>
      <rPr>
        <sz val="12"/>
        <rFont val="Times New Roman"/>
        <family val="1"/>
        <charset val="186"/>
      </rPr>
      <t xml:space="preserve">
Gadā 1 izpēte. </t>
    </r>
    <r>
      <rPr>
        <b/>
        <sz val="12"/>
        <rFont val="Times New Roman"/>
        <family val="1"/>
        <charset val="186"/>
      </rPr>
      <t>Pavisam kopā patēriņš 1 izpētei ir 0,17 euro</t>
    </r>
  </si>
  <si>
    <r>
      <t xml:space="preserve">Vidējie izdevumi par komunālajiem pakalpojumiem: </t>
    </r>
    <r>
      <rPr>
        <sz val="12"/>
        <rFont val="Times New Roman"/>
        <family val="1"/>
        <charset val="186"/>
      </rPr>
      <t xml:space="preserve">
Gadā 1 izpēte. </t>
    </r>
    <r>
      <rPr>
        <b/>
        <sz val="12"/>
        <rFont val="Times New Roman"/>
        <family val="1"/>
        <charset val="186"/>
      </rPr>
      <t>Pavisam kopā patēriņš 1 izpētei ir 2,05 euro</t>
    </r>
  </si>
  <si>
    <r>
      <rPr>
        <u/>
        <sz val="11"/>
        <rFont val="Times New Roman"/>
        <family val="1"/>
        <charset val="186"/>
      </rPr>
      <t xml:space="preserve">Atalgojums. </t>
    </r>
    <r>
      <rPr>
        <b/>
        <sz val="11"/>
        <rFont val="Times New Roman"/>
        <family val="1"/>
        <charset val="186"/>
      </rPr>
      <t>Gadā 1 izpēte. Pavisam kopā 65,31 euro.</t>
    </r>
  </si>
  <si>
    <r>
      <t xml:space="preserve">Pamatlīdzekļi: Gada nolietojums ēkai:
Gadā 1 izpēte. </t>
    </r>
    <r>
      <rPr>
        <b/>
        <sz val="12"/>
        <rFont val="Times New Roman"/>
        <family val="1"/>
        <charset val="186"/>
      </rPr>
      <t>Pavisam kopā patēriņš 1 izpētei ir 2,94 euro</t>
    </r>
    <r>
      <rPr>
        <sz val="12"/>
        <rFont val="Times New Roman"/>
        <family val="1"/>
        <charset val="186"/>
      </rPr>
      <t xml:space="preserve"> </t>
    </r>
  </si>
  <si>
    <r>
      <t xml:space="preserve">Izdevumi laboratorijas precēm:
</t>
    </r>
    <r>
      <rPr>
        <sz val="12"/>
        <rFont val="Times New Roman"/>
        <family val="1"/>
        <charset val="186"/>
      </rPr>
      <t xml:space="preserve">Gadā 1 izpēte. </t>
    </r>
    <r>
      <rPr>
        <b/>
        <sz val="12"/>
        <rFont val="Times New Roman"/>
        <family val="1"/>
        <charset val="186"/>
      </rPr>
      <t xml:space="preserve">Pavisam kopā patēriņš 1 izpētei ir 1,19 </t>
    </r>
    <r>
      <rPr>
        <sz val="12"/>
        <rFont val="Times New Roman"/>
        <family val="1"/>
        <charset val="186"/>
      </rPr>
      <t xml:space="preserve">euro </t>
    </r>
  </si>
  <si>
    <r>
      <t xml:space="preserve">Vidējais uzturēšanas izdevumu apjoms: </t>
    </r>
    <r>
      <rPr>
        <sz val="12"/>
        <rFont val="Times New Roman"/>
        <family val="1"/>
        <charset val="186"/>
      </rPr>
      <t xml:space="preserve">Gadā 1 izpēte. </t>
    </r>
    <r>
      <rPr>
        <b/>
        <sz val="12"/>
        <rFont val="Times New Roman"/>
        <family val="1"/>
        <charset val="186"/>
      </rPr>
      <t>Pavisam kopā patēriņš 1 izpētei ir 0,29 euro</t>
    </r>
  </si>
  <si>
    <r>
      <t xml:space="preserve">Vidējie izdevumi par komunālajiem pakalpojumiem: </t>
    </r>
    <r>
      <rPr>
        <sz val="12"/>
        <rFont val="Times New Roman"/>
        <family val="1"/>
        <charset val="186"/>
      </rPr>
      <t xml:space="preserve">Gadā 1 izpēte. </t>
    </r>
    <r>
      <rPr>
        <b/>
        <sz val="12"/>
        <rFont val="Times New Roman"/>
        <family val="1"/>
        <charset val="186"/>
      </rPr>
      <t>Pavisam kopā patēriņš 1 izpētei ir 1,03 euro</t>
    </r>
    <r>
      <rPr>
        <sz val="12"/>
        <rFont val="Times New Roman"/>
        <family val="1"/>
        <charset val="186"/>
      </rPr>
      <t xml:space="preserve"> </t>
    </r>
  </si>
  <si>
    <r>
      <rPr>
        <b/>
        <sz val="12"/>
        <rFont val="Times New Roman"/>
        <family val="1"/>
        <charset val="186"/>
      </rPr>
      <t>Atalgojums. Gadā 1 izpēte. Pavisam kopā 34,50 euro</t>
    </r>
    <r>
      <rPr>
        <sz val="12"/>
        <rFont val="Times New Roman"/>
        <family val="1"/>
        <charset val="186"/>
      </rPr>
      <t xml:space="preserve"> </t>
    </r>
  </si>
  <si>
    <r>
      <t xml:space="preserve">Pamatlīdzeklis:
</t>
    </r>
    <r>
      <rPr>
        <sz val="12"/>
        <rFont val="Times New Roman"/>
        <family val="1"/>
        <charset val="186"/>
      </rPr>
      <t xml:space="preserve">Gadā 1  parauga izpēte. </t>
    </r>
    <r>
      <rPr>
        <b/>
        <sz val="12"/>
        <rFont val="Times New Roman"/>
        <family val="1"/>
        <charset val="186"/>
      </rPr>
      <t>Pavisam kopā patēriņš 1  parauga izpētei ir 0,08 euro</t>
    </r>
  </si>
  <si>
    <r>
      <t>Pamatlīdzekļi: Gada nolietojums ēkai:</t>
    </r>
    <r>
      <rPr>
        <vertAlign val="superscript"/>
        <sz val="12"/>
        <rFont val="Times New Roman"/>
        <family val="1"/>
        <charset val="186"/>
      </rPr>
      <t xml:space="preserve">
</t>
    </r>
    <r>
      <rPr>
        <b/>
        <sz val="12"/>
        <rFont val="Times New Roman"/>
        <family val="1"/>
        <charset val="186"/>
      </rPr>
      <t>Gadā 1  parauga izpētes. Pavisam kopā patēriņš 1  parauga izpētei ir 0,89  euro</t>
    </r>
    <r>
      <rPr>
        <sz val="12"/>
        <rFont val="Times New Roman"/>
        <family val="1"/>
        <charset val="186"/>
      </rPr>
      <t xml:space="preserve"> </t>
    </r>
  </si>
  <si>
    <r>
      <t xml:space="preserve">Izdevumi laboratorijas precēm: </t>
    </r>
    <r>
      <rPr>
        <b/>
        <sz val="12"/>
        <rFont val="Times New Roman"/>
        <family val="1"/>
        <charset val="186"/>
      </rPr>
      <t>Pavisam kopā izdevumi inventāram 1  parauga izpētes veikšanai 0,41 euro</t>
    </r>
    <r>
      <rPr>
        <sz val="12"/>
        <rFont val="Times New Roman"/>
        <family val="1"/>
        <charset val="186"/>
      </rPr>
      <t xml:space="preserve">. </t>
    </r>
  </si>
  <si>
    <r>
      <t xml:space="preserve">Spectērpu izdevumi: </t>
    </r>
    <r>
      <rPr>
        <sz val="12"/>
        <rFont val="Times New Roman"/>
        <family val="1"/>
        <charset val="186"/>
      </rPr>
      <t xml:space="preserve">
Gadā 1  parauga izpētes. </t>
    </r>
    <r>
      <rPr>
        <b/>
        <sz val="12"/>
        <rFont val="Times New Roman"/>
        <family val="1"/>
        <charset val="186"/>
      </rPr>
      <t>Pavisam kopā patēriņš 1  parauga izpētei ir 0,002 euro</t>
    </r>
    <r>
      <rPr>
        <sz val="12"/>
        <rFont val="Times New Roman"/>
        <family val="1"/>
        <charset val="186"/>
      </rPr>
      <t xml:space="preserve"> </t>
    </r>
  </si>
  <si>
    <r>
      <t xml:space="preserve">Izdevumi inventāram:
</t>
    </r>
    <r>
      <rPr>
        <b/>
        <sz val="12"/>
        <rFont val="Times New Roman"/>
        <family val="1"/>
        <charset val="186"/>
      </rPr>
      <t xml:space="preserve">Gadā 1  parauga izpēte. Pavisam kopā patēriņš 1  parauga izpētei ir </t>
    </r>
    <r>
      <rPr>
        <b/>
        <u/>
        <sz val="12"/>
        <rFont val="Times New Roman"/>
        <family val="1"/>
        <charset val="186"/>
      </rPr>
      <t xml:space="preserve">0,0001 </t>
    </r>
    <r>
      <rPr>
        <b/>
        <sz val="12"/>
        <rFont val="Times New Roman"/>
        <family val="1"/>
        <charset val="186"/>
      </rPr>
      <t>euro</t>
    </r>
    <r>
      <rPr>
        <b/>
        <u/>
        <sz val="12"/>
        <color rgb="FFFF0000"/>
        <rFont val="Times New Roman"/>
        <family val="1"/>
        <charset val="186"/>
      </rPr>
      <t/>
    </r>
  </si>
  <si>
    <r>
      <t xml:space="preserve">Biroja preces: </t>
    </r>
    <r>
      <rPr>
        <i/>
        <sz val="12"/>
        <rFont val="Times New Roman"/>
        <family val="1"/>
        <charset val="186"/>
      </rPr>
      <t xml:space="preserve">
</t>
    </r>
    <r>
      <rPr>
        <sz val="12"/>
        <rFont val="Times New Roman"/>
        <family val="1"/>
        <charset val="186"/>
      </rPr>
      <t xml:space="preserve">Gadā 1  parauga izpēte. </t>
    </r>
    <r>
      <rPr>
        <b/>
        <sz val="12"/>
        <rFont val="Times New Roman"/>
        <family val="1"/>
        <charset val="186"/>
      </rPr>
      <t>Pavisam kopā patēriņš 1  parauga izpētei ir 0,03 euro</t>
    </r>
  </si>
  <si>
    <r>
      <t>Vidējais uzturēšanas izdevumu apjoms:</t>
    </r>
    <r>
      <rPr>
        <vertAlign val="superscript"/>
        <sz val="12"/>
        <rFont val="Times New Roman"/>
        <family val="1"/>
        <charset val="186"/>
      </rPr>
      <t xml:space="preserve">
</t>
    </r>
    <r>
      <rPr>
        <sz val="12"/>
        <rFont val="Times New Roman"/>
        <family val="1"/>
        <charset val="186"/>
      </rPr>
      <t xml:space="preserve">Gadā 1 parauga izpēte. </t>
    </r>
    <r>
      <rPr>
        <b/>
        <sz val="12"/>
        <rFont val="Times New Roman"/>
        <family val="1"/>
        <charset val="186"/>
      </rPr>
      <t>Pavisam kopā patēriņš 1  parauga izpētei ir 0,09 euro</t>
    </r>
    <r>
      <rPr>
        <sz val="12"/>
        <rFont val="Times New Roman"/>
        <family val="1"/>
        <charset val="186"/>
      </rPr>
      <t xml:space="preserve"> </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</si>
  <si>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 parauga izpēte. </t>
    </r>
    <r>
      <rPr>
        <b/>
        <u/>
        <sz val="12"/>
        <rFont val="Times New Roman"/>
        <family val="1"/>
        <charset val="186"/>
      </rPr>
      <t>Pavisam kopā patēriņš 1 izpētei ir 0,31 euro</t>
    </r>
  </si>
  <si>
    <r>
      <rPr>
        <u/>
        <sz val="12"/>
        <rFont val="Times New Roman"/>
        <family val="1"/>
        <charset val="186"/>
      </rPr>
      <t>Atalgojums.</t>
    </r>
    <r>
      <rPr>
        <sz val="12"/>
        <rFont val="Times New Roman"/>
        <family val="1"/>
        <charset val="186"/>
      </rPr>
      <t xml:space="preserve">
Gadā 1 parauga izpēte. </t>
    </r>
    <r>
      <rPr>
        <b/>
        <sz val="12"/>
        <rFont val="Times New Roman"/>
        <family val="1"/>
        <charset val="186"/>
      </rPr>
      <t>Pavisam kopā 5,89 euro</t>
    </r>
    <r>
      <rPr>
        <sz val="12"/>
        <rFont val="Times New Roman"/>
        <family val="1"/>
        <charset val="186"/>
      </rPr>
      <t xml:space="preserve"> </t>
    </r>
  </si>
  <si>
    <r>
      <t xml:space="preserve">Pamatlīdzeklis:
</t>
    </r>
    <r>
      <rPr>
        <sz val="12"/>
        <rFont val="Times New Roman"/>
        <family val="1"/>
        <charset val="186"/>
      </rPr>
      <t xml:space="preserve">Gadā 1 izraksts. </t>
    </r>
    <r>
      <rPr>
        <b/>
        <sz val="12"/>
        <rFont val="Times New Roman"/>
        <family val="1"/>
        <charset val="186"/>
      </rPr>
      <t xml:space="preserve">Pavisam kopā patēriņš 1 izrakstam ir 0,33 </t>
    </r>
    <r>
      <rPr>
        <sz val="12"/>
        <rFont val="Times New Roman"/>
        <family val="1"/>
        <charset val="186"/>
      </rPr>
      <t xml:space="preserve">euro </t>
    </r>
  </si>
  <si>
    <r>
      <t xml:space="preserve">Transporta nodokļa izdevumu apjoms: Viena izraksta transportēšana vidēji tiek veikta 0,33 h, patēriņš 1 izrakstam ir </t>
    </r>
    <r>
      <rPr>
        <b/>
        <sz val="12"/>
        <rFont val="Times New Roman"/>
        <family val="1"/>
        <charset val="186"/>
      </rPr>
      <t>0,03</t>
    </r>
    <r>
      <rPr>
        <sz val="12"/>
        <rFont val="Times New Roman"/>
        <family val="1"/>
        <charset val="186"/>
      </rPr>
      <t xml:space="preserve"> euro</t>
    </r>
  </si>
  <si>
    <r>
      <t xml:space="preserve">Degvielas izdevumi transportēšanai līdz pastam izmaksas 1 transportēšanai ir </t>
    </r>
    <r>
      <rPr>
        <b/>
        <sz val="12"/>
        <rFont val="Times New Roman"/>
        <family val="1"/>
        <charset val="186"/>
      </rPr>
      <t xml:space="preserve">0,16 </t>
    </r>
    <r>
      <rPr>
        <sz val="12"/>
        <rFont val="Times New Roman"/>
        <family val="1"/>
        <charset val="186"/>
      </rPr>
      <t xml:space="preserve">euro </t>
    </r>
  </si>
  <si>
    <r>
      <t xml:space="preserve">Izdevumi inventāram:
</t>
    </r>
    <r>
      <rPr>
        <b/>
        <sz val="12"/>
        <rFont val="Times New Roman"/>
        <family val="1"/>
        <charset val="186"/>
      </rPr>
      <t>Gadā 1 izraksts. Pavisam kopā patēriņš 1 izrakstam ir 0,03 euro</t>
    </r>
  </si>
  <si>
    <r>
      <t xml:space="preserve">Biroja preces:
</t>
    </r>
    <r>
      <rPr>
        <sz val="12"/>
        <rFont val="Times New Roman"/>
        <family val="1"/>
        <charset val="186"/>
      </rPr>
      <t xml:space="preserve">Gadā 1 izraksts. </t>
    </r>
    <r>
      <rPr>
        <b/>
        <sz val="12"/>
        <rFont val="Times New Roman"/>
        <family val="1"/>
        <charset val="186"/>
      </rPr>
      <t>Pavisam kopā patēriņš 1 izrakstam ir 0,34 euro</t>
    </r>
    <r>
      <rPr>
        <sz val="12"/>
        <rFont val="Times New Roman"/>
        <family val="1"/>
        <charset val="186"/>
      </rPr>
      <t xml:space="preserve"> </t>
    </r>
  </si>
  <si>
    <r>
      <rPr>
        <u/>
        <sz val="12"/>
        <rFont val="Times New Roman"/>
        <family val="1"/>
        <charset val="186"/>
      </rPr>
      <t>Vidējais uzturēšanas izdevumu apjoms:</t>
    </r>
    <r>
      <rPr>
        <sz val="12"/>
        <rFont val="Times New Roman"/>
        <family val="1"/>
        <charset val="186"/>
      </rPr>
      <t xml:space="preserve">
Gadā 1 izraksts. </t>
    </r>
    <r>
      <rPr>
        <b/>
        <sz val="12"/>
        <rFont val="Times New Roman"/>
        <family val="1"/>
        <charset val="186"/>
      </rPr>
      <t>Pavisam kopā patēriņš 1 izrakstam ir 0,22 euro</t>
    </r>
  </si>
  <si>
    <r>
      <t xml:space="preserve">Vidējie izdevumi par komunālajiem pakalpojumiem: </t>
    </r>
    <r>
      <rPr>
        <sz val="12"/>
        <rFont val="Times New Roman"/>
        <family val="1"/>
        <charset val="186"/>
      </rPr>
      <t xml:space="preserve">
Gadā 1 izraksts. </t>
    </r>
    <r>
      <rPr>
        <b/>
        <sz val="12"/>
        <rFont val="Times New Roman"/>
        <family val="1"/>
        <charset val="186"/>
      </rPr>
      <t>Pavisam kopā patēriņš 1 izrakstam ir 0,40 euro</t>
    </r>
    <r>
      <rPr>
        <sz val="12"/>
        <rFont val="Times New Roman"/>
        <family val="1"/>
        <charset val="186"/>
      </rPr>
      <t xml:space="preserve"> </t>
    </r>
  </si>
  <si>
    <r>
      <rPr>
        <u/>
        <sz val="12"/>
        <rFont val="Times New Roman"/>
        <family val="1"/>
        <charset val="186"/>
      </rPr>
      <t xml:space="preserve">Atalgojums. </t>
    </r>
    <r>
      <rPr>
        <sz val="12"/>
        <rFont val="Times New Roman"/>
        <family val="1"/>
        <charset val="186"/>
      </rPr>
      <t xml:space="preserve">Gadā 1 izraksts. </t>
    </r>
    <r>
      <rPr>
        <b/>
        <sz val="12"/>
        <rFont val="Times New Roman"/>
        <family val="1"/>
        <charset val="186"/>
      </rPr>
      <t>Pavisam kopā 11,17 euro</t>
    </r>
    <r>
      <rPr>
        <sz val="12"/>
        <rFont val="Times New Roman"/>
        <family val="1"/>
        <charset val="186"/>
      </rPr>
      <t xml:space="preserve"> </t>
    </r>
  </si>
  <si>
    <r>
      <t xml:space="preserve">Pamatlīdzeklis:
</t>
    </r>
    <r>
      <rPr>
        <sz val="12"/>
        <rFont val="Times New Roman"/>
        <family val="1"/>
        <charset val="186"/>
      </rPr>
      <t xml:space="preserve">Gadā 5 lekcijas. </t>
    </r>
    <r>
      <rPr>
        <b/>
        <sz val="12"/>
        <rFont val="Times New Roman"/>
        <family val="1"/>
        <charset val="186"/>
      </rPr>
      <t xml:space="preserve">Pavisam kopā patēriņš 5 lekcijām ir 0,35 </t>
    </r>
    <r>
      <rPr>
        <sz val="12"/>
        <rFont val="Times New Roman"/>
        <family val="1"/>
        <charset val="186"/>
      </rPr>
      <t>euro</t>
    </r>
  </si>
  <si>
    <r>
      <t xml:space="preserve">Pamatlīdzekļi: Gada nolietojums ēkai: </t>
    </r>
    <r>
      <rPr>
        <sz val="12"/>
        <rFont val="Times New Roman"/>
        <family val="1"/>
        <charset val="186"/>
      </rPr>
      <t xml:space="preserve">
Gadā 5 lekcijas. </t>
    </r>
    <r>
      <rPr>
        <b/>
        <sz val="12"/>
        <rFont val="Times New Roman"/>
        <family val="1"/>
        <charset val="186"/>
      </rPr>
      <t>Pavisam kopā patēriņš 5 lekcijām ir 34,53 euro</t>
    </r>
  </si>
  <si>
    <r>
      <t xml:space="preserve">Vidējie izdevumi par komunālajiem pakalpojumiem: </t>
    </r>
    <r>
      <rPr>
        <sz val="12"/>
        <rFont val="Times New Roman"/>
        <family val="1"/>
        <charset val="186"/>
      </rPr>
      <t xml:space="preserve">
Gadā 5 lekcijas. </t>
    </r>
    <r>
      <rPr>
        <b/>
        <sz val="12"/>
        <rFont val="Times New Roman"/>
        <family val="1"/>
        <charset val="186"/>
      </rPr>
      <t>Pavisam kopā patēriņš 5 lekcijām ir 12,09 euro</t>
    </r>
    <r>
      <rPr>
        <sz val="12"/>
        <rFont val="Times New Roman"/>
        <family val="1"/>
        <charset val="186"/>
      </rPr>
      <t xml:space="preserve"> </t>
    </r>
  </si>
  <si>
    <r>
      <rPr>
        <u/>
        <sz val="12"/>
        <rFont val="Times New Roman"/>
        <family val="1"/>
        <charset val="186"/>
      </rPr>
      <t>Vidējais uzturēšanas izdevumu apjoms:</t>
    </r>
    <r>
      <rPr>
        <sz val="12"/>
        <rFont val="Times New Roman"/>
        <family val="1"/>
        <charset val="186"/>
      </rPr>
      <t xml:space="preserve">
Gadā 5 lekcijas. </t>
    </r>
    <r>
      <rPr>
        <b/>
        <sz val="12"/>
        <rFont val="Times New Roman"/>
        <family val="1"/>
        <charset val="186"/>
      </rPr>
      <t>Pavisam kopā patēriņš 5 lekcijām ir 3,45 euro</t>
    </r>
  </si>
  <si>
    <r>
      <t xml:space="preserve">Atalgojums. Gadā 5 lekcijas. </t>
    </r>
    <r>
      <rPr>
        <b/>
        <sz val="12"/>
        <rFont val="Times New Roman"/>
        <family val="1"/>
        <charset val="186"/>
      </rPr>
      <t>Pavisam kopā 264,98 euro</t>
    </r>
    <r>
      <rPr>
        <sz val="12"/>
        <rFont val="Times New Roman"/>
        <family val="1"/>
        <charset val="186"/>
      </rPr>
      <t xml:space="preserve"> </t>
    </r>
  </si>
  <si>
    <r>
      <t xml:space="preserve">Gadā 50 mirušie, patēriņš </t>
    </r>
    <r>
      <rPr>
        <b/>
        <sz val="12"/>
        <rFont val="Times New Roman"/>
        <family val="1"/>
        <charset val="186"/>
      </rPr>
      <t>36,00</t>
    </r>
    <r>
      <rPr>
        <sz val="12"/>
        <rFont val="Times New Roman"/>
        <family val="1"/>
        <charset val="186"/>
      </rPr>
      <t xml:space="preserve"> euro </t>
    </r>
  </si>
  <si>
    <r>
      <t xml:space="preserve">Pamatlīdzekļi: Gada nolietojums ēkai: Gadā 50 mirušie, patēriņš </t>
    </r>
    <r>
      <rPr>
        <b/>
        <sz val="12"/>
        <rFont val="Times New Roman"/>
        <family val="1"/>
        <charset val="186"/>
      </rPr>
      <t>286,125</t>
    </r>
    <r>
      <rPr>
        <sz val="12"/>
        <rFont val="Times New Roman"/>
        <family val="1"/>
        <charset val="186"/>
      </rPr>
      <t xml:space="preserve"> euro </t>
    </r>
  </si>
  <si>
    <r>
      <t xml:space="preserve">Spectērpu izdevumi: Gadā 50 mirušie, patēriņš </t>
    </r>
    <r>
      <rPr>
        <b/>
        <u/>
        <sz val="12"/>
        <rFont val="Times New Roman"/>
        <family val="1"/>
        <charset val="186"/>
      </rPr>
      <t>0,60</t>
    </r>
    <r>
      <rPr>
        <sz val="12"/>
        <rFont val="Times New Roman"/>
        <family val="1"/>
        <charset val="186"/>
      </rPr>
      <t xml:space="preserve"> euro</t>
    </r>
  </si>
  <si>
    <r>
      <t xml:space="preserve">Pamatlīdzeklis: </t>
    </r>
    <r>
      <rPr>
        <sz val="12"/>
        <rFont val="Times New Roman"/>
        <family val="1"/>
        <charset val="186"/>
      </rPr>
      <t xml:space="preserve">
Gadā 50 mirušie, patēriņš </t>
    </r>
    <r>
      <rPr>
        <b/>
        <u/>
        <sz val="12"/>
        <rFont val="Times New Roman"/>
        <family val="1"/>
        <charset val="186"/>
      </rPr>
      <t>1,65</t>
    </r>
    <r>
      <rPr>
        <sz val="12"/>
        <rFont val="Times New Roman"/>
        <family val="1"/>
        <charset val="186"/>
      </rPr>
      <t xml:space="preserve"> euro</t>
    </r>
  </si>
  <si>
    <r>
      <rPr>
        <u/>
        <sz val="12"/>
        <rFont val="Times New Roman"/>
        <family val="1"/>
        <charset val="186"/>
      </rPr>
      <t>Vidējais uzturēšanas izdevumu apjoms:</t>
    </r>
    <r>
      <rPr>
        <sz val="12"/>
        <rFont val="Times New Roman"/>
        <family val="1"/>
        <charset val="186"/>
      </rPr>
      <t xml:space="preserve"> Gadā 50 mirušie, patēriņš </t>
    </r>
    <r>
      <rPr>
        <b/>
        <sz val="12"/>
        <rFont val="Times New Roman"/>
        <family val="1"/>
        <charset val="186"/>
      </rPr>
      <t>28,62</t>
    </r>
    <r>
      <rPr>
        <sz val="12"/>
        <rFont val="Times New Roman"/>
        <family val="1"/>
        <charset val="186"/>
      </rPr>
      <t xml:space="preserve"> euro</t>
    </r>
  </si>
  <si>
    <r>
      <t xml:space="preserve">Vidējie izdevumi par komunālajiem pakalpojumiem: </t>
    </r>
    <r>
      <rPr>
        <sz val="12"/>
        <rFont val="Times New Roman"/>
        <family val="1"/>
        <charset val="186"/>
      </rPr>
      <t xml:space="preserve">Gadā 50 mirušie, patēriņš </t>
    </r>
    <r>
      <rPr>
        <b/>
        <sz val="12"/>
        <rFont val="Times New Roman"/>
        <family val="1"/>
        <charset val="186"/>
      </rPr>
      <t>100,15</t>
    </r>
    <r>
      <rPr>
        <sz val="12"/>
        <rFont val="Times New Roman"/>
        <family val="1"/>
        <charset val="186"/>
      </rPr>
      <t xml:space="preserve"> euro </t>
    </r>
  </si>
  <si>
    <r>
      <rPr>
        <u/>
        <sz val="12"/>
        <rFont val="Times New Roman"/>
        <family val="1"/>
        <charset val="186"/>
      </rPr>
      <t xml:space="preserve">Atalgojums. </t>
    </r>
    <r>
      <rPr>
        <sz val="12"/>
        <rFont val="Times New Roman"/>
        <family val="1"/>
        <charset val="186"/>
      </rPr>
      <t xml:space="preserve">
Gadā 50 mirušie. </t>
    </r>
    <r>
      <rPr>
        <b/>
        <sz val="12"/>
        <rFont val="Times New Roman"/>
        <family val="1"/>
        <charset val="186"/>
      </rPr>
      <t>Pavisam kopā 2298,23 euro.</t>
    </r>
  </si>
  <si>
    <r>
      <t xml:space="preserve">Pamatlīdzeklis:
</t>
    </r>
    <r>
      <rPr>
        <b/>
        <u/>
        <sz val="12"/>
        <rFont val="Times New Roman"/>
        <family val="1"/>
        <charset val="186"/>
      </rPr>
      <t xml:space="preserve">Mirušā ģrimēšana: 
</t>
    </r>
    <r>
      <rPr>
        <sz val="12"/>
        <rFont val="Times New Roman"/>
        <family val="1"/>
        <charset val="186"/>
      </rPr>
      <t xml:space="preserve">Patēriņš 1 mirušā grimēšanai ir 2 h un nolietojums ir </t>
    </r>
    <r>
      <rPr>
        <b/>
        <sz val="12"/>
        <rFont val="Times New Roman"/>
        <family val="1"/>
        <charset val="186"/>
      </rPr>
      <t>0,01</t>
    </r>
    <r>
      <rPr>
        <sz val="12"/>
        <rFont val="Times New Roman"/>
        <family val="1"/>
        <charset val="186"/>
      </rPr>
      <t xml:space="preserve"> euro.</t>
    </r>
  </si>
  <si>
    <r>
      <t xml:space="preserve">Pamatlīdzekļi: Gada nolietojums ēkai: Patēriņš uz 1 pakalpojumam ir </t>
    </r>
    <r>
      <rPr>
        <b/>
        <sz val="12"/>
        <rFont val="Times New Roman"/>
        <family val="1"/>
        <charset val="186"/>
      </rPr>
      <t>1,53</t>
    </r>
    <r>
      <rPr>
        <sz val="12"/>
        <rFont val="Times New Roman"/>
        <family val="1"/>
        <charset val="186"/>
      </rPr>
      <t xml:space="preserve"> euro </t>
    </r>
  </si>
  <si>
    <r>
      <t xml:space="preserve">Grimēšanas piederumi:
Pavisam kopā izdevumi 1 mirušajam </t>
    </r>
    <r>
      <rPr>
        <b/>
        <sz val="12"/>
        <rFont val="Times New Roman"/>
        <family val="1"/>
        <charset val="186"/>
      </rPr>
      <t>0,27</t>
    </r>
    <r>
      <rPr>
        <sz val="12"/>
        <rFont val="Times New Roman"/>
        <family val="1"/>
        <charset val="186"/>
      </rPr>
      <t xml:space="preserve"> euro</t>
    </r>
  </si>
  <si>
    <r>
      <t>Spectērpu izdevumi:</t>
    </r>
    <r>
      <rPr>
        <sz val="12"/>
        <rFont val="Times New Roman"/>
        <family val="1"/>
        <charset val="186"/>
      </rPr>
      <t xml:space="preserve"> Izdevumi 1pakalpojuma veikšanai </t>
    </r>
    <r>
      <rPr>
        <b/>
        <u/>
        <sz val="12"/>
        <rFont val="Times New Roman"/>
        <family val="1"/>
        <charset val="186"/>
      </rPr>
      <t xml:space="preserve">0,01 </t>
    </r>
    <r>
      <rPr>
        <sz val="12"/>
        <rFont val="Times New Roman"/>
        <family val="1"/>
        <charset val="186"/>
      </rPr>
      <t>euro</t>
    </r>
  </si>
  <si>
    <r>
      <rPr>
        <u/>
        <sz val="12"/>
        <rFont val="Times New Roman"/>
        <family val="1"/>
        <charset val="186"/>
      </rPr>
      <t xml:space="preserve">Vidējais uzturēšanas izdevumu apjoms: </t>
    </r>
    <r>
      <rPr>
        <sz val="12"/>
        <rFont val="Times New Roman"/>
        <family val="1"/>
        <charset val="186"/>
      </rPr>
      <t xml:space="preserve">Patēriņš uz 1 mirušo ir </t>
    </r>
    <r>
      <rPr>
        <b/>
        <sz val="12"/>
        <rFont val="Times New Roman"/>
        <family val="1"/>
        <charset val="186"/>
      </rPr>
      <t>0,15</t>
    </r>
    <r>
      <rPr>
        <sz val="12"/>
        <rFont val="Times New Roman"/>
        <family val="1"/>
        <charset val="186"/>
      </rPr>
      <t xml:space="preserve"> euro</t>
    </r>
  </si>
  <si>
    <r>
      <t xml:space="preserve">Vidējie izdevumi par komunālajiem pakalpojumiem: Patēriņš uz 1 mirušo ir </t>
    </r>
    <r>
      <rPr>
        <b/>
        <sz val="12"/>
        <rFont val="Times New Roman"/>
        <family val="1"/>
        <charset val="186"/>
      </rPr>
      <t xml:space="preserve">0,53 </t>
    </r>
    <r>
      <rPr>
        <sz val="12"/>
        <rFont val="Times New Roman"/>
        <family val="1"/>
        <charset val="186"/>
      </rPr>
      <t xml:space="preserve">euro </t>
    </r>
  </si>
  <si>
    <r>
      <rPr>
        <u/>
        <sz val="12"/>
        <rFont val="Times New Roman"/>
        <family val="1"/>
        <charset val="186"/>
      </rPr>
      <t xml:space="preserve">Atalgojums. </t>
    </r>
    <r>
      <rPr>
        <sz val="12"/>
        <rFont val="Times New Roman"/>
        <family val="1"/>
        <charset val="186"/>
      </rPr>
      <t xml:space="preserve"> 2 h aizņem viena mirušā grimēšana </t>
    </r>
    <r>
      <rPr>
        <b/>
        <sz val="12"/>
        <rFont val="Times New Roman"/>
        <family val="1"/>
        <charset val="186"/>
      </rPr>
      <t xml:space="preserve">12,2572 euro. </t>
    </r>
    <r>
      <rPr>
        <sz val="12"/>
        <rFont val="Times New Roman"/>
        <family val="1"/>
        <charset val="186"/>
      </rPr>
      <t xml:space="preserve">Gadā 1 mirušais. </t>
    </r>
    <r>
      <rPr>
        <b/>
        <sz val="12"/>
        <rFont val="Times New Roman"/>
        <family val="1"/>
        <charset val="186"/>
      </rPr>
      <t/>
    </r>
  </si>
  <si>
    <r>
      <t xml:space="preserve">Pamatlīdzeklis:
</t>
    </r>
    <r>
      <rPr>
        <sz val="12"/>
        <rFont val="Times New Roman"/>
        <family val="1"/>
        <charset val="186"/>
      </rPr>
      <t xml:space="preserve">Pavisam kopā patēriņš 1 pakalpojumam ir </t>
    </r>
    <r>
      <rPr>
        <b/>
        <u/>
        <sz val="12"/>
        <rFont val="Times New Roman"/>
        <family val="1"/>
        <charset val="186"/>
      </rPr>
      <t>0,02</t>
    </r>
    <r>
      <rPr>
        <sz val="12"/>
        <rFont val="Times New Roman"/>
        <family val="1"/>
        <charset val="186"/>
      </rPr>
      <t xml:space="preserve"> euro</t>
    </r>
  </si>
  <si>
    <r>
      <t xml:space="preserve">Pamatlīdzekļi: Gada nolietojums ēkai: Patēriņš uz 1 mirušo ir </t>
    </r>
    <r>
      <rPr>
        <b/>
        <sz val="12"/>
        <rFont val="Times New Roman"/>
        <family val="1"/>
        <charset val="186"/>
      </rPr>
      <t xml:space="preserve">3,05 </t>
    </r>
    <r>
      <rPr>
        <sz val="12"/>
        <rFont val="Times New Roman"/>
        <family val="1"/>
        <charset val="186"/>
      </rPr>
      <t>euro.</t>
    </r>
  </si>
  <si>
    <r>
      <t xml:space="preserve">Pavisam kopā izdevumi 1 mirušajam </t>
    </r>
    <r>
      <rPr>
        <b/>
        <sz val="12"/>
        <rFont val="Times New Roman"/>
        <family val="1"/>
        <charset val="186"/>
      </rPr>
      <t>0,49</t>
    </r>
    <r>
      <rPr>
        <sz val="12"/>
        <rFont val="Times New Roman"/>
        <family val="1"/>
        <charset val="186"/>
      </rPr>
      <t xml:space="preserve"> euro</t>
    </r>
  </si>
  <si>
    <r>
      <t>Spectērpu izdevumi:</t>
    </r>
    <r>
      <rPr>
        <sz val="12"/>
        <rFont val="Times New Roman"/>
        <family val="1"/>
        <charset val="186"/>
      </rPr>
      <t xml:space="preserve"> Izdevumi 1 pakalpojuma veikšanai </t>
    </r>
    <r>
      <rPr>
        <b/>
        <u/>
        <sz val="12"/>
        <rFont val="Times New Roman"/>
        <family val="1"/>
        <charset val="186"/>
      </rPr>
      <t xml:space="preserve">0,01 </t>
    </r>
    <r>
      <rPr>
        <sz val="12"/>
        <rFont val="Times New Roman"/>
        <family val="1"/>
        <charset val="186"/>
      </rPr>
      <t xml:space="preserve">euro </t>
    </r>
  </si>
  <si>
    <r>
      <rPr>
        <u/>
        <sz val="12"/>
        <rFont val="Times New Roman"/>
        <family val="1"/>
        <charset val="186"/>
      </rPr>
      <t xml:space="preserve">Vidējais uzturēšanas izdevumu apjoms. </t>
    </r>
    <r>
      <rPr>
        <sz val="12"/>
        <rFont val="Times New Roman"/>
        <family val="1"/>
        <charset val="186"/>
      </rPr>
      <t xml:space="preserve">Patēriņš uz 1 mirušo ir </t>
    </r>
    <r>
      <rPr>
        <b/>
        <sz val="12"/>
        <rFont val="Times New Roman"/>
        <family val="1"/>
        <charset val="186"/>
      </rPr>
      <t xml:space="preserve">0,31 </t>
    </r>
    <r>
      <rPr>
        <sz val="12"/>
        <rFont val="Times New Roman"/>
        <family val="1"/>
        <charset val="186"/>
      </rPr>
      <t xml:space="preserve">euro </t>
    </r>
  </si>
  <si>
    <r>
      <t xml:space="preserve">Vidējie izdevumi par komunālajiem pakalpojumiem: Patēriņš uz 1 mirušo ir </t>
    </r>
    <r>
      <rPr>
        <b/>
        <sz val="12"/>
        <rFont val="Times New Roman"/>
        <family val="1"/>
        <charset val="186"/>
      </rPr>
      <t xml:space="preserve">1,07 </t>
    </r>
    <r>
      <rPr>
        <sz val="12"/>
        <rFont val="Times New Roman"/>
        <family val="1"/>
        <charset val="186"/>
      </rPr>
      <t xml:space="preserve">euro </t>
    </r>
  </si>
  <si>
    <r>
      <rPr>
        <u/>
        <sz val="12"/>
        <rFont val="Times New Roman"/>
        <family val="1"/>
        <charset val="186"/>
      </rPr>
      <t xml:space="preserve">Atalgojums. </t>
    </r>
    <r>
      <rPr>
        <sz val="12"/>
        <rFont val="Times New Roman"/>
        <family val="1"/>
        <charset val="186"/>
      </rPr>
      <t xml:space="preserve">Gadā 1 mirušais. </t>
    </r>
    <r>
      <rPr>
        <b/>
        <sz val="12"/>
        <rFont val="Times New Roman"/>
        <family val="1"/>
        <charset val="186"/>
      </rPr>
      <t>Pavisam kopā 24,51 euro.</t>
    </r>
  </si>
  <si>
    <r>
      <t xml:space="preserve">Pamatlīdzeklis: </t>
    </r>
    <r>
      <rPr>
        <sz val="12"/>
        <rFont val="Times New Roman"/>
        <family val="1"/>
        <charset val="186"/>
      </rPr>
      <t xml:space="preserve">Patēriņš 1 mirušā ģērbšanai ir 1 h un nolietojums ir </t>
    </r>
    <r>
      <rPr>
        <b/>
        <sz val="12"/>
        <rFont val="Times New Roman"/>
        <family val="1"/>
        <charset val="186"/>
      </rPr>
      <t>0,005</t>
    </r>
    <r>
      <rPr>
        <sz val="12"/>
        <rFont val="Times New Roman"/>
        <family val="1"/>
        <charset val="186"/>
      </rPr>
      <t xml:space="preserve"> euro </t>
    </r>
  </si>
  <si>
    <t>Pamatlīdzekļi: Gada nolietojums: Patēriņš uz 1 mirušo ir 0,76 euro</t>
  </si>
  <si>
    <r>
      <t xml:space="preserve">Pavisam kopā izdevumi 1 mirušajam </t>
    </r>
    <r>
      <rPr>
        <b/>
        <sz val="12"/>
        <rFont val="Times New Roman"/>
        <family val="1"/>
        <charset val="186"/>
      </rPr>
      <t>0,07</t>
    </r>
    <r>
      <rPr>
        <sz val="12"/>
        <rFont val="Times New Roman"/>
        <family val="1"/>
        <charset val="186"/>
      </rPr>
      <t xml:space="preserve"> euro</t>
    </r>
  </si>
  <si>
    <r>
      <t xml:space="preserve">Spectērpu izdevumi: Izdevumi 1pakalpojuma veikšanai </t>
    </r>
    <r>
      <rPr>
        <b/>
        <u/>
        <sz val="12"/>
        <rFont val="Times New Roman"/>
        <family val="1"/>
        <charset val="186"/>
      </rPr>
      <t xml:space="preserve">0,01 </t>
    </r>
    <r>
      <rPr>
        <sz val="12"/>
        <rFont val="Times New Roman"/>
        <family val="1"/>
        <charset val="186"/>
      </rPr>
      <t>euro.</t>
    </r>
  </si>
  <si>
    <r>
      <rPr>
        <u/>
        <sz val="12"/>
        <rFont val="Times New Roman"/>
        <family val="1"/>
        <charset val="186"/>
      </rPr>
      <t xml:space="preserve">Vidējais uzturēšanas izdevumu apjoms: </t>
    </r>
    <r>
      <rPr>
        <sz val="12"/>
        <rFont val="Times New Roman"/>
        <family val="1"/>
        <charset val="186"/>
      </rPr>
      <t xml:space="preserve">Patēriņš uz 1 mirušo ir </t>
    </r>
    <r>
      <rPr>
        <b/>
        <sz val="12"/>
        <rFont val="Times New Roman"/>
        <family val="1"/>
        <charset val="186"/>
      </rPr>
      <t xml:space="preserve">0,08 </t>
    </r>
    <r>
      <rPr>
        <sz val="12"/>
        <rFont val="Times New Roman"/>
        <family val="1"/>
        <charset val="186"/>
      </rPr>
      <t>euro.</t>
    </r>
  </si>
  <si>
    <r>
      <t xml:space="preserve">Vidējie izdevumi par komunālajiem pakalpojumiem: Patēriņš uz 1 mirušo ir </t>
    </r>
    <r>
      <rPr>
        <b/>
        <sz val="12"/>
        <rFont val="Times New Roman"/>
        <family val="1"/>
        <charset val="186"/>
      </rPr>
      <t xml:space="preserve">0,27 </t>
    </r>
    <r>
      <rPr>
        <sz val="12"/>
        <rFont val="Times New Roman"/>
        <family val="1"/>
        <charset val="186"/>
      </rPr>
      <t>euro</t>
    </r>
  </si>
  <si>
    <r>
      <rPr>
        <u/>
        <sz val="12"/>
        <rFont val="Times New Roman"/>
        <family val="1"/>
        <charset val="186"/>
      </rPr>
      <t>Atalgojums.</t>
    </r>
    <r>
      <rPr>
        <sz val="12"/>
        <rFont val="Times New Roman"/>
        <family val="1"/>
        <charset val="186"/>
      </rPr>
      <t xml:space="preserve"> Gadā 1 mirušais. </t>
    </r>
    <r>
      <rPr>
        <b/>
        <sz val="12"/>
        <rFont val="Times New Roman"/>
        <family val="1"/>
        <charset val="186"/>
      </rPr>
      <t>Pavisam kopā 6,13 euro</t>
    </r>
    <r>
      <rPr>
        <sz val="12"/>
        <rFont val="Times New Roman"/>
        <family val="1"/>
        <charset val="186"/>
      </rPr>
      <t xml:space="preserve"> </t>
    </r>
  </si>
  <si>
    <r>
      <t xml:space="preserve">Pamatlīdzeklis:
</t>
    </r>
    <r>
      <rPr>
        <sz val="12"/>
        <rFont val="Times New Roman"/>
        <family val="1"/>
        <charset val="186"/>
      </rPr>
      <t xml:space="preserve">Gadā 31 mirušais, patēriņš </t>
    </r>
    <r>
      <rPr>
        <b/>
        <sz val="12"/>
        <rFont val="Times New Roman"/>
        <family val="1"/>
        <charset val="186"/>
      </rPr>
      <t>0,78</t>
    </r>
    <r>
      <rPr>
        <sz val="12"/>
        <rFont val="Times New Roman"/>
        <family val="1"/>
        <charset val="186"/>
      </rPr>
      <t xml:space="preserve"> euro</t>
    </r>
  </si>
  <si>
    <r>
      <t xml:space="preserve">Pamatlīdzekļi: Gada nolietojums: Gadā 31 mirušais, patēriņš </t>
    </r>
    <r>
      <rPr>
        <b/>
        <sz val="12"/>
        <rFont val="Times New Roman"/>
        <family val="1"/>
        <charset val="186"/>
      </rPr>
      <t>15,85</t>
    </r>
    <r>
      <rPr>
        <sz val="12"/>
        <rFont val="Times New Roman"/>
        <family val="1"/>
        <charset val="186"/>
      </rPr>
      <t xml:space="preserve"> euro</t>
    </r>
  </si>
  <si>
    <r>
      <t xml:space="preserve">Gadā 31 mirušais, patēriņš </t>
    </r>
    <r>
      <rPr>
        <b/>
        <sz val="12"/>
        <rFont val="Times New Roman"/>
        <family val="1"/>
        <charset val="186"/>
      </rPr>
      <t>22,23</t>
    </r>
    <r>
      <rPr>
        <sz val="12"/>
        <rFont val="Times New Roman"/>
        <family val="1"/>
        <charset val="186"/>
      </rPr>
      <t xml:space="preserve"> euro </t>
    </r>
  </si>
  <si>
    <r>
      <t>Spectērpu izdevumi:</t>
    </r>
    <r>
      <rPr>
        <sz val="12"/>
        <rFont val="Times New Roman"/>
        <family val="1"/>
        <charset val="186"/>
      </rPr>
      <t xml:space="preserve"> Gadā 31 mirušais, patēriņš 0,37 euro </t>
    </r>
  </si>
  <si>
    <r>
      <rPr>
        <u/>
        <sz val="12"/>
        <rFont val="Times New Roman"/>
        <family val="1"/>
        <charset val="186"/>
      </rPr>
      <t>Vidējais uzturēšanas izdevumu apjoms.</t>
    </r>
    <r>
      <rPr>
        <sz val="12"/>
        <rFont val="Times New Roman"/>
        <family val="1"/>
        <charset val="186"/>
      </rPr>
      <t xml:space="preserve"> Gadā 31 mirušais, patēriņš </t>
    </r>
    <r>
      <rPr>
        <b/>
        <sz val="12"/>
        <rFont val="Times New Roman"/>
        <family val="1"/>
        <charset val="186"/>
      </rPr>
      <t>1,58</t>
    </r>
    <r>
      <rPr>
        <sz val="12"/>
        <rFont val="Times New Roman"/>
        <family val="1"/>
        <charset val="186"/>
      </rPr>
      <t xml:space="preserve"> euro </t>
    </r>
  </si>
  <si>
    <r>
      <t xml:space="preserve">Vidējie izdevumi par komunālajiem pakalpojumiem: Gadā 31 mirušais, patēriņš </t>
    </r>
    <r>
      <rPr>
        <b/>
        <sz val="12"/>
        <rFont val="Times New Roman"/>
        <family val="1"/>
        <charset val="186"/>
      </rPr>
      <t>5,55</t>
    </r>
    <r>
      <rPr>
        <sz val="12"/>
        <rFont val="Times New Roman"/>
        <family val="1"/>
        <charset val="186"/>
      </rPr>
      <t xml:space="preserve"> euro </t>
    </r>
  </si>
  <si>
    <r>
      <rPr>
        <u/>
        <sz val="12"/>
        <rFont val="Times New Roman"/>
        <family val="1"/>
        <charset val="186"/>
      </rPr>
      <t xml:space="preserve">Atalgojums. </t>
    </r>
    <r>
      <rPr>
        <sz val="12"/>
        <rFont val="Times New Roman"/>
        <family val="1"/>
        <charset val="186"/>
      </rPr>
      <t xml:space="preserve">Gadā 31 mirušais. </t>
    </r>
    <r>
      <rPr>
        <b/>
        <sz val="12"/>
        <rFont val="Times New Roman"/>
        <family val="1"/>
        <charset val="186"/>
      </rPr>
      <t>Pavisam kopā 127,29 euro</t>
    </r>
    <r>
      <rPr>
        <sz val="12"/>
        <rFont val="Times New Roman"/>
        <family val="1"/>
        <charset val="186"/>
      </rPr>
      <t xml:space="preserve"> </t>
    </r>
  </si>
  <si>
    <r>
      <t xml:space="preserve">Pamatlīdzeklis: 
Gadā 6 mirušie. </t>
    </r>
    <r>
      <rPr>
        <b/>
        <sz val="12"/>
        <rFont val="Times New Roman"/>
        <family val="1"/>
        <charset val="186"/>
      </rPr>
      <t xml:space="preserve">Pavisam kopā patēriņš 6 mirušo uzglabāšanai ir </t>
    </r>
    <r>
      <rPr>
        <b/>
        <u/>
        <sz val="12"/>
        <rFont val="Times New Roman"/>
        <family val="1"/>
        <charset val="186"/>
      </rPr>
      <t>48,22</t>
    </r>
    <r>
      <rPr>
        <b/>
        <sz val="12"/>
        <rFont val="Times New Roman"/>
        <family val="1"/>
        <charset val="186"/>
      </rPr>
      <t xml:space="preserve"> </t>
    </r>
    <r>
      <rPr>
        <sz val="12"/>
        <rFont val="Times New Roman"/>
        <family val="1"/>
        <charset val="186"/>
      </rPr>
      <t xml:space="preserve">euro </t>
    </r>
  </si>
  <si>
    <t>Gumijas cimdi. Gadā 6 mirušie, patēriņš 6 pakalpojumiem 0,30 euro</t>
  </si>
  <si>
    <r>
      <t xml:space="preserve">Spectērpu izdevumi: Gadā 6 mirušie. Izdevumi 6 pakalpojuma veikšanai </t>
    </r>
    <r>
      <rPr>
        <b/>
        <u/>
        <sz val="12"/>
        <rFont val="Times New Roman"/>
        <family val="1"/>
        <charset val="186"/>
      </rPr>
      <t xml:space="preserve">0,021 </t>
    </r>
    <r>
      <rPr>
        <sz val="12"/>
        <rFont val="Times New Roman"/>
        <family val="1"/>
        <charset val="186"/>
      </rPr>
      <t>euro</t>
    </r>
  </si>
  <si>
    <r>
      <t xml:space="preserve">Vidējie izdevumi par komunālajiem pakalpojumiem: Gadā 6 mirušie. Patēriņš uz 6 mirušajiem ir </t>
    </r>
    <r>
      <rPr>
        <b/>
        <u/>
        <sz val="12"/>
        <rFont val="Times New Roman"/>
        <family val="1"/>
        <charset val="186"/>
      </rPr>
      <t xml:space="preserve">5,86 </t>
    </r>
    <r>
      <rPr>
        <sz val="12"/>
        <rFont val="Times New Roman"/>
        <family val="1"/>
        <charset val="186"/>
      </rPr>
      <t xml:space="preserve">euro </t>
    </r>
  </si>
  <si>
    <r>
      <t xml:space="preserve">Atalgojums. Gadā 6 mirušie. </t>
    </r>
    <r>
      <rPr>
        <b/>
        <sz val="12"/>
        <rFont val="Times New Roman"/>
        <family val="1"/>
        <charset val="186"/>
      </rPr>
      <t>Pavisam kopā 6,25 euro</t>
    </r>
    <r>
      <rPr>
        <sz val="12"/>
        <rFont val="Times New Roman"/>
        <family val="1"/>
        <charset val="186"/>
      </rPr>
      <t xml:space="preserve"> </t>
    </r>
  </si>
  <si>
    <r>
      <rPr>
        <u/>
        <sz val="12"/>
        <rFont val="Times New Roman"/>
        <family val="1"/>
        <charset val="186"/>
      </rPr>
      <t>Vidējais uzturēšanas izdevumu apjoms</t>
    </r>
    <r>
      <rPr>
        <sz val="12"/>
        <rFont val="Times New Roman"/>
        <family val="1"/>
        <charset val="186"/>
      </rPr>
      <t xml:space="preserve"> mēnesī: Gadā 6 mirušie. Patēriņš uz 6 mirušajiem ir </t>
    </r>
    <r>
      <rPr>
        <b/>
        <sz val="12"/>
        <rFont val="Times New Roman"/>
        <family val="1"/>
        <charset val="186"/>
      </rPr>
      <t xml:space="preserve">1,56 </t>
    </r>
    <r>
      <rPr>
        <sz val="12"/>
        <rFont val="Times New Roman"/>
        <family val="1"/>
        <charset val="186"/>
      </rPr>
      <t xml:space="preserve">euro </t>
    </r>
  </si>
  <si>
    <t>Pamatlīdzekļi: Gada nolietojums ēkai: Gadā 6 mirušie. Patēriņš uz 6 mirušajiem ir 14,45 euro</t>
  </si>
  <si>
    <r>
      <t xml:space="preserve">Pamatlīdzeklis: 
Gadā 75 mirušie. </t>
    </r>
    <r>
      <rPr>
        <b/>
        <sz val="12"/>
        <rFont val="Times New Roman"/>
        <family val="1"/>
        <charset val="186"/>
      </rPr>
      <t xml:space="preserve">Pavisam kopā patēriņš 75 mirušo uzglabāšanai ir </t>
    </r>
    <r>
      <rPr>
        <b/>
        <u/>
        <sz val="12"/>
        <rFont val="Times New Roman"/>
        <family val="1"/>
        <charset val="186"/>
      </rPr>
      <t>602,81</t>
    </r>
    <r>
      <rPr>
        <b/>
        <sz val="12"/>
        <rFont val="Times New Roman"/>
        <family val="1"/>
        <charset val="186"/>
      </rPr>
      <t xml:space="preserve"> </t>
    </r>
    <r>
      <rPr>
        <sz val="12"/>
        <rFont val="Times New Roman"/>
        <family val="1"/>
        <charset val="186"/>
      </rPr>
      <t>euro</t>
    </r>
  </si>
  <si>
    <t xml:space="preserve">Pamatlīdzekļi: Gada nolietojums ēkai: Gadā 75 mirušie. Patēriņš uz 75 mirušajiem ir 180,69 euro </t>
  </si>
  <si>
    <r>
      <t xml:space="preserve">Spectērpu izdevumi: Gadā 75 mirušie. Izdevumi 75 pakalpojumu veikšanai </t>
    </r>
    <r>
      <rPr>
        <b/>
        <u/>
        <sz val="12"/>
        <rFont val="Times New Roman"/>
        <family val="1"/>
        <charset val="186"/>
      </rPr>
      <t xml:space="preserve">0,26 </t>
    </r>
    <r>
      <rPr>
        <sz val="12"/>
        <rFont val="Times New Roman"/>
        <family val="1"/>
        <charset val="186"/>
      </rPr>
      <t>euro</t>
    </r>
  </si>
  <si>
    <r>
      <rPr>
        <u/>
        <sz val="12"/>
        <rFont val="Times New Roman"/>
        <family val="1"/>
        <charset val="186"/>
      </rPr>
      <t>Vidējais uzturēšanas izdevumu apjoms:</t>
    </r>
    <r>
      <rPr>
        <sz val="12"/>
        <rFont val="Times New Roman"/>
        <family val="1"/>
        <charset val="186"/>
      </rPr>
      <t xml:space="preserve"> Gadā 75 mirušie. Patēriņš uz 75 mirušajiem ir </t>
    </r>
    <r>
      <rPr>
        <b/>
        <sz val="12"/>
        <rFont val="Times New Roman"/>
        <family val="1"/>
        <charset val="186"/>
      </rPr>
      <t xml:space="preserve">19,53 </t>
    </r>
    <r>
      <rPr>
        <sz val="12"/>
        <rFont val="Times New Roman"/>
        <family val="1"/>
        <charset val="186"/>
      </rPr>
      <t xml:space="preserve">euro </t>
    </r>
  </si>
  <si>
    <r>
      <t xml:space="preserve">Vidējie izdevumi par komunālajiem pakalpojumiem: Gadā 75 mirušie. Patēriņš uz 75 mirušajiem ir </t>
    </r>
    <r>
      <rPr>
        <b/>
        <u/>
        <sz val="12"/>
        <rFont val="Times New Roman"/>
        <family val="1"/>
        <charset val="186"/>
      </rPr>
      <t xml:space="preserve">73,25 </t>
    </r>
    <r>
      <rPr>
        <sz val="12"/>
        <rFont val="Times New Roman"/>
        <family val="1"/>
        <charset val="186"/>
      </rPr>
      <t>euro</t>
    </r>
  </si>
  <si>
    <r>
      <t xml:space="preserve">Atalgojums. Gadā 75 mirušie. </t>
    </r>
    <r>
      <rPr>
        <b/>
        <sz val="12"/>
        <rFont val="Times New Roman"/>
        <family val="1"/>
        <charset val="186"/>
      </rPr>
      <t>Pavisam kopā 78,14 euro</t>
    </r>
    <r>
      <rPr>
        <sz val="12"/>
        <rFont val="Times New Roman"/>
        <family val="1"/>
        <charset val="186"/>
      </rPr>
      <t xml:space="preserve"> </t>
    </r>
  </si>
  <si>
    <r>
      <t xml:space="preserve">Pamatlīdzekļi: Gada nolietojums ēkai: </t>
    </r>
    <r>
      <rPr>
        <b/>
        <sz val="12"/>
        <rFont val="Times New Roman"/>
        <family val="1"/>
        <charset val="186"/>
      </rPr>
      <t>Gadā 35 atzinumi, patēriņš 304,31 euro</t>
    </r>
  </si>
  <si>
    <r>
      <rPr>
        <b/>
        <sz val="12"/>
        <rFont val="Times New Roman"/>
        <family val="1"/>
        <charset val="186"/>
      </rPr>
      <t xml:space="preserve">Gadā 35 atzinumi, patēriņš </t>
    </r>
    <r>
      <rPr>
        <b/>
        <u/>
        <sz val="12"/>
        <rFont val="Times New Roman"/>
        <family val="1"/>
        <charset val="186"/>
      </rPr>
      <t xml:space="preserve"> 5,06</t>
    </r>
    <r>
      <rPr>
        <sz val="12"/>
        <rFont val="Times New Roman"/>
        <family val="1"/>
        <charset val="186"/>
      </rPr>
      <t xml:space="preserve"> euro</t>
    </r>
  </si>
  <si>
    <r>
      <rPr>
        <b/>
        <u/>
        <sz val="12"/>
        <rFont val="Times New Roman"/>
        <family val="1"/>
        <charset val="186"/>
      </rPr>
      <t xml:space="preserve">Histoloģijas laboratorijas pakalpojumi:
</t>
    </r>
    <r>
      <rPr>
        <b/>
        <sz val="12"/>
        <rFont val="Times New Roman"/>
        <family val="1"/>
        <charset val="186"/>
      </rPr>
      <t>Gadā 35 atzinumi, patēriņš 0,13 euro</t>
    </r>
  </si>
  <si>
    <r>
      <t xml:space="preserve">Daudzreiz lietojamās preces: </t>
    </r>
    <r>
      <rPr>
        <sz val="12"/>
        <rFont val="Times New Roman"/>
        <family val="1"/>
        <charset val="186"/>
      </rPr>
      <t xml:space="preserve"> Gadā 35 atzinumi. </t>
    </r>
    <r>
      <rPr>
        <b/>
        <u/>
        <sz val="12"/>
        <rFont val="Times New Roman"/>
        <family val="1"/>
        <charset val="186"/>
      </rPr>
      <t>Patēriņš 35 atzinumiem 0,11</t>
    </r>
    <r>
      <rPr>
        <sz val="12"/>
        <rFont val="Times New Roman"/>
        <family val="1"/>
        <charset val="186"/>
      </rPr>
      <t xml:space="preserve"> euro </t>
    </r>
  </si>
  <si>
    <r>
      <t xml:space="preserve">Daudzreiz lietojamās preces: </t>
    </r>
    <r>
      <rPr>
        <sz val="12"/>
        <rFont val="Times New Roman"/>
        <family val="1"/>
        <charset val="186"/>
      </rPr>
      <t xml:space="preserve">Gadā 35 atzinumi. Patēriņš 35 atzinumiem </t>
    </r>
    <r>
      <rPr>
        <b/>
        <u/>
        <sz val="12"/>
        <rFont val="Times New Roman"/>
        <family val="1"/>
        <charset val="186"/>
      </rPr>
      <t xml:space="preserve">0,09 </t>
    </r>
    <r>
      <rPr>
        <sz val="12"/>
        <rFont val="Times New Roman"/>
        <family val="1"/>
        <charset val="186"/>
      </rPr>
      <t>euro</t>
    </r>
  </si>
  <si>
    <r>
      <t xml:space="preserve">Biroja preces: Gadā 35 atzinumi. Patēriņš 35 atzinumiem </t>
    </r>
    <r>
      <rPr>
        <b/>
        <sz val="12"/>
        <rFont val="Times New Roman"/>
        <family val="1"/>
        <charset val="186"/>
      </rPr>
      <t>4,55</t>
    </r>
    <r>
      <rPr>
        <sz val="12"/>
        <rFont val="Times New Roman"/>
        <family val="1"/>
        <charset val="186"/>
      </rPr>
      <t xml:space="preserve"> euro </t>
    </r>
  </si>
  <si>
    <r>
      <rPr>
        <u/>
        <sz val="12"/>
        <rFont val="Times New Roman"/>
        <family val="1"/>
        <charset val="186"/>
      </rPr>
      <t>Vidējais uzturēšanas izdevumu apjoms:</t>
    </r>
    <r>
      <rPr>
        <sz val="12"/>
        <rFont val="Times New Roman"/>
        <family val="1"/>
        <charset val="186"/>
      </rPr>
      <t xml:space="preserve">
Gadā 35 atzinumi. Pavisam kopā patēriņš 35 atzinumiem ir </t>
    </r>
    <r>
      <rPr>
        <b/>
        <sz val="12"/>
        <rFont val="Times New Roman"/>
        <family val="1"/>
        <charset val="186"/>
      </rPr>
      <t>303,35</t>
    </r>
    <r>
      <rPr>
        <sz val="12"/>
        <rFont val="Times New Roman"/>
        <family val="1"/>
        <charset val="186"/>
      </rPr>
      <t xml:space="preserve"> euro </t>
    </r>
  </si>
  <si>
    <r>
      <t xml:space="preserve">Vidējie izdevumi mēnesī par komunālajiem pakalpojumiem: </t>
    </r>
    <r>
      <rPr>
        <sz val="12"/>
        <rFont val="Times New Roman"/>
        <family val="1"/>
        <charset val="186"/>
      </rPr>
      <t xml:space="preserve">
Gadā 35 atzinumi. </t>
    </r>
    <r>
      <rPr>
        <b/>
        <sz val="12"/>
        <rFont val="Times New Roman"/>
        <family val="1"/>
        <charset val="186"/>
      </rPr>
      <t>Pavisam kopā patēriņš 35 atzinumiem ir 460,93 euro</t>
    </r>
    <r>
      <rPr>
        <sz val="12"/>
        <rFont val="Times New Roman"/>
        <family val="1"/>
        <charset val="186"/>
      </rPr>
      <t xml:space="preserve"> </t>
    </r>
  </si>
  <si>
    <r>
      <t xml:space="preserve">Atalgojums. Gadā 35 atzinumi. </t>
    </r>
    <r>
      <rPr>
        <b/>
        <sz val="12"/>
        <rFont val="Times New Roman"/>
        <family val="1"/>
        <charset val="186"/>
      </rPr>
      <t>Pavisam kopā 1442,57 euro</t>
    </r>
    <r>
      <rPr>
        <sz val="12"/>
        <rFont val="Times New Roman"/>
        <family val="1"/>
        <charset val="186"/>
      </rPr>
      <t xml:space="preserve"> </t>
    </r>
  </si>
  <si>
    <r>
      <t xml:space="preserve">Pamatlīdzeklis:
</t>
    </r>
    <r>
      <rPr>
        <sz val="12"/>
        <rFont val="Times New Roman"/>
        <family val="1"/>
        <charset val="186"/>
      </rPr>
      <t xml:space="preserve">Gadā 15 ekspertīzes. </t>
    </r>
    <r>
      <rPr>
        <b/>
        <sz val="12"/>
        <rFont val="Times New Roman"/>
        <family val="1"/>
        <charset val="186"/>
      </rPr>
      <t xml:space="preserve">Pavisam kopā patēriņš 15 ekspertīzēm ir 1,19 </t>
    </r>
    <r>
      <rPr>
        <sz val="12"/>
        <rFont val="Times New Roman"/>
        <family val="1"/>
        <charset val="186"/>
      </rPr>
      <t>euro</t>
    </r>
  </si>
  <si>
    <r>
      <t xml:space="preserve">Daudzreiz lietojamās preces: </t>
    </r>
    <r>
      <rPr>
        <sz val="12"/>
        <rFont val="Times New Roman"/>
        <family val="1"/>
        <charset val="186"/>
      </rPr>
      <t xml:space="preserve">Gadā 15 ekspertīzes, patēriņš 15 ekspertīzēm </t>
    </r>
    <r>
      <rPr>
        <b/>
        <sz val="12"/>
        <rFont val="Times New Roman"/>
        <family val="1"/>
        <charset val="186"/>
      </rPr>
      <t>0,04</t>
    </r>
    <r>
      <rPr>
        <sz val="12"/>
        <rFont val="Times New Roman"/>
        <family val="1"/>
        <charset val="186"/>
      </rPr>
      <t xml:space="preserve"> euro</t>
    </r>
  </si>
  <si>
    <r>
      <t xml:space="preserve">Gadā 15 ekspertīzes, patēriņš 15 ekspertīzēm </t>
    </r>
    <r>
      <rPr>
        <b/>
        <sz val="12"/>
        <rFont val="Times New Roman"/>
        <family val="1"/>
        <charset val="186"/>
      </rPr>
      <t>2,10</t>
    </r>
    <r>
      <rPr>
        <sz val="12"/>
        <rFont val="Times New Roman"/>
        <family val="1"/>
        <charset val="186"/>
      </rPr>
      <t xml:space="preserve"> euro</t>
    </r>
  </si>
  <si>
    <r>
      <rPr>
        <b/>
        <u/>
        <sz val="12"/>
        <rFont val="Times New Roman"/>
        <family val="1"/>
        <charset val="186"/>
      </rPr>
      <t xml:space="preserve">Histoloģijas laboratorijas pakalpojumi:
</t>
    </r>
    <r>
      <rPr>
        <sz val="12"/>
        <rFont val="Times New Roman"/>
        <family val="1"/>
        <charset val="186"/>
      </rPr>
      <t xml:space="preserve">Gadā 15 ekspertīzes, patēriņš 15 ekspertīzēm </t>
    </r>
    <r>
      <rPr>
        <b/>
        <u/>
        <sz val="12"/>
        <rFont val="Times New Roman"/>
        <family val="1"/>
        <charset val="186"/>
      </rPr>
      <t>0,05</t>
    </r>
    <r>
      <rPr>
        <sz val="12"/>
        <rFont val="Times New Roman"/>
        <family val="1"/>
        <charset val="186"/>
      </rPr>
      <t xml:space="preserve"> euro</t>
    </r>
  </si>
  <si>
    <r>
      <t xml:space="preserve">Daudzreiz lietojamās preces: </t>
    </r>
    <r>
      <rPr>
        <sz val="12"/>
        <rFont val="Times New Roman"/>
        <family val="1"/>
        <charset val="186"/>
      </rPr>
      <t xml:space="preserve">Gadā 15 ekspertīzes, patēriņš 15 ekspertīzēm </t>
    </r>
    <r>
      <rPr>
        <b/>
        <u/>
        <sz val="12"/>
        <rFont val="Times New Roman"/>
        <family val="1"/>
        <charset val="186"/>
      </rPr>
      <t>0,05</t>
    </r>
    <r>
      <rPr>
        <sz val="12"/>
        <rFont val="Times New Roman"/>
        <family val="1"/>
        <charset val="186"/>
      </rPr>
      <t xml:space="preserve"> euro</t>
    </r>
  </si>
  <si>
    <r>
      <t xml:space="preserve">Biroja preces: </t>
    </r>
    <r>
      <rPr>
        <sz val="12"/>
        <rFont val="Times New Roman"/>
        <family val="1"/>
        <charset val="186"/>
      </rPr>
      <t xml:space="preserve">Gadā 15 ekspertīzes, patēriņš 15 ekspertīzēm </t>
    </r>
    <r>
      <rPr>
        <b/>
        <sz val="12"/>
        <rFont val="Times New Roman"/>
        <family val="1"/>
        <charset val="186"/>
      </rPr>
      <t>1,95</t>
    </r>
    <r>
      <rPr>
        <sz val="12"/>
        <rFont val="Times New Roman"/>
        <family val="1"/>
        <charset val="186"/>
      </rPr>
      <t xml:space="preserve"> euro </t>
    </r>
  </si>
  <si>
    <r>
      <rPr>
        <u/>
        <sz val="12"/>
        <rFont val="Times New Roman"/>
        <family val="1"/>
        <charset val="186"/>
      </rPr>
      <t xml:space="preserve">Vidējais uzturēšanas izdevumu apjoms: </t>
    </r>
    <r>
      <rPr>
        <sz val="12"/>
        <rFont val="Times New Roman"/>
        <family val="1"/>
        <charset val="186"/>
      </rPr>
      <t xml:space="preserve">Gadā 15 ekspertīzes, patēriņš uz 15 ekspertīzēm ir </t>
    </r>
    <r>
      <rPr>
        <b/>
        <sz val="12"/>
        <rFont val="Times New Roman"/>
        <family val="1"/>
        <charset val="186"/>
      </rPr>
      <t>245,57</t>
    </r>
    <r>
      <rPr>
        <sz val="12"/>
        <rFont val="Times New Roman"/>
        <family val="1"/>
        <charset val="186"/>
      </rPr>
      <t xml:space="preserve"> euro</t>
    </r>
  </si>
  <si>
    <r>
      <t xml:space="preserve">Vidējie izdevumi mēnesī par komunālajiem pakalpojumiem: </t>
    </r>
    <r>
      <rPr>
        <sz val="12"/>
        <rFont val="Times New Roman"/>
        <family val="1"/>
        <charset val="186"/>
      </rPr>
      <t xml:space="preserve">
Gadā 15 ekspertīzes. Patēriņš 15 ekspertīzēm </t>
    </r>
    <r>
      <rPr>
        <b/>
        <sz val="12"/>
        <rFont val="Times New Roman"/>
        <family val="1"/>
        <charset val="186"/>
      </rPr>
      <t>373,13</t>
    </r>
    <r>
      <rPr>
        <sz val="12"/>
        <rFont val="Times New Roman"/>
        <family val="1"/>
        <charset val="186"/>
      </rPr>
      <t xml:space="preserve"> euro </t>
    </r>
  </si>
  <si>
    <r>
      <t xml:space="preserve">Atalgojums. Gadā 15 ekspertīzes. </t>
    </r>
    <r>
      <rPr>
        <b/>
        <sz val="12"/>
        <rFont val="Times New Roman"/>
        <family val="1"/>
        <charset val="186"/>
      </rPr>
      <t>Pavisam kopā 1186,79 euro</t>
    </r>
    <r>
      <rPr>
        <sz val="12"/>
        <rFont val="Times New Roman"/>
        <family val="1"/>
        <charset val="186"/>
      </rPr>
      <t xml:space="preserve"> </t>
    </r>
  </si>
  <si>
    <r>
      <t xml:space="preserve">Pamatlīdzekļi: Gadā 15 ekspertīzes, patēriņš 15 ekspertīzēm </t>
    </r>
    <r>
      <rPr>
        <b/>
        <sz val="12"/>
        <rFont val="Times New Roman"/>
        <family val="1"/>
        <charset val="186"/>
      </rPr>
      <t>246,09</t>
    </r>
    <r>
      <rPr>
        <sz val="12"/>
        <rFont val="Times New Roman"/>
        <family val="1"/>
        <charset val="186"/>
      </rPr>
      <t xml:space="preserve"> euro </t>
    </r>
  </si>
  <si>
    <r>
      <t xml:space="preserve">Pamatlīdzeklis:
</t>
    </r>
    <r>
      <rPr>
        <sz val="12"/>
        <rFont val="Times New Roman"/>
        <family val="1"/>
        <charset val="186"/>
      </rPr>
      <t xml:space="preserve">Gadā 8 atzinumi. </t>
    </r>
    <r>
      <rPr>
        <b/>
        <sz val="12"/>
        <rFont val="Times New Roman"/>
        <family val="1"/>
        <charset val="186"/>
      </rPr>
      <t xml:space="preserve">Pavisam kopā patēriņš 8 atzinumiem ir 0,48 </t>
    </r>
    <r>
      <rPr>
        <sz val="12"/>
        <rFont val="Times New Roman"/>
        <family val="1"/>
        <charset val="186"/>
      </rPr>
      <t>euro</t>
    </r>
  </si>
  <si>
    <r>
      <t xml:space="preserve">Daudzreiz lietojamās preces: Gadā 8 atzinumi. Patēriņš uz 8 atzinumiem ir </t>
    </r>
    <r>
      <rPr>
        <b/>
        <sz val="12"/>
        <rFont val="Times New Roman"/>
        <family val="1"/>
        <charset val="186"/>
      </rPr>
      <t xml:space="preserve">0,021 </t>
    </r>
    <r>
      <rPr>
        <sz val="12"/>
        <rFont val="Times New Roman"/>
        <family val="1"/>
        <charset val="186"/>
      </rPr>
      <t xml:space="preserve">euro </t>
    </r>
  </si>
  <si>
    <r>
      <t xml:space="preserve">Pamatlīdzekļi: Gada nolietojums ēkai: Gadā 8 atzinumi. Patēriņš uz 8 atzinumu sagatavošanu ir </t>
    </r>
    <r>
      <rPr>
        <b/>
        <sz val="12"/>
        <rFont val="Times New Roman"/>
        <family val="1"/>
        <charset val="186"/>
      </rPr>
      <t>100,45</t>
    </r>
    <r>
      <rPr>
        <sz val="12"/>
        <rFont val="Times New Roman"/>
        <family val="1"/>
        <charset val="186"/>
      </rPr>
      <t xml:space="preserve"> euro </t>
    </r>
  </si>
  <si>
    <r>
      <t xml:space="preserve">Daudzreiz lietojamās preces: </t>
    </r>
    <r>
      <rPr>
        <sz val="12"/>
        <rFont val="Times New Roman"/>
        <family val="1"/>
        <charset val="186"/>
      </rPr>
      <t xml:space="preserve">Gadā 8 atzinumi. Patēriņš uz 8 atzinumiem ir </t>
    </r>
    <r>
      <rPr>
        <b/>
        <sz val="12"/>
        <rFont val="Times New Roman"/>
        <family val="1"/>
        <charset val="186"/>
      </rPr>
      <t>0,025</t>
    </r>
    <r>
      <rPr>
        <sz val="12"/>
        <rFont val="Times New Roman"/>
        <family val="1"/>
        <charset val="186"/>
      </rPr>
      <t xml:space="preserve"> euro</t>
    </r>
  </si>
  <si>
    <r>
      <rPr>
        <b/>
        <u/>
        <sz val="12"/>
        <rFont val="Times New Roman"/>
        <family val="1"/>
        <charset val="186"/>
      </rPr>
      <t xml:space="preserve">Histoloģijas laboratorijas pakalpojumi:
</t>
    </r>
    <r>
      <rPr>
        <b/>
        <sz val="12"/>
        <rFont val="Times New Roman"/>
        <family val="1"/>
        <charset val="186"/>
      </rPr>
      <t xml:space="preserve">Gadā 8 atzinumi. </t>
    </r>
    <r>
      <rPr>
        <sz val="12"/>
        <rFont val="Times New Roman"/>
        <family val="1"/>
        <charset val="186"/>
      </rPr>
      <t xml:space="preserve">Patēriņš uz 8 atzinumiem ir </t>
    </r>
    <r>
      <rPr>
        <b/>
        <sz val="12"/>
        <rFont val="Times New Roman"/>
        <family val="1"/>
        <charset val="186"/>
      </rPr>
      <t>0,028</t>
    </r>
    <r>
      <rPr>
        <sz val="12"/>
        <rFont val="Times New Roman"/>
        <family val="1"/>
        <charset val="186"/>
      </rPr>
      <t xml:space="preserve"> euro </t>
    </r>
  </si>
  <si>
    <r>
      <t xml:space="preserve">Biroja preces: </t>
    </r>
    <r>
      <rPr>
        <sz val="12"/>
        <rFont val="Times New Roman"/>
        <family val="1"/>
        <charset val="186"/>
      </rPr>
      <t xml:space="preserve">Gadā 8 atzinumi. Patēriņš uz 8 atzinumiem ir </t>
    </r>
    <r>
      <rPr>
        <b/>
        <sz val="12"/>
        <rFont val="Times New Roman"/>
        <family val="1"/>
        <charset val="186"/>
      </rPr>
      <t>1,04</t>
    </r>
    <r>
      <rPr>
        <sz val="12"/>
        <rFont val="Times New Roman"/>
        <family val="1"/>
        <charset val="186"/>
      </rPr>
      <t xml:space="preserve"> euro</t>
    </r>
  </si>
  <si>
    <r>
      <rPr>
        <u/>
        <sz val="12"/>
        <rFont val="Times New Roman"/>
        <family val="1"/>
        <charset val="186"/>
      </rPr>
      <t xml:space="preserve">Vidējais uzturēšanas izdevumu apjoms: </t>
    </r>
    <r>
      <rPr>
        <sz val="12"/>
        <rFont val="Times New Roman"/>
        <family val="1"/>
        <charset val="186"/>
      </rPr>
      <t xml:space="preserve">Gadā 8 atzinumi. Patēriņš uz 8 atzinumiem ir </t>
    </r>
    <r>
      <rPr>
        <b/>
        <sz val="12"/>
        <rFont val="Times New Roman"/>
        <family val="1"/>
        <charset val="186"/>
      </rPr>
      <t>100,15</t>
    </r>
    <r>
      <rPr>
        <sz val="12"/>
        <rFont val="Times New Roman"/>
        <family val="1"/>
        <charset val="186"/>
      </rPr>
      <t xml:space="preserve"> euro </t>
    </r>
  </si>
  <si>
    <r>
      <t xml:space="preserve">Vidējie izdevumi mēnesī par komunālajiem pakalpojumiem: Gadā 8 atzinumi. Patēriņš uz 8 atzinumiem ir </t>
    </r>
    <r>
      <rPr>
        <b/>
        <sz val="12"/>
        <rFont val="Times New Roman"/>
        <family val="1"/>
        <charset val="186"/>
      </rPr>
      <t>1152,18</t>
    </r>
    <r>
      <rPr>
        <sz val="12"/>
        <rFont val="Times New Roman"/>
        <family val="1"/>
        <charset val="186"/>
      </rPr>
      <t xml:space="preserve"> euro.</t>
    </r>
  </si>
  <si>
    <r>
      <t xml:space="preserve">Atalgojums.
Gadā 8 atzinumi. </t>
    </r>
    <r>
      <rPr>
        <b/>
        <sz val="12"/>
        <rFont val="Times New Roman"/>
        <family val="1"/>
        <charset val="186"/>
      </rPr>
      <t>Pavisam kopā 481,34 euro</t>
    </r>
  </si>
  <si>
    <r>
      <t xml:space="preserve">Gadā 8 atzinumi. Vienai izpētei 3 gb,  patēriņš 8 atzinumiem ir </t>
    </r>
    <r>
      <rPr>
        <b/>
        <sz val="12"/>
        <rFont val="Times New Roman"/>
        <family val="1"/>
        <charset val="186"/>
      </rPr>
      <t xml:space="preserve">0,65 </t>
    </r>
    <r>
      <rPr>
        <sz val="12"/>
        <rFont val="Times New Roman"/>
        <family val="1"/>
        <charset val="186"/>
      </rPr>
      <t xml:space="preserve">euro </t>
    </r>
  </si>
  <si>
    <r>
      <t xml:space="preserve">Pamatlīdzeklis:
Gadā 1 atzinums. </t>
    </r>
    <r>
      <rPr>
        <b/>
        <sz val="12"/>
        <rFont val="Times New Roman"/>
        <family val="1"/>
        <charset val="186"/>
      </rPr>
      <t xml:space="preserve">Pavisam kopā patēriņš 1 atzinumam ir 0,04 </t>
    </r>
    <r>
      <rPr>
        <sz val="12"/>
        <rFont val="Times New Roman"/>
        <family val="1"/>
        <charset val="186"/>
      </rPr>
      <t>euro.</t>
    </r>
  </si>
  <si>
    <r>
      <t xml:space="preserve">Pamatlīdzekļi: Gada nolietojums ēkai: Patēriņš uz 1 atzinuma sagatavošanu ir </t>
    </r>
    <r>
      <rPr>
        <b/>
        <sz val="12"/>
        <rFont val="Times New Roman"/>
        <family val="1"/>
        <charset val="186"/>
      </rPr>
      <t>8,69</t>
    </r>
    <r>
      <rPr>
        <sz val="12"/>
        <rFont val="Times New Roman"/>
        <family val="1"/>
        <charset val="186"/>
      </rPr>
      <t xml:space="preserve"> euro
</t>
    </r>
    <r>
      <rPr>
        <b/>
        <sz val="12"/>
        <rFont val="Times New Roman"/>
        <family val="1"/>
        <charset val="186"/>
      </rPr>
      <t>Gadā 1 atzinums.</t>
    </r>
  </si>
  <si>
    <r>
      <t xml:space="preserve">Daudzreiz lietojamās preces: Izdevumi 1 atzinuma sagatavošanai </t>
    </r>
    <r>
      <rPr>
        <b/>
        <sz val="12"/>
        <rFont val="Times New Roman"/>
        <family val="1"/>
        <charset val="186"/>
      </rPr>
      <t xml:space="preserve">0,003 </t>
    </r>
    <r>
      <rPr>
        <sz val="12"/>
        <rFont val="Times New Roman"/>
        <family val="1"/>
        <charset val="186"/>
      </rPr>
      <t>euro.</t>
    </r>
  </si>
  <si>
    <r>
      <rPr>
        <b/>
        <u/>
        <sz val="12"/>
        <rFont val="Times New Roman"/>
        <family val="1"/>
        <charset val="186"/>
      </rPr>
      <t xml:space="preserve">Kopā 1 atzinuma sagatavošanai 0,14 </t>
    </r>
    <r>
      <rPr>
        <sz val="12"/>
        <rFont val="Times New Roman"/>
        <family val="1"/>
        <charset val="186"/>
      </rPr>
      <t xml:space="preserve">euro. </t>
    </r>
    <r>
      <rPr>
        <b/>
        <sz val="12"/>
        <rFont val="Times New Roman"/>
        <family val="1"/>
        <charset val="186"/>
      </rPr>
      <t>Gadā 1 atzinums.</t>
    </r>
  </si>
  <si>
    <r>
      <rPr>
        <b/>
        <u/>
        <sz val="12"/>
        <rFont val="Times New Roman"/>
        <family val="1"/>
        <charset val="186"/>
      </rPr>
      <t xml:space="preserve">Histoloģijas laboratorijas pakalpojumi:
</t>
    </r>
    <r>
      <rPr>
        <sz val="12"/>
        <rFont val="Times New Roman"/>
        <family val="1"/>
        <charset val="186"/>
      </rPr>
      <t xml:space="preserve">Izdevumi 1 atzinuma veikšanai </t>
    </r>
    <r>
      <rPr>
        <b/>
        <u/>
        <sz val="12"/>
        <rFont val="Times New Roman"/>
        <family val="1"/>
        <charset val="186"/>
      </rPr>
      <t>0,004</t>
    </r>
    <r>
      <rPr>
        <sz val="12"/>
        <rFont val="Times New Roman"/>
        <family val="1"/>
        <charset val="186"/>
      </rPr>
      <t xml:space="preserve"> euro. </t>
    </r>
    <r>
      <rPr>
        <b/>
        <sz val="12"/>
        <rFont val="Times New Roman"/>
        <family val="1"/>
        <charset val="186"/>
      </rPr>
      <t>Gadā 1 atzinums.</t>
    </r>
  </si>
  <si>
    <r>
      <t xml:space="preserve">Daudzreiz lietojamās preces: </t>
    </r>
    <r>
      <rPr>
        <b/>
        <sz val="12"/>
        <rFont val="Times New Roman"/>
        <family val="1"/>
        <charset val="186"/>
      </rPr>
      <t xml:space="preserve">Izdevumi 1 atzinuma sagatavošanai 0,003 euro. </t>
    </r>
    <r>
      <rPr>
        <sz val="12"/>
        <rFont val="Times New Roman"/>
        <family val="1"/>
        <charset val="186"/>
      </rPr>
      <t>Gadā 1 atzinums.</t>
    </r>
  </si>
  <si>
    <r>
      <t xml:space="preserve">Biroja preces: Patēriņš 1 izpētei ir </t>
    </r>
    <r>
      <rPr>
        <b/>
        <sz val="12"/>
        <rFont val="Times New Roman"/>
        <family val="1"/>
        <charset val="186"/>
      </rPr>
      <t xml:space="preserve">0,13 </t>
    </r>
    <r>
      <rPr>
        <sz val="12"/>
        <rFont val="Times New Roman"/>
        <family val="1"/>
        <charset val="186"/>
      </rPr>
      <t>euro. Gadā 1 atzinums.</t>
    </r>
  </si>
  <si>
    <r>
      <rPr>
        <u/>
        <sz val="12"/>
        <rFont val="Times New Roman"/>
        <family val="1"/>
        <charset val="186"/>
      </rPr>
      <t>Vidējais uzturēšanas izdevumu apjoms:</t>
    </r>
    <r>
      <rPr>
        <sz val="12"/>
        <rFont val="Times New Roman"/>
        <family val="1"/>
        <charset val="186"/>
      </rPr>
      <t xml:space="preserve">  Patēriņš uz 1 atzinumu ir 8,67 euro. Gadā 1 atzinums.</t>
    </r>
  </si>
  <si>
    <r>
      <t xml:space="preserve">Vidējie izdevumi mēnesī par komunālajiem pakalpojumiem: Patēriņš uz 1 atzinumu ir </t>
    </r>
    <r>
      <rPr>
        <b/>
        <sz val="12"/>
        <rFont val="Times New Roman"/>
        <family val="1"/>
        <charset val="186"/>
      </rPr>
      <t>13,17</t>
    </r>
    <r>
      <rPr>
        <sz val="12"/>
        <rFont val="Times New Roman"/>
        <family val="1"/>
        <charset val="186"/>
      </rPr>
      <t xml:space="preserve"> euro.</t>
    </r>
  </si>
  <si>
    <r>
      <rPr>
        <u/>
        <sz val="12"/>
        <rFont val="Times New Roman"/>
        <family val="1"/>
        <charset val="186"/>
      </rPr>
      <t>Atalgojums.</t>
    </r>
    <r>
      <rPr>
        <sz val="12"/>
        <rFont val="Times New Roman"/>
        <family val="1"/>
        <charset val="186"/>
      </rPr>
      <t xml:space="preserve">
Gadā 1 atzinums. </t>
    </r>
    <r>
      <rPr>
        <b/>
        <sz val="12"/>
        <rFont val="Times New Roman"/>
        <family val="1"/>
        <charset val="186"/>
      </rPr>
      <t>Pavisam kopā 41,22 euro.</t>
    </r>
  </si>
  <si>
    <r>
      <t xml:space="preserve">Pamatlīdzeklis:
Gadā 1 ekspertīze. </t>
    </r>
    <r>
      <rPr>
        <b/>
        <sz val="12"/>
        <rFont val="Times New Roman"/>
        <family val="1"/>
        <charset val="186"/>
      </rPr>
      <t xml:space="preserve">Pavisam kopā patēriņš 1 ekspertīzei ir 0,08 </t>
    </r>
    <r>
      <rPr>
        <sz val="12"/>
        <rFont val="Times New Roman"/>
        <family val="1"/>
        <charset val="186"/>
      </rPr>
      <t xml:space="preserve">euro </t>
    </r>
  </si>
  <si>
    <r>
      <t xml:space="preserve">Pamatlīdzekļi: Gada nolietojums ēkai:  Patēriņš uz 1 ekspertīzes sagatavošanai ir </t>
    </r>
    <r>
      <rPr>
        <b/>
        <sz val="12"/>
        <rFont val="Times New Roman"/>
        <family val="1"/>
        <charset val="186"/>
      </rPr>
      <t>16,41</t>
    </r>
    <r>
      <rPr>
        <sz val="12"/>
        <rFont val="Times New Roman"/>
        <family val="1"/>
        <charset val="186"/>
      </rPr>
      <t xml:space="preserve"> euro </t>
    </r>
  </si>
  <si>
    <r>
      <t xml:space="preserve">Daudzreiz lietojamās preces: Izdevumi 1 ekspertīzes veikšanai </t>
    </r>
    <r>
      <rPr>
        <b/>
        <sz val="12"/>
        <rFont val="Times New Roman"/>
        <family val="1"/>
        <charset val="186"/>
      </rPr>
      <t xml:space="preserve">0,003 </t>
    </r>
    <r>
      <rPr>
        <sz val="12"/>
        <rFont val="Times New Roman"/>
        <family val="1"/>
        <charset val="186"/>
      </rPr>
      <t xml:space="preserve">euro </t>
    </r>
  </si>
  <si>
    <r>
      <rPr>
        <b/>
        <u/>
        <sz val="12"/>
        <rFont val="Times New Roman"/>
        <family val="1"/>
        <charset val="186"/>
      </rPr>
      <t xml:space="preserve">Kopā 1 ekspertīzes veikšanai 0,14 </t>
    </r>
    <r>
      <rPr>
        <sz val="12"/>
        <rFont val="Times New Roman"/>
        <family val="1"/>
        <charset val="186"/>
      </rPr>
      <t xml:space="preserve">euro </t>
    </r>
  </si>
  <si>
    <r>
      <rPr>
        <b/>
        <u/>
        <sz val="12"/>
        <rFont val="Times New Roman"/>
        <family val="1"/>
        <charset val="186"/>
      </rPr>
      <t xml:space="preserve">Histoloģijas laboratorijas pakalpojumi:
</t>
    </r>
    <r>
      <rPr>
        <sz val="12"/>
        <rFont val="Times New Roman"/>
        <family val="1"/>
        <charset val="186"/>
      </rPr>
      <t xml:space="preserve">Spectērpu izdevumi: </t>
    </r>
    <r>
      <rPr>
        <sz val="12"/>
        <rFont val="Times New Roman"/>
        <family val="1"/>
        <charset val="186"/>
      </rPr>
      <t xml:space="preserve">Izdevumi 1 ekspertīzes veikšanai </t>
    </r>
    <r>
      <rPr>
        <b/>
        <u/>
        <sz val="12"/>
        <rFont val="Times New Roman"/>
        <family val="1"/>
        <charset val="186"/>
      </rPr>
      <t>0,004</t>
    </r>
    <r>
      <rPr>
        <sz val="12"/>
        <rFont val="Times New Roman"/>
        <family val="1"/>
        <charset val="186"/>
      </rPr>
      <t xml:space="preserve"> euro </t>
    </r>
  </si>
  <si>
    <r>
      <t xml:space="preserve">Daudzreiz lietojamās preces:  </t>
    </r>
    <r>
      <rPr>
        <b/>
        <u/>
        <sz val="12"/>
        <rFont val="Times New Roman"/>
        <family val="1"/>
        <charset val="186"/>
      </rPr>
      <t xml:space="preserve">Izdevumi 1 ekspertīzes sagatavošanai 0,003 euro </t>
    </r>
  </si>
  <si>
    <r>
      <t xml:space="preserve">Biroja preces: Patēriņš 1 izpētei ir </t>
    </r>
    <r>
      <rPr>
        <b/>
        <sz val="12"/>
        <rFont val="Times New Roman"/>
        <family val="1"/>
        <charset val="186"/>
      </rPr>
      <t xml:space="preserve">0,13 </t>
    </r>
    <r>
      <rPr>
        <sz val="12"/>
        <rFont val="Times New Roman"/>
        <family val="1"/>
        <charset val="186"/>
      </rPr>
      <t xml:space="preserve">euro </t>
    </r>
  </si>
  <si>
    <r>
      <rPr>
        <u/>
        <sz val="12"/>
        <rFont val="Times New Roman"/>
        <family val="1"/>
        <charset val="186"/>
      </rPr>
      <t>Vidējais uzturēšanas izdevumu apjoms:</t>
    </r>
    <r>
      <rPr>
        <sz val="12"/>
        <rFont val="Times New Roman"/>
        <family val="1"/>
        <charset val="186"/>
      </rPr>
      <t xml:space="preserve"> Patēriņš uz 1 ekspertīzi ir 16,37 euro</t>
    </r>
  </si>
  <si>
    <r>
      <t xml:space="preserve">Vidējie izdevumi mēnesī par komunālajiem pakalpojumiem: Patēriņš uz 1 ekspertīzi ir </t>
    </r>
    <r>
      <rPr>
        <b/>
        <sz val="12"/>
        <rFont val="Times New Roman"/>
        <family val="1"/>
        <charset val="186"/>
      </rPr>
      <t>24,88</t>
    </r>
    <r>
      <rPr>
        <sz val="12"/>
        <rFont val="Times New Roman"/>
        <family val="1"/>
        <charset val="186"/>
      </rPr>
      <t xml:space="preserve"> euro 
Gadā 1 ekspertīze.</t>
    </r>
  </si>
  <si>
    <r>
      <t xml:space="preserve">Atalgojums. Gadā 1 ekspertīze. </t>
    </r>
    <r>
      <rPr>
        <b/>
        <sz val="12"/>
        <rFont val="Times New Roman"/>
        <family val="1"/>
        <charset val="186"/>
      </rPr>
      <t>Pavisam kopā 79,12 euro</t>
    </r>
    <r>
      <rPr>
        <sz val="12"/>
        <rFont val="Times New Roman"/>
        <family val="1"/>
        <charset val="186"/>
      </rPr>
      <t xml:space="preserve"> </t>
    </r>
  </si>
  <si>
    <r>
      <t xml:space="preserve">Pamatlīdzekļi: Gada nolietojums ēkai: Patēriņš uz 1 atzinuma sagatavošanu ir </t>
    </r>
    <r>
      <rPr>
        <b/>
        <sz val="12"/>
        <rFont val="Times New Roman"/>
        <family val="1"/>
        <charset val="186"/>
      </rPr>
      <t>12,56</t>
    </r>
    <r>
      <rPr>
        <sz val="12"/>
        <rFont val="Times New Roman"/>
        <family val="1"/>
        <charset val="186"/>
      </rPr>
      <t xml:space="preserve"> euro </t>
    </r>
  </si>
  <si>
    <r>
      <t xml:space="preserve">Daudzreiz lietojamās preces: Izdevumi 1 atzinuma sagatavošanai </t>
    </r>
    <r>
      <rPr>
        <b/>
        <sz val="12"/>
        <rFont val="Times New Roman"/>
        <family val="1"/>
        <charset val="186"/>
      </rPr>
      <t xml:space="preserve">0,003 </t>
    </r>
    <r>
      <rPr>
        <sz val="12"/>
        <rFont val="Times New Roman"/>
        <family val="1"/>
        <charset val="186"/>
      </rPr>
      <t>euro</t>
    </r>
    <r>
      <rPr>
        <b/>
        <u/>
        <sz val="12"/>
        <rFont val="Times New Roman"/>
        <family val="1"/>
        <charset val="186"/>
      </rPr>
      <t/>
    </r>
  </si>
  <si>
    <r>
      <t xml:space="preserve">Daudzreiz lietojamās preces:  </t>
    </r>
    <r>
      <rPr>
        <b/>
        <u/>
        <sz val="12"/>
        <rFont val="Times New Roman"/>
        <family val="1"/>
        <charset val="186"/>
      </rPr>
      <t>Izdevumi 1 atzinuma sagatavošanai 0,003 euro.</t>
    </r>
    <r>
      <rPr>
        <sz val="12"/>
        <rFont val="Times New Roman"/>
        <family val="1"/>
        <charset val="186"/>
      </rPr>
      <t xml:space="preserve"> Gadā 1 atzinums.</t>
    </r>
  </si>
  <si>
    <r>
      <t xml:space="preserve">Biroja preces: Patēriņš 1 atzinumiem ir </t>
    </r>
    <r>
      <rPr>
        <b/>
        <sz val="12"/>
        <rFont val="Times New Roman"/>
        <family val="1"/>
        <charset val="186"/>
      </rPr>
      <t xml:space="preserve">0,13 </t>
    </r>
    <r>
      <rPr>
        <sz val="12"/>
        <rFont val="Times New Roman"/>
        <family val="1"/>
        <charset val="186"/>
      </rPr>
      <t>euro. Gadā 1 atzinumi.</t>
    </r>
  </si>
  <si>
    <r>
      <rPr>
        <u/>
        <sz val="12"/>
        <rFont val="Times New Roman"/>
        <family val="1"/>
        <charset val="186"/>
      </rPr>
      <t>Vidējais uzturēšanas izdevumu apjoms:</t>
    </r>
    <r>
      <rPr>
        <sz val="12"/>
        <rFont val="Times New Roman"/>
        <family val="1"/>
        <charset val="186"/>
      </rPr>
      <t xml:space="preserve"> Patēriņš uz 1 atzinumu ir </t>
    </r>
    <r>
      <rPr>
        <b/>
        <sz val="12"/>
        <rFont val="Times New Roman"/>
        <family val="1"/>
        <charset val="186"/>
      </rPr>
      <t>12,52</t>
    </r>
    <r>
      <rPr>
        <sz val="12"/>
        <rFont val="Times New Roman"/>
        <family val="1"/>
        <charset val="186"/>
      </rPr>
      <t xml:space="preserve"> euro. Gadā 1 atzinums. </t>
    </r>
    <r>
      <rPr>
        <b/>
        <sz val="12"/>
        <rFont val="Times New Roman"/>
        <family val="1"/>
        <charset val="186"/>
      </rPr>
      <t/>
    </r>
  </si>
  <si>
    <r>
      <t xml:space="preserve">Vidējie izdevumi mēnesī par komunālajiem pakalpojumiem: Patēriņš uz 1 atzinumu ir </t>
    </r>
    <r>
      <rPr>
        <b/>
        <sz val="12"/>
        <rFont val="Times New Roman"/>
        <family val="1"/>
        <charset val="186"/>
      </rPr>
      <t>19,02</t>
    </r>
    <r>
      <rPr>
        <sz val="12"/>
        <rFont val="Times New Roman"/>
        <family val="1"/>
        <charset val="186"/>
      </rPr>
      <t xml:space="preserve"> euro. Gadā 1 atzinums. </t>
    </r>
    <r>
      <rPr>
        <b/>
        <sz val="12"/>
        <rFont val="Times New Roman"/>
        <family val="1"/>
        <charset val="186"/>
      </rPr>
      <t/>
    </r>
  </si>
  <si>
    <r>
      <rPr>
        <b/>
        <u/>
        <sz val="12"/>
        <rFont val="Times New Roman"/>
        <family val="1"/>
        <charset val="186"/>
      </rPr>
      <t xml:space="preserve">Histoloģijas laboratorijas pakalpojumi: </t>
    </r>
    <r>
      <rPr>
        <sz val="12"/>
        <rFont val="Times New Roman"/>
        <family val="1"/>
        <charset val="186"/>
      </rPr>
      <t xml:space="preserve">Izdevumi 1 atzinuma veikšanai </t>
    </r>
    <r>
      <rPr>
        <b/>
        <u/>
        <sz val="12"/>
        <rFont val="Times New Roman"/>
        <family val="1"/>
        <charset val="186"/>
      </rPr>
      <t>0,004</t>
    </r>
    <r>
      <rPr>
        <sz val="12"/>
        <rFont val="Times New Roman"/>
        <family val="1"/>
        <charset val="186"/>
      </rPr>
      <t xml:space="preserve"> euro. </t>
    </r>
    <r>
      <rPr>
        <b/>
        <sz val="12"/>
        <rFont val="Times New Roman"/>
        <family val="1"/>
        <charset val="186"/>
      </rPr>
      <t>Gadā 1 atzinums.</t>
    </r>
  </si>
  <si>
    <r>
      <t xml:space="preserve">Pamatlīdzeklis: Gadā 1 atzinums. </t>
    </r>
    <r>
      <rPr>
        <b/>
        <sz val="12"/>
        <rFont val="Times New Roman"/>
        <family val="1"/>
        <charset val="186"/>
      </rPr>
      <t xml:space="preserve">Pavisam kopā patēriņš 1 atzinumam ir 0,06 </t>
    </r>
    <r>
      <rPr>
        <sz val="12"/>
        <rFont val="Times New Roman"/>
        <family val="1"/>
        <charset val="186"/>
      </rPr>
      <t xml:space="preserve">euro </t>
    </r>
  </si>
  <si>
    <r>
      <rPr>
        <u/>
        <sz val="12"/>
        <rFont val="Times New Roman"/>
        <family val="1"/>
        <charset val="186"/>
      </rPr>
      <t>Atalgojums.</t>
    </r>
    <r>
      <rPr>
        <sz val="12"/>
        <rFont val="Times New Roman"/>
        <family val="1"/>
        <charset val="186"/>
      </rPr>
      <t xml:space="preserve">
Gadā 1 atzinums. </t>
    </r>
    <r>
      <rPr>
        <b/>
        <sz val="12"/>
        <rFont val="Times New Roman"/>
        <family val="1"/>
        <charset val="186"/>
      </rPr>
      <t>Pavisam kopā 60,17 euro</t>
    </r>
    <r>
      <rPr>
        <sz val="12"/>
        <rFont val="Times New Roman"/>
        <family val="1"/>
        <charset val="186"/>
      </rPr>
      <t xml:space="preserve"> </t>
    </r>
  </si>
  <si>
    <r>
      <t xml:space="preserve">Daudzreiz lietojamās preces: Gadā 8 atzinumi. Patēriņš 8 atzinumiem </t>
    </r>
    <r>
      <rPr>
        <b/>
        <u/>
        <sz val="12"/>
        <rFont val="Times New Roman"/>
        <family val="1"/>
        <charset val="186"/>
      </rPr>
      <t xml:space="preserve">0,84 </t>
    </r>
    <r>
      <rPr>
        <sz val="12"/>
        <rFont val="Times New Roman"/>
        <family val="1"/>
        <charset val="186"/>
      </rPr>
      <t>euro</t>
    </r>
  </si>
  <si>
    <r>
      <t xml:space="preserve">Daudzreiz lietojamās preces: </t>
    </r>
    <r>
      <rPr>
        <sz val="12"/>
        <rFont val="Times New Roman"/>
        <family val="1"/>
        <charset val="186"/>
      </rPr>
      <t xml:space="preserve">Gadā 8 atzinumi. Patēriņš 8 atzinumiem </t>
    </r>
    <r>
      <rPr>
        <b/>
        <sz val="12"/>
        <rFont val="Times New Roman"/>
        <family val="1"/>
        <charset val="186"/>
      </rPr>
      <t xml:space="preserve">1,00 </t>
    </r>
    <r>
      <rPr>
        <sz val="12"/>
        <rFont val="Times New Roman"/>
        <family val="1"/>
        <charset val="186"/>
      </rPr>
      <t>euro</t>
    </r>
  </si>
  <si>
    <r>
      <t>Biroja preces:</t>
    </r>
    <r>
      <rPr>
        <sz val="12"/>
        <rFont val="Times New Roman"/>
        <family val="1"/>
        <charset val="186"/>
      </rPr>
      <t xml:space="preserve">Gadā 8 atzinumi. Patēriņš 8 atzinumi </t>
    </r>
    <r>
      <rPr>
        <b/>
        <sz val="12"/>
        <rFont val="Times New Roman"/>
        <family val="1"/>
        <charset val="186"/>
      </rPr>
      <t>6,24</t>
    </r>
    <r>
      <rPr>
        <sz val="12"/>
        <rFont val="Times New Roman"/>
        <family val="1"/>
        <charset val="186"/>
      </rPr>
      <t xml:space="preserve"> euro</t>
    </r>
  </si>
  <si>
    <r>
      <rPr>
        <u/>
        <sz val="12"/>
        <rFont val="Times New Roman"/>
        <family val="1"/>
        <charset val="186"/>
      </rPr>
      <t xml:space="preserve">Vidējais uzturēšanas izdevumu </t>
    </r>
    <r>
      <rPr>
        <sz val="12"/>
        <rFont val="Times New Roman"/>
        <family val="1"/>
        <charset val="186"/>
      </rPr>
      <t xml:space="preserve">apjoms:
Gadā 8 atzinumi. Pavisam kopā patēriņš 8 atzinumiem ir </t>
    </r>
    <r>
      <rPr>
        <b/>
        <sz val="12"/>
        <rFont val="Times New Roman"/>
        <family val="1"/>
        <charset val="186"/>
      </rPr>
      <t xml:space="preserve">24,46 </t>
    </r>
    <r>
      <rPr>
        <sz val="12"/>
        <rFont val="Times New Roman"/>
        <family val="1"/>
        <charset val="186"/>
      </rPr>
      <t>euro</t>
    </r>
  </si>
  <si>
    <r>
      <t xml:space="preserve">Vidējie izdevumi par komunālajiem pakalpojumiem: 
Gadā 8 atzinumi. </t>
    </r>
    <r>
      <rPr>
        <b/>
        <sz val="12"/>
        <rFont val="Times New Roman"/>
        <family val="1"/>
        <charset val="186"/>
      </rPr>
      <t>Pavisam kopā patēriņš 8 atzinumiem ir 85,61 euro</t>
    </r>
    <r>
      <rPr>
        <sz val="12"/>
        <rFont val="Times New Roman"/>
        <family val="1"/>
        <charset val="186"/>
      </rPr>
      <t xml:space="preserve"> </t>
    </r>
  </si>
  <si>
    <r>
      <rPr>
        <u/>
        <sz val="12"/>
        <rFont val="Times New Roman"/>
        <family val="1"/>
        <charset val="186"/>
      </rPr>
      <t>Atalgojums.</t>
    </r>
    <r>
      <rPr>
        <sz val="12"/>
        <rFont val="Times New Roman"/>
        <family val="1"/>
        <charset val="186"/>
      </rPr>
      <t xml:space="preserve"> Gadā 8 atzinumi. </t>
    </r>
    <r>
      <rPr>
        <b/>
        <sz val="12"/>
        <rFont val="Times New Roman"/>
        <family val="1"/>
        <charset val="186"/>
      </rPr>
      <t>Pavisam kopā 2963,04 euro.</t>
    </r>
  </si>
  <si>
    <r>
      <t xml:space="preserve">Pamatlīdzekļi: Gada nolietojums ēkai: Gadā 8 atzinumi </t>
    </r>
    <r>
      <rPr>
        <b/>
        <sz val="12"/>
        <rFont val="Times New Roman"/>
        <family val="1"/>
        <charset val="186"/>
      </rPr>
      <t>244,61</t>
    </r>
    <r>
      <rPr>
        <sz val="12"/>
        <rFont val="Times New Roman"/>
        <family val="1"/>
        <charset val="186"/>
      </rPr>
      <t xml:space="preserve"> euro</t>
    </r>
  </si>
  <si>
    <r>
      <t xml:space="preserve">Pamatlīdzeklis: Gadā 8 atzinumi. </t>
    </r>
    <r>
      <rPr>
        <b/>
        <sz val="12"/>
        <rFont val="Times New Roman"/>
        <family val="1"/>
        <charset val="186"/>
      </rPr>
      <t xml:space="preserve">Pavisam kopā patēriņš 8 atzinumiem ir 3,28 </t>
    </r>
    <r>
      <rPr>
        <sz val="12"/>
        <rFont val="Times New Roman"/>
        <family val="1"/>
        <charset val="186"/>
      </rPr>
      <t>euro</t>
    </r>
  </si>
  <si>
    <t>Časnoita, 67539031</t>
  </si>
  <si>
    <r>
      <rPr>
        <u/>
        <sz val="12"/>
        <rFont val="Times New Roman"/>
        <family val="1"/>
        <charset val="186"/>
      </rPr>
      <t>Atalgojums.</t>
    </r>
    <r>
      <rPr>
        <sz val="12"/>
        <rFont val="Times New Roman"/>
        <family val="1"/>
        <charset val="186"/>
      </rPr>
      <t xml:space="preserve"> Gadā 120 izpētes, kopā </t>
    </r>
    <r>
      <rPr>
        <b/>
        <sz val="12"/>
        <rFont val="Times New Roman"/>
        <family val="1"/>
        <charset val="186"/>
      </rPr>
      <t>7833,18 euro</t>
    </r>
  </si>
  <si>
    <r>
      <t xml:space="preserve">Biroja preces: </t>
    </r>
    <r>
      <rPr>
        <sz val="12"/>
        <color theme="1"/>
        <rFont val="Times New Roman"/>
        <family val="1"/>
        <charset val="186"/>
      </rPr>
      <t xml:space="preserve">Gadā 120 izpētes. </t>
    </r>
    <r>
      <rPr>
        <b/>
        <u/>
        <sz val="12"/>
        <color theme="1"/>
        <rFont val="Times New Roman"/>
        <family val="1"/>
        <charset val="186"/>
      </rPr>
      <t>Pavisam kopā patēriņš 12 izpētēm ir 1,56 euro</t>
    </r>
    <r>
      <rPr>
        <sz val="12"/>
        <color theme="1"/>
        <rFont val="Times New Roman"/>
        <family val="1"/>
        <charset val="186"/>
      </rPr>
      <t xml:space="preserve"> </t>
    </r>
  </si>
  <si>
    <r>
      <t xml:space="preserve">Vidējais uzturēšanas izdevumu apjoms:  </t>
    </r>
    <r>
      <rPr>
        <sz val="12"/>
        <color theme="1"/>
        <rFont val="Times New Roman"/>
        <family val="1"/>
        <charset val="186"/>
      </rPr>
      <t>Gadā 120 izpētes.</t>
    </r>
    <r>
      <rPr>
        <u/>
        <sz val="12"/>
        <color theme="1"/>
        <rFont val="Times New Roman"/>
        <family val="1"/>
        <charset val="186"/>
      </rPr>
      <t xml:space="preserve"> </t>
    </r>
    <r>
      <rPr>
        <b/>
        <u/>
        <sz val="12"/>
        <color theme="1"/>
        <rFont val="Times New Roman"/>
        <family val="1"/>
        <charset val="186"/>
      </rPr>
      <t>Pavisam kopā patēriņš 120 izpētēm ir 159,48 eur</t>
    </r>
    <r>
      <rPr>
        <b/>
        <sz val="12"/>
        <color theme="1"/>
        <rFont val="Times New Roman"/>
        <family val="1"/>
        <charset val="186"/>
      </rPr>
      <t>o</t>
    </r>
  </si>
  <si>
    <r>
      <t xml:space="preserve">Vidējie izdevumi par komunālajiem pakalpojumiem: </t>
    </r>
    <r>
      <rPr>
        <sz val="12"/>
        <color theme="1"/>
        <rFont val="Times New Roman"/>
        <family val="1"/>
        <charset val="186"/>
      </rPr>
      <t xml:space="preserve">Gadā 120 izpētes. </t>
    </r>
    <r>
      <rPr>
        <b/>
        <u/>
        <sz val="12"/>
        <color theme="1"/>
        <rFont val="Times New Roman"/>
        <family val="1"/>
        <charset val="186"/>
      </rPr>
      <t>Pavisam kopā patēriņš 120 izpētēm ir 558,192 euro</t>
    </r>
  </si>
  <si>
    <r>
      <t xml:space="preserve">Izdevumi inventāram:
1) Vienreizlietojamās preces: </t>
    </r>
    <r>
      <rPr>
        <b/>
        <sz val="12"/>
        <rFont val="Times New Roman"/>
        <family val="1"/>
        <charset val="186"/>
      </rPr>
      <t xml:space="preserve">Gadā 120 izpētes. </t>
    </r>
    <r>
      <rPr>
        <b/>
        <u/>
        <sz val="12"/>
        <rFont val="Times New Roman"/>
        <family val="1"/>
        <charset val="186"/>
      </rPr>
      <t>Pavisam kopā patēriņš 120 izpētēm ir 3484,80 euro</t>
    </r>
    <r>
      <rPr>
        <sz val="12"/>
        <rFont val="Times New Roman"/>
        <family val="1"/>
        <charset val="186"/>
      </rPr>
      <t xml:space="preserve"> 
2) Daudzreiz lietojamās preces:</t>
    </r>
    <r>
      <rPr>
        <sz val="12"/>
        <rFont val="Times New Roman"/>
        <family val="1"/>
        <charset val="186"/>
      </rPr>
      <t xml:space="preserve"> </t>
    </r>
    <r>
      <rPr>
        <b/>
        <sz val="12"/>
        <rFont val="Times New Roman"/>
        <family val="1"/>
        <charset val="186"/>
      </rPr>
      <t>Gadā 120 izpētes. Pavisam kopā patēriņš 120 izpētēm ir 7,968 euro</t>
    </r>
    <r>
      <rPr>
        <sz val="12"/>
        <rFont val="Times New Roman"/>
        <family val="1"/>
        <charset val="186"/>
      </rPr>
      <t xml:space="preserve">
</t>
    </r>
    <r>
      <rPr>
        <b/>
        <u/>
        <sz val="12"/>
        <rFont val="Times New Roman"/>
        <family val="1"/>
        <charset val="186"/>
      </rPr>
      <t>Pavisam kopā izdevumi inventāram 120 izpēšu veikšanai 3492,77 euro</t>
    </r>
  </si>
  <si>
    <r>
      <t xml:space="preserve">Spectērpu izdevumi: </t>
    </r>
    <r>
      <rPr>
        <sz val="12"/>
        <rFont val="Times New Roman"/>
        <family val="1"/>
        <charset val="186"/>
      </rPr>
      <t xml:space="preserve">
Gadā 120 izpētes. </t>
    </r>
    <r>
      <rPr>
        <b/>
        <sz val="12"/>
        <rFont val="Times New Roman"/>
        <family val="1"/>
        <charset val="186"/>
      </rPr>
      <t>Pavisam kopā patēriņš 120 izpētēm ir 0,36 euro</t>
    </r>
    <r>
      <rPr>
        <sz val="12"/>
        <rFont val="Times New Roman"/>
        <family val="1"/>
        <charset val="186"/>
      </rPr>
      <t xml:space="preserve"> </t>
    </r>
  </si>
  <si>
    <r>
      <t>Izdevumi laboratorijas precēm:</t>
    </r>
    <r>
      <rPr>
        <sz val="12"/>
        <rFont val="Times New Roman"/>
        <family val="1"/>
        <charset val="186"/>
      </rPr>
      <t xml:space="preserve">
</t>
    </r>
    <r>
      <rPr>
        <sz val="12"/>
        <rFont val="Times New Roman"/>
        <family val="1"/>
        <charset val="186"/>
      </rPr>
      <t xml:space="preserve">Gadā 120 izpētes. </t>
    </r>
    <r>
      <rPr>
        <b/>
        <u/>
        <sz val="12"/>
        <rFont val="Times New Roman"/>
        <family val="1"/>
        <charset val="186"/>
      </rPr>
      <t>Pavisam kopā patēriņš 120 izpētēm ir 628,51 euro</t>
    </r>
    <r>
      <rPr>
        <b/>
        <sz val="12"/>
        <rFont val="Times New Roman"/>
        <family val="1"/>
        <charset val="186"/>
      </rPr>
      <t xml:space="preserve"> </t>
    </r>
  </si>
  <si>
    <r>
      <t>Pamatlīdzekļi: Gada nolietojums ēkai:</t>
    </r>
    <r>
      <rPr>
        <vertAlign val="superscript"/>
        <sz val="12"/>
        <color theme="1"/>
        <rFont val="Times New Roman"/>
        <family val="1"/>
        <charset val="186"/>
      </rPr>
      <t xml:space="preserve">
</t>
    </r>
    <r>
      <rPr>
        <b/>
        <sz val="12"/>
        <color theme="1"/>
        <rFont val="Times New Roman"/>
        <family val="1"/>
        <charset val="186"/>
      </rPr>
      <t>Gadā 120 izpētes. Pavisam kopā patēriņš 120 izpētēm ir 1594,824 euro</t>
    </r>
  </si>
  <si>
    <r>
      <t>Pamatlīdzeklis:</t>
    </r>
    <r>
      <rPr>
        <sz val="12"/>
        <color theme="1"/>
        <rFont val="Times New Roman"/>
        <family val="1"/>
        <charset val="186"/>
      </rPr>
      <t xml:space="preserve">
Gadā 120 izpētes. </t>
    </r>
    <r>
      <rPr>
        <b/>
        <u/>
        <sz val="12"/>
        <color theme="1"/>
        <rFont val="Times New Roman"/>
        <family val="1"/>
        <charset val="186"/>
      </rPr>
      <t xml:space="preserve">Pavisam kopā patēriņš 120 izpētēm ir 70,52 </t>
    </r>
    <r>
      <rPr>
        <b/>
        <sz val="12"/>
        <color theme="1"/>
        <rFont val="Times New Roman"/>
        <family val="1"/>
        <charset val="186"/>
      </rPr>
      <t>euro</t>
    </r>
    <r>
      <rPr>
        <sz val="12"/>
        <color theme="1"/>
        <rFont val="Times New Roman"/>
        <family val="1"/>
        <charset val="186"/>
      </rPr>
      <t xml:space="preserve"> </t>
    </r>
  </si>
  <si>
    <r>
      <t>Izdevumi inventāram:
1) Vienreizlietojamās preces:</t>
    </r>
    <r>
      <rPr>
        <sz val="12"/>
        <rFont val="Times New Roman"/>
        <family val="1"/>
        <charset val="186"/>
      </rPr>
      <t xml:space="preserve"> </t>
    </r>
    <r>
      <rPr>
        <b/>
        <sz val="12"/>
        <rFont val="Times New Roman"/>
        <family val="1"/>
        <charset val="186"/>
      </rPr>
      <t xml:space="preserve">Gadā 180 izpētes. Pavisam kopā patēriņš 180 izpētēm ir </t>
    </r>
    <r>
      <rPr>
        <b/>
        <u/>
        <sz val="12"/>
        <rFont val="Times New Roman"/>
        <family val="1"/>
        <charset val="186"/>
      </rPr>
      <t xml:space="preserve">1306,80 </t>
    </r>
    <r>
      <rPr>
        <b/>
        <sz val="12"/>
        <rFont val="Times New Roman"/>
        <family val="1"/>
        <charset val="186"/>
      </rPr>
      <t>euro</t>
    </r>
    <r>
      <rPr>
        <sz val="12"/>
        <rFont val="Times New Roman"/>
        <family val="1"/>
        <charset val="186"/>
      </rPr>
      <t xml:space="preserve"> 
2) Daudzreiz lietojamās preces: </t>
    </r>
    <r>
      <rPr>
        <sz val="12"/>
        <rFont val="Times New Roman"/>
        <family val="1"/>
        <charset val="186"/>
      </rPr>
      <t xml:space="preserve"> </t>
    </r>
    <r>
      <rPr>
        <b/>
        <sz val="12"/>
        <rFont val="Times New Roman"/>
        <family val="1"/>
        <charset val="186"/>
      </rPr>
      <t xml:space="preserve">Gadā 180 izpētes. Pavisam kopā patēriņš 180 izpētēm ir </t>
    </r>
    <r>
      <rPr>
        <b/>
        <u/>
        <sz val="12"/>
        <rFont val="Times New Roman"/>
        <family val="1"/>
        <charset val="186"/>
      </rPr>
      <t>3,888</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180 izpētes veikšanai 1310,68 euro</t>
    </r>
  </si>
  <si>
    <r>
      <t xml:space="preserve">Biroja preces: </t>
    </r>
    <r>
      <rPr>
        <i/>
        <sz val="12"/>
        <rFont val="Times New Roman"/>
        <family val="1"/>
        <charset val="186"/>
      </rPr>
      <t xml:space="preserve">
</t>
    </r>
    <r>
      <rPr>
        <sz val="12"/>
        <rFont val="Times New Roman"/>
        <family val="1"/>
        <charset val="186"/>
      </rPr>
      <t xml:space="preserve">Gadā 180 izpētes. </t>
    </r>
    <r>
      <rPr>
        <b/>
        <sz val="12"/>
        <rFont val="Times New Roman"/>
        <family val="1"/>
        <charset val="186"/>
      </rPr>
      <t>Pavisam kopā patēriņš 180 izpētēm ir 2,34 euro</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</si>
  <si>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180 izpētes. </t>
    </r>
    <r>
      <rPr>
        <b/>
        <u/>
        <sz val="12"/>
        <rFont val="Times New Roman"/>
        <family val="1"/>
        <charset val="186"/>
      </rPr>
      <t>Pavisam kopā patēriņš 180 izpētēm ir 305,33 euro</t>
    </r>
    <r>
      <rPr>
        <sz val="12"/>
        <rFont val="Times New Roman"/>
        <family val="1"/>
        <charset val="186"/>
      </rPr>
      <t xml:space="preserve"> </t>
    </r>
  </si>
  <si>
    <r>
      <t xml:space="preserve">Atalgojums. Gadā 180 izpētes. </t>
    </r>
    <r>
      <rPr>
        <b/>
        <u/>
        <sz val="12"/>
        <rFont val="Times New Roman"/>
        <family val="1"/>
        <charset val="186"/>
      </rPr>
      <t>Pavisam kopā 4098,44 euro</t>
    </r>
    <r>
      <rPr>
        <sz val="12"/>
        <rFont val="Times New Roman"/>
        <family val="1"/>
        <charset val="186"/>
      </rPr>
      <t xml:space="preserve"> </t>
    </r>
  </si>
  <si>
    <r>
      <t xml:space="preserve">Spectērpu izdevumi: </t>
    </r>
    <r>
      <rPr>
        <sz val="12"/>
        <rFont val="Times New Roman"/>
        <family val="1"/>
        <charset val="186"/>
      </rPr>
      <t xml:space="preserve">
Gadā 180 izpētes. </t>
    </r>
    <r>
      <rPr>
        <b/>
        <sz val="12"/>
        <rFont val="Times New Roman"/>
        <family val="1"/>
        <charset val="186"/>
      </rPr>
      <t>Pavisam kopā patēriņš 180 izpētēm ir 0,54 euro</t>
    </r>
  </si>
  <si>
    <r>
      <t xml:space="preserve">Izdevumi laboratorijas precēm:
Gadā 180 izpētes. </t>
    </r>
    <r>
      <rPr>
        <b/>
        <u/>
        <sz val="12"/>
        <rFont val="Times New Roman"/>
        <family val="1"/>
        <charset val="186"/>
      </rPr>
      <t>Pavisam kopā patēriņš 180 izpētēm ir 225,51 euro</t>
    </r>
    <r>
      <rPr>
        <b/>
        <sz val="12"/>
        <rFont val="Times New Roman"/>
        <family val="1"/>
        <charset val="186"/>
      </rPr>
      <t xml:space="preserve"> </t>
    </r>
  </si>
  <si>
    <r>
      <t xml:space="preserve">Pamatlīdzekļi: </t>
    </r>
    <r>
      <rPr>
        <vertAlign val="superscript"/>
        <sz val="12"/>
        <rFont val="Times New Roman"/>
        <family val="1"/>
        <charset val="186"/>
      </rPr>
      <t xml:space="preserve">
</t>
    </r>
    <r>
      <rPr>
        <sz val="12"/>
        <rFont val="Times New Roman"/>
        <family val="1"/>
        <charset val="186"/>
      </rPr>
      <t>Gadā 180 izpētes.</t>
    </r>
    <r>
      <rPr>
        <b/>
        <sz val="12"/>
        <rFont val="Times New Roman"/>
        <family val="1"/>
        <charset val="186"/>
      </rPr>
      <t xml:space="preserve"> </t>
    </r>
    <r>
      <rPr>
        <b/>
        <u/>
        <sz val="12"/>
        <rFont val="Times New Roman"/>
        <family val="1"/>
        <charset val="186"/>
      </rPr>
      <t>Pavisam kopā patēriņš 180 izpētēm ir 872,37euro</t>
    </r>
    <r>
      <rPr>
        <sz val="12"/>
        <rFont val="Times New Roman"/>
        <family val="1"/>
        <charset val="186"/>
      </rPr>
      <t xml:space="preserve"> </t>
    </r>
  </si>
  <si>
    <r>
      <t xml:space="preserve">Pamatlīdzeklis:
</t>
    </r>
    <r>
      <rPr>
        <sz val="12"/>
        <rFont val="Times New Roman"/>
        <family val="1"/>
        <charset val="186"/>
      </rPr>
      <t xml:space="preserve">Gadā 180 izpētes. </t>
    </r>
    <r>
      <rPr>
        <b/>
        <u/>
        <sz val="12"/>
        <rFont val="Times New Roman"/>
        <family val="1"/>
        <charset val="186"/>
      </rPr>
      <t>Pavisam kopā patēriņš 180 izpētēm ir 37,44 euro</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</si>
  <si>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180 izpētes. </t>
    </r>
    <r>
      <rPr>
        <b/>
        <sz val="12"/>
        <rFont val="Times New Roman"/>
        <family val="1"/>
        <charset val="186"/>
      </rPr>
      <t>Pavisam kopā patēriņš 180 izpētēm ir 87,246 euro</t>
    </r>
    <r>
      <rPr>
        <sz val="12"/>
        <rFont val="Times New Roman"/>
        <family val="1"/>
        <charset val="186"/>
      </rPr>
      <t xml:space="preserve"> </t>
    </r>
  </si>
  <si>
    <r>
      <t xml:space="preserve">Izdevumi inventāram:
1) Vienreizlietojamās preces: </t>
    </r>
    <r>
      <rPr>
        <b/>
        <sz val="12"/>
        <rFont val="Times New Roman"/>
        <family val="1"/>
        <charset val="186"/>
      </rPr>
      <t xml:space="preserve">Gadā 180 izpētes. Pavisam kopā patēriņš 180 izpētēm ir </t>
    </r>
    <r>
      <rPr>
        <b/>
        <u/>
        <sz val="12"/>
        <rFont val="Times New Roman"/>
        <family val="1"/>
        <charset val="186"/>
      </rPr>
      <t xml:space="preserve">1306,80 </t>
    </r>
    <r>
      <rPr>
        <b/>
        <sz val="12"/>
        <rFont val="Times New Roman"/>
        <family val="1"/>
        <charset val="186"/>
      </rPr>
      <t>euro</t>
    </r>
    <r>
      <rPr>
        <sz val="12"/>
        <rFont val="Times New Roman"/>
        <family val="1"/>
        <charset val="186"/>
      </rPr>
      <t xml:space="preserve"> 
2) Daudzreiz lietojamās preces: </t>
    </r>
    <r>
      <rPr>
        <sz val="12"/>
        <rFont val="Times New Roman"/>
        <family val="1"/>
        <charset val="186"/>
      </rPr>
      <t xml:space="preserve"> </t>
    </r>
    <r>
      <rPr>
        <b/>
        <sz val="12"/>
        <rFont val="Times New Roman"/>
        <family val="1"/>
        <charset val="186"/>
      </rPr>
      <t xml:space="preserve">Gadā 180 izpētes. Pavisam kopā patēriņš 180 izpētēm ir </t>
    </r>
    <r>
      <rPr>
        <b/>
        <u/>
        <sz val="12"/>
        <rFont val="Times New Roman"/>
        <family val="1"/>
        <charset val="186"/>
      </rPr>
      <t>3,8880</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180 izpētes veikšanai 1310,69 euro</t>
    </r>
    <r>
      <rPr>
        <sz val="12"/>
        <rFont val="Times New Roman"/>
        <family val="1"/>
        <charset val="186"/>
      </rPr>
      <t xml:space="preserve"> </t>
    </r>
  </si>
  <si>
    <r>
      <t>Vidējie izdevumi par komunālajiem pakalpojumiem:</t>
    </r>
    <r>
      <rPr>
        <vertAlign val="superscript"/>
        <sz val="12"/>
        <rFont val="Times New Roman"/>
        <family val="1"/>
        <charset val="186"/>
      </rPr>
      <t xml:space="preserve">
</t>
    </r>
    <r>
      <rPr>
        <sz val="12"/>
        <rFont val="Times New Roman"/>
        <family val="1"/>
        <charset val="186"/>
      </rPr>
      <t xml:space="preserve">Gadā 180 izpētes. </t>
    </r>
    <r>
      <rPr>
        <b/>
        <u/>
        <sz val="12"/>
        <rFont val="Times New Roman"/>
        <family val="1"/>
        <charset val="186"/>
      </rPr>
      <t>Pavisam kopā patēriņš 180 izpētēm ir 260,55 euro</t>
    </r>
    <r>
      <rPr>
        <sz val="12"/>
        <rFont val="Times New Roman"/>
        <family val="1"/>
        <charset val="186"/>
      </rPr>
      <t xml:space="preserve"> </t>
    </r>
  </si>
  <si>
    <r>
      <t>Biroja preces:</t>
    </r>
    <r>
      <rPr>
        <i/>
        <sz val="12"/>
        <rFont val="Times New Roman"/>
        <family val="1"/>
        <charset val="186"/>
      </rPr>
      <t xml:space="preserve">
</t>
    </r>
    <r>
      <rPr>
        <sz val="12"/>
        <rFont val="Times New Roman"/>
        <family val="1"/>
        <charset val="186"/>
      </rPr>
      <t xml:space="preserve">Gadā 180 izpētes. </t>
    </r>
    <r>
      <rPr>
        <b/>
        <sz val="12"/>
        <rFont val="Times New Roman"/>
        <family val="1"/>
        <charset val="186"/>
      </rPr>
      <t>Pavisam kopā patēriņš 180 izpētēm ir 2,34 euro</t>
    </r>
    <r>
      <rPr>
        <sz val="12"/>
        <rFont val="Times New Roman"/>
        <family val="1"/>
        <charset val="186"/>
      </rPr>
      <t xml:space="preserve"> </t>
    </r>
  </si>
  <si>
    <r>
      <t xml:space="preserve">Spectērpu izdevumi: </t>
    </r>
    <r>
      <rPr>
        <sz val="12"/>
        <rFont val="Times New Roman"/>
        <family val="1"/>
        <charset val="186"/>
      </rPr>
      <t xml:space="preserve">
Gadā 180 izpētes. </t>
    </r>
    <r>
      <rPr>
        <b/>
        <sz val="12"/>
        <rFont val="Times New Roman"/>
        <family val="1"/>
        <charset val="186"/>
      </rPr>
      <t>Pavisam kopā patēriņš 180 izpētēm ir 0,54 euro</t>
    </r>
    <r>
      <rPr>
        <sz val="12"/>
        <rFont val="Times New Roman"/>
        <family val="1"/>
        <charset val="186"/>
      </rPr>
      <t xml:space="preserve"> </t>
    </r>
  </si>
  <si>
    <r>
      <t>Izdevumi laboratorijas precēm:</t>
    </r>
    <r>
      <rPr>
        <sz val="12"/>
        <rFont val="Times New Roman"/>
        <family val="1"/>
        <charset val="186"/>
      </rPr>
      <t xml:space="preserve">
Gadā 180 izpētes.</t>
    </r>
    <r>
      <rPr>
        <b/>
        <sz val="12"/>
        <rFont val="Times New Roman"/>
        <family val="1"/>
        <charset val="186"/>
      </rPr>
      <t xml:space="preserve"> </t>
    </r>
    <r>
      <rPr>
        <b/>
        <u/>
        <sz val="12"/>
        <rFont val="Times New Roman"/>
        <family val="1"/>
        <charset val="186"/>
      </rPr>
      <t>Pavisam kopā patēriņš 180 izpētēm ir 217,60 euro</t>
    </r>
    <r>
      <rPr>
        <b/>
        <sz val="12"/>
        <rFont val="Times New Roman"/>
        <family val="1"/>
        <charset val="186"/>
      </rPr>
      <t xml:space="preserve"> </t>
    </r>
  </si>
  <si>
    <r>
      <t xml:space="preserve">Pamatlīdzekļi: Gada nolietojums ēkai ir 87409,20 </t>
    </r>
    <r>
      <rPr>
        <i/>
        <sz val="12"/>
        <rFont val="Times New Roman"/>
        <family val="1"/>
        <charset val="186"/>
      </rPr>
      <t>euro</t>
    </r>
    <r>
      <rPr>
        <sz val="12"/>
        <rFont val="Times New Roman"/>
        <family val="1"/>
        <charset val="186"/>
      </rPr>
      <t xml:space="preserve">. </t>
    </r>
    <r>
      <rPr>
        <vertAlign val="superscript"/>
        <sz val="12"/>
        <rFont val="Times New Roman"/>
        <family val="1"/>
        <charset val="186"/>
      </rPr>
      <t xml:space="preserve">
</t>
    </r>
    <r>
      <rPr>
        <sz val="12"/>
        <rFont val="Times New Roman"/>
        <family val="1"/>
        <charset val="186"/>
      </rPr>
      <t>Gadā 180 izpētes.</t>
    </r>
    <r>
      <rPr>
        <u/>
        <sz val="12"/>
        <rFont val="Times New Roman"/>
        <family val="1"/>
        <charset val="186"/>
      </rPr>
      <t xml:space="preserve"> </t>
    </r>
    <r>
      <rPr>
        <b/>
        <u/>
        <sz val="12"/>
        <rFont val="Times New Roman"/>
        <family val="1"/>
        <charset val="186"/>
      </rPr>
      <t>Pavisam kopā patēriņš 180 izpētēm ir 744,42 euro</t>
    </r>
    <r>
      <rPr>
        <sz val="12"/>
        <rFont val="Times New Roman"/>
        <family val="1"/>
        <charset val="186"/>
      </rPr>
      <t xml:space="preserve"> </t>
    </r>
  </si>
  <si>
    <r>
      <t>Pamatlīdzeklis:</t>
    </r>
    <r>
      <rPr>
        <sz val="12"/>
        <rFont val="Times New Roman"/>
        <family val="1"/>
        <charset val="186"/>
      </rPr>
      <t xml:space="preserve">
Gadā 180 izpētes. </t>
    </r>
    <r>
      <rPr>
        <b/>
        <u/>
        <sz val="12"/>
        <rFont val="Times New Roman"/>
        <family val="1"/>
        <charset val="186"/>
      </rPr>
      <t>Pavisam kopā patēriņš 180 izpētēm ir 37,44 euro</t>
    </r>
    <r>
      <rPr>
        <sz val="12"/>
        <rFont val="Times New Roman"/>
        <family val="1"/>
        <charset val="186"/>
      </rPr>
      <t xml:space="preserve"> </t>
    </r>
  </si>
  <si>
    <r>
      <t xml:space="preserve">Vidējais uzturēšanas izdevumu apjoms mēnesī ir 811,57 euro. </t>
    </r>
    <r>
      <rPr>
        <vertAlign val="superscript"/>
        <sz val="12"/>
        <rFont val="Times New Roman"/>
        <family val="1"/>
        <charset val="186"/>
      </rPr>
      <t xml:space="preserve">
</t>
    </r>
    <r>
      <rPr>
        <sz val="12"/>
        <rFont val="Times New Roman"/>
        <family val="1"/>
        <charset val="186"/>
      </rPr>
      <t xml:space="preserve">Gadā 180 izpētes. </t>
    </r>
    <r>
      <rPr>
        <b/>
        <sz val="12"/>
        <rFont val="Times New Roman"/>
        <family val="1"/>
        <charset val="186"/>
      </rPr>
      <t>Pavisam kopā patēriņš 180 izpētēm ir 74,44 euro</t>
    </r>
    <r>
      <rPr>
        <sz val="12"/>
        <rFont val="Times New Roman"/>
        <family val="1"/>
        <charset val="186"/>
      </rPr>
      <t xml:space="preserve"> </t>
    </r>
  </si>
  <si>
    <r>
      <t xml:space="preserve">Atalgojums. Gadā 180 izpētes. </t>
    </r>
    <r>
      <rPr>
        <b/>
        <u/>
        <sz val="12"/>
        <rFont val="Times New Roman"/>
        <family val="1"/>
        <charset val="186"/>
      </rPr>
      <t>Pavisam kopā 3661,04 euro</t>
    </r>
    <r>
      <rPr>
        <sz val="12"/>
        <rFont val="Times New Roman"/>
        <family val="1"/>
        <charset val="186"/>
      </rPr>
      <t xml:space="preserve"> </t>
    </r>
  </si>
  <si>
    <r>
      <t xml:space="preserve">Atalgojums. </t>
    </r>
    <r>
      <rPr>
        <sz val="12"/>
        <rFont val="Times New Roman"/>
        <family val="1"/>
        <charset val="186"/>
      </rPr>
      <t>Gadā 180 izpētes.</t>
    </r>
    <r>
      <rPr>
        <b/>
        <u/>
        <sz val="12"/>
        <rFont val="Times New Roman"/>
        <family val="1"/>
        <charset val="186"/>
      </rPr>
      <t xml:space="preserve"> Pavisam kopā 4098,44 euro</t>
    </r>
    <r>
      <rPr>
        <sz val="12"/>
        <rFont val="Times New Roman"/>
        <family val="1"/>
        <charset val="186"/>
      </rPr>
      <t xml:space="preserve"> </t>
    </r>
  </si>
  <si>
    <r>
      <t>Vidējie izdevumi par komunālajiem pakalpojumiem:</t>
    </r>
    <r>
      <rPr>
        <vertAlign val="superscript"/>
        <sz val="12"/>
        <rFont val="Times New Roman"/>
        <family val="1"/>
        <charset val="186"/>
      </rPr>
      <t xml:space="preserve">
</t>
    </r>
    <r>
      <rPr>
        <sz val="12"/>
        <rFont val="Times New Roman"/>
        <family val="1"/>
        <charset val="186"/>
      </rPr>
      <t xml:space="preserve">Gadā 180 izpētes. </t>
    </r>
    <r>
      <rPr>
        <b/>
        <u/>
        <sz val="12"/>
        <rFont val="Times New Roman"/>
        <family val="1"/>
        <charset val="186"/>
      </rPr>
      <t>Pavisam kopā patēriņš 180 izpētēm ir 305,33 euro</t>
    </r>
    <r>
      <rPr>
        <sz val="12"/>
        <rFont val="Times New Roman"/>
        <family val="1"/>
        <charset val="186"/>
      </rPr>
      <t xml:space="preserve"> </t>
    </r>
  </si>
  <si>
    <r>
      <t xml:space="preserve">Biroja preces: </t>
    </r>
    <r>
      <rPr>
        <i/>
        <sz val="12"/>
        <rFont val="Times New Roman"/>
        <family val="1"/>
        <charset val="186"/>
      </rPr>
      <t xml:space="preserve">
</t>
    </r>
    <r>
      <rPr>
        <sz val="12"/>
        <rFont val="Times New Roman"/>
        <family val="1"/>
        <charset val="186"/>
      </rPr>
      <t xml:space="preserve">Gadā 180 izpētes. </t>
    </r>
    <r>
      <rPr>
        <b/>
        <u/>
        <sz val="12"/>
        <rFont val="Times New Roman"/>
        <family val="1"/>
        <charset val="186"/>
      </rPr>
      <t>Pavisam kopā patēriņš 180 izpētēm ir 2,34 euro</t>
    </r>
    <r>
      <rPr>
        <sz val="12"/>
        <rFont val="Times New Roman"/>
        <family val="1"/>
        <charset val="186"/>
      </rPr>
      <t xml:space="preserve"> </t>
    </r>
  </si>
  <si>
    <r>
      <t>Izdevumi inventāram:
1) Vienreizlietojamās preces:</t>
    </r>
    <r>
      <rPr>
        <b/>
        <sz val="12"/>
        <rFont val="Times New Roman"/>
        <family val="1"/>
        <charset val="186"/>
      </rPr>
      <t xml:space="preserve">Gadā 180 izpētes. Pavisam kopā patēriņš 180 izpētēm ir </t>
    </r>
    <r>
      <rPr>
        <b/>
        <u/>
        <sz val="12"/>
        <rFont val="Times New Roman"/>
        <family val="1"/>
        <charset val="186"/>
      </rPr>
      <t xml:space="preserve">1306,80 </t>
    </r>
    <r>
      <rPr>
        <b/>
        <sz val="12"/>
        <rFont val="Times New Roman"/>
        <family val="1"/>
        <charset val="186"/>
      </rPr>
      <t>euro</t>
    </r>
    <r>
      <rPr>
        <sz val="12"/>
        <rFont val="Times New Roman"/>
        <family val="1"/>
        <charset val="186"/>
      </rPr>
      <t xml:space="preserve"> 
2) Daudzreiz lietojamās preces:</t>
    </r>
    <r>
      <rPr>
        <b/>
        <sz val="12"/>
        <rFont val="Times New Roman"/>
        <family val="1"/>
        <charset val="186"/>
      </rPr>
      <t xml:space="preserve">Gadā 180 izpētes. Pavisam kopā patēriņš 180 izpētēm ir </t>
    </r>
    <r>
      <rPr>
        <b/>
        <u/>
        <sz val="12"/>
        <rFont val="Times New Roman"/>
        <family val="1"/>
        <charset val="186"/>
      </rPr>
      <t>3,888</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180 izpētes veikšanai 1310,69 euro</t>
    </r>
    <r>
      <rPr>
        <sz val="12"/>
        <rFont val="Times New Roman"/>
        <family val="1"/>
        <charset val="186"/>
      </rPr>
      <t xml:space="preserve"> </t>
    </r>
  </si>
  <si>
    <r>
      <t xml:space="preserve">Spectērpu izdevumi: </t>
    </r>
    <r>
      <rPr>
        <sz val="12"/>
        <rFont val="Times New Roman"/>
        <family val="1"/>
        <charset val="186"/>
      </rPr>
      <t xml:space="preserve">
Gadā 180 izpētes. </t>
    </r>
    <r>
      <rPr>
        <b/>
        <u/>
        <sz val="12"/>
        <rFont val="Times New Roman"/>
        <family val="1"/>
        <charset val="186"/>
      </rPr>
      <t>Pavisam kopā patēriņš 180 izpētēm ir 0,54 euro</t>
    </r>
  </si>
  <si>
    <r>
      <t>Izdevumi laboratorijas precēm:</t>
    </r>
    <r>
      <rPr>
        <sz val="12"/>
        <rFont val="Times New Roman"/>
        <family val="1"/>
        <charset val="186"/>
      </rPr>
      <t xml:space="preserve">
Gadā 180 izpētes.</t>
    </r>
    <r>
      <rPr>
        <b/>
        <sz val="12"/>
        <rFont val="Times New Roman"/>
        <family val="1"/>
        <charset val="186"/>
      </rPr>
      <t xml:space="preserve"> </t>
    </r>
    <r>
      <rPr>
        <b/>
        <u/>
        <sz val="12"/>
        <rFont val="Times New Roman"/>
        <family val="1"/>
        <charset val="186"/>
      </rPr>
      <t>Pavisam kopā patēriņš 180 izpētēm ir 382,11 euro</t>
    </r>
    <r>
      <rPr>
        <sz val="12"/>
        <rFont val="Times New Roman"/>
        <family val="1"/>
        <charset val="186"/>
      </rPr>
      <t xml:space="preserve"> </t>
    </r>
  </si>
  <si>
    <r>
      <t>Pamatlīdzekļi: Gada nolietojums ēkai:</t>
    </r>
    <r>
      <rPr>
        <sz val="12"/>
        <rFont val="Times New Roman"/>
        <family val="1"/>
        <charset val="186"/>
      </rPr>
      <t xml:space="preserve"> Gadā 180 izpētes.</t>
    </r>
    <r>
      <rPr>
        <b/>
        <sz val="12"/>
        <rFont val="Times New Roman"/>
        <family val="1"/>
        <charset val="186"/>
      </rPr>
      <t xml:space="preserve"> </t>
    </r>
    <r>
      <rPr>
        <b/>
        <u/>
        <sz val="12"/>
        <rFont val="Times New Roman"/>
        <family val="1"/>
        <charset val="186"/>
      </rPr>
      <t>Pavisam kopā patēriņš 180 izpētēm ir 872,37 euro</t>
    </r>
    <r>
      <rPr>
        <sz val="12"/>
        <rFont val="Times New Roman"/>
        <family val="1"/>
        <charset val="186"/>
      </rPr>
      <t xml:space="preserve"> </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</si>
  <si>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180 izpētes. </t>
    </r>
    <r>
      <rPr>
        <b/>
        <u/>
        <sz val="12"/>
        <rFont val="Times New Roman"/>
        <family val="1"/>
        <charset val="186"/>
      </rPr>
      <t>Pavisam kopā patēriņš 180 izpētēm ir 87,24 euro</t>
    </r>
    <r>
      <rPr>
        <u/>
        <sz val="12"/>
        <rFont val="Times New Roman"/>
        <family val="1"/>
        <charset val="186"/>
      </rPr>
      <t xml:space="preserve"> </t>
    </r>
  </si>
  <si>
    <r>
      <t xml:space="preserve">Atalgojums. Gadā 100 izpētes. </t>
    </r>
    <r>
      <rPr>
        <b/>
        <sz val="12"/>
        <rFont val="Times New Roman"/>
        <family val="1"/>
        <charset val="186"/>
      </rPr>
      <t>Pavisam kopā 2033,91 euro</t>
    </r>
    <r>
      <rPr>
        <sz val="12"/>
        <rFont val="Times New Roman"/>
        <family val="1"/>
        <charset val="186"/>
      </rPr>
      <t xml:space="preserve"> </t>
    </r>
  </si>
  <si>
    <r>
      <t xml:space="preserve">Vidējie izdevumi par komunālajiem pakalpojumiem: 
Gadā 100 izpētes. </t>
    </r>
    <r>
      <rPr>
        <b/>
        <sz val="12"/>
        <rFont val="Times New Roman"/>
        <family val="1"/>
        <charset val="186"/>
      </rPr>
      <t>Pavisam kopā patēriņš 100 izpētēm ir 144,75 euro</t>
    </r>
    <r>
      <rPr>
        <sz val="12"/>
        <rFont val="Times New Roman"/>
        <family val="1"/>
        <charset val="186"/>
      </rPr>
      <t xml:space="preserve"> </t>
    </r>
  </si>
  <si>
    <r>
      <t xml:space="preserve">Vidējais uzturēšanas izdevumu apjoms: 
Gadā 100 izpētes. </t>
    </r>
    <r>
      <rPr>
        <b/>
        <sz val="12"/>
        <rFont val="Times New Roman"/>
        <family val="1"/>
        <charset val="186"/>
      </rPr>
      <t xml:space="preserve">Pavisam kopā patēriņš 100 izpētēm ir 41,36 euro </t>
    </r>
  </si>
  <si>
    <r>
      <t xml:space="preserve">Biroja preces: </t>
    </r>
    <r>
      <rPr>
        <i/>
        <sz val="12"/>
        <rFont val="Times New Roman"/>
        <family val="1"/>
        <charset val="186"/>
      </rPr>
      <t xml:space="preserve">
</t>
    </r>
    <r>
      <rPr>
        <sz val="12"/>
        <rFont val="Times New Roman"/>
        <family val="1"/>
        <charset val="186"/>
      </rPr>
      <t xml:space="preserve">Gadā 100 izpētes. </t>
    </r>
    <r>
      <rPr>
        <b/>
        <sz val="12"/>
        <rFont val="Times New Roman"/>
        <family val="1"/>
        <charset val="186"/>
      </rPr>
      <t>Pavisam kopā patēriņš 100 izpētēm ir 1,30 euro</t>
    </r>
    <r>
      <rPr>
        <sz val="12"/>
        <rFont val="Times New Roman"/>
        <family val="1"/>
        <charset val="186"/>
      </rPr>
      <t xml:space="preserve"> </t>
    </r>
  </si>
  <si>
    <r>
      <t xml:space="preserve">Izdevumi inventāram:
1) Vienreizlietojamās preces: </t>
    </r>
    <r>
      <rPr>
        <b/>
        <sz val="12"/>
        <rFont val="Times New Roman"/>
        <family val="1"/>
        <charset val="186"/>
      </rPr>
      <t xml:space="preserve">Gadā 100 izpētes. Pavisam kopā patēriņš 100 izpētēm ir </t>
    </r>
    <r>
      <rPr>
        <b/>
        <u/>
        <sz val="12"/>
        <rFont val="Times New Roman"/>
        <family val="1"/>
        <charset val="186"/>
      </rPr>
      <t xml:space="preserve">726,00 </t>
    </r>
    <r>
      <rPr>
        <b/>
        <sz val="12"/>
        <rFont val="Times New Roman"/>
        <family val="1"/>
        <charset val="186"/>
      </rPr>
      <t>euro</t>
    </r>
    <r>
      <rPr>
        <sz val="12"/>
        <rFont val="Times New Roman"/>
        <family val="1"/>
        <charset val="186"/>
      </rPr>
      <t xml:space="preserve"> 
2) Daudzreiz lietojamās preces: </t>
    </r>
    <r>
      <rPr>
        <sz val="12"/>
        <rFont val="Times New Roman"/>
        <family val="1"/>
        <charset val="186"/>
      </rPr>
      <t xml:space="preserve"> </t>
    </r>
    <r>
      <rPr>
        <b/>
        <sz val="12"/>
        <rFont val="Times New Roman"/>
        <family val="1"/>
        <charset val="186"/>
      </rPr>
      <t xml:space="preserve">Gadā 100 izpētes. Pavisam kopā patēriņš 100 izpētēm ir </t>
    </r>
    <r>
      <rPr>
        <b/>
        <u/>
        <sz val="12"/>
        <rFont val="Times New Roman"/>
        <family val="1"/>
        <charset val="186"/>
      </rPr>
      <t>2,16</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100 izpēšu veikšanai 728,16 euro</t>
    </r>
    <r>
      <rPr>
        <sz val="12"/>
        <rFont val="Times New Roman"/>
        <family val="1"/>
        <charset val="186"/>
      </rPr>
      <t xml:space="preserve"> </t>
    </r>
  </si>
  <si>
    <r>
      <t xml:space="preserve">Spectērpu izdevumi: </t>
    </r>
    <r>
      <rPr>
        <sz val="12"/>
        <rFont val="Times New Roman"/>
        <family val="1"/>
        <charset val="186"/>
      </rPr>
      <t xml:space="preserve">
Gadā 100 izpētes. </t>
    </r>
    <r>
      <rPr>
        <b/>
        <sz val="12"/>
        <rFont val="Times New Roman"/>
        <family val="1"/>
        <charset val="186"/>
      </rPr>
      <t>Pavisam kopā patēriņš 100 izpētēm ir 0,30 euro</t>
    </r>
  </si>
  <si>
    <r>
      <t xml:space="preserve">Izdevumi laboratorijas precēm:
</t>
    </r>
    <r>
      <rPr>
        <b/>
        <sz val="12"/>
        <rFont val="Times New Roman"/>
        <family val="1"/>
        <charset val="186"/>
      </rPr>
      <t xml:space="preserve">Gadā 100 izpētes. Pavisam kopā patēriņš 100 izpētēm ir 88,88 euro </t>
    </r>
  </si>
  <si>
    <r>
      <t xml:space="preserve">Pamatlīdzekļi: </t>
    </r>
    <r>
      <rPr>
        <sz val="12"/>
        <rFont val="Times New Roman"/>
        <family val="1"/>
        <charset val="186"/>
      </rPr>
      <t xml:space="preserve">
Gadā 100 izpētes. </t>
    </r>
    <r>
      <rPr>
        <b/>
        <sz val="12"/>
        <rFont val="Times New Roman"/>
        <family val="1"/>
        <charset val="186"/>
      </rPr>
      <t>Pavisam kopā patēriņš 100 izpētēm ir 413,57 euro</t>
    </r>
    <r>
      <rPr>
        <sz val="12"/>
        <rFont val="Times New Roman"/>
        <family val="1"/>
        <charset val="186"/>
      </rPr>
      <t xml:space="preserve"> </t>
    </r>
  </si>
  <si>
    <r>
      <t xml:space="preserve">Pamatlīdzeklis:
</t>
    </r>
    <r>
      <rPr>
        <sz val="12"/>
        <rFont val="Times New Roman"/>
        <family val="1"/>
        <charset val="186"/>
      </rPr>
      <t xml:space="preserve">Gadā 100 izpētes. </t>
    </r>
    <r>
      <rPr>
        <b/>
        <sz val="12"/>
        <rFont val="Times New Roman"/>
        <family val="1"/>
        <charset val="186"/>
      </rPr>
      <t>Pavisam kopā patēriņš 100 izpētēm ir 20,80 euro</t>
    </r>
  </si>
  <si>
    <r>
      <t xml:space="preserve">Atalgojums. Gadā 100 izpētes. Pavisam kopā </t>
    </r>
    <r>
      <rPr>
        <b/>
        <sz val="12"/>
        <rFont val="Times New Roman"/>
        <family val="1"/>
        <charset val="186"/>
      </rPr>
      <t>2033,91 euro</t>
    </r>
    <r>
      <rPr>
        <sz val="12"/>
        <rFont val="Times New Roman"/>
        <family val="1"/>
        <charset val="186"/>
      </rPr>
      <t xml:space="preserve"> </t>
    </r>
  </si>
  <si>
    <r>
      <t xml:space="preserve">Vidējais uzturēšanas izdevumu apjoms mēnesī ir 811,57 euro. 
Gadā 100 izpētes. </t>
    </r>
    <r>
      <rPr>
        <b/>
        <sz val="12"/>
        <rFont val="Times New Roman"/>
        <family val="1"/>
        <charset val="186"/>
      </rPr>
      <t xml:space="preserve">Pavisam kopā patēriņš 100 izpētēm ir 41,36 euro </t>
    </r>
  </si>
  <si>
    <r>
      <t xml:space="preserve">Izdevumi inventāram:
1) Vienreizlietojamās preces: </t>
    </r>
    <r>
      <rPr>
        <b/>
        <sz val="12"/>
        <rFont val="Times New Roman"/>
        <family val="1"/>
        <charset val="186"/>
      </rPr>
      <t xml:space="preserve">Gadā 100 izpētes. Pavisam kopā patēriņš 100 izpētēm ir </t>
    </r>
    <r>
      <rPr>
        <b/>
        <u/>
        <sz val="12"/>
        <rFont val="Times New Roman"/>
        <family val="1"/>
        <charset val="186"/>
      </rPr>
      <t xml:space="preserve">726,00 </t>
    </r>
    <r>
      <rPr>
        <b/>
        <sz val="12"/>
        <rFont val="Times New Roman"/>
        <family val="1"/>
        <charset val="186"/>
      </rPr>
      <t>euro</t>
    </r>
    <r>
      <rPr>
        <sz val="12"/>
        <rFont val="Times New Roman"/>
        <family val="1"/>
        <charset val="186"/>
      </rPr>
      <t xml:space="preserve"> 
2) Daudzreiz lietojamās preces: </t>
    </r>
    <r>
      <rPr>
        <sz val="12"/>
        <rFont val="Times New Roman"/>
        <family val="1"/>
        <charset val="186"/>
      </rPr>
      <t xml:space="preserve"> </t>
    </r>
    <r>
      <rPr>
        <b/>
        <sz val="12"/>
        <rFont val="Times New Roman"/>
        <family val="1"/>
        <charset val="186"/>
      </rPr>
      <t xml:space="preserve">Gadā 100 izpētes. Pavisam kopā patēriņš 100 izpētēm ir </t>
    </r>
    <r>
      <rPr>
        <b/>
        <u/>
        <sz val="12"/>
        <rFont val="Times New Roman"/>
        <family val="1"/>
        <charset val="186"/>
      </rPr>
      <t>2,16</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100 izpētes veikšanai 728,16 euro</t>
    </r>
    <r>
      <rPr>
        <sz val="12"/>
        <rFont val="Times New Roman"/>
        <family val="1"/>
        <charset val="186"/>
      </rPr>
      <t xml:space="preserve"> </t>
    </r>
  </si>
  <si>
    <r>
      <t xml:space="preserve">Izdevumi laboratorijas precēm:
</t>
    </r>
    <r>
      <rPr>
        <b/>
        <sz val="12"/>
        <rFont val="Times New Roman"/>
        <family val="1"/>
        <charset val="186"/>
      </rPr>
      <t xml:space="preserve">Gadā 100 izpētes. Pavisam kopā patēriņš 100 izpētēm ir 225,07 euro </t>
    </r>
  </si>
  <si>
    <r>
      <t xml:space="preserve">Pamatlīdzekļi: Gada nolietojums ēkai ir 87409,20 euro. 
Gadā 100 izpētes. </t>
    </r>
    <r>
      <rPr>
        <b/>
        <sz val="12"/>
        <rFont val="Times New Roman"/>
        <family val="1"/>
        <charset val="186"/>
      </rPr>
      <t>Pavisam kopā patēriņš 100 izpētēm ir 413,57 euro</t>
    </r>
    <r>
      <rPr>
        <sz val="12"/>
        <rFont val="Times New Roman"/>
        <family val="1"/>
        <charset val="186"/>
      </rPr>
      <t xml:space="preserve">  </t>
    </r>
  </si>
  <si>
    <r>
      <t xml:space="preserve">Pamatlīdzeklis:
Gadā 100 izpētes. </t>
    </r>
    <r>
      <rPr>
        <b/>
        <sz val="12"/>
        <rFont val="Times New Roman"/>
        <family val="1"/>
        <charset val="186"/>
      </rPr>
      <t>Pavisam kopā patēriņš 100 izpētēm ir 17,62 euro</t>
    </r>
    <r>
      <rPr>
        <sz val="12"/>
        <rFont val="Times New Roman"/>
        <family val="1"/>
        <charset val="186"/>
      </rPr>
      <t xml:space="preserve">  </t>
    </r>
  </si>
  <si>
    <r>
      <t xml:space="preserve">Atalgojums. Gadā 390 izpētes. </t>
    </r>
    <r>
      <rPr>
        <b/>
        <sz val="12"/>
        <rFont val="Times New Roman"/>
        <family val="1"/>
        <charset val="186"/>
      </rPr>
      <t>Pavisam kopā 8879,95 euro</t>
    </r>
    <r>
      <rPr>
        <sz val="12"/>
        <rFont val="Times New Roman"/>
        <family val="1"/>
        <charset val="186"/>
      </rPr>
      <t xml:space="preserve"> </t>
    </r>
  </si>
  <si>
    <r>
      <t>Vidējie izdevumi par komunālajiem pakalpojumiem:</t>
    </r>
    <r>
      <rPr>
        <sz val="12"/>
        <rFont val="Times New Roman"/>
        <family val="1"/>
        <charset val="186"/>
      </rPr>
      <t xml:space="preserve">
Gadā 390 izpētes. </t>
    </r>
    <r>
      <rPr>
        <b/>
        <sz val="12"/>
        <rFont val="Times New Roman"/>
        <family val="1"/>
        <charset val="186"/>
      </rPr>
      <t>Pavisam kopā patēriņš 390 izpētēm ir 661,55 euro</t>
    </r>
    <r>
      <rPr>
        <sz val="12"/>
        <rFont val="Times New Roman"/>
        <family val="1"/>
        <charset val="186"/>
      </rPr>
      <t xml:space="preserve"> </t>
    </r>
  </si>
  <si>
    <r>
      <t xml:space="preserve">Vidējais uzturēšanas izdevumu apjoms mēnesī ir 811,57 euro. 
Gadā 390 izpētes. </t>
    </r>
    <r>
      <rPr>
        <b/>
        <sz val="12"/>
        <rFont val="Times New Roman"/>
        <family val="1"/>
        <charset val="186"/>
      </rPr>
      <t xml:space="preserve">Pavisam kopā patēriņš 390 izpētēm ir 189,01 euro </t>
    </r>
  </si>
  <si>
    <r>
      <t xml:space="preserve">Biroja preces: </t>
    </r>
    <r>
      <rPr>
        <i/>
        <sz val="12"/>
        <rFont val="Times New Roman"/>
        <family val="1"/>
        <charset val="186"/>
      </rPr>
      <t xml:space="preserve">
</t>
    </r>
    <r>
      <rPr>
        <sz val="12"/>
        <rFont val="Times New Roman"/>
        <family val="1"/>
        <charset val="186"/>
      </rPr>
      <t xml:space="preserve">Gadā 390 izpētes. </t>
    </r>
    <r>
      <rPr>
        <b/>
        <sz val="12"/>
        <rFont val="Times New Roman"/>
        <family val="1"/>
        <charset val="186"/>
      </rPr>
      <t>Pavisam kopā patēriņš 390 izpētēm ir 5,07 euro</t>
    </r>
    <r>
      <rPr>
        <sz val="12"/>
        <rFont val="Times New Roman"/>
        <family val="1"/>
        <charset val="186"/>
      </rPr>
      <t xml:space="preserve"> </t>
    </r>
  </si>
  <si>
    <r>
      <t>Izdevumi inventāram:</t>
    </r>
    <r>
      <rPr>
        <sz val="12"/>
        <rFont val="Times New Roman"/>
        <family val="1"/>
        <charset val="186"/>
      </rPr>
      <t xml:space="preserve">
</t>
    </r>
    <r>
      <rPr>
        <b/>
        <u/>
        <sz val="12"/>
        <rFont val="Times New Roman"/>
        <family val="1"/>
        <charset val="186"/>
      </rPr>
      <t>Pavisam kopā izdevumi inventāram 390 izpētes veikšanai 2839,82 euro</t>
    </r>
    <r>
      <rPr>
        <sz val="12"/>
        <rFont val="Times New Roman"/>
        <family val="1"/>
        <charset val="186"/>
      </rPr>
      <t xml:space="preserve"> </t>
    </r>
  </si>
  <si>
    <r>
      <t xml:space="preserve">Spectērpu izdevumi: </t>
    </r>
    <r>
      <rPr>
        <sz val="12"/>
        <rFont val="Times New Roman"/>
        <family val="1"/>
        <charset val="186"/>
      </rPr>
      <t xml:space="preserve">
Gadā 390 izpētes. </t>
    </r>
    <r>
      <rPr>
        <b/>
        <sz val="12"/>
        <rFont val="Times New Roman"/>
        <family val="1"/>
        <charset val="186"/>
      </rPr>
      <t>Pavisam kopā patēriņš 390 izpētēm ir 1,17 euro</t>
    </r>
    <r>
      <rPr>
        <sz val="12"/>
        <rFont val="Times New Roman"/>
        <family val="1"/>
        <charset val="186"/>
      </rPr>
      <t xml:space="preserve"> </t>
    </r>
  </si>
  <si>
    <r>
      <t xml:space="preserve">Izdevumi laboratorijas precēm:
</t>
    </r>
    <r>
      <rPr>
        <b/>
        <sz val="12"/>
        <rFont val="Times New Roman"/>
        <family val="1"/>
        <charset val="186"/>
      </rPr>
      <t xml:space="preserve">Gadā 390 izpētes. Pavisam kopā patēriņš 390 izpētēm ir 699,19 euro </t>
    </r>
  </si>
  <si>
    <r>
      <t xml:space="preserve">Pamatlīdzekļi: </t>
    </r>
    <r>
      <rPr>
        <sz val="12"/>
        <rFont val="Times New Roman"/>
        <family val="1"/>
        <charset val="186"/>
      </rPr>
      <t xml:space="preserve">
Gadā 390 izpētes. </t>
    </r>
    <r>
      <rPr>
        <b/>
        <sz val="12"/>
        <rFont val="Times New Roman"/>
        <family val="1"/>
        <charset val="186"/>
      </rPr>
      <t>Pavisam kopā patēriņš 390 izpētēm ir 1890,14 euro</t>
    </r>
    <r>
      <rPr>
        <sz val="12"/>
        <rFont val="Times New Roman"/>
        <family val="1"/>
        <charset val="186"/>
      </rPr>
      <t xml:space="preserve"> </t>
    </r>
  </si>
  <si>
    <r>
      <t xml:space="preserve">Pamatlīdzeklis:
</t>
    </r>
    <r>
      <rPr>
        <sz val="12"/>
        <rFont val="Times New Roman"/>
        <family val="1"/>
        <charset val="186"/>
      </rPr>
      <t xml:space="preserve">Gadā 390 izpētes. </t>
    </r>
    <r>
      <rPr>
        <b/>
        <sz val="12"/>
        <rFont val="Times New Roman"/>
        <family val="1"/>
        <charset val="186"/>
      </rPr>
      <t>Pavisam kopā patēriņš 390 izpētēm ir 81,12</t>
    </r>
    <r>
      <rPr>
        <sz val="12"/>
        <rFont val="Times New Roman"/>
        <family val="1"/>
        <charset val="186"/>
      </rPr>
      <t xml:space="preserve"> euro </t>
    </r>
  </si>
  <si>
    <r>
      <t xml:space="preserve">Atalgojums. Gadā 110 izpētes. </t>
    </r>
    <r>
      <rPr>
        <b/>
        <u/>
        <sz val="12"/>
        <rFont val="Times New Roman"/>
        <family val="1"/>
        <charset val="186"/>
      </rPr>
      <t>Pavisam kopā 2237,30 euro</t>
    </r>
  </si>
  <si>
    <r>
      <t xml:space="preserve">Vidējie izdevumi par komunālajiem pakalpojumiem: 
Gadā 110 izpētes. </t>
    </r>
    <r>
      <rPr>
        <b/>
        <u/>
        <sz val="12"/>
        <rFont val="Times New Roman"/>
        <family val="1"/>
        <charset val="186"/>
      </rPr>
      <t>Pavisam kopā patēriņš 110 izpētēm ir 159,22 euro</t>
    </r>
  </si>
  <si>
    <r>
      <t xml:space="preserve">Vidējais uzturēšanas izdevumu apjoms mēnesī ir 811,57 euro.
Gadā 110 izpētes. </t>
    </r>
    <r>
      <rPr>
        <b/>
        <u/>
        <sz val="12"/>
        <rFont val="Times New Roman"/>
        <family val="1"/>
        <charset val="186"/>
      </rPr>
      <t>Pavisam kopā patēriņš 110 izpētēm ir 45,49 euro</t>
    </r>
    <r>
      <rPr>
        <b/>
        <sz val="12"/>
        <rFont val="Times New Roman"/>
        <family val="1"/>
        <charset val="186"/>
      </rPr>
      <t/>
    </r>
  </si>
  <si>
    <r>
      <t xml:space="preserve">Biroja preces: </t>
    </r>
    <r>
      <rPr>
        <i/>
        <sz val="12"/>
        <rFont val="Times New Roman"/>
        <family val="1"/>
        <charset val="186"/>
      </rPr>
      <t xml:space="preserve">
</t>
    </r>
    <r>
      <rPr>
        <sz val="12"/>
        <rFont val="Times New Roman"/>
        <family val="1"/>
        <charset val="186"/>
      </rPr>
      <t xml:space="preserve">Gadā 110 izpētes. </t>
    </r>
    <r>
      <rPr>
        <b/>
        <u/>
        <sz val="12"/>
        <rFont val="Times New Roman"/>
        <family val="1"/>
        <charset val="186"/>
      </rPr>
      <t>Pavisam kopā patēriņš 110 izpētēm ir 1,43 euro</t>
    </r>
  </si>
  <si>
    <r>
      <t xml:space="preserve">Spectērpu izdevumi: </t>
    </r>
    <r>
      <rPr>
        <sz val="12"/>
        <rFont val="Times New Roman"/>
        <family val="1"/>
        <charset val="186"/>
      </rPr>
      <t xml:space="preserve">
Gadā 110 izpētes. </t>
    </r>
    <r>
      <rPr>
        <b/>
        <sz val="12"/>
        <rFont val="Times New Roman"/>
        <family val="1"/>
        <charset val="186"/>
      </rPr>
      <t>Pavisam kopā patēriņš 110 izpētēm ir 0,33 euro</t>
    </r>
    <r>
      <rPr>
        <sz val="12"/>
        <rFont val="Times New Roman"/>
        <family val="1"/>
        <charset val="186"/>
      </rPr>
      <t xml:space="preserve"> </t>
    </r>
  </si>
  <si>
    <r>
      <t>Izdevumi laboratorijas precēm:</t>
    </r>
    <r>
      <rPr>
        <sz val="12"/>
        <rFont val="Times New Roman"/>
        <family val="1"/>
        <charset val="186"/>
      </rPr>
      <t xml:space="preserve">
</t>
    </r>
    <r>
      <rPr>
        <b/>
        <sz val="12"/>
        <rFont val="Times New Roman"/>
        <family val="1"/>
        <charset val="186"/>
      </rPr>
      <t xml:space="preserve">Gadā 110 izpētes. </t>
    </r>
    <r>
      <rPr>
        <b/>
        <u/>
        <sz val="12"/>
        <rFont val="Times New Roman"/>
        <family val="1"/>
        <charset val="186"/>
      </rPr>
      <t>Pavisam kopā patēriņš 110 izpētēm ir 256,37 euro</t>
    </r>
    <r>
      <rPr>
        <b/>
        <sz val="12"/>
        <rFont val="Times New Roman"/>
        <family val="1"/>
        <charset val="186"/>
      </rPr>
      <t xml:space="preserve"> </t>
    </r>
  </si>
  <si>
    <r>
      <t xml:space="preserve">Pamatlīdzekļi: Gada nolietojums ēkai ir 87409,20 euro. </t>
    </r>
    <r>
      <rPr>
        <sz val="12"/>
        <rFont val="Times New Roman"/>
        <family val="1"/>
        <charset val="186"/>
      </rPr>
      <t xml:space="preserve">
Gadā 110 izpētes. </t>
    </r>
    <r>
      <rPr>
        <b/>
        <u/>
        <sz val="12"/>
        <rFont val="Times New Roman"/>
        <family val="1"/>
        <charset val="186"/>
      </rPr>
      <t>Pavisam kopā patēriņš 110 izpētēm ir 454,92 euro</t>
    </r>
    <r>
      <rPr>
        <sz val="12"/>
        <rFont val="Times New Roman"/>
        <family val="1"/>
        <charset val="186"/>
      </rPr>
      <t xml:space="preserve"> </t>
    </r>
  </si>
  <si>
    <r>
      <t>Pamatlīdzeklis:</t>
    </r>
    <r>
      <rPr>
        <sz val="12"/>
        <rFont val="Times New Roman"/>
        <family val="1"/>
        <charset val="186"/>
      </rPr>
      <t xml:space="preserve">
Gadā 110 izpētes. </t>
    </r>
    <r>
      <rPr>
        <b/>
        <u/>
        <sz val="12"/>
        <rFont val="Times New Roman"/>
        <family val="1"/>
        <charset val="186"/>
      </rPr>
      <t>Pavisam kopā patēriņš 110 izpētēm ir 19,38 euro</t>
    </r>
    <r>
      <rPr>
        <sz val="12"/>
        <rFont val="Times New Roman"/>
        <family val="1"/>
        <charset val="186"/>
      </rPr>
      <t xml:space="preserve"> </t>
    </r>
  </si>
  <si>
    <r>
      <t xml:space="preserve">Izdevumi inventāram:
</t>
    </r>
    <r>
      <rPr>
        <b/>
        <u/>
        <sz val="12"/>
        <rFont val="Times New Roman"/>
        <family val="1"/>
        <charset val="186"/>
      </rPr>
      <t>Pavisam kopā izdevumi inventāram 110 izpētes veikšanai 800,98 euro</t>
    </r>
    <r>
      <rPr>
        <sz val="12"/>
        <rFont val="Times New Roman"/>
        <family val="1"/>
        <charset val="186"/>
      </rPr>
      <t xml:space="preserve"> </t>
    </r>
  </si>
  <si>
    <r>
      <t xml:space="preserve">Atalgojums. Gadā 100 izpētes. Pavisam kopā </t>
    </r>
    <r>
      <rPr>
        <b/>
        <sz val="12"/>
        <rFont val="Times New Roman"/>
        <family val="1"/>
        <charset val="186"/>
      </rPr>
      <t>2233,91 euro</t>
    </r>
  </si>
  <si>
    <r>
      <t xml:space="preserve">Vidējie izdevumi par komunālajiem pakalpojumiem:
Gadā 100 izpētes. </t>
    </r>
    <r>
      <rPr>
        <b/>
        <sz val="12"/>
        <rFont val="Times New Roman"/>
        <family val="1"/>
        <charset val="186"/>
      </rPr>
      <t>Pavisam kopā patēriņš 100 izpētēm ir 144,75 euro</t>
    </r>
  </si>
  <si>
    <r>
      <t>Biroja preces.</t>
    </r>
    <r>
      <rPr>
        <i/>
        <sz val="12"/>
        <rFont val="Times New Roman"/>
        <family val="1"/>
        <charset val="186"/>
      </rPr>
      <t xml:space="preserve">
</t>
    </r>
    <r>
      <rPr>
        <sz val="12"/>
        <rFont val="Times New Roman"/>
        <family val="1"/>
        <charset val="186"/>
      </rPr>
      <t xml:space="preserve">Gadā 100 izpētes. </t>
    </r>
    <r>
      <rPr>
        <b/>
        <sz val="12"/>
        <rFont val="Times New Roman"/>
        <family val="1"/>
        <charset val="186"/>
      </rPr>
      <t>Pavisam kopā patēriņš 100 izpētēm ir 1,30 euro</t>
    </r>
    <r>
      <rPr>
        <sz val="12"/>
        <rFont val="Times New Roman"/>
        <family val="1"/>
        <charset val="186"/>
      </rPr>
      <t xml:space="preserve"> </t>
    </r>
  </si>
  <si>
    <r>
      <t xml:space="preserve">Spectērpu izdevumi: </t>
    </r>
    <r>
      <rPr>
        <sz val="12"/>
        <rFont val="Times New Roman"/>
        <family val="1"/>
        <charset val="186"/>
      </rPr>
      <t xml:space="preserve">
Gadā 100 izpētes. </t>
    </r>
    <r>
      <rPr>
        <b/>
        <sz val="12"/>
        <rFont val="Times New Roman"/>
        <family val="1"/>
        <charset val="186"/>
      </rPr>
      <t>Pavisam kopā patēriņš 100 izpētēm ir 0,30 euro</t>
    </r>
    <r>
      <rPr>
        <sz val="12"/>
        <rFont val="Times New Roman"/>
        <family val="1"/>
        <charset val="186"/>
      </rPr>
      <t xml:space="preserve"> </t>
    </r>
  </si>
  <si>
    <r>
      <t xml:space="preserve">Izdevumi laboratorijas precēm:
</t>
    </r>
    <r>
      <rPr>
        <b/>
        <sz val="12"/>
        <rFont val="Times New Roman"/>
        <family val="1"/>
        <charset val="186"/>
      </rPr>
      <t>Gadā 100 izpētes. Pavisam kopā patēriņš 100 izpētēm ir 132,07 euro</t>
    </r>
  </si>
  <si>
    <r>
      <t xml:space="preserve">Pamatlīdzeklis:
</t>
    </r>
    <r>
      <rPr>
        <sz val="12"/>
        <rFont val="Times New Roman"/>
        <family val="1"/>
        <charset val="186"/>
      </rPr>
      <t xml:space="preserve">Gadā 100 izpētes. </t>
    </r>
    <r>
      <rPr>
        <b/>
        <sz val="12"/>
        <rFont val="Times New Roman"/>
        <family val="1"/>
        <charset val="186"/>
      </rPr>
      <t>Pavisam kopā patēriņš 100 izpētēm ir 17,62 euro</t>
    </r>
    <r>
      <rPr>
        <sz val="12"/>
        <rFont val="Times New Roman"/>
        <family val="1"/>
        <charset val="186"/>
      </rPr>
      <t xml:space="preserve"> </t>
    </r>
  </si>
  <si>
    <r>
      <t>Izdevumi inventāram:</t>
    </r>
    <r>
      <rPr>
        <sz val="12"/>
        <rFont val="Times New Roman"/>
        <family val="1"/>
        <charset val="186"/>
      </rPr>
      <t xml:space="preserve">
</t>
    </r>
    <r>
      <rPr>
        <b/>
        <u/>
        <sz val="12"/>
        <rFont val="Times New Roman"/>
        <family val="1"/>
        <charset val="186"/>
      </rPr>
      <t>Pavisam kopā izdevumi inventāram 100 izpētes veikšanai 728,16 euro</t>
    </r>
    <r>
      <rPr>
        <sz val="12"/>
        <rFont val="Times New Roman"/>
        <family val="1"/>
        <charset val="186"/>
      </rPr>
      <t xml:space="preserve"> </t>
    </r>
  </si>
  <si>
    <t xml:space="preserve">Atalgojums. Gadā 10 izpētes. Pavisam kopā 203,39 euro </t>
  </si>
  <si>
    <r>
      <t xml:space="preserve">Vidējie izdevumi par komunālajiem pakalpojumiem: 
Gadā 10 izpētes. </t>
    </r>
    <r>
      <rPr>
        <b/>
        <sz val="12"/>
        <rFont val="Times New Roman"/>
        <family val="1"/>
        <charset val="186"/>
      </rPr>
      <t>Pavisam kopā patēriņš 10 izpētēm ir 14,47euro</t>
    </r>
    <r>
      <rPr>
        <sz val="12"/>
        <rFont val="Times New Roman"/>
        <family val="1"/>
        <charset val="186"/>
      </rPr>
      <t xml:space="preserve"> </t>
    </r>
  </si>
  <si>
    <r>
      <t xml:space="preserve">Vidējais uzturēšanas izdevumu apjoms mēnesī ir 811,57 euro. 
Gadā 10 izpētes. </t>
    </r>
    <r>
      <rPr>
        <b/>
        <sz val="12"/>
        <rFont val="Times New Roman"/>
        <family val="1"/>
        <charset val="186"/>
      </rPr>
      <t xml:space="preserve">Pavisam kopā patēriņš 10 izpētēm ir 4,14 euro </t>
    </r>
  </si>
  <si>
    <r>
      <t xml:space="preserve">Biroja preces: </t>
    </r>
    <r>
      <rPr>
        <i/>
        <sz val="12"/>
        <rFont val="Times New Roman"/>
        <family val="1"/>
        <charset val="186"/>
      </rPr>
      <t xml:space="preserve">
</t>
    </r>
    <r>
      <rPr>
        <sz val="12"/>
        <rFont val="Times New Roman"/>
        <family val="1"/>
        <charset val="186"/>
      </rPr>
      <t xml:space="preserve">Gadā 10 izpētes. </t>
    </r>
    <r>
      <rPr>
        <b/>
        <sz val="12"/>
        <rFont val="Times New Roman"/>
        <family val="1"/>
        <charset val="186"/>
      </rPr>
      <t>Pavisam kopā patēriņš 10 izpētēm ir 0,13 euro</t>
    </r>
    <r>
      <rPr>
        <sz val="12"/>
        <rFont val="Times New Roman"/>
        <family val="1"/>
        <charset val="186"/>
      </rPr>
      <t xml:space="preserve"> </t>
    </r>
  </si>
  <si>
    <r>
      <t xml:space="preserve">Izdevumi inventāram:
</t>
    </r>
    <r>
      <rPr>
        <b/>
        <u/>
        <sz val="12"/>
        <rFont val="Times New Roman"/>
        <family val="1"/>
        <charset val="186"/>
      </rPr>
      <t>Pavisam kopā izdevumi inventāram 10 izpētes veikšanai 72,82 euro</t>
    </r>
    <r>
      <rPr>
        <sz val="12"/>
        <rFont val="Times New Roman"/>
        <family val="1"/>
        <charset val="186"/>
      </rPr>
      <t xml:space="preserve"> </t>
    </r>
  </si>
  <si>
    <r>
      <t xml:space="preserve">Spectērpu izdevumi: </t>
    </r>
    <r>
      <rPr>
        <sz val="12"/>
        <rFont val="Times New Roman"/>
        <family val="1"/>
        <charset val="186"/>
      </rPr>
      <t xml:space="preserve">
Gadā 10 izpētes. </t>
    </r>
    <r>
      <rPr>
        <b/>
        <sz val="12"/>
        <rFont val="Times New Roman"/>
        <family val="1"/>
        <charset val="186"/>
      </rPr>
      <t>Pavisam kopā patēriņš 10 izpētēm ir 0,03 euro</t>
    </r>
    <r>
      <rPr>
        <sz val="12"/>
        <rFont val="Times New Roman"/>
        <family val="1"/>
        <charset val="186"/>
      </rPr>
      <t xml:space="preserve"> </t>
    </r>
  </si>
  <si>
    <r>
      <t>Izdevumi laboratorijas precēm:</t>
    </r>
    <r>
      <rPr>
        <sz val="12"/>
        <rFont val="Times New Roman"/>
        <family val="1"/>
        <charset val="186"/>
      </rPr>
      <t xml:space="preserve">
</t>
    </r>
    <r>
      <rPr>
        <b/>
        <sz val="12"/>
        <rFont val="Times New Roman"/>
        <family val="1"/>
        <charset val="186"/>
      </rPr>
      <t xml:space="preserve">Gadā 10 izpētes. Pavisam kopā patēriņš 10 izpētēm ir 11,30 euro </t>
    </r>
  </si>
  <si>
    <r>
      <t xml:space="preserve">Pamatlīdzekļi: </t>
    </r>
    <r>
      <rPr>
        <sz val="12"/>
        <rFont val="Times New Roman"/>
        <family val="1"/>
        <charset val="186"/>
      </rPr>
      <t xml:space="preserve">
Gadā 10 izpētes. </t>
    </r>
    <r>
      <rPr>
        <b/>
        <sz val="12"/>
        <rFont val="Times New Roman"/>
        <family val="1"/>
        <charset val="186"/>
      </rPr>
      <t>Pavisam kopā patēriņš 10 izpētēm ir 41,36 euro</t>
    </r>
    <r>
      <rPr>
        <sz val="12"/>
        <rFont val="Times New Roman"/>
        <family val="1"/>
        <charset val="186"/>
      </rPr>
      <t xml:space="preserve"> </t>
    </r>
  </si>
  <si>
    <r>
      <t xml:space="preserve">Pamatlīdzeklis:
</t>
    </r>
    <r>
      <rPr>
        <sz val="12"/>
        <rFont val="Times New Roman"/>
        <family val="1"/>
        <charset val="186"/>
      </rPr>
      <t xml:space="preserve">Gadā 10 izpētes. </t>
    </r>
    <r>
      <rPr>
        <b/>
        <sz val="12"/>
        <rFont val="Times New Roman"/>
        <family val="1"/>
        <charset val="186"/>
      </rPr>
      <t>Pavisam kopā patēriņš 10 izpētēm ir 1,76 euro</t>
    </r>
    <r>
      <rPr>
        <sz val="12"/>
        <rFont val="Times New Roman"/>
        <family val="1"/>
        <charset val="186"/>
      </rPr>
      <t xml:space="preserve"> </t>
    </r>
  </si>
  <si>
    <r>
      <t xml:space="preserve">Atalgojums. Gadā 50 izpētes. </t>
    </r>
    <r>
      <rPr>
        <b/>
        <sz val="12"/>
        <rFont val="Times New Roman"/>
        <family val="1"/>
        <charset val="186"/>
      </rPr>
      <t>Pavisam kopā 1016,96 euro</t>
    </r>
    <r>
      <rPr>
        <sz val="12"/>
        <rFont val="Times New Roman"/>
        <family val="1"/>
        <charset val="186"/>
      </rPr>
      <t xml:space="preserve"> </t>
    </r>
  </si>
  <si>
    <r>
      <t xml:space="preserve">Vidējie izdevumi par komunālajiem pakalpojumiem: 
Gadā 50 izpētes. </t>
    </r>
    <r>
      <rPr>
        <b/>
        <sz val="12"/>
        <rFont val="Times New Roman"/>
        <family val="1"/>
        <charset val="186"/>
      </rPr>
      <t>Pavisam kopā patēriņš 50 izpētēm ir 72,37 euro</t>
    </r>
    <r>
      <rPr>
        <sz val="12"/>
        <rFont val="Times New Roman"/>
        <family val="1"/>
        <charset val="186"/>
      </rPr>
      <t xml:space="preserve"> </t>
    </r>
  </si>
  <si>
    <r>
      <t xml:space="preserve">Vidējais uzturēšanas izdevumu apjoms mēnesī ir 811,57 euro. 
Gadā 50 izpētes. </t>
    </r>
    <r>
      <rPr>
        <b/>
        <sz val="12"/>
        <rFont val="Times New Roman"/>
        <family val="1"/>
        <charset val="186"/>
      </rPr>
      <t xml:space="preserve">Pavisam kopā patēriņš 50 izpētēm ir 20,68 euro </t>
    </r>
  </si>
  <si>
    <r>
      <t xml:space="preserve">Biroja preces: </t>
    </r>
    <r>
      <rPr>
        <i/>
        <sz val="12"/>
        <rFont val="Times New Roman"/>
        <family val="1"/>
        <charset val="186"/>
      </rPr>
      <t xml:space="preserve">
</t>
    </r>
    <r>
      <rPr>
        <sz val="12"/>
        <rFont val="Times New Roman"/>
        <family val="1"/>
        <charset val="186"/>
      </rPr>
      <t xml:space="preserve">Gadā 50 izpētes. </t>
    </r>
    <r>
      <rPr>
        <b/>
        <sz val="12"/>
        <rFont val="Times New Roman"/>
        <family val="1"/>
        <charset val="186"/>
      </rPr>
      <t>Pavisam kopā patēriņš 50 izpētēm ir 0,65 euro</t>
    </r>
    <r>
      <rPr>
        <sz val="12"/>
        <rFont val="Times New Roman"/>
        <family val="1"/>
        <charset val="186"/>
      </rPr>
      <t xml:space="preserve"> </t>
    </r>
  </si>
  <si>
    <r>
      <t xml:space="preserve">Spectērpu izdevumi: </t>
    </r>
    <r>
      <rPr>
        <sz val="12"/>
        <rFont val="Times New Roman"/>
        <family val="1"/>
        <charset val="186"/>
      </rPr>
      <t xml:space="preserve">
Gadā 50 izpētes. </t>
    </r>
    <r>
      <rPr>
        <b/>
        <sz val="12"/>
        <rFont val="Times New Roman"/>
        <family val="1"/>
        <charset val="186"/>
      </rPr>
      <t>Pavisam kopā patēriņš 50 izpētēm ir 0,15 euro</t>
    </r>
    <r>
      <rPr>
        <sz val="12"/>
        <rFont val="Times New Roman"/>
        <family val="1"/>
        <charset val="186"/>
      </rPr>
      <t xml:space="preserve"> </t>
    </r>
  </si>
  <si>
    <r>
      <t xml:space="preserve">Izdevumi laboratorijas precēm:
</t>
    </r>
    <r>
      <rPr>
        <b/>
        <sz val="12"/>
        <rFont val="Times New Roman"/>
        <family val="1"/>
        <charset val="186"/>
      </rPr>
      <t xml:space="preserve">Gadā 50 izpētes. Pavisam kopā patēriņš 50 izpētēm ir 60,67 euro </t>
    </r>
  </si>
  <si>
    <r>
      <t xml:space="preserve">Pamatlīdzekļi: Gada nolietojums ēkai: 
Gadā 50 izpētes. </t>
    </r>
    <r>
      <rPr>
        <b/>
        <sz val="12"/>
        <rFont val="Times New Roman"/>
        <family val="1"/>
        <charset val="186"/>
      </rPr>
      <t>Pavisam kopā patēriņš 50 izpētēm ir 206,79 euro</t>
    </r>
  </si>
  <si>
    <r>
      <t xml:space="preserve">Pamatlīdzeklis:
</t>
    </r>
    <r>
      <rPr>
        <sz val="12"/>
        <rFont val="Times New Roman"/>
        <family val="1"/>
        <charset val="186"/>
      </rPr>
      <t xml:space="preserve">Gadā 50 izpētes. </t>
    </r>
    <r>
      <rPr>
        <b/>
        <sz val="12"/>
        <rFont val="Times New Roman"/>
        <family val="1"/>
        <charset val="186"/>
      </rPr>
      <t>Pavisam kopā patēriņš 50 izpētēm ir 8,67 euro</t>
    </r>
    <r>
      <rPr>
        <sz val="12"/>
        <rFont val="Times New Roman"/>
        <family val="1"/>
        <charset val="186"/>
      </rPr>
      <t xml:space="preserve"> </t>
    </r>
  </si>
  <si>
    <r>
      <t xml:space="preserve">Izdevumi inventāram:
1) Vienreizlietojamās preces: </t>
    </r>
    <r>
      <rPr>
        <b/>
        <sz val="12"/>
        <rFont val="Times New Roman"/>
        <family val="1"/>
        <charset val="186"/>
      </rPr>
      <t xml:space="preserve">Gadā 50 izpētes. Pavisam kopā patēriņš 50 izpētēm ir </t>
    </r>
    <r>
      <rPr>
        <b/>
        <u/>
        <sz val="12"/>
        <rFont val="Times New Roman"/>
        <family val="1"/>
        <charset val="186"/>
      </rPr>
      <t xml:space="preserve">363,00 </t>
    </r>
    <r>
      <rPr>
        <b/>
        <sz val="12"/>
        <rFont val="Times New Roman"/>
        <family val="1"/>
        <charset val="186"/>
      </rPr>
      <t>euro</t>
    </r>
    <r>
      <rPr>
        <sz val="12"/>
        <rFont val="Times New Roman"/>
        <family val="1"/>
        <charset val="186"/>
      </rPr>
      <t xml:space="preserve"> 
2) Daudzreiz lietojamās preces: </t>
    </r>
    <r>
      <rPr>
        <b/>
        <sz val="12"/>
        <rFont val="Times New Roman"/>
        <family val="1"/>
        <charset val="186"/>
      </rPr>
      <t xml:space="preserve">Gadā 50 izpētes. Pavisam kopā patēriņš 50 izpētēm ir </t>
    </r>
    <r>
      <rPr>
        <b/>
        <u/>
        <sz val="12"/>
        <rFont val="Times New Roman"/>
        <family val="1"/>
        <charset val="186"/>
      </rPr>
      <t>1,08</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50 izpētes veikšanai 364,08 euro</t>
    </r>
    <r>
      <rPr>
        <sz val="12"/>
        <rFont val="Times New Roman"/>
        <family val="1"/>
        <charset val="186"/>
      </rPr>
      <t xml:space="preserve"> </t>
    </r>
  </si>
  <si>
    <r>
      <t xml:space="preserve">Atalgojums. Gadā 50 izpētes. Pavisam kopā </t>
    </r>
    <r>
      <rPr>
        <b/>
        <sz val="12"/>
        <rFont val="Times New Roman"/>
        <family val="1"/>
        <charset val="186"/>
      </rPr>
      <t>1016,96 euro</t>
    </r>
    <r>
      <rPr>
        <sz val="12"/>
        <rFont val="Times New Roman"/>
        <family val="1"/>
        <charset val="186"/>
      </rPr>
      <t xml:space="preserve"> </t>
    </r>
  </si>
  <si>
    <r>
      <t xml:space="preserve">Vidējie izdevumi par komunālajiem pakalpojumiem:
Gadā 50 izpētes. </t>
    </r>
    <r>
      <rPr>
        <b/>
        <sz val="12"/>
        <rFont val="Times New Roman"/>
        <family val="1"/>
        <charset val="186"/>
      </rPr>
      <t>Pavisam kopā patēriņš 50 izpētēm ir 72,37 euro</t>
    </r>
    <r>
      <rPr>
        <sz val="12"/>
        <rFont val="Times New Roman"/>
        <family val="1"/>
        <charset val="186"/>
      </rPr>
      <t xml:space="preserve"> </t>
    </r>
  </si>
  <si>
    <r>
      <t xml:space="preserve">Vidējais uzturēšanas izdevumu apjoms:
Gadā 50 izpētes. </t>
    </r>
    <r>
      <rPr>
        <b/>
        <sz val="12"/>
        <rFont val="Times New Roman"/>
        <family val="1"/>
        <charset val="186"/>
      </rPr>
      <t>Pavisam kopā patēriņš 50 izpētēm ir 20,68 euro</t>
    </r>
  </si>
  <si>
    <r>
      <t xml:space="preserve">Izdevumi inventāram:
1) Vienreizlietojamās preces: </t>
    </r>
    <r>
      <rPr>
        <b/>
        <sz val="12"/>
        <rFont val="Times New Roman"/>
        <family val="1"/>
        <charset val="186"/>
      </rPr>
      <t>Gadā 50 izpētes. Pavisam kopā patēriņš 50 izpētēm ir 363,00</t>
    </r>
    <r>
      <rPr>
        <b/>
        <u/>
        <sz val="12"/>
        <rFont val="Times New Roman"/>
        <family val="1"/>
        <charset val="186"/>
      </rPr>
      <t xml:space="preserve"> </t>
    </r>
    <r>
      <rPr>
        <b/>
        <sz val="12"/>
        <rFont val="Times New Roman"/>
        <family val="1"/>
        <charset val="186"/>
      </rPr>
      <t>euro</t>
    </r>
    <r>
      <rPr>
        <sz val="12"/>
        <rFont val="Times New Roman"/>
        <family val="1"/>
        <charset val="186"/>
      </rPr>
      <t xml:space="preserve"> 
2) Daudzreiz lietojamās preces: </t>
    </r>
    <r>
      <rPr>
        <b/>
        <sz val="12"/>
        <rFont val="Times New Roman"/>
        <family val="1"/>
        <charset val="186"/>
      </rPr>
      <t xml:space="preserve">Gadā 50 izpētes. Pavisam kopā patēriņš 50 izpētēm ir </t>
    </r>
    <r>
      <rPr>
        <b/>
        <u/>
        <sz val="12"/>
        <rFont val="Times New Roman"/>
        <family val="1"/>
        <charset val="186"/>
      </rPr>
      <t>1,08</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50 izpēšu veikšanai 364,08 euro</t>
    </r>
    <r>
      <rPr>
        <sz val="12"/>
        <rFont val="Times New Roman"/>
        <family val="1"/>
        <charset val="186"/>
      </rPr>
      <t xml:space="preserve"> </t>
    </r>
  </si>
  <si>
    <r>
      <t xml:space="preserve">Izdevumi laboratorijas precēm:
</t>
    </r>
    <r>
      <rPr>
        <b/>
        <sz val="12"/>
        <rFont val="Times New Roman"/>
        <family val="1"/>
        <charset val="186"/>
      </rPr>
      <t>Gadā 50 izpētes. Pavisam kopā patēriņš 50 izpētēm ir 65,67 euro</t>
    </r>
    <r>
      <rPr>
        <sz val="12"/>
        <rFont val="Times New Roman"/>
        <family val="1"/>
        <charset val="186"/>
      </rPr>
      <t xml:space="preserve"> </t>
    </r>
  </si>
  <si>
    <r>
      <t xml:space="preserve">Pamatlīdzekļi: Gada nolietojums ēkai:
Gadā 50 izpētes. </t>
    </r>
    <r>
      <rPr>
        <b/>
        <sz val="12"/>
        <rFont val="Times New Roman"/>
        <family val="1"/>
        <charset val="186"/>
      </rPr>
      <t>Pavisam kopā patēriņš 50 izpētēm ir 206,78 euro</t>
    </r>
    <r>
      <rPr>
        <sz val="12"/>
        <rFont val="Times New Roman"/>
        <family val="1"/>
        <charset val="186"/>
      </rPr>
      <t xml:space="preserve"> </t>
    </r>
  </si>
  <si>
    <r>
      <t xml:space="preserve">Pamatlīdzeklis:
</t>
    </r>
    <r>
      <rPr>
        <sz val="12"/>
        <rFont val="Times New Roman"/>
        <family val="1"/>
        <charset val="186"/>
      </rPr>
      <t xml:space="preserve">Gadā 50 izpētes. </t>
    </r>
    <r>
      <rPr>
        <b/>
        <sz val="12"/>
        <rFont val="Times New Roman"/>
        <family val="1"/>
        <charset val="186"/>
      </rPr>
      <t>Pavisam kopā patēriņš 50 izpētēm ir 8,67 euro</t>
    </r>
  </si>
  <si>
    <r>
      <t xml:space="preserve">Atalgojums. Gadā 21 izpēte. Pavisam kopā </t>
    </r>
    <r>
      <rPr>
        <b/>
        <sz val="12"/>
        <rFont val="Times New Roman"/>
        <family val="1"/>
        <charset val="186"/>
      </rPr>
      <t>427,12 euro</t>
    </r>
    <r>
      <rPr>
        <sz val="12"/>
        <rFont val="Times New Roman"/>
        <family val="1"/>
        <charset val="186"/>
      </rPr>
      <t xml:space="preserve"> </t>
    </r>
  </si>
  <si>
    <r>
      <t xml:space="preserve">Vidējie izdevumi par komunālajiem pakalpojumiem: 
Gadā 21 izpēte. </t>
    </r>
    <r>
      <rPr>
        <b/>
        <sz val="12"/>
        <rFont val="Times New Roman"/>
        <family val="1"/>
        <charset val="186"/>
      </rPr>
      <t>Pavisam kopā patēriņš 21 izpētei ir 30,40 euro</t>
    </r>
    <r>
      <rPr>
        <sz val="12"/>
        <rFont val="Times New Roman"/>
        <family val="1"/>
        <charset val="186"/>
      </rPr>
      <t xml:space="preserve"> </t>
    </r>
  </si>
  <si>
    <r>
      <t xml:space="preserve">Vidējais uzturēšanas izdevumu apjoms: 
Gadā 21izpēte. </t>
    </r>
    <r>
      <rPr>
        <b/>
        <sz val="12"/>
        <rFont val="Times New Roman"/>
        <family val="1"/>
        <charset val="186"/>
      </rPr>
      <t>Pavisam kopā patēriņš 21 izpētei ir 8,68 euro</t>
    </r>
  </si>
  <si>
    <r>
      <t>Izdevumi inventāram:
1) Vienreizlietojamās preces:</t>
    </r>
    <r>
      <rPr>
        <b/>
        <sz val="12"/>
        <rFont val="Times New Roman"/>
        <family val="1"/>
        <charset val="186"/>
      </rPr>
      <t xml:space="preserve">Gadā 20 izpētes. Pavisam kopā patēriņš 21 izpētei ir </t>
    </r>
    <r>
      <rPr>
        <b/>
        <u/>
        <sz val="12"/>
        <rFont val="Times New Roman"/>
        <family val="1"/>
        <charset val="186"/>
      </rPr>
      <t xml:space="preserve">152,46 </t>
    </r>
    <r>
      <rPr>
        <b/>
        <sz val="12"/>
        <rFont val="Times New Roman"/>
        <family val="1"/>
        <charset val="186"/>
      </rPr>
      <t>euro</t>
    </r>
    <r>
      <rPr>
        <sz val="12"/>
        <rFont val="Times New Roman"/>
        <family val="1"/>
        <charset val="186"/>
      </rPr>
      <t xml:space="preserve"> 
2) Daudzreiz lietojamās preces: </t>
    </r>
    <r>
      <rPr>
        <sz val="12"/>
        <rFont val="Times New Roman"/>
        <family val="1"/>
        <charset val="186"/>
      </rPr>
      <t xml:space="preserve"> </t>
    </r>
    <r>
      <rPr>
        <b/>
        <sz val="12"/>
        <rFont val="Times New Roman"/>
        <family val="1"/>
        <charset val="186"/>
      </rPr>
      <t xml:space="preserve">Gadā 21 izpēte. Pavisam kopā patēriņš 21 izpētei ir </t>
    </r>
    <r>
      <rPr>
        <b/>
        <u/>
        <sz val="12"/>
        <rFont val="Times New Roman"/>
        <family val="1"/>
        <charset val="186"/>
      </rPr>
      <t>0,4536</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21 izpētes veikšanai 152,91 euro</t>
    </r>
    <r>
      <rPr>
        <sz val="12"/>
        <rFont val="Times New Roman"/>
        <family val="1"/>
        <charset val="186"/>
      </rPr>
      <t xml:space="preserve"> </t>
    </r>
  </si>
  <si>
    <r>
      <t>Spectērpu izdevumi:</t>
    </r>
    <r>
      <rPr>
        <sz val="12"/>
        <rFont val="Times New Roman"/>
        <family val="1"/>
        <charset val="186"/>
      </rPr>
      <t xml:space="preserve">
Gadā 21 izpēte. </t>
    </r>
    <r>
      <rPr>
        <b/>
        <sz val="12"/>
        <rFont val="Times New Roman"/>
        <family val="1"/>
        <charset val="186"/>
      </rPr>
      <t>Pavisam kopā patēriņš 21 izpētei ir 0,063 euro</t>
    </r>
  </si>
  <si>
    <r>
      <t xml:space="preserve">Izdevumi laboratorijas precēm:
</t>
    </r>
    <r>
      <rPr>
        <b/>
        <sz val="12"/>
        <rFont val="Times New Roman"/>
        <family val="1"/>
        <charset val="186"/>
      </rPr>
      <t xml:space="preserve">Gadā 21 izpēte. Pavisam kopā patēriņš 21 izpētei ir 25,90 euro </t>
    </r>
  </si>
  <si>
    <r>
      <t xml:space="preserve">Pamatlīdzekļi: Gada nolietojums ēkai: 
Gadā 21 izpēte. </t>
    </r>
    <r>
      <rPr>
        <b/>
        <sz val="12"/>
        <rFont val="Times New Roman"/>
        <family val="1"/>
        <charset val="186"/>
      </rPr>
      <t>Pavisam kopā patēriņš 21 izpētei ir 86,8497 euro</t>
    </r>
  </si>
  <si>
    <r>
      <t xml:space="preserve">Pamatlīdzeklis:
</t>
    </r>
    <r>
      <rPr>
        <sz val="12"/>
        <rFont val="Times New Roman"/>
        <family val="1"/>
        <charset val="186"/>
      </rPr>
      <t xml:space="preserve">Gadā 21 izpēte. </t>
    </r>
    <r>
      <rPr>
        <b/>
        <sz val="12"/>
        <rFont val="Times New Roman"/>
        <family val="1"/>
        <charset val="186"/>
      </rPr>
      <t>Pavisam kopā patēriņš 21 izpētei ir 3,6414 euro</t>
    </r>
    <r>
      <rPr>
        <sz val="12"/>
        <rFont val="Times New Roman"/>
        <family val="1"/>
        <charset val="186"/>
      </rPr>
      <t xml:space="preserve"> </t>
    </r>
  </si>
  <si>
    <r>
      <t xml:space="preserve">Biroja preces: </t>
    </r>
    <r>
      <rPr>
        <sz val="12"/>
        <rFont val="Times New Roman"/>
        <family val="1"/>
        <charset val="186"/>
      </rPr>
      <t xml:space="preserve">Gadā 21 izpēte. </t>
    </r>
    <r>
      <rPr>
        <b/>
        <sz val="12"/>
        <rFont val="Times New Roman"/>
        <family val="1"/>
        <charset val="186"/>
      </rPr>
      <t>Pavisam kopā patēriņš 21 izpētei ir 0,27 euro</t>
    </r>
    <r>
      <rPr>
        <sz val="12"/>
        <rFont val="Times New Roman"/>
        <family val="1"/>
        <charset val="186"/>
      </rPr>
      <t xml:space="preserve"> </t>
    </r>
  </si>
  <si>
    <r>
      <rPr>
        <u/>
        <sz val="12"/>
        <rFont val="Times New Roman"/>
        <family val="1"/>
        <charset val="186"/>
      </rPr>
      <t>Atalgojums.</t>
    </r>
    <r>
      <rPr>
        <sz val="12"/>
        <rFont val="Times New Roman"/>
        <family val="1"/>
        <charset val="186"/>
      </rPr>
      <t xml:space="preserve"> Gadā 50 izpētes. Pavisam kopā </t>
    </r>
    <r>
      <rPr>
        <b/>
        <sz val="12"/>
        <rFont val="Times New Roman"/>
        <family val="1"/>
        <charset val="186"/>
      </rPr>
      <t xml:space="preserve">1016,96 euro </t>
    </r>
  </si>
  <si>
    <r>
      <t xml:space="preserve">Vidējais uzturēšanas izdevumu apjoms: 
Gadā 50 izpētes. </t>
    </r>
    <r>
      <rPr>
        <b/>
        <sz val="12"/>
        <rFont val="Times New Roman"/>
        <family val="1"/>
        <charset val="186"/>
      </rPr>
      <t xml:space="preserve">Pavisam kopā patēriņš 50 izpētēm ir 20,68 euro </t>
    </r>
  </si>
  <si>
    <r>
      <t xml:space="preserve">Biroja preces: </t>
    </r>
    <r>
      <rPr>
        <sz val="12"/>
        <rFont val="Times New Roman"/>
        <family val="1"/>
        <charset val="186"/>
      </rPr>
      <t xml:space="preserve">Gadā 50 izpētes. </t>
    </r>
    <r>
      <rPr>
        <b/>
        <sz val="12"/>
        <rFont val="Times New Roman"/>
        <family val="1"/>
        <charset val="186"/>
      </rPr>
      <t>Pavisam kopā patēriņš 50 izpētēm ir 0,65 euro</t>
    </r>
    <r>
      <rPr>
        <sz val="12"/>
        <rFont val="Times New Roman"/>
        <family val="1"/>
        <charset val="186"/>
      </rPr>
      <t xml:space="preserve"> </t>
    </r>
  </si>
  <si>
    <r>
      <t xml:space="preserve">Izdevumi inventāram:
1) Vienreizlietojamās preces: </t>
    </r>
    <r>
      <rPr>
        <b/>
        <sz val="12"/>
        <rFont val="Times New Roman"/>
        <family val="1"/>
        <charset val="186"/>
      </rPr>
      <t xml:space="preserve">Gadā 50 izpētes. Pavisam kopā patēriņš 50 izpētēm ir </t>
    </r>
    <r>
      <rPr>
        <b/>
        <u/>
        <sz val="12"/>
        <rFont val="Times New Roman"/>
        <family val="1"/>
        <charset val="186"/>
      </rPr>
      <t xml:space="preserve">363,00 </t>
    </r>
    <r>
      <rPr>
        <b/>
        <sz val="12"/>
        <rFont val="Times New Roman"/>
        <family val="1"/>
        <charset val="186"/>
      </rPr>
      <t>euro</t>
    </r>
    <r>
      <rPr>
        <sz val="12"/>
        <rFont val="Times New Roman"/>
        <family val="1"/>
        <charset val="186"/>
      </rPr>
      <t xml:space="preserve"> 
2) Daudzreiz lietojamās preces: </t>
    </r>
    <r>
      <rPr>
        <b/>
        <sz val="12"/>
        <rFont val="Times New Roman"/>
        <family val="1"/>
        <charset val="186"/>
      </rPr>
      <t xml:space="preserve">Gadā 50 izpētes. Pavisam kopā patēriņš 50 izpētēm ir </t>
    </r>
    <r>
      <rPr>
        <b/>
        <u/>
        <sz val="12"/>
        <rFont val="Times New Roman"/>
        <family val="1"/>
        <charset val="186"/>
      </rPr>
      <t>1,08</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50 izpētes veikšanai 364,08 euro</t>
    </r>
    <r>
      <rPr>
        <sz val="12"/>
        <rFont val="Times New Roman"/>
        <family val="1"/>
        <charset val="186"/>
      </rPr>
      <t xml:space="preserve"> </t>
    </r>
  </si>
  <si>
    <r>
      <t xml:space="preserve">Spectērpu izdevumi: </t>
    </r>
    <r>
      <rPr>
        <sz val="12"/>
        <rFont val="Times New Roman"/>
        <family val="1"/>
        <charset val="186"/>
      </rPr>
      <t xml:space="preserve">
Gadā 50 izpētes. </t>
    </r>
    <r>
      <rPr>
        <b/>
        <sz val="12"/>
        <rFont val="Times New Roman"/>
        <family val="1"/>
        <charset val="186"/>
      </rPr>
      <t>Pavisam kopā patēriņš 50 izpētēm ir 0,15 euro</t>
    </r>
  </si>
  <si>
    <r>
      <t xml:space="preserve">Izdevumi laboratorijas precēm:
</t>
    </r>
    <r>
      <rPr>
        <b/>
        <sz val="12"/>
        <rFont val="Times New Roman"/>
        <family val="1"/>
        <charset val="186"/>
      </rPr>
      <t xml:space="preserve">Gadā 50 izpētes. Pavisam kopā patēriņš 50 izpētēm ir 91,17 euro </t>
    </r>
  </si>
  <si>
    <r>
      <t xml:space="preserve">Pamatlīdzekļi: Gada nolietojums ēkai: 
Gadā 50 izpētes. </t>
    </r>
    <r>
      <rPr>
        <b/>
        <sz val="12"/>
        <rFont val="Times New Roman"/>
        <family val="1"/>
        <charset val="186"/>
      </rPr>
      <t>Pavisam kopā patēriņš 50 izpētēm ir 206,78 euro</t>
    </r>
    <r>
      <rPr>
        <sz val="12"/>
        <rFont val="Times New Roman"/>
        <family val="1"/>
        <charset val="186"/>
      </rPr>
      <t xml:space="preserve"> </t>
    </r>
  </si>
  <si>
    <r>
      <t>Atalgojums. Gadā 120 izpētes.</t>
    </r>
    <r>
      <rPr>
        <b/>
        <sz val="12"/>
        <rFont val="Times New Roman"/>
        <family val="1"/>
        <charset val="186"/>
      </rPr>
      <t xml:space="preserve"> Pavisam kopā 2440,69 euro</t>
    </r>
    <r>
      <rPr>
        <sz val="12"/>
        <rFont val="Times New Roman"/>
        <family val="1"/>
        <charset val="186"/>
      </rPr>
      <t xml:space="preserve"> </t>
    </r>
  </si>
  <si>
    <r>
      <t xml:space="preserve">Vidējie izdevumi par komunālajiem pakalpojumiem: 
Gadā 120 izpētes. </t>
    </r>
    <r>
      <rPr>
        <b/>
        <sz val="12"/>
        <rFont val="Times New Roman"/>
        <family val="1"/>
        <charset val="186"/>
      </rPr>
      <t>Pavisam kopā patēriņš 120 izpētēm ir 173,70 euro</t>
    </r>
  </si>
  <si>
    <r>
      <t xml:space="preserve">Vidējais uzturēšanas izdevumu apjoms:
Gadā 120 izpētes. </t>
    </r>
    <r>
      <rPr>
        <b/>
        <sz val="12"/>
        <rFont val="Times New Roman"/>
        <family val="1"/>
        <charset val="186"/>
      </rPr>
      <t xml:space="preserve">Pavisam kopā patēriņš 120 izpētēm ir 49,63 euro </t>
    </r>
  </si>
  <si>
    <r>
      <t xml:space="preserve">Biroja preces: </t>
    </r>
    <r>
      <rPr>
        <i/>
        <sz val="12"/>
        <rFont val="Times New Roman"/>
        <family val="1"/>
        <charset val="186"/>
      </rPr>
      <t xml:space="preserve">
</t>
    </r>
    <r>
      <rPr>
        <sz val="12"/>
        <rFont val="Times New Roman"/>
        <family val="1"/>
        <charset val="186"/>
      </rPr>
      <t xml:space="preserve">Gadā 120 izpētes. </t>
    </r>
    <r>
      <rPr>
        <b/>
        <sz val="12"/>
        <rFont val="Times New Roman"/>
        <family val="1"/>
        <charset val="186"/>
      </rPr>
      <t>Pavisam kopā patēriņš 120 izpētēm ir 1,56 euro</t>
    </r>
    <r>
      <rPr>
        <sz val="12"/>
        <rFont val="Times New Roman"/>
        <family val="1"/>
        <charset val="186"/>
      </rPr>
      <t xml:space="preserve"> </t>
    </r>
  </si>
  <si>
    <r>
      <t>Izdevumi inventāram:
1) Vienreizlietojamās preces:</t>
    </r>
    <r>
      <rPr>
        <sz val="12"/>
        <rFont val="Times New Roman"/>
        <family val="1"/>
        <charset val="186"/>
      </rPr>
      <t xml:space="preserve"> </t>
    </r>
    <r>
      <rPr>
        <b/>
        <sz val="12"/>
        <rFont val="Times New Roman"/>
        <family val="1"/>
        <charset val="186"/>
      </rPr>
      <t>Gadā 120 izpētes. Pavisam kopā patēriņš 120 izpētēm ir 871,20 euro</t>
    </r>
    <r>
      <rPr>
        <sz val="12"/>
        <rFont val="Times New Roman"/>
        <family val="1"/>
        <charset val="186"/>
      </rPr>
      <t xml:space="preserve"> 
2) Daudzreiz lietojamās preces:</t>
    </r>
    <r>
      <rPr>
        <b/>
        <sz val="12"/>
        <rFont val="Times New Roman"/>
        <family val="1"/>
        <charset val="186"/>
      </rPr>
      <t xml:space="preserve">Gadā 120 izpētes. Pavisam kopā patēriņš 120 izpētēm ir </t>
    </r>
    <r>
      <rPr>
        <b/>
        <u/>
        <sz val="12"/>
        <rFont val="Times New Roman"/>
        <family val="1"/>
        <charset val="186"/>
      </rPr>
      <t>2,59</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120 izpētes veikšanai 873,79 euro</t>
    </r>
    <r>
      <rPr>
        <sz val="12"/>
        <rFont val="Times New Roman"/>
        <family val="1"/>
        <charset val="186"/>
      </rPr>
      <t xml:space="preserve"> </t>
    </r>
  </si>
  <si>
    <r>
      <t>Spectērpu izdevumi:</t>
    </r>
    <r>
      <rPr>
        <sz val="12"/>
        <rFont val="Times New Roman"/>
        <family val="1"/>
        <charset val="186"/>
      </rPr>
      <t xml:space="preserve">
Gadā 120 izpētes. </t>
    </r>
    <r>
      <rPr>
        <b/>
        <sz val="12"/>
        <rFont val="Times New Roman"/>
        <family val="1"/>
        <charset val="186"/>
      </rPr>
      <t>Pavisam kopā patēriņš 120 izpētēm ir 0,36 euro</t>
    </r>
    <r>
      <rPr>
        <sz val="12"/>
        <rFont val="Times New Roman"/>
        <family val="1"/>
        <charset val="186"/>
      </rPr>
      <t xml:space="preserve"> </t>
    </r>
  </si>
  <si>
    <r>
      <t xml:space="preserve">Izdevumi laboratorijas precēm:
</t>
    </r>
    <r>
      <rPr>
        <b/>
        <sz val="12"/>
        <rFont val="Times New Roman"/>
        <family val="1"/>
        <charset val="186"/>
      </rPr>
      <t xml:space="preserve">Gadā 120 izpētes. Pavisam kopā patēriņš 120 izpētēm ir 287,22 euro </t>
    </r>
  </si>
  <si>
    <r>
      <t xml:space="preserve">Pamatlīdzekļi: Gada nolietojums ēkai: 
Gadā 120 izpētes. </t>
    </r>
    <r>
      <rPr>
        <b/>
        <sz val="12"/>
        <rFont val="Times New Roman"/>
        <family val="1"/>
        <charset val="186"/>
      </rPr>
      <t>Pavisam kopā patēriņš 120 izpētēm ir 496,28 euro</t>
    </r>
    <r>
      <rPr>
        <sz val="12"/>
        <rFont val="Times New Roman"/>
        <family val="1"/>
        <charset val="186"/>
      </rPr>
      <t xml:space="preserve"> </t>
    </r>
  </si>
  <si>
    <r>
      <t xml:space="preserve">Pamatlīdzeklis: Gadā 120 izpētes. </t>
    </r>
    <r>
      <rPr>
        <b/>
        <sz val="12"/>
        <rFont val="Times New Roman"/>
        <family val="1"/>
        <charset val="186"/>
      </rPr>
      <t>Pavisam kopā patēriņš 120 izpētēm ir 20,81 euro</t>
    </r>
    <r>
      <rPr>
        <sz val="12"/>
        <rFont val="Times New Roman"/>
        <family val="1"/>
        <charset val="186"/>
      </rPr>
      <t xml:space="preserve"> </t>
    </r>
  </si>
  <si>
    <r>
      <t xml:space="preserve">Atalgojums. Gadā 1 izpēte. Pavisam kopā </t>
    </r>
    <r>
      <rPr>
        <b/>
        <sz val="12"/>
        <rFont val="Times New Roman"/>
        <family val="1"/>
        <charset val="186"/>
      </rPr>
      <t>46,11 euro</t>
    </r>
    <r>
      <rPr>
        <sz val="12"/>
        <rFont val="Times New Roman"/>
        <family val="1"/>
        <charset val="186"/>
      </rPr>
      <t xml:space="preserve"> </t>
    </r>
  </si>
  <si>
    <r>
      <t xml:space="preserve">Vidējie izdevumi par komunālajiem pakalpojumiem: </t>
    </r>
    <r>
      <rPr>
        <sz val="12"/>
        <rFont val="Times New Roman"/>
        <family val="1"/>
        <charset val="186"/>
      </rPr>
      <t xml:space="preserve">
Gadā 1 izpēte. </t>
    </r>
    <r>
      <rPr>
        <b/>
        <sz val="12"/>
        <rFont val="Times New Roman"/>
        <family val="1"/>
        <charset val="186"/>
      </rPr>
      <t>Pavisam kopā patēriņš 1 izpētei ir 4,09 euro</t>
    </r>
    <r>
      <rPr>
        <sz val="12"/>
        <rFont val="Times New Roman"/>
        <family val="1"/>
        <charset val="186"/>
      </rPr>
      <t xml:space="preserve"> </t>
    </r>
  </si>
  <si>
    <r>
      <t xml:space="preserve">Biroja preces: </t>
    </r>
    <r>
      <rPr>
        <i/>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0,01 euro</t>
    </r>
    <r>
      <rPr>
        <sz val="12"/>
        <rFont val="Times New Roman"/>
        <family val="1"/>
        <charset val="186"/>
      </rPr>
      <t xml:space="preserve"> </t>
    </r>
  </si>
  <si>
    <r>
      <t xml:space="preserve">Izdevumi inventāram:
1) Vienreizlietojamās preces: </t>
    </r>
    <r>
      <rPr>
        <b/>
        <sz val="12"/>
        <rFont val="Times New Roman"/>
        <family val="1"/>
        <charset val="186"/>
      </rPr>
      <t>Gadā 1 izpēte. Pavisam kopā patēriņš 1 izpētei ir 7,26 euro</t>
    </r>
    <r>
      <rPr>
        <sz val="12"/>
        <rFont val="Times New Roman"/>
        <family val="1"/>
        <charset val="186"/>
      </rPr>
      <t xml:space="preserve"> 
2) Daudzreiz lietojamās preces: </t>
    </r>
    <r>
      <rPr>
        <b/>
        <sz val="12"/>
        <rFont val="Times New Roman"/>
        <family val="1"/>
        <charset val="186"/>
      </rPr>
      <t xml:space="preserve">Gadā 120 izpētes. Pavisam kopā patēriņš 1 izpētei ir </t>
    </r>
    <r>
      <rPr>
        <b/>
        <u/>
        <sz val="12"/>
        <rFont val="Times New Roman"/>
        <family val="1"/>
        <charset val="186"/>
      </rPr>
      <t>0,02</t>
    </r>
    <r>
      <rPr>
        <b/>
        <sz val="12"/>
        <rFont val="Times New Roman"/>
        <family val="1"/>
        <charset val="186"/>
      </rPr>
      <t xml:space="preserve"> euro</t>
    </r>
    <r>
      <rPr>
        <sz val="12"/>
        <rFont val="Times New Roman"/>
        <family val="1"/>
        <charset val="186"/>
      </rPr>
      <t xml:space="preserve"> 
</t>
    </r>
    <r>
      <rPr>
        <b/>
        <u/>
        <sz val="12"/>
        <rFont val="Times New Roman"/>
        <family val="1"/>
        <charset val="186"/>
      </rPr>
      <t>Pavisam kopā izdevumi inventāram 1 izpētes veikšanai 7,28 euro</t>
    </r>
  </si>
  <si>
    <r>
      <t xml:space="preserve">Spectērpu izdevumi: </t>
    </r>
    <r>
      <rPr>
        <sz val="12"/>
        <rFont val="Times New Roman"/>
        <family val="1"/>
        <charset val="186"/>
      </rPr>
      <t xml:space="preserve">
Gadā 1 izpēte. </t>
    </r>
    <r>
      <rPr>
        <b/>
        <sz val="12"/>
        <rFont val="Times New Roman"/>
        <family val="1"/>
        <charset val="186"/>
      </rPr>
      <t>Pavisam kopā patēriņš 1 izpētei ir 0,003 euro</t>
    </r>
    <r>
      <rPr>
        <sz val="12"/>
        <rFont val="Times New Roman"/>
        <family val="1"/>
        <charset val="186"/>
      </rPr>
      <t xml:space="preserve"> </t>
    </r>
  </si>
  <si>
    <r>
      <t xml:space="preserve">Izdevumi laboratorijas precēm:
</t>
    </r>
    <r>
      <rPr>
        <b/>
        <sz val="12"/>
        <rFont val="Times New Roman"/>
        <family val="1"/>
        <charset val="186"/>
      </rPr>
      <t xml:space="preserve">Gadā 1 izpēte. Pavisam kopā patēriņš 1 izpētei ir 0,76 euro </t>
    </r>
  </si>
  <si>
    <r>
      <t xml:space="preserve">Pamatlīdzeklis:
</t>
    </r>
    <r>
      <rPr>
        <sz val="12"/>
        <rFont val="Times New Roman"/>
        <family val="1"/>
        <charset val="186"/>
      </rPr>
      <t xml:space="preserve">Gadā 1 izpēte. </t>
    </r>
    <r>
      <rPr>
        <b/>
        <sz val="12"/>
        <rFont val="Times New Roman"/>
        <family val="1"/>
        <charset val="186"/>
      </rPr>
      <t>Pavisam kopā patēriņš 1 izpētei ir 0,17 euro</t>
    </r>
    <r>
      <rPr>
        <sz val="12"/>
        <rFont val="Times New Roman"/>
        <family val="1"/>
        <charset val="186"/>
      </rPr>
      <t xml:space="preserve"> </t>
    </r>
  </si>
  <si>
    <r>
      <t xml:space="preserve">Pamatlīdzekļi: Gada nolietojums ēkai: 
Gadā 1 izpēte. </t>
    </r>
    <r>
      <rPr>
        <b/>
        <sz val="12"/>
        <rFont val="Times New Roman"/>
        <family val="1"/>
        <charset val="186"/>
      </rPr>
      <t>Pavisam kopā patēriņš 1 izpēti ir 11,67 euro</t>
    </r>
    <r>
      <rPr>
        <sz val="12"/>
        <rFont val="Times New Roman"/>
        <family val="1"/>
        <charset val="186"/>
      </rPr>
      <t xml:space="preserve"> </t>
    </r>
  </si>
  <si>
    <r>
      <t xml:space="preserve">Vidējais uzturēšanas izdevumu apjoms:
Gadā 1 izpēte. </t>
    </r>
    <r>
      <rPr>
        <b/>
        <sz val="12"/>
        <rFont val="Times New Roman"/>
        <family val="1"/>
        <charset val="186"/>
      </rPr>
      <t xml:space="preserve">Pavisam kopā patēriņš 1 izpētei ir 1,17 euro </t>
    </r>
  </si>
  <si>
    <t xml:space="preserve">Atalgojums. Gadā 3 izpētes. Pavisam kopā 119,93 euro </t>
  </si>
  <si>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3 izpētes. </t>
    </r>
    <r>
      <rPr>
        <b/>
        <u/>
        <sz val="12"/>
        <rFont val="Times New Roman"/>
        <family val="1"/>
        <charset val="186"/>
      </rPr>
      <t>Pavisam kopā patēriņš 3 izpētēm ir 11,067 euro</t>
    </r>
    <r>
      <rPr>
        <sz val="12"/>
        <rFont val="Times New Roman"/>
        <family val="1"/>
        <charset val="186"/>
      </rPr>
      <t xml:space="preserve"> </t>
    </r>
  </si>
  <si>
    <r>
      <t>Vidējais uzturēšanas izdevumu apjoms:</t>
    </r>
    <r>
      <rPr>
        <vertAlign val="superscript"/>
        <sz val="12"/>
        <rFont val="Times New Roman"/>
        <family val="1"/>
        <charset val="186"/>
      </rPr>
      <t xml:space="preserve">
</t>
    </r>
    <r>
      <rPr>
        <sz val="12"/>
        <rFont val="Times New Roman"/>
        <family val="1"/>
        <charset val="186"/>
      </rPr>
      <t xml:space="preserve">Gadā 3 izpētes. </t>
    </r>
    <r>
      <rPr>
        <b/>
        <sz val="12"/>
        <rFont val="Times New Roman"/>
        <family val="1"/>
        <charset val="186"/>
      </rPr>
      <t>Pavisam kopā patēriņš 3 izpētēm ir 3,16 euro</t>
    </r>
    <r>
      <rPr>
        <sz val="12"/>
        <rFont val="Times New Roman"/>
        <family val="1"/>
        <charset val="186"/>
      </rPr>
      <t xml:space="preserve"> </t>
    </r>
  </si>
  <si>
    <r>
      <t xml:space="preserve">Biroja preces: </t>
    </r>
    <r>
      <rPr>
        <i/>
        <sz val="12"/>
        <rFont val="Times New Roman"/>
        <family val="1"/>
        <charset val="186"/>
      </rPr>
      <t xml:space="preserve">
</t>
    </r>
    <r>
      <rPr>
        <sz val="12"/>
        <rFont val="Times New Roman"/>
        <family val="1"/>
        <charset val="186"/>
      </rPr>
      <t xml:space="preserve">Gadā 3 izpētes. </t>
    </r>
    <r>
      <rPr>
        <b/>
        <sz val="12"/>
        <rFont val="Times New Roman"/>
        <family val="1"/>
        <charset val="186"/>
      </rPr>
      <t>Pavisam kopā patēriņš 3 izpētēm ir 0,04 euro</t>
    </r>
    <r>
      <rPr>
        <sz val="12"/>
        <rFont val="Times New Roman"/>
        <family val="1"/>
        <charset val="186"/>
      </rPr>
      <t xml:space="preserve"> </t>
    </r>
  </si>
  <si>
    <r>
      <t xml:space="preserve">Izdevumi inventāram:
1) Vienreizlietojamās preces: </t>
    </r>
    <r>
      <rPr>
        <b/>
        <sz val="12"/>
        <rFont val="Times New Roman"/>
        <family val="1"/>
        <charset val="186"/>
      </rPr>
      <t xml:space="preserve">Gadā 3 izpētes. Pavisam kopā patēriņš 3 izpētēm ir </t>
    </r>
    <r>
      <rPr>
        <b/>
        <u/>
        <sz val="12"/>
        <rFont val="Times New Roman"/>
        <family val="1"/>
        <charset val="186"/>
      </rPr>
      <t xml:space="preserve">21,78 </t>
    </r>
    <r>
      <rPr>
        <b/>
        <sz val="12"/>
        <rFont val="Times New Roman"/>
        <family val="1"/>
        <charset val="186"/>
      </rPr>
      <t>euro</t>
    </r>
    <r>
      <rPr>
        <sz val="12"/>
        <rFont val="Times New Roman"/>
        <family val="1"/>
        <charset val="186"/>
      </rPr>
      <t xml:space="preserve"> 
2) Daudzreiz lietojamās preces: </t>
    </r>
    <r>
      <rPr>
        <b/>
        <sz val="12"/>
        <rFont val="Times New Roman"/>
        <family val="1"/>
        <charset val="186"/>
      </rPr>
      <t xml:space="preserve">Gadā 3 izpētes. Pavisam kopā patēriņš 3 izpētēm ir </t>
    </r>
    <r>
      <rPr>
        <b/>
        <u/>
        <sz val="12"/>
        <rFont val="Times New Roman"/>
        <family val="1"/>
        <charset val="186"/>
      </rPr>
      <t xml:space="preserve">0,0648 </t>
    </r>
    <r>
      <rPr>
        <b/>
        <sz val="12"/>
        <rFont val="Times New Roman"/>
        <family val="1"/>
        <charset val="186"/>
      </rPr>
      <t>euro</t>
    </r>
    <r>
      <rPr>
        <sz val="12"/>
        <rFont val="Times New Roman"/>
        <family val="1"/>
        <charset val="186"/>
      </rPr>
      <t xml:space="preserve"> 
</t>
    </r>
    <r>
      <rPr>
        <b/>
        <u/>
        <sz val="12"/>
        <rFont val="Times New Roman"/>
        <family val="1"/>
        <charset val="186"/>
      </rPr>
      <t>Pavisam kopā izdevumi inventāram 3 izpēšu veikšanai 21,8448 euro</t>
    </r>
    <r>
      <rPr>
        <sz val="12"/>
        <rFont val="Times New Roman"/>
        <family val="1"/>
        <charset val="186"/>
      </rPr>
      <t xml:space="preserve"> </t>
    </r>
  </si>
  <si>
    <r>
      <t xml:space="preserve">Spectērpu izdevumi: </t>
    </r>
    <r>
      <rPr>
        <sz val="12"/>
        <rFont val="Times New Roman"/>
        <family val="1"/>
        <charset val="186"/>
      </rPr>
      <t xml:space="preserve">
Gadā 3 izpētes. </t>
    </r>
    <r>
      <rPr>
        <b/>
        <sz val="12"/>
        <rFont val="Times New Roman"/>
        <family val="1"/>
        <charset val="186"/>
      </rPr>
      <t>Pavisam kopā patēriņš 3 izpētēm ir 0,01 euro</t>
    </r>
    <r>
      <rPr>
        <sz val="12"/>
        <rFont val="Times New Roman"/>
        <family val="1"/>
        <charset val="186"/>
      </rPr>
      <t xml:space="preserve"> </t>
    </r>
  </si>
  <si>
    <r>
      <t xml:space="preserve">Izdevumi laboratorijas precēm:
</t>
    </r>
    <r>
      <rPr>
        <b/>
        <sz val="12"/>
        <rFont val="Times New Roman"/>
        <family val="1"/>
        <charset val="186"/>
      </rPr>
      <t xml:space="preserve">Gadā 3 izpētes. Pavisam kopā patēriņš 3 izpētēm ir 9,3318 euro </t>
    </r>
  </si>
  <si>
    <r>
      <t xml:space="preserve">Pamatlīdzeklis:
</t>
    </r>
    <r>
      <rPr>
        <sz val="12"/>
        <rFont val="Times New Roman"/>
        <family val="1"/>
        <charset val="186"/>
      </rPr>
      <t xml:space="preserve">Gadā 3 izpētes. </t>
    </r>
    <r>
      <rPr>
        <b/>
        <sz val="12"/>
        <rFont val="Times New Roman"/>
        <family val="1"/>
        <charset val="186"/>
      </rPr>
      <t>Pavisam kopā patēriņš 3 izpētēm ir 0,6702 euro</t>
    </r>
  </si>
  <si>
    <r>
      <t>Pamatlīdzekļi: Gada nolietojums ēkai:</t>
    </r>
    <r>
      <rPr>
        <sz val="12"/>
        <rFont val="Times New Roman"/>
        <family val="1"/>
        <charset val="186"/>
      </rPr>
      <t xml:space="preserve"> </t>
    </r>
    <r>
      <rPr>
        <vertAlign val="superscript"/>
        <sz val="12"/>
        <rFont val="Times New Roman"/>
        <family val="1"/>
        <charset val="186"/>
      </rPr>
      <t xml:space="preserve">
</t>
    </r>
    <r>
      <rPr>
        <b/>
        <sz val="12"/>
        <rFont val="Times New Roman"/>
        <family val="1"/>
        <charset val="186"/>
      </rPr>
      <t>Gadā 3 izpētes. Pavisam kopā patēriņš 3 izpētēm ir 31,62 euro</t>
    </r>
    <r>
      <rPr>
        <sz val="12"/>
        <rFont val="Times New Roman"/>
        <family val="1"/>
        <charset val="186"/>
      </rPr>
      <t xml:space="preserve"> </t>
    </r>
  </si>
  <si>
    <r>
      <rPr>
        <u/>
        <sz val="12"/>
        <rFont val="Times New Roman"/>
        <family val="1"/>
        <charset val="186"/>
      </rPr>
      <t>Atalgojums.</t>
    </r>
    <r>
      <rPr>
        <sz val="12"/>
        <rFont val="Times New Roman"/>
        <family val="1"/>
        <charset val="186"/>
      </rPr>
      <t xml:space="preserve"> Gadā 46 izpētes. </t>
    </r>
    <r>
      <rPr>
        <b/>
        <sz val="12"/>
        <rFont val="Times New Roman"/>
        <family val="1"/>
        <charset val="186"/>
      </rPr>
      <t>Pavisam kopā 935,60 euro</t>
    </r>
  </si>
  <si>
    <r>
      <t xml:space="preserve">Vidējie izdevumi par komunālajiem pakalpojumiem:
Gadā 46 izpētes. </t>
    </r>
    <r>
      <rPr>
        <b/>
        <sz val="12"/>
        <color theme="1"/>
        <rFont val="Times New Roman"/>
        <family val="1"/>
        <charset val="186"/>
      </rPr>
      <t>Pavisam kopā patēriņš 46 izpētēm ir 66,58 euro</t>
    </r>
  </si>
  <si>
    <r>
      <t xml:space="preserve">Vidējais uzturēšanas izdevumu apjoms:
Gadā 46 izpētes. </t>
    </r>
    <r>
      <rPr>
        <b/>
        <sz val="12"/>
        <color theme="1"/>
        <rFont val="Times New Roman"/>
        <family val="1"/>
        <charset val="186"/>
      </rPr>
      <t xml:space="preserve">Pavisam kopā patēriņš 46 izpētēm ir 19,02 euro </t>
    </r>
  </si>
  <si>
    <r>
      <t xml:space="preserve">Biroja preces: </t>
    </r>
    <r>
      <rPr>
        <i/>
        <sz val="12"/>
        <color theme="1"/>
        <rFont val="Times New Roman"/>
        <family val="1"/>
        <charset val="186"/>
      </rPr>
      <t xml:space="preserve">
</t>
    </r>
    <r>
      <rPr>
        <sz val="12"/>
        <color theme="1"/>
        <rFont val="Times New Roman"/>
        <family val="1"/>
        <charset val="186"/>
      </rPr>
      <t xml:space="preserve">Gadā 46 izpētes. </t>
    </r>
    <r>
      <rPr>
        <b/>
        <sz val="12"/>
        <color theme="1"/>
        <rFont val="Times New Roman"/>
        <family val="1"/>
        <charset val="186"/>
      </rPr>
      <t>Pavisam kopā patēriņš 46 izpētēm ir 0,60 euro</t>
    </r>
  </si>
  <si>
    <r>
      <t>Izdevumi inventāram:
1) Vienreizlietojamās preces:</t>
    </r>
    <r>
      <rPr>
        <b/>
        <sz val="12"/>
        <color theme="1"/>
        <rFont val="Times New Roman"/>
        <family val="1"/>
        <charset val="186"/>
      </rPr>
      <t xml:space="preserve">Gadā 46 izpētes. Pavisam kopā patēriņš 46 izpētēm ir </t>
    </r>
    <r>
      <rPr>
        <b/>
        <u/>
        <sz val="12"/>
        <color theme="1"/>
        <rFont val="Times New Roman"/>
        <family val="1"/>
        <charset val="186"/>
      </rPr>
      <t xml:space="preserve">333,96 </t>
    </r>
    <r>
      <rPr>
        <b/>
        <sz val="12"/>
        <color theme="1"/>
        <rFont val="Times New Roman"/>
        <family val="1"/>
        <charset val="186"/>
      </rPr>
      <t>euro</t>
    </r>
    <r>
      <rPr>
        <sz val="12"/>
        <color theme="1"/>
        <rFont val="Times New Roman"/>
        <family val="1"/>
        <charset val="186"/>
      </rPr>
      <t xml:space="preserve"> 
2) Daudzreiz lietojamās preces: </t>
    </r>
    <r>
      <rPr>
        <b/>
        <sz val="12"/>
        <color theme="1"/>
        <rFont val="Times New Roman"/>
        <family val="1"/>
        <charset val="186"/>
      </rPr>
      <t xml:space="preserve">Gadā 46 izpētes. Pavisam kopā patēriņš 46 izpētēm ir </t>
    </r>
    <r>
      <rPr>
        <b/>
        <u/>
        <sz val="12"/>
        <color theme="1"/>
        <rFont val="Times New Roman"/>
        <family val="1"/>
        <charset val="186"/>
      </rPr>
      <t xml:space="preserve">0,9936 </t>
    </r>
    <r>
      <rPr>
        <b/>
        <sz val="12"/>
        <color theme="1"/>
        <rFont val="Times New Roman"/>
        <family val="1"/>
        <charset val="186"/>
      </rPr>
      <t>euro</t>
    </r>
    <r>
      <rPr>
        <sz val="12"/>
        <color theme="1"/>
        <rFont val="Times New Roman"/>
        <family val="1"/>
        <charset val="186"/>
      </rPr>
      <t xml:space="preserve"> 
</t>
    </r>
    <r>
      <rPr>
        <b/>
        <u/>
        <sz val="12"/>
        <color theme="1"/>
        <rFont val="Times New Roman"/>
        <family val="1"/>
        <charset val="186"/>
      </rPr>
      <t>Pavisam kopā izdevumi inventāram 46 izpēšu veikšanai 334,95 euro</t>
    </r>
    <r>
      <rPr>
        <sz val="12"/>
        <color theme="1"/>
        <rFont val="Times New Roman"/>
        <family val="1"/>
        <charset val="186"/>
      </rPr>
      <t xml:space="preserve"> </t>
    </r>
  </si>
  <si>
    <r>
      <t xml:space="preserve">Izdevumi laboratorijas precēm:
</t>
    </r>
    <r>
      <rPr>
        <b/>
        <sz val="12"/>
        <color theme="1"/>
        <rFont val="Times New Roman"/>
        <family val="1"/>
        <charset val="186"/>
      </rPr>
      <t xml:space="preserve">Gadā 46 izpētes. Pavisam kopā patēriņš 46 izpētēm ir 145,97 euro </t>
    </r>
  </si>
  <si>
    <r>
      <t xml:space="preserve">Pamatlīdzeklis:
Gadā 46 izpētes. </t>
    </r>
    <r>
      <rPr>
        <b/>
        <sz val="12"/>
        <color theme="1"/>
        <rFont val="Times New Roman"/>
        <family val="1"/>
        <charset val="186"/>
      </rPr>
      <t>Pavisam kopā patēriņš 46 izpētēm ir 7,98 euro</t>
    </r>
    <r>
      <rPr>
        <sz val="12"/>
        <color theme="1"/>
        <rFont val="Times New Roman"/>
        <family val="1"/>
        <charset val="186"/>
      </rPr>
      <t xml:space="preserve"> </t>
    </r>
  </si>
  <si>
    <r>
      <t xml:space="preserve">Pamatlīdzekļi: Gada nolietojums ēkai: 
Gadā 46 izpētes. </t>
    </r>
    <r>
      <rPr>
        <b/>
        <sz val="12"/>
        <color theme="1"/>
        <rFont val="Times New Roman"/>
        <family val="1"/>
        <charset val="186"/>
      </rPr>
      <t>Pavisam kopā patēriņš 46 izpētēm ir 190,24 euro</t>
    </r>
    <r>
      <rPr>
        <sz val="12"/>
        <color theme="1"/>
        <rFont val="Times New Roman"/>
        <family val="1"/>
        <charset val="186"/>
      </rPr>
      <t xml:space="preserve"> </t>
    </r>
  </si>
  <si>
    <r>
      <t xml:space="preserve">Spectērpu izdevumi: 
Gadā 46 izpētes. </t>
    </r>
    <r>
      <rPr>
        <b/>
        <sz val="12"/>
        <color theme="1"/>
        <rFont val="Times New Roman"/>
        <family val="1"/>
        <charset val="186"/>
      </rPr>
      <t>Pavisam kopā patēriņš 46 izpētēm ir 0,14 euro</t>
    </r>
    <r>
      <rPr>
        <sz val="12"/>
        <color theme="1"/>
        <rFont val="Times New Roman"/>
        <family val="1"/>
        <charset val="186"/>
      </rPr>
      <t xml:space="preserve"> </t>
    </r>
  </si>
  <si>
    <t xml:space="preserve">Atalogojums. Gadā 85 izpētes. Pavisam kopā 1288,85 euro </t>
  </si>
  <si>
    <r>
      <t>Vidējie izdevumi par komunālajiem pakalpojumiem:</t>
    </r>
    <r>
      <rPr>
        <sz val="12"/>
        <rFont val="Times New Roman"/>
        <family val="1"/>
        <charset val="186"/>
      </rPr>
      <t xml:space="preserve">
Gadā 85 izpētes. </t>
    </r>
    <r>
      <rPr>
        <b/>
        <sz val="12"/>
        <rFont val="Times New Roman"/>
        <family val="1"/>
        <charset val="186"/>
      </rPr>
      <t>Pavisam kopā patēriņš 85 izpētēm ir 96,13 euro</t>
    </r>
    <r>
      <rPr>
        <sz val="12"/>
        <rFont val="Times New Roman"/>
        <family val="1"/>
        <charset val="186"/>
      </rPr>
      <t xml:space="preserve"> </t>
    </r>
  </si>
  <si>
    <r>
      <t xml:space="preserve">Vidējais uzturēšanas izdevumu apjoms;
Gadā 85 izpētes. </t>
    </r>
    <r>
      <rPr>
        <b/>
        <sz val="12"/>
        <rFont val="Times New Roman"/>
        <family val="1"/>
        <charset val="186"/>
      </rPr>
      <t>Pavisam kopā patēriņš 85 izpētēm ir 27,46 euro</t>
    </r>
  </si>
  <si>
    <r>
      <t xml:space="preserve">Biroja preces: </t>
    </r>
    <r>
      <rPr>
        <i/>
        <sz val="12"/>
        <rFont val="Times New Roman"/>
        <family val="1"/>
        <charset val="186"/>
      </rPr>
      <t xml:space="preserve">
</t>
    </r>
    <r>
      <rPr>
        <sz val="12"/>
        <rFont val="Times New Roman"/>
        <family val="1"/>
        <charset val="186"/>
      </rPr>
      <t xml:space="preserve">Gadā 85 izpētes. </t>
    </r>
    <r>
      <rPr>
        <b/>
        <sz val="12"/>
        <rFont val="Times New Roman"/>
        <family val="1"/>
        <charset val="186"/>
      </rPr>
      <t>Pavisam kopā patēriņš 85 izpētei ir 1,11 euro</t>
    </r>
    <r>
      <rPr>
        <sz val="12"/>
        <rFont val="Times New Roman"/>
        <family val="1"/>
        <charset val="186"/>
      </rPr>
      <t xml:space="preserve"> </t>
    </r>
  </si>
  <si>
    <r>
      <t xml:space="preserve">Izdevumi inventāram:
Daudzreiz lietojamās preces:  </t>
    </r>
    <r>
      <rPr>
        <b/>
        <sz val="12"/>
        <color theme="1"/>
        <rFont val="Times New Roman"/>
        <family val="1"/>
        <charset val="186"/>
      </rPr>
      <t xml:space="preserve">Gadā 85 izpētes. Pavisam kopā patēriņš 85 izpētēm ir </t>
    </r>
    <r>
      <rPr>
        <b/>
        <u/>
        <sz val="12"/>
        <color theme="1"/>
        <rFont val="Times New Roman"/>
        <family val="1"/>
        <charset val="186"/>
      </rPr>
      <t>0,63</t>
    </r>
    <r>
      <rPr>
        <b/>
        <sz val="12"/>
        <color theme="1"/>
        <rFont val="Times New Roman"/>
        <family val="1"/>
        <charset val="186"/>
      </rPr>
      <t xml:space="preserve"> euro</t>
    </r>
    <r>
      <rPr>
        <sz val="12"/>
        <color theme="1"/>
        <rFont val="Times New Roman"/>
        <family val="1"/>
        <charset val="186"/>
      </rPr>
      <t xml:space="preserve"> </t>
    </r>
    <r>
      <rPr>
        <b/>
        <u/>
        <sz val="12"/>
        <rFont val="Times New Roman"/>
        <family val="1"/>
        <charset val="186"/>
      </rPr>
      <t/>
    </r>
  </si>
  <si>
    <r>
      <t xml:space="preserve">Spectērpu izdevumi: </t>
    </r>
    <r>
      <rPr>
        <sz val="12"/>
        <color theme="1"/>
        <rFont val="Times New Roman"/>
        <family val="1"/>
        <charset val="186"/>
      </rPr>
      <t xml:space="preserve">
Gadā 85 izpētes. </t>
    </r>
    <r>
      <rPr>
        <b/>
        <sz val="12"/>
        <color theme="1"/>
        <rFont val="Times New Roman"/>
        <family val="1"/>
        <charset val="186"/>
      </rPr>
      <t>Pavisam kopā patēriņš 85 izpētei ir 0,26 euro</t>
    </r>
    <r>
      <rPr>
        <sz val="12"/>
        <color theme="1"/>
        <rFont val="Times New Roman"/>
        <family val="1"/>
        <charset val="186"/>
      </rPr>
      <t xml:space="preserve"> </t>
    </r>
  </si>
  <si>
    <r>
      <t>Izdevumi laboratorijas precēm:
G</t>
    </r>
    <r>
      <rPr>
        <b/>
        <sz val="12"/>
        <color theme="1"/>
        <rFont val="Times New Roman"/>
        <family val="1"/>
        <charset val="186"/>
      </rPr>
      <t xml:space="preserve">adā 85 izpētes. Pavisam kopā patēriņš 85 izpētēm ir 615,03 euro </t>
    </r>
  </si>
  <si>
    <r>
      <t xml:space="preserve">Pamatlīdzekļi: Gada nolietojums ēkai ir 87409,20 euro. </t>
    </r>
    <r>
      <rPr>
        <sz val="12"/>
        <rFont val="Times New Roman"/>
        <family val="1"/>
        <charset val="186"/>
      </rPr>
      <t xml:space="preserve">
Gadā 85 izpētes. </t>
    </r>
    <r>
      <rPr>
        <b/>
        <sz val="12"/>
        <rFont val="Times New Roman"/>
        <family val="1"/>
        <charset val="186"/>
      </rPr>
      <t>Pavisam kopā patēriņš 85 izpētēm ir 274,64 euro</t>
    </r>
    <r>
      <rPr>
        <sz val="12"/>
        <rFont val="Times New Roman"/>
        <family val="1"/>
        <charset val="186"/>
      </rPr>
      <t xml:space="preserve"> </t>
    </r>
  </si>
  <si>
    <r>
      <t>Pamatlīdzeklis:</t>
    </r>
    <r>
      <rPr>
        <sz val="12"/>
        <color theme="1"/>
        <rFont val="Times New Roman"/>
        <family val="1"/>
        <charset val="186"/>
      </rPr>
      <t xml:space="preserve">
Gadā 85 izpētes. </t>
    </r>
    <r>
      <rPr>
        <b/>
        <sz val="12"/>
        <color theme="1"/>
        <rFont val="Times New Roman"/>
        <family val="1"/>
        <charset val="186"/>
      </rPr>
      <t>Pavisam kopā patēriņš 85 izpētēm ir 11,08 euro</t>
    </r>
    <r>
      <rPr>
        <sz val="12"/>
        <color theme="1"/>
        <rFont val="Times New Roman"/>
        <family val="1"/>
        <charset val="186"/>
      </rPr>
      <t xml:space="preserve"> </t>
    </r>
  </si>
  <si>
    <r>
      <rPr>
        <u/>
        <sz val="12"/>
        <rFont val="Times New Roman"/>
        <family val="1"/>
        <charset val="186"/>
      </rPr>
      <t>Atalgojums.</t>
    </r>
    <r>
      <rPr>
        <sz val="12"/>
        <rFont val="Times New Roman"/>
        <family val="1"/>
        <charset val="186"/>
      </rPr>
      <t xml:space="preserve"> Gadā 25 izpētes. </t>
    </r>
    <r>
      <rPr>
        <b/>
        <sz val="12"/>
        <rFont val="Times New Roman"/>
        <family val="1"/>
        <charset val="186"/>
      </rPr>
      <t>Pavisam kopā 533,13 euro</t>
    </r>
    <r>
      <rPr>
        <sz val="12"/>
        <rFont val="Times New Roman"/>
        <family val="1"/>
        <charset val="186"/>
      </rPr>
      <t xml:space="preserve"> </t>
    </r>
    <r>
      <rPr>
        <b/>
        <sz val="12"/>
        <rFont val="Times New Roman"/>
        <family val="1"/>
        <charset val="186"/>
      </rPr>
      <t xml:space="preserve">
</t>
    </r>
    <r>
      <rPr>
        <sz val="12"/>
        <rFont val="Times New Roman"/>
        <family val="1"/>
        <charset val="186"/>
      </rPr>
      <t/>
    </r>
  </si>
  <si>
    <r>
      <t>Vidējie izdevumi par komunālajiem pakalpojumiem:</t>
    </r>
    <r>
      <rPr>
        <sz val="12"/>
        <rFont val="Times New Roman"/>
        <family val="1"/>
        <charset val="186"/>
      </rPr>
      <t xml:space="preserve">
Gadā 25 izpētes. </t>
    </r>
    <r>
      <rPr>
        <b/>
        <sz val="12"/>
        <rFont val="Times New Roman"/>
        <family val="1"/>
        <charset val="186"/>
      </rPr>
      <t>Pavisam kopā patēriņš 25 izpētēm ir 26,25 euro</t>
    </r>
    <r>
      <rPr>
        <sz val="12"/>
        <rFont val="Times New Roman"/>
        <family val="1"/>
        <charset val="186"/>
      </rPr>
      <t xml:space="preserve"> </t>
    </r>
  </si>
  <si>
    <r>
      <t xml:space="preserve">Vidējais uzturēšanas izdevumu apjoms: 
Gadā 25 izpētes. </t>
    </r>
    <r>
      <rPr>
        <b/>
        <sz val="12"/>
        <rFont val="Times New Roman"/>
        <family val="1"/>
        <charset val="186"/>
      </rPr>
      <t xml:space="preserve">Pavisam kopā patēriņš 25 izpētēm ir 7,50 euro </t>
    </r>
  </si>
  <si>
    <r>
      <t xml:space="preserve">Biroja preces: </t>
    </r>
    <r>
      <rPr>
        <i/>
        <sz val="12"/>
        <rFont val="Times New Roman"/>
        <family val="1"/>
        <charset val="186"/>
      </rPr>
      <t xml:space="preserve">
</t>
    </r>
    <r>
      <rPr>
        <sz val="12"/>
        <rFont val="Times New Roman"/>
        <family val="1"/>
        <charset val="186"/>
      </rPr>
      <t xml:space="preserve">Gadā 25 izpētes. </t>
    </r>
    <r>
      <rPr>
        <b/>
        <sz val="12"/>
        <rFont val="Times New Roman"/>
        <family val="1"/>
        <charset val="186"/>
      </rPr>
      <t>Pavisam kopā patēriņš 25 izpētēm ir 0,325 euro</t>
    </r>
  </si>
  <si>
    <r>
      <t xml:space="preserve">Izdevumi inventāram:
Daudzreiz lietojamās preces: </t>
    </r>
    <r>
      <rPr>
        <b/>
        <sz val="12"/>
        <rFont val="Times New Roman"/>
        <family val="1"/>
        <charset val="186"/>
      </rPr>
      <t xml:space="preserve">Gadā 25 izpētes. Pavisam kopā patēriņš 25 izpētēm ir </t>
    </r>
    <r>
      <rPr>
        <b/>
        <u/>
        <sz val="12"/>
        <rFont val="Times New Roman"/>
        <family val="1"/>
        <charset val="186"/>
      </rPr>
      <t>0,19</t>
    </r>
    <r>
      <rPr>
        <b/>
        <sz val="12"/>
        <rFont val="Times New Roman"/>
        <family val="1"/>
        <charset val="186"/>
      </rPr>
      <t xml:space="preserve"> euro</t>
    </r>
    <r>
      <rPr>
        <sz val="12"/>
        <rFont val="Times New Roman"/>
        <family val="1"/>
        <charset val="186"/>
      </rPr>
      <t xml:space="preserve"> </t>
    </r>
    <r>
      <rPr>
        <b/>
        <u/>
        <sz val="12"/>
        <rFont val="Times New Roman"/>
        <family val="1"/>
        <charset val="186"/>
      </rPr>
      <t/>
    </r>
  </si>
  <si>
    <r>
      <t xml:space="preserve">Spectērpu izdevumi: </t>
    </r>
    <r>
      <rPr>
        <sz val="12"/>
        <rFont val="Times New Roman"/>
        <family val="1"/>
        <charset val="186"/>
      </rPr>
      <t xml:space="preserve">
Gadā 25 izpētes. </t>
    </r>
    <r>
      <rPr>
        <b/>
        <sz val="12"/>
        <rFont val="Times New Roman"/>
        <family val="1"/>
        <charset val="186"/>
      </rPr>
      <t>Pavisam kopā patēriņš 25 izpētēm ir 0,075 euro</t>
    </r>
    <r>
      <rPr>
        <sz val="12"/>
        <rFont val="Times New Roman"/>
        <family val="1"/>
        <charset val="186"/>
      </rPr>
      <t xml:space="preserve"> </t>
    </r>
  </si>
  <si>
    <r>
      <t xml:space="preserve">Izdevumi laboratorijas precēm:
</t>
    </r>
    <r>
      <rPr>
        <b/>
        <sz val="12"/>
        <rFont val="Times New Roman"/>
        <family val="1"/>
        <charset val="186"/>
      </rPr>
      <t xml:space="preserve">Gadā 25 izpētes. Pavisam kopā patēriņš 25 izpētēm ir 181,09 euro </t>
    </r>
  </si>
  <si>
    <r>
      <t xml:space="preserve">Pamatlīdzekļi: </t>
    </r>
    <r>
      <rPr>
        <sz val="12"/>
        <rFont val="Times New Roman"/>
        <family val="1"/>
        <charset val="186"/>
      </rPr>
      <t xml:space="preserve">
Gadā 25 izpētes. </t>
    </r>
    <r>
      <rPr>
        <b/>
        <sz val="12"/>
        <rFont val="Times New Roman"/>
        <family val="1"/>
        <charset val="186"/>
      </rPr>
      <t>Pavisam kopā patēriņš 25 izpētēm ir 75,00 euro</t>
    </r>
    <r>
      <rPr>
        <sz val="12"/>
        <rFont val="Times New Roman"/>
        <family val="1"/>
        <charset val="186"/>
      </rPr>
      <t xml:space="preserve"> </t>
    </r>
  </si>
  <si>
    <r>
      <t xml:space="preserve">Pamatlīdzeklis:
</t>
    </r>
    <r>
      <rPr>
        <sz val="12"/>
        <rFont val="Times New Roman"/>
        <family val="1"/>
        <charset val="186"/>
      </rPr>
      <t xml:space="preserve">Gadā 25 izpētes. </t>
    </r>
    <r>
      <rPr>
        <b/>
        <sz val="12"/>
        <rFont val="Times New Roman"/>
        <family val="1"/>
        <charset val="186"/>
      </rPr>
      <t>Pavisam kopā patēriņš 25 izpētēm ir 13,515 euro</t>
    </r>
    <r>
      <rPr>
        <sz val="12"/>
        <rFont val="Times New Roman"/>
        <family val="1"/>
        <charset val="186"/>
      </rPr>
      <t xml:space="preserve"> </t>
    </r>
  </si>
  <si>
    <r>
      <rPr>
        <u/>
        <sz val="12"/>
        <color theme="1"/>
        <rFont val="Times New Roman"/>
        <family val="1"/>
        <charset val="186"/>
      </rPr>
      <t xml:space="preserve">Atalgojums. </t>
    </r>
    <r>
      <rPr>
        <sz val="12"/>
        <color theme="1"/>
        <rFont val="Times New Roman"/>
        <family val="1"/>
        <charset val="186"/>
      </rPr>
      <t xml:space="preserve">Gadā 1 izpēte. </t>
    </r>
    <r>
      <rPr>
        <b/>
        <sz val="12"/>
        <color theme="1"/>
        <rFont val="Times New Roman"/>
        <family val="1"/>
        <charset val="186"/>
      </rPr>
      <t>Pavisam kopā 9,25 euro</t>
    </r>
    <r>
      <rPr>
        <sz val="12"/>
        <color theme="1"/>
        <rFont val="Times New Roman"/>
        <family val="1"/>
        <charset val="186"/>
      </rPr>
      <t xml:space="preserve"> </t>
    </r>
  </si>
  <si>
    <r>
      <t xml:space="preserve">Vidējie izdevumi par komunālajiem pakalpojumiem: </t>
    </r>
    <r>
      <rPr>
        <sz val="12"/>
        <color theme="1"/>
        <rFont val="Times New Roman"/>
        <family val="1"/>
        <charset val="186"/>
      </rPr>
      <t xml:space="preserve">
Gadā 1 izpēte, patēriņš uz 1 izpēti ir </t>
    </r>
    <r>
      <rPr>
        <b/>
        <sz val="12"/>
        <color theme="1"/>
        <rFont val="Times New Roman"/>
        <family val="1"/>
        <charset val="186"/>
      </rPr>
      <t>0,31 euro</t>
    </r>
    <r>
      <rPr>
        <sz val="12"/>
        <color theme="1"/>
        <rFont val="Times New Roman"/>
        <family val="1"/>
        <charset val="186"/>
      </rPr>
      <t xml:space="preserve"> </t>
    </r>
  </si>
  <si>
    <r>
      <t xml:space="preserve">Vidējais uzturēšanas izdevumu apjoms: 
Gadā 1 izpēte, patēriņš uz 1 izpēti ir </t>
    </r>
    <r>
      <rPr>
        <b/>
        <sz val="12"/>
        <color theme="1"/>
        <rFont val="Times New Roman"/>
        <family val="1"/>
        <charset val="186"/>
      </rPr>
      <t>0,09 euro</t>
    </r>
    <r>
      <rPr>
        <sz val="12"/>
        <color theme="1"/>
        <rFont val="Times New Roman"/>
        <family val="1"/>
        <charset val="186"/>
      </rPr>
      <t xml:space="preserve"> </t>
    </r>
  </si>
  <si>
    <r>
      <t xml:space="preserve">Biroja preces: </t>
    </r>
    <r>
      <rPr>
        <sz val="12"/>
        <color theme="1"/>
        <rFont val="Times New Roman"/>
        <family val="1"/>
        <charset val="186"/>
      </rPr>
      <t xml:space="preserve"> Gadā 1 izpēte. Patēriņ</t>
    </r>
    <r>
      <rPr>
        <sz val="12"/>
        <rFont val="Times New Roman"/>
        <family val="1"/>
        <charset val="186"/>
      </rPr>
      <t xml:space="preserve">š 1 </t>
    </r>
    <r>
      <rPr>
        <sz val="12"/>
        <color theme="1"/>
        <rFont val="Times New Roman"/>
        <family val="1"/>
        <charset val="186"/>
      </rPr>
      <t xml:space="preserve">izpētei ir </t>
    </r>
    <r>
      <rPr>
        <b/>
        <sz val="12"/>
        <color theme="1"/>
        <rFont val="Times New Roman"/>
        <family val="1"/>
        <charset val="186"/>
      </rPr>
      <t xml:space="preserve">0,01 </t>
    </r>
    <r>
      <rPr>
        <b/>
        <i/>
        <sz val="12"/>
        <color theme="1"/>
        <rFont val="Times New Roman"/>
        <family val="1"/>
        <charset val="186"/>
      </rPr>
      <t>euro</t>
    </r>
    <r>
      <rPr>
        <sz val="12"/>
        <color theme="1"/>
        <rFont val="Times New Roman"/>
        <family val="1"/>
        <charset val="186"/>
      </rPr>
      <t xml:space="preserve"> </t>
    </r>
  </si>
  <si>
    <r>
      <t xml:space="preserve">Izdevumi inventāram:
</t>
    </r>
    <r>
      <rPr>
        <sz val="12"/>
        <color theme="1"/>
        <rFont val="Times New Roman"/>
        <family val="1"/>
        <charset val="186"/>
      </rPr>
      <t xml:space="preserve">Gadā 1 izpēte. Pavisam kopā izdevumi inventāram 1 izpētes veikšanai </t>
    </r>
    <r>
      <rPr>
        <b/>
        <sz val="12"/>
        <color theme="1"/>
        <rFont val="Times New Roman"/>
        <family val="1"/>
        <charset val="186"/>
      </rPr>
      <t>0,33 euro</t>
    </r>
    <r>
      <rPr>
        <sz val="12"/>
        <color theme="1"/>
        <rFont val="Times New Roman"/>
        <family val="1"/>
        <charset val="186"/>
      </rPr>
      <t xml:space="preserve"> </t>
    </r>
  </si>
  <si>
    <r>
      <t>Spectērpu izdevumi: 
Gadā 1 izpēte. Izdevumi 1 izpētes veikšanai</t>
    </r>
    <r>
      <rPr>
        <b/>
        <sz val="12"/>
        <color theme="1"/>
        <rFont val="Times New Roman"/>
        <family val="1"/>
        <charset val="186"/>
      </rPr>
      <t xml:space="preserve"> 0,08 euro</t>
    </r>
    <r>
      <rPr>
        <sz val="12"/>
        <color theme="1"/>
        <rFont val="Times New Roman"/>
        <family val="1"/>
        <charset val="186"/>
      </rPr>
      <t xml:space="preserve"> </t>
    </r>
  </si>
  <si>
    <r>
      <t xml:space="preserve">Izdevumi laboratorijas precēm:
Gadā 1 izpēte. Pavisam kopā izdevumi labarotorijas precēm 1 izpētei ir </t>
    </r>
    <r>
      <rPr>
        <b/>
        <sz val="12"/>
        <color theme="1"/>
        <rFont val="Times New Roman"/>
        <family val="1"/>
        <charset val="186"/>
      </rPr>
      <t>0,08 euro</t>
    </r>
    <r>
      <rPr>
        <sz val="12"/>
        <color theme="1"/>
        <rFont val="Times New Roman"/>
        <family val="1"/>
        <charset val="186"/>
      </rPr>
      <t xml:space="preserve"> </t>
    </r>
  </si>
  <si>
    <r>
      <t xml:space="preserve">Pamatlīdzeklis: Gadā 1 izpēte. </t>
    </r>
    <r>
      <rPr>
        <b/>
        <sz val="12"/>
        <color theme="1"/>
        <rFont val="Times New Roman"/>
        <family val="1"/>
        <charset val="186"/>
      </rPr>
      <t>Kopā 0,13</t>
    </r>
    <r>
      <rPr>
        <b/>
        <i/>
        <sz val="12"/>
        <color theme="1"/>
        <rFont val="Times New Roman"/>
        <family val="1"/>
        <charset val="186"/>
      </rPr>
      <t xml:space="preserve"> euro</t>
    </r>
    <r>
      <rPr>
        <i/>
        <sz val="12"/>
        <color theme="1"/>
        <rFont val="Times New Roman"/>
        <family val="1"/>
        <charset val="186"/>
      </rPr>
      <t/>
    </r>
  </si>
  <si>
    <r>
      <t xml:space="preserve">Pamatlīdzekļi: </t>
    </r>
    <r>
      <rPr>
        <sz val="12"/>
        <color theme="1"/>
        <rFont val="Times New Roman"/>
        <family val="1"/>
        <charset val="186"/>
      </rPr>
      <t xml:space="preserve">Gadā 1 izpēte. Patēriņš uz 1 izpēti ir </t>
    </r>
    <r>
      <rPr>
        <b/>
        <sz val="12"/>
        <color theme="1"/>
        <rFont val="Times New Roman"/>
        <family val="1"/>
        <charset val="186"/>
      </rPr>
      <t xml:space="preserve">0,90 </t>
    </r>
    <r>
      <rPr>
        <b/>
        <i/>
        <sz val="12"/>
        <color theme="1"/>
        <rFont val="Times New Roman"/>
        <family val="1"/>
        <charset val="186"/>
      </rPr>
      <t>euro</t>
    </r>
    <r>
      <rPr>
        <sz val="12"/>
        <color theme="1"/>
        <rFont val="Times New Roman"/>
        <family val="1"/>
        <charset val="186"/>
      </rPr>
      <t xml:space="preserve"> </t>
    </r>
  </si>
  <si>
    <r>
      <t xml:space="preserve">Spectērpu izdevumi: </t>
    </r>
    <r>
      <rPr>
        <sz val="12"/>
        <rFont val="Times New Roman"/>
        <family val="1"/>
        <charset val="186"/>
      </rPr>
      <t xml:space="preserve">
Gadā 1 izpētes. </t>
    </r>
    <r>
      <rPr>
        <b/>
        <sz val="12"/>
        <rFont val="Times New Roman"/>
        <family val="1"/>
        <charset val="186"/>
      </rPr>
      <t>Pavisam kopā patēriņš 1 izpētei ir 0,002 euro</t>
    </r>
    <r>
      <rPr>
        <sz val="12"/>
        <rFont val="Times New Roman"/>
        <family val="1"/>
        <charset val="186"/>
      </rPr>
      <t xml:space="preserve"> </t>
    </r>
  </si>
  <si>
    <r>
      <t xml:space="preserve">Izdevumi inventāram:
</t>
    </r>
    <r>
      <rPr>
        <b/>
        <sz val="12"/>
        <rFont val="Times New Roman"/>
        <family val="1"/>
        <charset val="186"/>
      </rPr>
      <t xml:space="preserve">Gadā 1 izpēte. Pavisam kopā patēriņš 1 izpētei ir </t>
    </r>
    <r>
      <rPr>
        <b/>
        <u/>
        <sz val="12"/>
        <rFont val="Times New Roman"/>
        <family val="1"/>
        <charset val="186"/>
      </rPr>
      <t xml:space="preserve">0,0002 </t>
    </r>
    <r>
      <rPr>
        <b/>
        <sz val="12"/>
        <rFont val="Times New Roman"/>
        <family val="1"/>
        <charset val="186"/>
      </rPr>
      <t>euro</t>
    </r>
    <r>
      <rPr>
        <sz val="12"/>
        <rFont val="Times New Roman"/>
        <family val="1"/>
        <charset val="186"/>
      </rPr>
      <t xml:space="preserve"> </t>
    </r>
    <r>
      <rPr>
        <b/>
        <u/>
        <sz val="12"/>
        <color rgb="FFFF0000"/>
        <rFont val="Times New Roman"/>
        <family val="1"/>
        <charset val="186"/>
      </rPr>
      <t/>
    </r>
  </si>
  <si>
    <r>
      <t xml:space="preserve">Vidējais uzturēšanas izdevumu apjoms mēnesī ir 811,57 euro. </t>
    </r>
    <r>
      <rPr>
        <vertAlign val="superscript"/>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0,10 euro</t>
    </r>
    <r>
      <rPr>
        <sz val="12"/>
        <rFont val="Times New Roman"/>
        <family val="1"/>
        <charset val="186"/>
      </rPr>
      <t xml:space="preserve"> </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</si>
  <si>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 izpēte. </t>
    </r>
    <r>
      <rPr>
        <b/>
        <u/>
        <sz val="12"/>
        <rFont val="Times New Roman"/>
        <family val="1"/>
        <charset val="186"/>
      </rPr>
      <t>Pavisam kopā patēriņš 1 izpētei ir 0,35 euro</t>
    </r>
    <r>
      <rPr>
        <sz val="12"/>
        <rFont val="Times New Roman"/>
        <family val="1"/>
        <charset val="186"/>
      </rPr>
      <t xml:space="preserve"> </t>
    </r>
  </si>
  <si>
    <r>
      <t xml:space="preserve">Pamatlīdzekļi: Gada nolietojums ēkai ir 87409,20 </t>
    </r>
    <r>
      <rPr>
        <i/>
        <sz val="12"/>
        <rFont val="Times New Roman"/>
        <family val="1"/>
        <charset val="186"/>
      </rPr>
      <t>euro</t>
    </r>
    <r>
      <rPr>
        <sz val="12"/>
        <rFont val="Times New Roman"/>
        <family val="1"/>
        <charset val="186"/>
      </rPr>
      <t xml:space="preserve">. </t>
    </r>
    <r>
      <rPr>
        <vertAlign val="superscript"/>
        <sz val="12"/>
        <rFont val="Times New Roman"/>
        <family val="1"/>
        <charset val="186"/>
      </rPr>
      <t xml:space="preserve">
</t>
    </r>
    <r>
      <rPr>
        <b/>
        <sz val="12"/>
        <rFont val="Times New Roman"/>
        <family val="1"/>
        <charset val="186"/>
      </rPr>
      <t>Gadā 1 izpētes. Pavisam kopā patēriņš 1 izpētei ir 1,01  euro</t>
    </r>
  </si>
  <si>
    <r>
      <t xml:space="preserve">Izdevumi laboratorijas precēm:
</t>
    </r>
    <r>
      <rPr>
        <b/>
        <sz val="12"/>
        <rFont val="Times New Roman"/>
        <family val="1"/>
        <charset val="186"/>
      </rPr>
      <t>Pavisam kopā izdevumi inventāram 1 izpētes veikšanai 17,87 euro</t>
    </r>
  </si>
  <si>
    <r>
      <t xml:space="preserve">Pamatlīdzeklis: Gadā 1 izpēte. </t>
    </r>
    <r>
      <rPr>
        <b/>
        <sz val="12"/>
        <rFont val="Times New Roman"/>
        <family val="1"/>
        <charset val="186"/>
      </rPr>
      <t>Pavisam kopā patēriņš 1 izpētei ir 0,16 euro</t>
    </r>
    <r>
      <rPr>
        <sz val="12"/>
        <rFont val="Times New Roman"/>
        <family val="1"/>
        <charset val="186"/>
      </rPr>
      <t xml:space="preserve"> </t>
    </r>
  </si>
  <si>
    <r>
      <rPr>
        <u/>
        <sz val="12"/>
        <rFont val="Times New Roman"/>
        <family val="1"/>
        <charset val="186"/>
      </rPr>
      <t>Atalgojums.</t>
    </r>
    <r>
      <rPr>
        <sz val="12"/>
        <rFont val="Times New Roman"/>
        <family val="1"/>
        <charset val="186"/>
      </rPr>
      <t xml:space="preserve"> Gadā 1 izpēte,</t>
    </r>
    <r>
      <rPr>
        <b/>
        <sz val="12"/>
        <rFont val="Times New Roman"/>
        <family val="1"/>
        <charset val="186"/>
      </rPr>
      <t xml:space="preserve"> kopā 13,49 euro</t>
    </r>
    <r>
      <rPr>
        <sz val="12"/>
        <rFont val="Times New Roman"/>
        <family val="1"/>
        <charset val="186"/>
      </rPr>
      <t xml:space="preserve"> </t>
    </r>
  </si>
  <si>
    <r>
      <t xml:space="preserve">Vidējais uzturēšanas izdevumu apjoms: Gadā 1 izpēte. </t>
    </r>
    <r>
      <rPr>
        <b/>
        <sz val="12"/>
        <rFont val="Times New Roman"/>
        <family val="1"/>
        <charset val="186"/>
      </rPr>
      <t>Pavisam kopā patēriņš 1 izpētei ir 0,21 euro</t>
    </r>
    <r>
      <rPr>
        <sz val="12"/>
        <rFont val="Times New Roman"/>
        <family val="1"/>
        <charset val="186"/>
      </rPr>
      <t xml:space="preserve"> </t>
    </r>
  </si>
  <si>
    <r>
      <t xml:space="preserve">Vidējie izdevumi par komunālajiem pakalpojumiem: </t>
    </r>
    <r>
      <rPr>
        <sz val="12"/>
        <rFont val="Times New Roman"/>
        <family val="1"/>
        <charset val="186"/>
      </rPr>
      <t xml:space="preserve">Gadā 1 izpēte. </t>
    </r>
    <r>
      <rPr>
        <b/>
        <u/>
        <sz val="12"/>
        <rFont val="Times New Roman"/>
        <family val="1"/>
        <charset val="186"/>
      </rPr>
      <t>Pavisam kopā patēriņš 1 izpētei ir 0,74 euro</t>
    </r>
    <r>
      <rPr>
        <sz val="12"/>
        <rFont val="Times New Roman"/>
        <family val="1"/>
        <charset val="186"/>
      </rPr>
      <t xml:space="preserve"> </t>
    </r>
  </si>
  <si>
    <r>
      <t xml:space="preserve">Spectērpu izdevumi: </t>
    </r>
    <r>
      <rPr>
        <sz val="12"/>
        <rFont val="Times New Roman"/>
        <family val="1"/>
        <charset val="186"/>
      </rPr>
      <t xml:space="preserve">Gadā 1 izpētes. </t>
    </r>
    <r>
      <rPr>
        <b/>
        <sz val="12"/>
        <rFont val="Times New Roman"/>
        <family val="1"/>
        <charset val="186"/>
      </rPr>
      <t>Pavisam kopā patēriņš 1 izpētei ir 0,002 euro</t>
    </r>
    <r>
      <rPr>
        <sz val="12"/>
        <rFont val="Times New Roman"/>
        <family val="1"/>
        <charset val="186"/>
      </rPr>
      <t xml:space="preserve"> </t>
    </r>
  </si>
  <si>
    <r>
      <rPr>
        <b/>
        <u/>
        <sz val="12"/>
        <rFont val="Times New Roman"/>
        <family val="1"/>
        <charset val="186"/>
      </rPr>
      <t xml:space="preserve">Vienreizlietojamās preces:
</t>
    </r>
    <r>
      <rPr>
        <b/>
        <sz val="12"/>
        <rFont val="Times New Roman"/>
        <family val="1"/>
        <charset val="186"/>
      </rPr>
      <t>Pavisam kopā patēriņš vienreizlietojamām precēm 7,034 euro</t>
    </r>
    <r>
      <rPr>
        <sz val="12"/>
        <rFont val="Times New Roman"/>
        <family val="1"/>
        <charset val="186"/>
      </rPr>
      <t xml:space="preserve"> </t>
    </r>
    <r>
      <rPr>
        <b/>
        <sz val="11"/>
        <rFont val="Times New Roman"/>
        <family val="1"/>
        <charset val="186"/>
      </rPr>
      <t/>
    </r>
  </si>
  <si>
    <r>
      <rPr>
        <b/>
        <sz val="12"/>
        <rFont val="Times New Roman"/>
        <family val="1"/>
        <charset val="186"/>
      </rPr>
      <t>Daudzreiz lietojamās preces:</t>
    </r>
    <r>
      <rPr>
        <sz val="12"/>
        <rFont val="Times New Roman"/>
        <family val="1"/>
        <charset val="186"/>
      </rPr>
      <t xml:space="preserve">
</t>
    </r>
    <r>
      <rPr>
        <sz val="12"/>
        <rFont val="Times New Roman"/>
        <family val="1"/>
        <charset val="186"/>
      </rPr>
      <t xml:space="preserve">Gadā 1 izpētes. </t>
    </r>
    <r>
      <rPr>
        <b/>
        <u/>
        <sz val="12"/>
        <rFont val="Times New Roman"/>
        <family val="1"/>
        <charset val="186"/>
      </rPr>
      <t xml:space="preserve">Pavisam kopā izdevumi inventāram 1 pakalpojuma veikšanai 7,03 </t>
    </r>
    <r>
      <rPr>
        <b/>
        <sz val="12"/>
        <rFont val="Times New Roman"/>
        <family val="1"/>
        <charset val="186"/>
      </rPr>
      <t>euro</t>
    </r>
  </si>
  <si>
    <r>
      <t xml:space="preserve">Pamatlīdzekļi: </t>
    </r>
    <r>
      <rPr>
        <vertAlign val="superscript"/>
        <sz val="12"/>
        <rFont val="Times New Roman"/>
        <family val="1"/>
        <charset val="186"/>
      </rPr>
      <t xml:space="preserve">
</t>
    </r>
    <r>
      <rPr>
        <b/>
        <sz val="12"/>
        <rFont val="Times New Roman"/>
        <family val="1"/>
        <charset val="186"/>
      </rPr>
      <t>Gadā 1 izpēte. Pavisam kopā patēriņš1 izpētei ir 2,13 euro</t>
    </r>
    <r>
      <rPr>
        <sz val="12"/>
        <rFont val="Times New Roman"/>
        <family val="1"/>
        <charset val="186"/>
      </rPr>
      <t xml:space="preserve"> </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</si>
  <si>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 izpēte. </t>
    </r>
    <r>
      <rPr>
        <b/>
        <u/>
        <sz val="12"/>
        <rFont val="Times New Roman"/>
        <family val="1"/>
        <charset val="186"/>
      </rPr>
      <t>Pavisam kopā patēriņš 1 izpētei ir 0,41 euro</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</si>
  <si>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0,12 euro</t>
    </r>
  </si>
  <si>
    <r>
      <t>Biroja preces:</t>
    </r>
    <r>
      <rPr>
        <i/>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0,05 euro</t>
    </r>
    <r>
      <rPr>
        <sz val="12"/>
        <rFont val="Times New Roman"/>
        <family val="1"/>
        <charset val="186"/>
      </rPr>
      <t xml:space="preserve"> </t>
    </r>
  </si>
  <si>
    <r>
      <t xml:space="preserve">Pavisam kopā izdevumi inventāram </t>
    </r>
    <r>
      <rPr>
        <b/>
        <u/>
        <sz val="12"/>
        <rFont val="Times New Roman"/>
        <family val="1"/>
        <charset val="186"/>
      </rPr>
      <t>1 pakalpojuma veikšanai 22,86 euro</t>
    </r>
  </si>
  <si>
    <r>
      <t xml:space="preserve">Spectērpu izdevumi: Gadā 1 izpētes. </t>
    </r>
    <r>
      <rPr>
        <b/>
        <sz val="12"/>
        <rFont val="Times New Roman"/>
        <family val="1"/>
        <charset val="186"/>
      </rPr>
      <t>Pavisam kopā patēriņš 1 izpētei ir 0,002 euro</t>
    </r>
  </si>
  <si>
    <r>
      <rPr>
        <b/>
        <sz val="12"/>
        <rFont val="Times New Roman"/>
        <family val="1"/>
        <charset val="186"/>
      </rPr>
      <t xml:space="preserve">Vienreizlietojamās preces:
</t>
    </r>
    <r>
      <rPr>
        <b/>
        <sz val="12"/>
        <rFont val="Times New Roman"/>
        <family val="1"/>
        <charset val="186"/>
      </rPr>
      <t>Kopā izdevumi vienreizlietojamam inventāram 18,9458 euro</t>
    </r>
    <r>
      <rPr>
        <sz val="12"/>
        <rFont val="Times New Roman"/>
        <family val="1"/>
        <charset val="186"/>
      </rPr>
      <t xml:space="preserve"> </t>
    </r>
    <r>
      <rPr>
        <b/>
        <sz val="11"/>
        <rFont val="Times New Roman"/>
        <family val="1"/>
        <charset val="186"/>
      </rPr>
      <t/>
    </r>
  </si>
  <si>
    <r>
      <rPr>
        <b/>
        <sz val="12"/>
        <rFont val="Times New Roman"/>
        <family val="1"/>
        <charset val="186"/>
      </rPr>
      <t>Daudzreiz lietojamās preces:</t>
    </r>
    <r>
      <rPr>
        <sz val="12"/>
        <rFont val="Times New Roman"/>
        <family val="1"/>
        <charset val="186"/>
      </rPr>
      <t xml:space="preserve">
</t>
    </r>
    <r>
      <rPr>
        <sz val="12"/>
        <rFont val="Times New Roman"/>
        <family val="1"/>
        <charset val="186"/>
      </rPr>
      <t>Gadā 1 izpēte. Pavisam kopā patēriņš 1 izpētei ir</t>
    </r>
    <r>
      <rPr>
        <b/>
        <u/>
        <sz val="12"/>
        <rFont val="Times New Roman"/>
        <family val="1"/>
        <charset val="186"/>
      </rPr>
      <t xml:space="preserve"> 0,0002</t>
    </r>
    <r>
      <rPr>
        <sz val="12"/>
        <rFont val="Times New Roman"/>
        <family val="1"/>
        <charset val="186"/>
      </rPr>
      <t xml:space="preserve"> euro 
</t>
    </r>
    <r>
      <rPr>
        <b/>
        <u/>
        <sz val="12"/>
        <rFont val="Times New Roman"/>
        <family val="1"/>
        <charset val="186"/>
      </rPr>
      <t>Pavisam kopā izdevumi inventāram 1 izpētes veikšanai 18,95 euro</t>
    </r>
  </si>
  <si>
    <r>
      <t xml:space="preserve">Pamatlīdzeklis: Gadā 1 izpēte. </t>
    </r>
    <r>
      <rPr>
        <b/>
        <sz val="12"/>
        <rFont val="Times New Roman"/>
        <family val="1"/>
        <charset val="186"/>
      </rPr>
      <t>Pavisam kopā patēriņš 1 izpētei ir 0,04 euro</t>
    </r>
  </si>
  <si>
    <r>
      <t xml:space="preserve">Izdevumi laboratorijas precēm: </t>
    </r>
    <r>
      <rPr>
        <b/>
        <sz val="12"/>
        <rFont val="Times New Roman"/>
        <family val="1"/>
        <charset val="186"/>
      </rPr>
      <t>1)</t>
    </r>
    <r>
      <rPr>
        <sz val="12"/>
        <rFont val="Times New Roman"/>
        <family val="1"/>
        <charset val="186"/>
      </rPr>
      <t xml:space="preserve"> </t>
    </r>
    <r>
      <rPr>
        <b/>
        <sz val="12"/>
        <rFont val="Times New Roman"/>
        <family val="1"/>
        <charset val="186"/>
      </rPr>
      <t>Vienreizlietojamās preces:</t>
    </r>
    <r>
      <rPr>
        <sz val="12"/>
        <rFont val="Times New Roman"/>
        <family val="1"/>
        <charset val="186"/>
      </rPr>
      <t xml:space="preserve">
Gadā 1 izpēte. Pavisam kopā patēriņš 1 izpētei ir </t>
    </r>
    <r>
      <rPr>
        <b/>
        <u/>
        <sz val="12"/>
        <rFont val="Times New Roman"/>
        <family val="1"/>
        <charset val="186"/>
      </rPr>
      <t xml:space="preserve">0,7168 </t>
    </r>
    <r>
      <rPr>
        <sz val="12"/>
        <rFont val="Times New Roman"/>
        <family val="1"/>
        <charset val="186"/>
      </rPr>
      <t xml:space="preserve">euro
</t>
    </r>
    <r>
      <rPr>
        <b/>
        <sz val="12"/>
        <rFont val="Times New Roman"/>
        <family val="1"/>
        <charset val="186"/>
      </rPr>
      <t>2) Daudzreiz lietojamās preces:</t>
    </r>
    <r>
      <rPr>
        <sz val="12"/>
        <rFont val="Times New Roman"/>
        <family val="1"/>
        <charset val="186"/>
      </rPr>
      <t xml:space="preserve">
Gadā 1 izpēte. Pavisam kopā patēriņš 1 izpētei ir </t>
    </r>
    <r>
      <rPr>
        <b/>
        <u/>
        <sz val="12"/>
        <rFont val="Times New Roman"/>
        <family val="1"/>
        <charset val="186"/>
      </rPr>
      <t>0,0001</t>
    </r>
    <r>
      <rPr>
        <sz val="12"/>
        <rFont val="Times New Roman"/>
        <family val="1"/>
        <charset val="186"/>
      </rPr>
      <t xml:space="preserve"> euro </t>
    </r>
    <r>
      <rPr>
        <b/>
        <sz val="12"/>
        <rFont val="Times New Roman"/>
        <family val="1"/>
        <charset val="186"/>
      </rPr>
      <t xml:space="preserve">
Pavisam kopā izdevumi inventāram 1 izpētes veikšanai 0,79 euro.</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</si>
  <si>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 izpēte. </t>
    </r>
    <r>
      <rPr>
        <b/>
        <u/>
        <sz val="12"/>
        <rFont val="Times New Roman"/>
        <family val="1"/>
        <charset val="186"/>
      </rPr>
      <t>Pavisam kopā patēriņš 1 izpēte ir 0,55 euro</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</si>
  <si>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0,1568 euro</t>
    </r>
    <r>
      <rPr>
        <sz val="12"/>
        <rFont val="Times New Roman"/>
        <family val="1"/>
        <charset val="186"/>
      </rPr>
      <t xml:space="preserve"> </t>
    </r>
  </si>
  <si>
    <r>
      <rPr>
        <u/>
        <sz val="12"/>
        <rFont val="Times New Roman"/>
        <family val="1"/>
        <charset val="186"/>
      </rPr>
      <t xml:space="preserve">Atalgojums. </t>
    </r>
    <r>
      <rPr>
        <sz val="12"/>
        <rFont val="Times New Roman"/>
        <family val="1"/>
        <charset val="186"/>
      </rPr>
      <t xml:space="preserve">
</t>
    </r>
    <r>
      <rPr>
        <b/>
        <sz val="12"/>
        <rFont val="Times New Roman"/>
        <family val="1"/>
        <charset val="186"/>
      </rPr>
      <t/>
    </r>
  </si>
  <si>
    <r>
      <t xml:space="preserve">
</t>
    </r>
    <r>
      <rPr>
        <b/>
        <sz val="12"/>
        <rFont val="Times New Roman"/>
        <family val="1"/>
        <charset val="186"/>
      </rPr>
      <t xml:space="preserve">Pavisam kopā 23,30 euro </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</si>
  <si>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 izpēte. </t>
    </r>
    <r>
      <rPr>
        <b/>
        <u/>
        <sz val="12"/>
        <rFont val="Times New Roman"/>
        <family val="1"/>
        <charset val="186"/>
      </rPr>
      <t>Pavisam kopā patēriņš 1 izpētei ir 0,52 euro</t>
    </r>
    <r>
      <rPr>
        <sz val="12"/>
        <rFont val="Times New Roman"/>
        <family val="1"/>
        <charset val="186"/>
      </rPr>
      <t xml:space="preserve"> </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</si>
  <si>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0,15 euro</t>
    </r>
  </si>
  <si>
    <r>
      <rPr>
        <b/>
        <sz val="12"/>
        <rFont val="Times New Roman"/>
        <family val="1"/>
        <charset val="186"/>
      </rPr>
      <t xml:space="preserve">Vienreizlietojamās preces:
</t>
    </r>
    <r>
      <rPr>
        <sz val="12"/>
        <rFont val="Times New Roman"/>
        <family val="1"/>
        <charset val="186"/>
      </rPr>
      <t xml:space="preserve">Gadā 1 izpēte. </t>
    </r>
    <r>
      <rPr>
        <b/>
        <u/>
        <sz val="12"/>
        <rFont val="Times New Roman"/>
        <family val="1"/>
        <charset val="186"/>
      </rPr>
      <t>Pavisam kopā patēriņš vienreizlietojamām precēm 2,0913</t>
    </r>
    <r>
      <rPr>
        <sz val="12"/>
        <rFont val="Times New Roman"/>
        <family val="1"/>
        <charset val="186"/>
      </rPr>
      <t xml:space="preserve"> euro </t>
    </r>
    <r>
      <rPr>
        <b/>
        <sz val="12"/>
        <rFont val="Times New Roman"/>
        <family val="1"/>
        <charset val="186"/>
      </rPr>
      <t/>
    </r>
  </si>
  <si>
    <r>
      <rPr>
        <b/>
        <sz val="12"/>
        <rFont val="Times New Roman"/>
        <family val="1"/>
        <charset val="186"/>
      </rPr>
      <t>Daudzreiz lietojamās preces:</t>
    </r>
    <r>
      <rPr>
        <sz val="12"/>
        <rFont val="Times New Roman"/>
        <family val="1"/>
        <charset val="186"/>
      </rPr>
      <t xml:space="preserve">
</t>
    </r>
    <r>
      <rPr>
        <sz val="12"/>
        <rFont val="Times New Roman"/>
        <family val="1"/>
        <charset val="186"/>
      </rPr>
      <t xml:space="preserve">Gadā 1 izpētes. Pavisam kopā patēriņš 1 izpētei ir </t>
    </r>
    <r>
      <rPr>
        <b/>
        <u/>
        <sz val="12"/>
        <rFont val="Times New Roman"/>
        <family val="1"/>
        <charset val="186"/>
      </rPr>
      <t>0,0001</t>
    </r>
    <r>
      <rPr>
        <sz val="12"/>
        <rFont val="Times New Roman"/>
        <family val="1"/>
        <charset val="186"/>
      </rPr>
      <t xml:space="preserve"> euro
</t>
    </r>
    <r>
      <rPr>
        <b/>
        <u/>
        <sz val="12"/>
        <rFont val="Times New Roman"/>
        <family val="1"/>
        <charset val="186"/>
      </rPr>
      <t>Pavisam kopā izdevumi inventāram 1 izpētes veikšanai 2,09 euro</t>
    </r>
    <r>
      <rPr>
        <sz val="12"/>
        <rFont val="Times New Roman"/>
        <family val="1"/>
        <charset val="186"/>
      </rPr>
      <t xml:space="preserve"> </t>
    </r>
  </si>
  <si>
    <r>
      <t xml:space="preserve">Pamatlīdzekļi: </t>
    </r>
    <r>
      <rPr>
        <b/>
        <sz val="12"/>
        <rFont val="Times New Roman"/>
        <family val="1"/>
        <charset val="186"/>
      </rPr>
      <t>Gadā 1 izpēte. Pavisam kopā patēriņš1 izpētei ir 1,47 euro</t>
    </r>
    <r>
      <rPr>
        <sz val="12"/>
        <rFont val="Times New Roman"/>
        <family val="1"/>
        <charset val="186"/>
      </rPr>
      <t xml:space="preserve"> </t>
    </r>
  </si>
  <si>
    <r>
      <t xml:space="preserve">Izdevumi laboratorijas precēm:
</t>
    </r>
    <r>
      <rPr>
        <b/>
        <sz val="12"/>
        <rFont val="Times New Roman"/>
        <family val="1"/>
        <charset val="186"/>
      </rPr>
      <t>1)</t>
    </r>
    <r>
      <rPr>
        <sz val="12"/>
        <rFont val="Times New Roman"/>
        <family val="1"/>
        <charset val="186"/>
      </rPr>
      <t xml:space="preserve"> </t>
    </r>
    <r>
      <rPr>
        <b/>
        <sz val="12"/>
        <rFont val="Times New Roman"/>
        <family val="1"/>
        <charset val="186"/>
      </rPr>
      <t>Vienreizlietojamās preces:</t>
    </r>
    <r>
      <rPr>
        <sz val="12"/>
        <rFont val="Times New Roman"/>
        <family val="1"/>
        <charset val="186"/>
      </rPr>
      <t xml:space="preserve">
</t>
    </r>
    <r>
      <rPr>
        <sz val="12"/>
        <rFont val="Times New Roman"/>
        <family val="1"/>
        <charset val="186"/>
      </rPr>
      <t xml:space="preserve">Gadā 1 izpēte. Pavisam kopā patēriņš 1 izpētei ir </t>
    </r>
    <r>
      <rPr>
        <b/>
        <u/>
        <sz val="12"/>
        <rFont val="Times New Roman"/>
        <family val="1"/>
        <charset val="186"/>
      </rPr>
      <t xml:space="preserve">0,2412 </t>
    </r>
    <r>
      <rPr>
        <sz val="12"/>
        <rFont val="Times New Roman"/>
        <family val="1"/>
        <charset val="186"/>
      </rPr>
      <t xml:space="preserve">euro
</t>
    </r>
    <r>
      <rPr>
        <b/>
        <sz val="12"/>
        <rFont val="Times New Roman"/>
        <family val="1"/>
        <charset val="186"/>
      </rPr>
      <t>2) Daudzreiz lietojamās preces:</t>
    </r>
    <r>
      <rPr>
        <sz val="12"/>
        <rFont val="Times New Roman"/>
        <family val="1"/>
        <charset val="186"/>
      </rPr>
      <t xml:space="preserve">
</t>
    </r>
    <r>
      <rPr>
        <sz val="12"/>
        <rFont val="Times New Roman"/>
        <family val="1"/>
        <charset val="186"/>
      </rPr>
      <t>Gadā 1 izpētes. Pavisam kopā patēriņš 1 izpētei ir</t>
    </r>
    <r>
      <rPr>
        <b/>
        <u/>
        <sz val="12"/>
        <rFont val="Times New Roman"/>
        <family val="1"/>
        <charset val="186"/>
      </rPr>
      <t xml:space="preserve"> 0,0001</t>
    </r>
    <r>
      <rPr>
        <sz val="12"/>
        <rFont val="Times New Roman"/>
        <family val="1"/>
        <charset val="186"/>
      </rPr>
      <t xml:space="preserve"> euro </t>
    </r>
    <r>
      <rPr>
        <b/>
        <sz val="12"/>
        <rFont val="Times New Roman"/>
        <family val="1"/>
        <charset val="186"/>
      </rPr>
      <t xml:space="preserve">
Pavisam kopā izdevumi inventāram 1 izpētes veikšanai </t>
    </r>
    <r>
      <rPr>
        <b/>
        <u/>
        <sz val="12"/>
        <rFont val="Times New Roman"/>
        <family val="1"/>
        <charset val="186"/>
      </rPr>
      <t>0,24</t>
    </r>
    <r>
      <rPr>
        <b/>
        <sz val="12"/>
        <rFont val="Times New Roman"/>
        <family val="1"/>
        <charset val="186"/>
      </rPr>
      <t xml:space="preserve"> euro</t>
    </r>
    <r>
      <rPr>
        <sz val="12"/>
        <rFont val="Times New Roman"/>
        <family val="1"/>
        <charset val="186"/>
      </rPr>
      <t xml:space="preserve"> </t>
    </r>
  </si>
  <si>
    <r>
      <t xml:space="preserve">Pamatlīdzeklis: Gadā 1 izpēte. </t>
    </r>
    <r>
      <rPr>
        <b/>
        <sz val="12"/>
        <rFont val="Times New Roman"/>
        <family val="1"/>
        <charset val="186"/>
      </rPr>
      <t>Pavisam kopā patēriņš 1 izpētei ir 0,08 euro</t>
    </r>
    <r>
      <rPr>
        <sz val="12"/>
        <rFont val="Times New Roman"/>
        <family val="1"/>
        <charset val="186"/>
      </rPr>
      <t xml:space="preserve"> </t>
    </r>
  </si>
  <si>
    <r>
      <t xml:space="preserve">Pamatlīdzekļi: </t>
    </r>
    <r>
      <rPr>
        <b/>
        <sz val="12"/>
        <rFont val="Times New Roman"/>
        <family val="1"/>
        <charset val="186"/>
      </rPr>
      <t>Gadā 1 izpēte. Pavisam kopā patēriņš1 izpētei ir 1,11 euro</t>
    </r>
    <r>
      <rPr>
        <sz val="12"/>
        <rFont val="Times New Roman"/>
        <family val="1"/>
        <charset val="186"/>
      </rPr>
      <t xml:space="preserve"> </t>
    </r>
  </si>
  <si>
    <r>
      <t xml:space="preserve">Izdevumi inventāram: Gadā 1 izpēte. Patēriņš 1 izpētei ir </t>
    </r>
    <r>
      <rPr>
        <b/>
        <u/>
        <sz val="12"/>
        <rFont val="Times New Roman"/>
        <family val="1"/>
        <charset val="186"/>
      </rPr>
      <t>0,0001</t>
    </r>
    <r>
      <rPr>
        <u/>
        <sz val="12"/>
        <rFont val="Times New Roman"/>
        <family val="1"/>
        <charset val="186"/>
      </rPr>
      <t xml:space="preserve"> </t>
    </r>
    <r>
      <rPr>
        <sz val="12"/>
        <rFont val="Times New Roman"/>
        <family val="1"/>
        <charset val="186"/>
      </rPr>
      <t>euro</t>
    </r>
    <r>
      <rPr>
        <b/>
        <u/>
        <sz val="12"/>
        <color rgb="FFFF0000"/>
        <rFont val="Times New Roman"/>
        <family val="1"/>
        <charset val="186"/>
      </rPr>
      <t/>
    </r>
  </si>
  <si>
    <r>
      <t xml:space="preserve">Pamatlīdzeklis: Gadā 6 izpēte. </t>
    </r>
    <r>
      <rPr>
        <b/>
        <sz val="12"/>
        <rFont val="Times New Roman"/>
        <family val="1"/>
        <charset val="186"/>
      </rPr>
      <t>Pavisam kopā patēriņš 6 izpētēm ir 0,97 euro</t>
    </r>
  </si>
  <si>
    <r>
      <t xml:space="preserve">Pamatlīdzekļi: </t>
    </r>
    <r>
      <rPr>
        <b/>
        <sz val="12"/>
        <rFont val="Times New Roman"/>
        <family val="1"/>
        <charset val="186"/>
      </rPr>
      <t>Gadā 6 izpētes. Pavisam kopā patēriņš 6 izpētēm ir 8,34 euro</t>
    </r>
  </si>
  <si>
    <r>
      <t xml:space="preserve">Izdevumi laboratorijas precēm: </t>
    </r>
    <r>
      <rPr>
        <b/>
        <sz val="12"/>
        <rFont val="Times New Roman"/>
        <family val="1"/>
        <charset val="186"/>
      </rPr>
      <t>1)</t>
    </r>
    <r>
      <rPr>
        <sz val="12"/>
        <rFont val="Times New Roman"/>
        <family val="1"/>
        <charset val="186"/>
      </rPr>
      <t xml:space="preserve"> </t>
    </r>
    <r>
      <rPr>
        <b/>
        <sz val="12"/>
        <rFont val="Times New Roman"/>
        <family val="1"/>
        <charset val="186"/>
      </rPr>
      <t xml:space="preserve">Vienreizlietojamās preces:
</t>
    </r>
    <r>
      <rPr>
        <sz val="12"/>
        <rFont val="Times New Roman"/>
        <family val="1"/>
        <charset val="186"/>
      </rPr>
      <t xml:space="preserve">Gadā 6 izpētes. Pavisam kopā patēriņš vienreizlietojamām precēm </t>
    </r>
    <r>
      <rPr>
        <b/>
        <u/>
        <sz val="12"/>
        <rFont val="Times New Roman"/>
        <family val="1"/>
        <charset val="186"/>
      </rPr>
      <t xml:space="preserve">199,2884 </t>
    </r>
    <r>
      <rPr>
        <sz val="12"/>
        <rFont val="Times New Roman"/>
        <family val="1"/>
        <charset val="186"/>
      </rPr>
      <t>euro</t>
    </r>
  </si>
  <si>
    <r>
      <rPr>
        <b/>
        <sz val="12"/>
        <rFont val="Times New Roman"/>
        <family val="1"/>
        <charset val="186"/>
      </rPr>
      <t>Daudzreiz lietojamās preces:</t>
    </r>
    <r>
      <rPr>
        <sz val="12"/>
        <rFont val="Times New Roman"/>
        <family val="1"/>
        <charset val="186"/>
      </rPr>
      <t xml:space="preserve"> 
Gadā 6 izpētes. Pavisam kopā patēriņš ir </t>
    </r>
    <r>
      <rPr>
        <b/>
        <sz val="12"/>
        <rFont val="Times New Roman"/>
        <family val="1"/>
        <charset val="186"/>
      </rPr>
      <t>0,0012</t>
    </r>
    <r>
      <rPr>
        <sz val="12"/>
        <rFont val="Times New Roman"/>
        <family val="1"/>
        <charset val="186"/>
      </rPr>
      <t xml:space="preserve"> euro
Pavisam kopā patēriņš 6 izpētēm </t>
    </r>
    <r>
      <rPr>
        <b/>
        <u/>
        <sz val="12"/>
        <rFont val="Times New Roman"/>
        <family val="1"/>
        <charset val="186"/>
      </rPr>
      <t>199,29</t>
    </r>
    <r>
      <rPr>
        <sz val="12"/>
        <rFont val="Times New Roman"/>
        <family val="1"/>
        <charset val="186"/>
      </rPr>
      <t xml:space="preserve"> euro</t>
    </r>
  </si>
  <si>
    <r>
      <t>Vidējais uzturēšanas izdevumu apjoms:</t>
    </r>
    <r>
      <rPr>
        <vertAlign val="superscript"/>
        <sz val="12"/>
        <rFont val="Times New Roman"/>
        <family val="1"/>
        <charset val="186"/>
      </rPr>
      <t xml:space="preserve">
</t>
    </r>
    <r>
      <rPr>
        <sz val="12"/>
        <rFont val="Times New Roman"/>
        <family val="1"/>
        <charset val="186"/>
      </rPr>
      <t xml:space="preserve">Gadā 6 izpētes. </t>
    </r>
    <r>
      <rPr>
        <b/>
        <sz val="12"/>
        <rFont val="Times New Roman"/>
        <family val="1"/>
        <charset val="186"/>
      </rPr>
      <t>Pavisam kopā patēriņš 6 izpētēm ir 0,83 euro</t>
    </r>
    <r>
      <rPr>
        <sz val="12"/>
        <rFont val="Times New Roman"/>
        <family val="1"/>
        <charset val="186"/>
      </rPr>
      <t xml:space="preserve"> </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</si>
  <si>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6 izpētes. </t>
    </r>
    <r>
      <rPr>
        <b/>
        <u/>
        <sz val="12"/>
        <rFont val="Times New Roman"/>
        <family val="1"/>
        <charset val="186"/>
      </rPr>
      <t>Pavisam kopā patēriņš 6 izpētēm ir 2,92 euro</t>
    </r>
  </si>
  <si>
    <r>
      <t xml:space="preserve">Spectērpu izdevumi: Gadā 6 izpētes. </t>
    </r>
    <r>
      <rPr>
        <b/>
        <sz val="12"/>
        <rFont val="Times New Roman"/>
        <family val="1"/>
        <charset val="186"/>
      </rPr>
      <t>Pavisam kopā patēriņš ir 0,01 euro</t>
    </r>
    <r>
      <rPr>
        <sz val="12"/>
        <rFont val="Times New Roman"/>
        <family val="1"/>
        <charset val="186"/>
      </rPr>
      <t xml:space="preserve"> </t>
    </r>
  </si>
  <si>
    <r>
      <t xml:space="preserve">Gadā 9 izpētes. </t>
    </r>
    <r>
      <rPr>
        <b/>
        <u/>
        <sz val="12"/>
        <rFont val="Times New Roman"/>
        <family val="1"/>
        <charset val="186"/>
      </rPr>
      <t>Pavisam kopā patēriņš ir 611,48 euro</t>
    </r>
    <r>
      <rPr>
        <sz val="12"/>
        <rFont val="Times New Roman"/>
        <family val="1"/>
        <charset val="186"/>
      </rPr>
      <t xml:space="preserve"> </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</si>
  <si>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9 izpētes. </t>
    </r>
    <r>
      <rPr>
        <b/>
        <sz val="12"/>
        <rFont val="Times New Roman"/>
        <family val="1"/>
        <charset val="186"/>
      </rPr>
      <t>Pavisam kopā patēriņš 9 izpētēm</t>
    </r>
    <r>
      <rPr>
        <b/>
        <u/>
        <sz val="12"/>
        <rFont val="Times New Roman"/>
        <family val="1"/>
        <charset val="186"/>
      </rPr>
      <t xml:space="preserve"> ir 13,25 euro</t>
    </r>
    <r>
      <rPr>
        <sz val="12"/>
        <rFont val="Times New Roman"/>
        <family val="1"/>
        <charset val="186"/>
      </rPr>
      <t xml:space="preserve"> </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</si>
  <si>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9 izpētes. </t>
    </r>
    <r>
      <rPr>
        <b/>
        <sz val="12"/>
        <rFont val="Times New Roman"/>
        <family val="1"/>
        <charset val="186"/>
      </rPr>
      <t>Pavisam kopā patēriņš 9 izpētēm ir 3,78 euro</t>
    </r>
    <r>
      <rPr>
        <sz val="12"/>
        <rFont val="Times New Roman"/>
        <family val="1"/>
        <charset val="186"/>
      </rPr>
      <t xml:space="preserve"> </t>
    </r>
  </si>
  <si>
    <r>
      <t xml:space="preserve">Biroja preces: </t>
    </r>
    <r>
      <rPr>
        <i/>
        <sz val="12"/>
        <rFont val="Times New Roman"/>
        <family val="1"/>
        <charset val="186"/>
      </rPr>
      <t xml:space="preserve">
</t>
    </r>
    <r>
      <rPr>
        <sz val="12"/>
        <rFont val="Times New Roman"/>
        <family val="1"/>
        <charset val="186"/>
      </rPr>
      <t xml:space="preserve">Gadā 9 izpētes. </t>
    </r>
    <r>
      <rPr>
        <b/>
        <sz val="12"/>
        <rFont val="Times New Roman"/>
        <family val="1"/>
        <charset val="186"/>
      </rPr>
      <t>Pavisam kopā patēriņš 9 izpētēm ir 0,70 euro</t>
    </r>
    <r>
      <rPr>
        <sz val="12"/>
        <rFont val="Times New Roman"/>
        <family val="1"/>
        <charset val="186"/>
      </rPr>
      <t xml:space="preserve"> </t>
    </r>
  </si>
  <si>
    <r>
      <t xml:space="preserve">Izdevumi inventāram:
</t>
    </r>
    <r>
      <rPr>
        <sz val="12"/>
        <rFont val="Times New Roman"/>
        <family val="1"/>
        <charset val="186"/>
      </rPr>
      <t xml:space="preserve">Gadā 9 izpētes. Pavisam kopā patēriņš 9 izpētēmir </t>
    </r>
    <r>
      <rPr>
        <b/>
        <u/>
        <sz val="12"/>
        <rFont val="Times New Roman"/>
        <family val="1"/>
        <charset val="186"/>
      </rPr>
      <t>0,002</t>
    </r>
    <r>
      <rPr>
        <u/>
        <sz val="12"/>
        <rFont val="Times New Roman"/>
        <family val="1"/>
        <charset val="186"/>
      </rPr>
      <t xml:space="preserve"> </t>
    </r>
    <r>
      <rPr>
        <sz val="12"/>
        <rFont val="Times New Roman"/>
        <family val="1"/>
        <charset val="186"/>
      </rPr>
      <t xml:space="preserve">euro </t>
    </r>
    <r>
      <rPr>
        <b/>
        <u/>
        <sz val="12"/>
        <color rgb="FFFF0000"/>
        <rFont val="Times New Roman"/>
        <family val="1"/>
        <charset val="186"/>
      </rPr>
      <t/>
    </r>
  </si>
  <si>
    <r>
      <t>Spectērpu izdevumi:</t>
    </r>
    <r>
      <rPr>
        <sz val="12"/>
        <rFont val="Times New Roman"/>
        <family val="1"/>
        <charset val="186"/>
      </rPr>
      <t xml:space="preserve">
Gadā 9 izpētes. </t>
    </r>
    <r>
      <rPr>
        <b/>
        <sz val="12"/>
        <rFont val="Times New Roman"/>
        <family val="1"/>
        <charset val="186"/>
      </rPr>
      <t>Pavisam kopā patēriņš 9 izpētēm ir 0,01 euro</t>
    </r>
    <r>
      <rPr>
        <sz val="12"/>
        <rFont val="Times New Roman"/>
        <family val="1"/>
        <charset val="186"/>
      </rPr>
      <t xml:space="preserve"> </t>
    </r>
  </si>
  <si>
    <r>
      <t xml:space="preserve">Pamatlīdzeklis: Gadā 9 izpētes. </t>
    </r>
    <r>
      <rPr>
        <b/>
        <sz val="12"/>
        <color theme="1"/>
        <rFont val="Times New Roman"/>
        <family val="1"/>
        <charset val="186"/>
      </rPr>
      <t>Pavisam kopā patēriņš 9 izpētēm ir 2,90 euro</t>
    </r>
    <r>
      <rPr>
        <sz val="12"/>
        <color theme="1"/>
        <rFont val="Times New Roman"/>
        <family val="1"/>
        <charset val="186"/>
      </rPr>
      <t xml:space="preserve"> </t>
    </r>
  </si>
  <si>
    <r>
      <t xml:space="preserve">Pamatlīdzekļi: </t>
    </r>
    <r>
      <rPr>
        <b/>
        <sz val="12"/>
        <rFont val="Times New Roman"/>
        <family val="1"/>
        <charset val="186"/>
      </rPr>
      <t>Gadā 9 izpētes. Pavisam kopā patēriņš 9 izpētēm ir 37,84 euro</t>
    </r>
  </si>
  <si>
    <r>
      <rPr>
        <b/>
        <sz val="12"/>
        <rFont val="Times New Roman"/>
        <family val="1"/>
        <charset val="186"/>
      </rPr>
      <t xml:space="preserve">Daudzreiz lietojamās preces: </t>
    </r>
    <r>
      <rPr>
        <sz val="12"/>
        <rFont val="Times New Roman"/>
        <family val="1"/>
        <charset val="186"/>
      </rPr>
      <t xml:space="preserve">Gadā 9 izpētes. Pavisam kopā patēriņš 9 izpētēm ir 175,06 </t>
    </r>
    <r>
      <rPr>
        <b/>
        <u/>
        <sz val="12"/>
        <rFont val="Times New Roman"/>
        <family val="1"/>
        <charset val="186"/>
      </rPr>
      <t>euro</t>
    </r>
    <r>
      <rPr>
        <b/>
        <sz val="12"/>
        <rFont val="Times New Roman"/>
        <family val="1"/>
        <charset val="186"/>
      </rPr>
      <t xml:space="preserve"> </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</si>
  <si>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23 izpētes. Pavisam kopā patēriņš 23 izpētēm </t>
    </r>
    <r>
      <rPr>
        <b/>
        <u/>
        <sz val="12"/>
        <rFont val="Times New Roman"/>
        <family val="1"/>
        <charset val="186"/>
      </rPr>
      <t>ir 179,48 euro</t>
    </r>
    <r>
      <rPr>
        <sz val="12"/>
        <rFont val="Times New Roman"/>
        <family val="1"/>
        <charset val="186"/>
      </rPr>
      <t xml:space="preserve"> </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</si>
  <si>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23 izpētes. Pavisam kopā patēriņš 23 izpētēm </t>
    </r>
    <r>
      <rPr>
        <b/>
        <sz val="12"/>
        <rFont val="Times New Roman"/>
        <family val="1"/>
        <charset val="186"/>
      </rPr>
      <t>ir 51,28 euro</t>
    </r>
    <r>
      <rPr>
        <sz val="12"/>
        <rFont val="Times New Roman"/>
        <family val="1"/>
        <charset val="186"/>
      </rPr>
      <t xml:space="preserve"> </t>
    </r>
  </si>
  <si>
    <r>
      <t>Biroja preces:</t>
    </r>
    <r>
      <rPr>
        <i/>
        <sz val="12"/>
        <rFont val="Times New Roman"/>
        <family val="1"/>
        <charset val="186"/>
      </rPr>
      <t xml:space="preserve">
</t>
    </r>
    <r>
      <rPr>
        <sz val="12"/>
        <rFont val="Times New Roman"/>
        <family val="1"/>
        <charset val="186"/>
      </rPr>
      <t xml:space="preserve">Gadā 23 izpētes. Pavisam kopā patēriņš 23 izpētēm </t>
    </r>
    <r>
      <rPr>
        <b/>
        <sz val="12"/>
        <rFont val="Times New Roman"/>
        <family val="1"/>
        <charset val="186"/>
      </rPr>
      <t>ir 0,60 euro</t>
    </r>
    <r>
      <rPr>
        <sz val="12"/>
        <rFont val="Times New Roman"/>
        <family val="1"/>
        <charset val="186"/>
      </rPr>
      <t xml:space="preserve"> </t>
    </r>
  </si>
  <si>
    <r>
      <t xml:space="preserve">Izdevumi inventāram:
</t>
    </r>
    <r>
      <rPr>
        <sz val="12"/>
        <rFont val="Times New Roman"/>
        <family val="1"/>
        <charset val="186"/>
      </rPr>
      <t xml:space="preserve"> </t>
    </r>
    <r>
      <rPr>
        <b/>
        <sz val="12"/>
        <rFont val="Times New Roman"/>
        <family val="1"/>
        <charset val="186"/>
      </rPr>
      <t xml:space="preserve">Gadā 23 izpētes. Pavisam kopā patēriņš 23 izpētēm ir </t>
    </r>
    <r>
      <rPr>
        <b/>
        <u/>
        <sz val="12"/>
        <rFont val="Times New Roman"/>
        <family val="1"/>
        <charset val="186"/>
      </rPr>
      <t xml:space="preserve">0,07 </t>
    </r>
    <r>
      <rPr>
        <b/>
        <sz val="12"/>
        <rFont val="Times New Roman"/>
        <family val="1"/>
        <charset val="186"/>
      </rPr>
      <t>euro</t>
    </r>
    <r>
      <rPr>
        <sz val="12"/>
        <rFont val="Times New Roman"/>
        <family val="1"/>
        <charset val="186"/>
      </rPr>
      <t xml:space="preserve"> </t>
    </r>
  </si>
  <si>
    <r>
      <t xml:space="preserve">Spectērpu izdevumi: </t>
    </r>
    <r>
      <rPr>
        <sz val="12"/>
        <rFont val="Times New Roman"/>
        <family val="1"/>
        <charset val="186"/>
      </rPr>
      <t xml:space="preserve">
Gadā 23 izpētes. Pavisam kopā patēriņš 23 izpētēm</t>
    </r>
    <r>
      <rPr>
        <b/>
        <sz val="12"/>
        <rFont val="Times New Roman"/>
        <family val="1"/>
        <charset val="186"/>
      </rPr>
      <t xml:space="preserve"> ir 0,69 euro</t>
    </r>
    <r>
      <rPr>
        <sz val="12"/>
        <rFont val="Times New Roman"/>
        <family val="1"/>
        <charset val="186"/>
      </rPr>
      <t xml:space="preserve"> </t>
    </r>
  </si>
  <si>
    <r>
      <t xml:space="preserve">Gadā 23 izpētes. </t>
    </r>
    <r>
      <rPr>
        <b/>
        <u/>
        <sz val="12"/>
        <rFont val="Times New Roman"/>
        <family val="1"/>
        <charset val="186"/>
      </rPr>
      <t>Pavisam kopā izdevumi inventāram 23 izpēšu veikšanai 1906,43 euro</t>
    </r>
    <r>
      <rPr>
        <sz val="12"/>
        <rFont val="Times New Roman"/>
        <family val="1"/>
        <charset val="186"/>
      </rPr>
      <t xml:space="preserve"> </t>
    </r>
  </si>
  <si>
    <r>
      <t>Gadā 23 izpētes. Pavisam kopā patēriņš 23 izpētēm</t>
    </r>
    <r>
      <rPr>
        <b/>
        <sz val="12"/>
        <rFont val="Times New Roman"/>
        <family val="1"/>
        <charset val="186"/>
      </rPr>
      <t xml:space="preserve"> ir 2,53 euro</t>
    </r>
    <r>
      <rPr>
        <sz val="12"/>
        <rFont val="Times New Roman"/>
        <family val="1"/>
        <charset val="186"/>
      </rPr>
      <t xml:space="preserve"> </t>
    </r>
  </si>
  <si>
    <r>
      <t xml:space="preserve">Pamatlīdzekļi: </t>
    </r>
    <r>
      <rPr>
        <vertAlign val="superscript"/>
        <sz val="12"/>
        <rFont val="Times New Roman"/>
        <family val="1"/>
        <charset val="186"/>
      </rPr>
      <t xml:space="preserve">
</t>
    </r>
    <r>
      <rPr>
        <b/>
        <sz val="12"/>
        <rFont val="Times New Roman"/>
        <family val="1"/>
        <charset val="186"/>
      </rPr>
      <t>Gadā 23 izpētes. Pavisam kopā patēriņš 23 izpētēm ir 512,79 euro</t>
    </r>
    <r>
      <rPr>
        <sz val="12"/>
        <rFont val="Times New Roman"/>
        <family val="1"/>
        <charset val="186"/>
      </rPr>
      <t xml:space="preserve"> </t>
    </r>
  </si>
  <si>
    <r>
      <t xml:space="preserve">
Gadā 23 izpētes. Pavisam kopā patēriņš 23 izpētēm</t>
    </r>
    <r>
      <rPr>
        <b/>
        <sz val="12"/>
        <rFont val="Times New Roman"/>
        <family val="1"/>
        <charset val="186"/>
      </rPr>
      <t xml:space="preserve"> ir 326,89 euro</t>
    </r>
    <r>
      <rPr>
        <sz val="12"/>
        <rFont val="Times New Roman"/>
        <family val="1"/>
        <charset val="186"/>
      </rPr>
      <t xml:space="preserve"> </t>
    </r>
  </si>
  <si>
    <r>
      <t xml:space="preserve">Vidējie izdevumi par komunālajiem pakalpojumiem: </t>
    </r>
    <r>
      <rPr>
        <vertAlign val="superscript"/>
        <sz val="12"/>
        <rFont val="Times New Roman"/>
        <family val="1"/>
        <charset val="186"/>
      </rPr>
      <t xml:space="preserve">
</t>
    </r>
    <r>
      <rPr>
        <sz val="12"/>
        <rFont val="Times New Roman"/>
        <family val="1"/>
        <charset val="186"/>
      </rPr>
      <t>Gadā 3 izpētes. Pavisam kopā patēriņš 3 izpētēm</t>
    </r>
    <r>
      <rPr>
        <b/>
        <u/>
        <sz val="12"/>
        <rFont val="Times New Roman"/>
        <family val="1"/>
        <charset val="186"/>
      </rPr>
      <t xml:space="preserve"> ir 7,36 euro</t>
    </r>
    <r>
      <rPr>
        <sz val="12"/>
        <rFont val="Times New Roman"/>
        <family val="1"/>
        <charset val="186"/>
      </rPr>
      <t xml:space="preserve"> </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</si>
  <si>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3 izpētes. Pavisam kopā patēriņš 3 izpētēm </t>
    </r>
    <r>
      <rPr>
        <b/>
        <sz val="12"/>
        <rFont val="Times New Roman"/>
        <family val="1"/>
        <charset val="186"/>
      </rPr>
      <t>ir 2,10 euro</t>
    </r>
  </si>
  <si>
    <r>
      <rPr>
        <b/>
        <u/>
        <sz val="12"/>
        <rFont val="Times New Roman"/>
        <family val="1"/>
        <charset val="186"/>
      </rPr>
      <t>Gadā 3 izpētes. Pavisam kopā patēriņš 3 izpētēm ir 54,06 euro</t>
    </r>
    <r>
      <rPr>
        <sz val="12"/>
        <rFont val="Times New Roman"/>
        <family val="1"/>
        <charset val="186"/>
      </rPr>
      <t xml:space="preserve"> </t>
    </r>
  </si>
  <si>
    <r>
      <t>Gadā 3 izpētes. Pavisam kopā patēriņš 3 izpētēm</t>
    </r>
    <r>
      <rPr>
        <b/>
        <sz val="12"/>
        <rFont val="Times New Roman"/>
        <family val="1"/>
        <charset val="186"/>
      </rPr>
      <t xml:space="preserve"> ir 0,08 euro</t>
    </r>
    <r>
      <rPr>
        <sz val="12"/>
        <rFont val="Times New Roman"/>
        <family val="1"/>
        <charset val="186"/>
      </rPr>
      <t xml:space="preserve"> </t>
    </r>
  </si>
  <si>
    <r>
      <t xml:space="preserve">Pamatlīdzekļi: </t>
    </r>
    <r>
      <rPr>
        <b/>
        <sz val="12"/>
        <rFont val="Times New Roman"/>
        <family val="1"/>
        <charset val="186"/>
      </rPr>
      <t>Gadā 3 izpētes. Pavisam kopā patēriņš 3 izpētēm ir 21,02 euro</t>
    </r>
  </si>
  <si>
    <r>
      <t>Gadā 3 izpētes. Pavisam kopā patēriņš 3 izpētēm</t>
    </r>
    <r>
      <rPr>
        <b/>
        <sz val="12"/>
        <rFont val="Times New Roman"/>
        <family val="1"/>
        <charset val="186"/>
      </rPr>
      <t xml:space="preserve"> ir 42,64 euro</t>
    </r>
    <r>
      <rPr>
        <sz val="12"/>
        <rFont val="Times New Roman"/>
        <family val="1"/>
        <charset val="186"/>
      </rPr>
      <t xml:space="preserve"> </t>
    </r>
  </si>
  <si>
    <r>
      <t xml:space="preserve">Atalgojums. Gadā 19 izpētes. Pavisam kopā patēriņš 19 izpētēm ir </t>
    </r>
    <r>
      <rPr>
        <b/>
        <sz val="12"/>
        <rFont val="Times New Roman"/>
        <family val="1"/>
        <charset val="186"/>
      </rPr>
      <t>1586,8743 euro</t>
    </r>
    <r>
      <rPr>
        <sz val="12"/>
        <rFont val="Times New Roman"/>
        <family val="1"/>
        <charset val="186"/>
      </rPr>
      <t xml:space="preserve"> </t>
    </r>
  </si>
  <si>
    <r>
      <t xml:space="preserve">Vidējie izdevumi par komunālajiem pakalpojumiem: </t>
    </r>
    <r>
      <rPr>
        <sz val="12"/>
        <rFont val="Times New Roman"/>
        <family val="1"/>
        <charset val="186"/>
      </rPr>
      <t xml:space="preserve">Gadā 19 izpētes. Pavisam kopā patēriņš 19 izpētēm </t>
    </r>
    <r>
      <rPr>
        <b/>
        <u/>
        <sz val="12"/>
        <rFont val="Times New Roman"/>
        <family val="1"/>
        <charset val="186"/>
      </rPr>
      <t xml:space="preserve"> ir 69,13 euro</t>
    </r>
  </si>
  <si>
    <r>
      <t xml:space="preserve">Vidējais uzturēšanas izdevumu apjoms: Gadā 19 izpētes. Pavisam kopā patēriņš 19 izpētēm </t>
    </r>
    <r>
      <rPr>
        <b/>
        <sz val="12"/>
        <rFont val="Times New Roman"/>
        <family val="1"/>
        <charset val="186"/>
      </rPr>
      <t xml:space="preserve"> ir 19,75 euro</t>
    </r>
    <r>
      <rPr>
        <sz val="12"/>
        <rFont val="Times New Roman"/>
        <family val="1"/>
        <charset val="186"/>
      </rPr>
      <t xml:space="preserve"> </t>
    </r>
  </si>
  <si>
    <r>
      <t>Biroja preces:</t>
    </r>
    <r>
      <rPr>
        <sz val="12"/>
        <rFont val="Times New Roman"/>
        <family val="1"/>
        <charset val="186"/>
      </rPr>
      <t xml:space="preserve">Gadā 19 izpētes. Pavisam kopā patēriņš 19 izpētēm </t>
    </r>
    <r>
      <rPr>
        <b/>
        <sz val="12"/>
        <rFont val="Times New Roman"/>
        <family val="1"/>
        <charset val="186"/>
      </rPr>
      <t>ir 0,49 euro</t>
    </r>
    <r>
      <rPr>
        <sz val="12"/>
        <rFont val="Times New Roman"/>
        <family val="1"/>
        <charset val="186"/>
      </rPr>
      <t xml:space="preserve"> </t>
    </r>
  </si>
  <si>
    <r>
      <t>Izdevumi inventāram:</t>
    </r>
    <r>
      <rPr>
        <b/>
        <sz val="12"/>
        <rFont val="Times New Roman"/>
        <family val="1"/>
        <charset val="186"/>
      </rPr>
      <t xml:space="preserve">Gadā 19 izpētes. Pavisam kopā patēriņš 19 izpētēm  ir </t>
    </r>
    <r>
      <rPr>
        <b/>
        <u/>
        <sz val="12"/>
        <rFont val="Times New Roman"/>
        <family val="1"/>
        <charset val="186"/>
      </rPr>
      <t xml:space="preserve">0,06 </t>
    </r>
    <r>
      <rPr>
        <b/>
        <sz val="12"/>
        <rFont val="Times New Roman"/>
        <family val="1"/>
        <charset val="186"/>
      </rPr>
      <t>euro</t>
    </r>
    <r>
      <rPr>
        <sz val="12"/>
        <rFont val="Times New Roman"/>
        <family val="1"/>
        <charset val="186"/>
      </rPr>
      <t xml:space="preserve"> </t>
    </r>
  </si>
  <si>
    <r>
      <t xml:space="preserve">Spectērpu izdevumi: </t>
    </r>
    <r>
      <rPr>
        <sz val="12"/>
        <rFont val="Times New Roman"/>
        <family val="1"/>
        <charset val="186"/>
      </rPr>
      <t xml:space="preserve">Gadā 19 izpētes. Pavisam kopā patēriņš 19 izpētēm </t>
    </r>
    <r>
      <rPr>
        <b/>
        <sz val="12"/>
        <rFont val="Times New Roman"/>
        <family val="1"/>
        <charset val="186"/>
      </rPr>
      <t>ir 0,57 euro</t>
    </r>
    <r>
      <rPr>
        <sz val="12"/>
        <rFont val="Times New Roman"/>
        <family val="1"/>
        <charset val="186"/>
      </rPr>
      <t xml:space="preserve"> </t>
    </r>
  </si>
  <si>
    <r>
      <t xml:space="preserve">Gadā 19 izpētes. Pavisam kopā patēriņš 19 izpētēm </t>
    </r>
    <r>
      <rPr>
        <b/>
        <sz val="12"/>
        <rFont val="Times New Roman"/>
        <family val="1"/>
        <charset val="186"/>
      </rPr>
      <t>ir 1,57 euro</t>
    </r>
  </si>
  <si>
    <r>
      <t>Gadā 19 izpētes. Pavisam kopā patēriņš 19 izpētēm</t>
    </r>
    <r>
      <rPr>
        <b/>
        <sz val="12"/>
        <rFont val="Times New Roman"/>
        <family val="1"/>
        <charset val="186"/>
      </rPr>
      <t xml:space="preserve"> ir 270,04 euro</t>
    </r>
  </si>
  <si>
    <r>
      <rPr>
        <b/>
        <u/>
        <sz val="12"/>
        <rFont val="Times New Roman"/>
        <family val="1"/>
        <charset val="186"/>
      </rPr>
      <t>Pavisam kopā izdevumi inventāram 1 izpētes veikšanai 48,54 euro</t>
    </r>
    <r>
      <rPr>
        <sz val="12"/>
        <rFont val="Times New Roman"/>
        <family val="1"/>
        <charset val="186"/>
      </rPr>
      <t xml:space="preserve"> </t>
    </r>
  </si>
  <si>
    <r>
      <t xml:space="preserve">Gadā 1 izpēte. </t>
    </r>
    <r>
      <rPr>
        <b/>
        <sz val="11"/>
        <rFont val="Times New Roman"/>
        <family val="1"/>
        <charset val="186"/>
      </rPr>
      <t>Pavisam kopā patēriņš 1 izpētei ir 14,2124 euro</t>
    </r>
  </si>
  <si>
    <r>
      <t xml:space="preserve">Vidējie izdevumi par komunālajiem pakalpojumiem: </t>
    </r>
    <r>
      <rPr>
        <vertAlign val="superscript"/>
        <sz val="12"/>
        <rFont val="Times New Roman"/>
        <family val="1"/>
        <charset val="186"/>
      </rPr>
      <t xml:space="preserve">
</t>
    </r>
    <r>
      <rPr>
        <sz val="12"/>
        <rFont val="Times New Roman"/>
        <family val="1"/>
        <charset val="186"/>
      </rPr>
      <t xml:space="preserve">Gadā 1 izpēte. </t>
    </r>
    <r>
      <rPr>
        <b/>
        <u/>
        <sz val="12"/>
        <rFont val="Times New Roman"/>
        <family val="1"/>
        <charset val="186"/>
      </rPr>
      <t>Pavisam kopā patēriņš 1 izpētei ir 3,79 euro</t>
    </r>
    <r>
      <rPr>
        <sz val="12"/>
        <rFont val="Times New Roman"/>
        <family val="1"/>
        <charset val="186"/>
      </rPr>
      <t xml:space="preserve"> </t>
    </r>
  </si>
  <si>
    <r>
      <t xml:space="preserve">Vidējais uzturēšanas izdevumu apjoms: </t>
    </r>
    <r>
      <rPr>
        <vertAlign val="superscript"/>
        <sz val="12"/>
        <rFont val="Times New Roman"/>
        <family val="1"/>
        <charset val="186"/>
      </rPr>
      <t xml:space="preserve">
</t>
    </r>
    <r>
      <rPr>
        <sz val="12"/>
        <rFont val="Times New Roman"/>
        <family val="1"/>
        <charset val="186"/>
      </rPr>
      <t xml:space="preserve">Gadā 1 izpēte. </t>
    </r>
    <r>
      <rPr>
        <b/>
        <sz val="12"/>
        <rFont val="Times New Roman"/>
        <family val="1"/>
        <charset val="186"/>
      </rPr>
      <t>Pavisam kopā patēriņš 1 izpētei ir 1,08 euro</t>
    </r>
    <r>
      <rPr>
        <sz val="12"/>
        <rFont val="Times New Roman"/>
        <family val="1"/>
        <charset val="186"/>
      </rPr>
      <t xml:space="preserve"> </t>
    </r>
  </si>
  <si>
    <r>
      <rPr>
        <b/>
        <u/>
        <sz val="12"/>
        <rFont val="Times New Roman"/>
        <family val="1"/>
        <charset val="186"/>
      </rPr>
      <t xml:space="preserve">Autopsijas veikšana:
</t>
    </r>
    <r>
      <rPr>
        <sz val="12"/>
        <rFont val="Times New Roman"/>
        <family val="1"/>
        <charset val="186"/>
      </rPr>
      <t xml:space="preserve">Gadā 7 autopsijas. </t>
    </r>
    <r>
      <rPr>
        <b/>
        <sz val="12"/>
        <rFont val="Times New Roman"/>
        <family val="1"/>
        <charset val="186"/>
      </rPr>
      <t xml:space="preserve">Pavisam kopā izmaksas 7 autopsiju veikšanai 0,55 </t>
    </r>
    <r>
      <rPr>
        <sz val="12"/>
        <rFont val="Times New Roman"/>
        <family val="1"/>
        <charset val="186"/>
      </rPr>
      <t xml:space="preserve">euro </t>
    </r>
  </si>
  <si>
    <r>
      <rPr>
        <b/>
        <u/>
        <sz val="12"/>
        <color theme="1"/>
        <rFont val="Times New Roman"/>
        <family val="1"/>
        <charset val="186"/>
      </rPr>
      <t xml:space="preserve">Autopsijas veikšana: </t>
    </r>
    <r>
      <rPr>
        <sz val="12"/>
        <color theme="1"/>
        <rFont val="Times New Roman"/>
        <family val="1"/>
        <charset val="186"/>
      </rPr>
      <t xml:space="preserve"> Gadā 7 autopsijas. </t>
    </r>
    <r>
      <rPr>
        <b/>
        <sz val="12"/>
        <color theme="1"/>
        <rFont val="Times New Roman"/>
        <family val="1"/>
        <charset val="186"/>
      </rPr>
      <t>Pavisam kopā izmaksas 7 autopsiju veikšanai 24,92</t>
    </r>
    <r>
      <rPr>
        <sz val="12"/>
        <color theme="1"/>
        <rFont val="Times New Roman"/>
        <family val="1"/>
        <charset val="186"/>
      </rPr>
      <t xml:space="preserve"> euro </t>
    </r>
  </si>
  <si>
    <r>
      <t xml:space="preserve">Pamatlīdzeklis:
</t>
    </r>
    <r>
      <rPr>
        <sz val="11"/>
        <rFont val="Times New Roman"/>
        <family val="1"/>
        <charset val="186"/>
      </rPr>
      <t xml:space="preserve">Gadā 7 autopsijas. </t>
    </r>
    <r>
      <rPr>
        <b/>
        <sz val="11"/>
        <rFont val="Times New Roman"/>
        <family val="1"/>
        <charset val="186"/>
      </rPr>
      <t>Pavisam kopā izmaksas 7 autopsiju veikšanai 3,57 euro</t>
    </r>
    <r>
      <rPr>
        <sz val="11"/>
        <rFont val="Times New Roman"/>
        <family val="1"/>
        <charset val="186"/>
      </rPr>
      <t xml:space="preserve"> </t>
    </r>
  </si>
  <si>
    <r>
      <t xml:space="preserve">Pamatlīdzeklis:
</t>
    </r>
    <r>
      <rPr>
        <b/>
        <u/>
        <sz val="12"/>
        <color theme="1"/>
        <rFont val="Times New Roman"/>
        <family val="1"/>
        <charset val="186"/>
      </rPr>
      <t xml:space="preserve">Histoloģijas laboratorijas pakalpojumi: </t>
    </r>
    <r>
      <rPr>
        <sz val="12"/>
        <color theme="1"/>
        <rFont val="Times New Roman"/>
        <family val="1"/>
        <charset val="186"/>
      </rPr>
      <t>Gadā 7 izpētes. Pavisam kopā izmaksas izpētes veikšanai 0,91 euro</t>
    </r>
    <r>
      <rPr>
        <b/>
        <u/>
        <sz val="11"/>
        <color theme="1"/>
        <rFont val="Times New Roman"/>
        <family val="1"/>
        <charset val="186"/>
      </rPr>
      <t/>
    </r>
  </si>
  <si>
    <r>
      <rPr>
        <b/>
        <u/>
        <sz val="12"/>
        <color theme="1"/>
        <rFont val="Times New Roman"/>
        <family val="1"/>
        <charset val="186"/>
      </rPr>
      <t>Ķīmiski toskikoloģiskā izpēte ar gāzes hromatogrāfijas metodi alkohola un tā surogātu noteikšanai:</t>
    </r>
    <r>
      <rPr>
        <sz val="12"/>
        <color theme="1"/>
        <rFont val="Times New Roman"/>
        <family val="1"/>
        <charset val="186"/>
      </rPr>
      <t xml:space="preserve">
Izdevumi laboratorijas precēm: Gadā 7 izpētes. Pavisam kopā izmaksas izpētes veikšanai </t>
    </r>
    <r>
      <rPr>
        <b/>
        <u/>
        <sz val="12"/>
        <color theme="1"/>
        <rFont val="Times New Roman"/>
        <family val="1"/>
        <charset val="186"/>
      </rPr>
      <t>50,65</t>
    </r>
    <r>
      <rPr>
        <sz val="12"/>
        <color theme="1"/>
        <rFont val="Times New Roman"/>
        <family val="1"/>
        <charset val="186"/>
      </rPr>
      <t xml:space="preserve"> euro</t>
    </r>
  </si>
  <si>
    <r>
      <t xml:space="preserve">Pamatlīdzeklis:
</t>
    </r>
    <r>
      <rPr>
        <b/>
        <u/>
        <sz val="12"/>
        <rFont val="Times New Roman"/>
        <family val="1"/>
        <charset val="186"/>
      </rPr>
      <t xml:space="preserve">Autopsijas veikšana: </t>
    </r>
    <r>
      <rPr>
        <sz val="12"/>
        <rFont val="Times New Roman"/>
        <family val="1"/>
        <charset val="186"/>
      </rPr>
      <t xml:space="preserve">Kopā izdevumi uz 1 izpēti </t>
    </r>
    <r>
      <rPr>
        <b/>
        <u/>
        <sz val="12"/>
        <rFont val="Times New Roman"/>
        <family val="1"/>
        <charset val="186"/>
      </rPr>
      <t xml:space="preserve">1,16 </t>
    </r>
    <r>
      <rPr>
        <sz val="12"/>
        <rFont val="Times New Roman"/>
        <family val="1"/>
        <charset val="186"/>
      </rPr>
      <t xml:space="preserve">euro </t>
    </r>
    <r>
      <rPr>
        <b/>
        <u/>
        <sz val="11"/>
        <rFont val="Times New Roman"/>
        <family val="1"/>
        <charset val="186"/>
      </rPr>
      <t/>
    </r>
  </si>
  <si>
    <r>
      <t xml:space="preserve">Pamatlīdzekļi: 
</t>
    </r>
    <r>
      <rPr>
        <b/>
        <u/>
        <sz val="12"/>
        <rFont val="Times New Roman"/>
        <family val="1"/>
        <charset val="186"/>
      </rPr>
      <t xml:space="preserve">Autopsijas veikšana: </t>
    </r>
    <r>
      <rPr>
        <sz val="12"/>
        <rFont val="Times New Roman"/>
        <family val="1"/>
        <charset val="186"/>
      </rPr>
      <t xml:space="preserve">Gada nolietojums ēkām: Nolietojums 1 izpētei </t>
    </r>
    <r>
      <rPr>
        <b/>
        <sz val="12"/>
        <rFont val="Times New Roman"/>
        <family val="1"/>
        <charset val="186"/>
      </rPr>
      <t>12,32 eur</t>
    </r>
    <r>
      <rPr>
        <sz val="12"/>
        <rFont val="Times New Roman"/>
        <family val="1"/>
        <charset val="186"/>
      </rPr>
      <t xml:space="preserve">o </t>
    </r>
  </si>
  <si>
    <r>
      <t xml:space="preserve">Autopsijas veikšana: </t>
    </r>
    <r>
      <rPr>
        <sz val="12"/>
        <rFont val="Times New Roman"/>
        <family val="1"/>
        <charset val="186"/>
      </rPr>
      <t xml:space="preserve">Izdevumi kopā 1 autopsijas veikšanai </t>
    </r>
    <r>
      <rPr>
        <b/>
        <u/>
        <sz val="12"/>
        <rFont val="Times New Roman"/>
        <family val="1"/>
        <charset val="186"/>
      </rPr>
      <t>0,22</t>
    </r>
    <r>
      <rPr>
        <sz val="12"/>
        <rFont val="Times New Roman"/>
        <family val="1"/>
        <charset val="186"/>
      </rPr>
      <t xml:space="preserve"> euro</t>
    </r>
  </si>
  <si>
    <r>
      <rPr>
        <b/>
        <u/>
        <sz val="12"/>
        <rFont val="Times New Roman"/>
        <family val="1"/>
        <charset val="186"/>
      </rPr>
      <t xml:space="preserve">Autopsijas veikšana: </t>
    </r>
    <r>
      <rPr>
        <b/>
        <sz val="12"/>
        <rFont val="Times New Roman"/>
        <family val="1"/>
        <charset val="186"/>
      </rPr>
      <t>Kopā 1 izpētes veikšanai 3,74 euro</t>
    </r>
    <r>
      <rPr>
        <sz val="12"/>
        <rFont val="Times New Roman"/>
        <family val="1"/>
        <charset val="186"/>
      </rPr>
      <t xml:space="preserve"> </t>
    </r>
  </si>
  <si>
    <r>
      <t xml:space="preserve">Pamatlīdzeklis: </t>
    </r>
    <r>
      <rPr>
        <b/>
        <u/>
        <sz val="12"/>
        <color theme="1"/>
        <rFont val="Times New Roman"/>
        <family val="1"/>
        <charset val="186"/>
      </rPr>
      <t>Histoloģijas laboratorijas pakalpojumi:</t>
    </r>
    <r>
      <rPr>
        <sz val="12"/>
        <color theme="1"/>
        <rFont val="Times New Roman"/>
        <family val="1"/>
        <charset val="186"/>
      </rPr>
      <t xml:space="preserve">
Kopā izdevumi uz 1 izpēti </t>
    </r>
    <r>
      <rPr>
        <b/>
        <u/>
        <sz val="12"/>
        <color theme="1"/>
        <rFont val="Times New Roman"/>
        <family val="1"/>
        <charset val="186"/>
      </rPr>
      <t>0,71</t>
    </r>
    <r>
      <rPr>
        <sz val="12"/>
        <color theme="1"/>
        <rFont val="Times New Roman"/>
        <family val="1"/>
        <charset val="186"/>
      </rPr>
      <t xml:space="preserve"> euro</t>
    </r>
    <r>
      <rPr>
        <b/>
        <u/>
        <sz val="12"/>
        <color theme="1"/>
        <rFont val="Times New Roman"/>
        <family val="1"/>
        <charset val="186"/>
      </rPr>
      <t xml:space="preserve">
</t>
    </r>
  </si>
  <si>
    <r>
      <t xml:space="preserve">Pamatlīdzeklis: </t>
    </r>
    <r>
      <rPr>
        <b/>
        <u/>
        <sz val="12"/>
        <color theme="1"/>
        <rFont val="Times New Roman"/>
        <family val="1"/>
        <charset val="186"/>
      </rPr>
      <t xml:space="preserve">Histoloģijas laboratorijas pakalpojumi:
</t>
    </r>
    <r>
      <rPr>
        <sz val="12"/>
        <color theme="1"/>
        <rFont val="Times New Roman"/>
        <family val="1"/>
        <charset val="186"/>
      </rPr>
      <t xml:space="preserve">Patēriņš 1 izpētēi ir 0,33 h un nolietojums ir </t>
    </r>
    <r>
      <rPr>
        <b/>
        <sz val="12"/>
        <color theme="1"/>
        <rFont val="Times New Roman"/>
        <family val="1"/>
        <charset val="186"/>
      </rPr>
      <t>0,13 euro</t>
    </r>
    <r>
      <rPr>
        <sz val="12"/>
        <color theme="1"/>
        <rFont val="Times New Roman"/>
        <family val="1"/>
        <charset val="186"/>
      </rPr>
      <t xml:space="preserve"> </t>
    </r>
    <r>
      <rPr>
        <b/>
        <u/>
        <sz val="11"/>
        <color theme="1"/>
        <rFont val="Times New Roman"/>
        <family val="1"/>
        <charset val="186"/>
      </rPr>
      <t/>
    </r>
  </si>
  <si>
    <r>
      <t xml:space="preserve">Pamatlīdzekļi: Gada nolietojums ēkai: Patēriņš uz 1 izpēti ir </t>
    </r>
    <r>
      <rPr>
        <b/>
        <sz val="12"/>
        <rFont val="Times New Roman"/>
        <family val="1"/>
        <charset val="186"/>
      </rPr>
      <t>3,23</t>
    </r>
    <r>
      <rPr>
        <sz val="12"/>
        <rFont val="Times New Roman"/>
        <family val="1"/>
        <charset val="186"/>
      </rPr>
      <t xml:space="preserve"> euro</t>
    </r>
  </si>
  <si>
    <r>
      <rPr>
        <b/>
        <u/>
        <sz val="12"/>
        <rFont val="Times New Roman"/>
        <family val="1"/>
        <charset val="186"/>
      </rPr>
      <t>Ķīmiski toskikoloģiskā izpēte ar gāzes hromatogrāfijas metodi alkohola un tā surogātu noteikšanai:</t>
    </r>
    <r>
      <rPr>
        <sz val="12"/>
        <rFont val="Times New Roman"/>
        <family val="1"/>
        <charset val="186"/>
      </rPr>
      <t xml:space="preserve">
Vidējie izdevumi par komunālajiem pakalpojumiem:  Patēriņš uz 1 izpēti ir </t>
    </r>
    <r>
      <rPr>
        <b/>
        <sz val="12"/>
        <rFont val="Times New Roman"/>
        <family val="1"/>
        <charset val="186"/>
      </rPr>
      <t>1,13</t>
    </r>
    <r>
      <rPr>
        <sz val="12"/>
        <rFont val="Times New Roman"/>
        <family val="1"/>
        <charset val="186"/>
      </rPr>
      <t xml:space="preserve"> euro </t>
    </r>
  </si>
  <si>
    <r>
      <t xml:space="preserve">Pamatlīdzekļi: Gada nolietojums ēkai:
Gadā 1 izraksts. </t>
    </r>
    <r>
      <rPr>
        <b/>
        <sz val="12"/>
        <rFont val="Times New Roman"/>
        <family val="1"/>
        <charset val="186"/>
      </rPr>
      <t>Pavisam kopā patēriņš 1 izrakstam ir 1,15 euro</t>
    </r>
  </si>
  <si>
    <t xml:space="preserve">Gadā 75 mirušie, patēriņš 75 pakalpojumiem 3,75 euro </t>
  </si>
  <si>
    <r>
      <t xml:space="preserve">Pamatlīdzeklis: Gadā 35 atzinumi. </t>
    </r>
    <r>
      <rPr>
        <b/>
        <sz val="12"/>
        <rFont val="Times New Roman"/>
        <family val="1"/>
        <charset val="186"/>
      </rPr>
      <t xml:space="preserve">Pavisam kopā patēriņš 35 atzinumiem ir 1,39 </t>
    </r>
    <r>
      <rPr>
        <sz val="12"/>
        <rFont val="Times New Roman"/>
        <family val="1"/>
        <charset val="186"/>
      </rPr>
      <t xml:space="preserve">euro </t>
    </r>
  </si>
  <si>
    <r>
      <rPr>
        <u/>
        <sz val="12"/>
        <rFont val="Times New Roman"/>
        <family val="1"/>
        <charset val="186"/>
      </rPr>
      <t xml:space="preserve">Aizsargcimdu </t>
    </r>
    <r>
      <rPr>
        <sz val="12"/>
        <rFont val="Times New Roman"/>
        <family val="1"/>
        <charset val="186"/>
      </rPr>
      <t xml:space="preserve">cena 0,027 euro. Vienai izpētei 3 gb,  patēriņš ir </t>
    </r>
    <r>
      <rPr>
        <b/>
        <sz val="12"/>
        <rFont val="Times New Roman"/>
        <family val="1"/>
        <charset val="186"/>
      </rPr>
      <t xml:space="preserve">0,08 </t>
    </r>
    <r>
      <rPr>
        <sz val="12"/>
        <rFont val="Times New Roman"/>
        <family val="1"/>
        <charset val="186"/>
      </rPr>
      <t>euro</t>
    </r>
  </si>
  <si>
    <r>
      <t>Tiesu medicīniskā ekspertīze noteikumu 3</t>
    </r>
    <r>
      <rPr>
        <vertAlign val="superscript"/>
        <sz val="12"/>
        <rFont val="Times New Roman"/>
        <family val="1"/>
        <charset val="186"/>
      </rPr>
      <t>.3</t>
    </r>
    <r>
      <rPr>
        <sz val="12"/>
        <rFont val="Times New Roman"/>
        <family val="1"/>
        <charset val="186"/>
      </rPr>
      <t xml:space="preserve"> punktā norādītajai mirušajai personai, ietverot mirušā autopsiju, histoloģisko, toksikoloģisko (etanola noteikšana asinīs), kriminālistisko un bioloģisko izpēti, pamatojoties uz procesa virzītāja lēmumu par tiesu medicīniskās ekspertīzes noteikšanu:</t>
    </r>
  </si>
  <si>
    <r>
      <t>Tiesu medicīniskā ekspertīze dzīvai personai – noteikumu 3.</t>
    </r>
    <r>
      <rPr>
        <vertAlign val="superscript"/>
        <sz val="12"/>
        <rFont val="Times New Roman"/>
        <family val="1"/>
        <charset val="186"/>
      </rPr>
      <t>3</t>
    </r>
    <r>
      <rPr>
        <sz val="12"/>
        <rFont val="Times New Roman"/>
        <family val="1"/>
        <charset val="186"/>
      </rPr>
      <t xml:space="preserve"> punktā norādītajām personām, pamatojoties uz ekspertīzes noteicēja lēmumu:</t>
    </r>
  </si>
  <si>
    <r>
      <rPr>
        <vertAlign val="superscript"/>
        <sz val="12"/>
        <rFont val="Times New Roman"/>
        <family val="1"/>
        <charset val="186"/>
      </rPr>
      <t>4</t>
    </r>
    <r>
      <rPr>
        <sz val="12"/>
        <rFont val="Times New Roman"/>
        <family val="1"/>
        <charset val="186"/>
      </rPr>
      <t xml:space="preserve"> Viens papildus cilvēks pie standarta paternitātes un parentitātes noteikšanas ekspertīzes </t>
    </r>
  </si>
  <si>
    <r>
      <rPr>
        <vertAlign val="superscript"/>
        <sz val="12"/>
        <rFont val="Times New Roman"/>
        <family val="1"/>
        <charset val="186"/>
      </rPr>
      <t xml:space="preserve">7 </t>
    </r>
    <r>
      <rPr>
        <sz val="12"/>
        <rFont val="Times New Roman"/>
        <family val="1"/>
        <charset val="186"/>
      </rPr>
      <t xml:space="preserve">Maksa par mirušā uzglabāšanu centrā ilgāk par trīm dienām (sākot no ceturtās dienas (ja mirušais reģistrēts Valsts tiesu medicīnas ekspertīzes centrā pirms plkst.21.00, mirušā uzglabāšanas kopējā laikā šī diena tiek ieskaitīta pilnā apmērā)), tiek noteikta no brīža, kad vienlaikus īstenojas šādi nosacījumi:
a) mirušajam centrā ir pabeigta tiesu medicīniskā autopsija;
b) mirušā piederīgajam vai tā pilnvarotajai personai izsniegta medicīniskā apliecība par nāves cēloni vai miršanas apliecība;
c) procesa virzītājam nav iebildumu pret mirušā izsniegšanu apbedīšanai, bet gadījumos, ja mirušo plānots kremēt, saņemta izmeklēšanu uzraugošā prokurora atļauja. </t>
    </r>
  </si>
  <si>
    <r>
      <rPr>
        <vertAlign val="superscript"/>
        <sz val="12"/>
        <rFont val="Times New Roman"/>
        <family val="1"/>
        <charset val="186"/>
      </rPr>
      <t>9</t>
    </r>
    <r>
      <rPr>
        <sz val="12"/>
        <rFont val="Times New Roman"/>
        <family val="1"/>
        <charset val="186"/>
      </rPr>
      <t xml:space="preserve"> Pakalpojumu neveic gadījumos, ja apsekojamai fiziskajai personai kriminālprocesa vai administratīvā pārkāpuma procesa ietvaros noteikta tiesu medicīniskā ekspertīze. Pakalpojums ietver miesas bojājumu esamības noteikšanu, rašanās laiku un mehānismu, kā arī smaguma pakāpes novērtēšanu un saistības ar diagnosticētās saslimšanas noteikšanu.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</si>
</sst>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3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vertAlign val="superscript"/>
      <sz val="12"/>
      <color theme="1"/>
      <name val="Times New Roman"/>
      <family val="1"/>
      <charset val="186"/>
    </font>
    <font>
      <sz val="12"/>
      <color rgb="FF000000"/>
      <name val="Times New Roman"/>
      <family val="1"/>
      <charset val="186"/>
    </font>
    <font>
      <i/>
      <sz val="12"/>
      <color rgb="FF000000"/>
      <name val="Times New Roman"/>
      <family val="1"/>
      <charset val="186"/>
    </font>
    <font>
      <b/>
      <sz val="12"/>
      <color rgb="FF000000"/>
      <name val="Times New Roman"/>
      <family val="1"/>
      <charset val="186"/>
    </font>
    <font>
      <sz val="12"/>
      <color rgb="FFFF0000"/>
      <name val="Times New Roman"/>
      <family val="1"/>
      <charset val="186"/>
    </font>
    <font>
      <sz val="12"/>
      <name val="Times New Roman"/>
      <family val="1"/>
      <charset val="186"/>
    </font>
    <font>
      <b/>
      <sz val="12"/>
      <name val="Times New Roman"/>
      <family val="1"/>
      <charset val="186"/>
    </font>
    <font>
      <u/>
      <sz val="12"/>
      <color theme="1"/>
      <name val="Times New Roman"/>
      <family val="1"/>
      <charset val="186"/>
    </font>
    <font>
      <b/>
      <i/>
      <sz val="12"/>
      <color theme="1"/>
      <name val="Times New Roman"/>
      <family val="1"/>
      <charset val="186"/>
    </font>
    <font>
      <b/>
      <i/>
      <sz val="12"/>
      <name val="Times New Roman"/>
      <family val="1"/>
      <charset val="186"/>
    </font>
    <font>
      <i/>
      <sz val="12"/>
      <name val="Times New Roman"/>
      <family val="1"/>
      <charset val="186"/>
    </font>
    <font>
      <b/>
      <u/>
      <sz val="12"/>
      <color theme="1"/>
      <name val="Times New Roman"/>
      <family val="1"/>
      <charset val="186"/>
    </font>
    <font>
      <b/>
      <u/>
      <sz val="12"/>
      <name val="Times New Roman"/>
      <family val="1"/>
      <charset val="186"/>
    </font>
    <font>
      <u/>
      <sz val="12"/>
      <name val="Times New Roman"/>
      <family val="1"/>
      <charset val="186"/>
    </font>
    <font>
      <b/>
      <u/>
      <sz val="12"/>
      <color rgb="FFFF0000"/>
      <name val="Times New Roman"/>
      <family val="1"/>
      <charset val="186"/>
    </font>
    <font>
      <vertAlign val="superscript"/>
      <sz val="12"/>
      <name val="Times New Roman"/>
      <family val="1"/>
      <charset val="186"/>
    </font>
    <font>
      <b/>
      <sz val="11"/>
      <name val="Times New Roman"/>
      <family val="1"/>
      <charset val="186"/>
    </font>
    <font>
      <sz val="11"/>
      <name val="Times New Roman"/>
      <family val="1"/>
      <charset val="186"/>
    </font>
    <font>
      <b/>
      <u/>
      <sz val="11"/>
      <name val="Times New Roman"/>
      <family val="1"/>
      <charset val="186"/>
    </font>
    <font>
      <sz val="11"/>
      <color theme="1"/>
      <name val="Times New Roman"/>
      <family val="1"/>
      <charset val="186"/>
    </font>
    <font>
      <b/>
      <u/>
      <sz val="11"/>
      <color theme="1"/>
      <name val="Times New Roman"/>
      <family val="1"/>
      <charset val="186"/>
    </font>
    <font>
      <sz val="11"/>
      <color rgb="FFFF0000"/>
      <name val="Times New Roman"/>
      <family val="1"/>
      <charset val="186"/>
    </font>
    <font>
      <sz val="10"/>
      <name val="Arial"/>
      <family val="2"/>
      <charset val="186"/>
    </font>
    <font>
      <sz val="11"/>
      <name val="Arial"/>
      <family val="2"/>
      <charset val="186"/>
    </font>
    <font>
      <sz val="10"/>
      <color theme="1"/>
      <name val="Times New Roman"/>
      <family val="1"/>
      <charset val="186"/>
    </font>
    <font>
      <u/>
      <sz val="11"/>
      <color theme="10"/>
      <name val="Calibri"/>
      <family val="2"/>
      <charset val="186"/>
    </font>
    <font>
      <u/>
      <sz val="10"/>
      <color theme="10"/>
      <name val="Times New Roman"/>
      <family val="1"/>
      <charset val="186"/>
    </font>
    <font>
      <sz val="10"/>
      <name val="Times New Roman"/>
      <family val="1"/>
      <charset val="186"/>
    </font>
    <font>
      <u/>
      <sz val="11"/>
      <name val="Times New Roman"/>
      <family val="1"/>
      <charset val="186"/>
    </font>
    <font>
      <u/>
      <sz val="11"/>
      <color theme="10"/>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3">
    <xf numFmtId="0" fontId="0" fillId="0" borderId="0"/>
    <xf numFmtId="0" fontId="26" fillId="0" borderId="0"/>
    <xf numFmtId="0" fontId="29" fillId="0" borderId="0" applyNumberFormat="0" applyFill="0" applyBorder="0" applyAlignment="0" applyProtection="0">
      <alignment vertical="top"/>
      <protection locked="0"/>
    </xf>
  </cellStyleXfs>
  <cellXfs count="28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vertical="center" wrapText="1"/>
    </xf>
    <xf numFmtId="0" fontId="1" fillId="0" borderId="4" xfId="0" applyFont="1" applyBorder="1" applyAlignment="1">
      <alignment horizontal="center" vertical="center" wrapText="1"/>
    </xf>
    <xf numFmtId="0" fontId="1" fillId="0" borderId="0" xfId="0" applyFont="1"/>
    <xf numFmtId="0" fontId="1" fillId="0" borderId="4" xfId="0" applyFont="1" applyBorder="1" applyAlignment="1">
      <alignment horizontal="justify" vertical="center" wrapText="1"/>
    </xf>
    <xf numFmtId="0" fontId="2" fillId="0" borderId="4" xfId="0" applyFont="1" applyBorder="1" applyAlignment="1">
      <alignment horizontal="right" vertical="center" wrapText="1"/>
    </xf>
    <xf numFmtId="2" fontId="1" fillId="0" borderId="4"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2" fontId="1" fillId="0" borderId="0" xfId="0" applyNumberFormat="1" applyFont="1"/>
    <xf numFmtId="0" fontId="9" fillId="0" borderId="4" xfId="0" applyFont="1" applyBorder="1" applyAlignment="1">
      <alignment horizontal="justify" vertical="center" wrapText="1"/>
    </xf>
    <xf numFmtId="0" fontId="1" fillId="3" borderId="0" xfId="0" applyFont="1" applyFill="1"/>
    <xf numFmtId="0" fontId="9" fillId="3" borderId="4" xfId="0" applyFont="1" applyFill="1" applyBorder="1" applyAlignment="1">
      <alignment horizontal="justify" vertical="center" wrapText="1"/>
    </xf>
    <xf numFmtId="2" fontId="7" fillId="0" borderId="6" xfId="0" applyNumberFormat="1" applyFont="1" applyBorder="1" applyAlignment="1">
      <alignment horizontal="center" vertical="center"/>
    </xf>
    <xf numFmtId="2" fontId="8" fillId="0" borderId="4" xfId="0" applyNumberFormat="1" applyFont="1" applyBorder="1" applyAlignment="1">
      <alignment horizontal="center" vertical="center" wrapText="1"/>
    </xf>
    <xf numFmtId="2" fontId="1" fillId="3" borderId="4" xfId="0" applyNumberFormat="1" applyFont="1" applyFill="1" applyBorder="1" applyAlignment="1">
      <alignment horizontal="center" vertical="center" wrapText="1"/>
    </xf>
    <xf numFmtId="0" fontId="9" fillId="0" borderId="0" xfId="0" applyFont="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4" xfId="0" applyFont="1" applyBorder="1" applyAlignment="1">
      <alignment vertical="center" wrapText="1"/>
    </xf>
    <xf numFmtId="0" fontId="9" fillId="0" borderId="4" xfId="0" applyFont="1" applyBorder="1" applyAlignment="1">
      <alignment horizontal="center" vertical="center" wrapText="1"/>
    </xf>
    <xf numFmtId="2" fontId="9" fillId="3" borderId="4" xfId="0" applyNumberFormat="1" applyFont="1" applyFill="1" applyBorder="1" applyAlignment="1">
      <alignment horizontal="center" vertical="center" wrapText="1"/>
    </xf>
    <xf numFmtId="2" fontId="10" fillId="0" borderId="4"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0" fontId="9" fillId="3" borderId="0" xfId="0" applyFont="1" applyFill="1"/>
    <xf numFmtId="2" fontId="9" fillId="0" borderId="0" xfId="0" applyNumberFormat="1" applyFont="1"/>
    <xf numFmtId="0" fontId="10" fillId="0" borderId="4" xfId="0" applyFont="1" applyBorder="1" applyAlignment="1">
      <alignment horizontal="right" vertical="center" wrapText="1"/>
    </xf>
    <xf numFmtId="0" fontId="9" fillId="0" borderId="5" xfId="0" applyFont="1" applyBorder="1" applyAlignment="1">
      <alignment horizontal="center" vertical="center"/>
    </xf>
    <xf numFmtId="2" fontId="10" fillId="0" borderId="6" xfId="0" applyNumberFormat="1" applyFont="1" applyBorder="1" applyAlignment="1">
      <alignment horizontal="center" vertical="center"/>
    </xf>
    <xf numFmtId="164" fontId="9" fillId="0" borderId="0" xfId="0" applyNumberFormat="1" applyFont="1"/>
    <xf numFmtId="0" fontId="21" fillId="0" borderId="3" xfId="0" applyFont="1" applyBorder="1" applyAlignment="1">
      <alignment horizontal="center" vertical="center" wrapText="1"/>
    </xf>
    <xf numFmtId="0" fontId="21" fillId="0" borderId="0" xfId="0" applyFont="1"/>
    <xf numFmtId="164" fontId="9" fillId="0" borderId="4" xfId="0" applyNumberFormat="1" applyFont="1" applyBorder="1" applyAlignment="1">
      <alignment horizontal="center" vertical="center" wrapText="1"/>
    </xf>
    <xf numFmtId="2" fontId="21" fillId="3" borderId="4" xfId="0" applyNumberFormat="1" applyFont="1" applyFill="1" applyBorder="1" applyAlignment="1">
      <alignment horizontal="center" vertical="center" wrapText="1"/>
    </xf>
    <xf numFmtId="0" fontId="16" fillId="0" borderId="4" xfId="0" applyFont="1" applyBorder="1" applyAlignment="1">
      <alignment horizontal="justify" vertical="center" wrapText="1"/>
    </xf>
    <xf numFmtId="165" fontId="1" fillId="0" borderId="4" xfId="0" applyNumberFormat="1" applyFont="1" applyBorder="1" applyAlignment="1">
      <alignment horizontal="center" vertical="center" wrapText="1"/>
    </xf>
    <xf numFmtId="165" fontId="1" fillId="3" borderId="4" xfId="0" applyNumberFormat="1" applyFont="1" applyFill="1" applyBorder="1" applyAlignment="1">
      <alignment horizontal="center" vertical="center" wrapText="1"/>
    </xf>
    <xf numFmtId="0" fontId="9"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0" borderId="8" xfId="0" applyFont="1" applyBorder="1"/>
    <xf numFmtId="165" fontId="9" fillId="0" borderId="0" xfId="0" applyNumberFormat="1" applyFont="1"/>
    <xf numFmtId="0" fontId="25" fillId="0" borderId="0" xfId="0" applyFont="1"/>
    <xf numFmtId="0" fontId="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Border="1"/>
    <xf numFmtId="0" fontId="9" fillId="3" borderId="0" xfId="0" applyFont="1" applyFill="1" applyBorder="1"/>
    <xf numFmtId="0" fontId="21" fillId="0" borderId="0" xfId="0" applyFont="1" applyBorder="1"/>
    <xf numFmtId="0" fontId="9" fillId="0" borderId="3" xfId="0" applyFont="1" applyBorder="1" applyAlignment="1">
      <alignment horizontal="center" vertical="center" wrapText="1"/>
    </xf>
    <xf numFmtId="2" fontId="9" fillId="3" borderId="14" xfId="0" applyNumberFormat="1" applyFont="1" applyFill="1" applyBorder="1" applyAlignment="1">
      <alignment horizontal="center" vertical="center" wrapText="1"/>
    </xf>
    <xf numFmtId="2" fontId="9" fillId="3" borderId="15" xfId="0" applyNumberFormat="1" applyFont="1" applyFill="1" applyBorder="1" applyAlignment="1">
      <alignment horizontal="center" vertical="center" wrapText="1"/>
    </xf>
    <xf numFmtId="2" fontId="9" fillId="3" borderId="16" xfId="0" applyNumberFormat="1" applyFont="1" applyFill="1" applyBorder="1" applyAlignment="1">
      <alignment horizontal="center" vertical="center" wrapText="1"/>
    </xf>
    <xf numFmtId="2" fontId="9" fillId="3" borderId="6" xfId="0" applyNumberFormat="1" applyFont="1" applyFill="1" applyBorder="1" applyAlignment="1">
      <alignment horizontal="center" vertical="center" wrapText="1"/>
    </xf>
    <xf numFmtId="0" fontId="21" fillId="0" borderId="0" xfId="0" applyFont="1" applyAlignment="1">
      <alignment horizontal="left"/>
    </xf>
    <xf numFmtId="0" fontId="8" fillId="0" borderId="0" xfId="0" applyFont="1" applyBorder="1" applyAlignment="1">
      <alignment horizontal="justify" vertical="center" wrapText="1"/>
    </xf>
    <xf numFmtId="0" fontId="10" fillId="0" borderId="10" xfId="0" applyFont="1" applyBorder="1" applyAlignment="1">
      <alignment vertical="center" wrapText="1"/>
    </xf>
    <xf numFmtId="2" fontId="9" fillId="3" borderId="12" xfId="0" applyNumberFormat="1" applyFont="1" applyFill="1" applyBorder="1" applyAlignment="1">
      <alignment horizontal="center" vertical="center" wrapText="1"/>
    </xf>
    <xf numFmtId="2" fontId="10" fillId="0" borderId="16"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2" fontId="9" fillId="3" borderId="18"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9" fillId="3" borderId="8" xfId="0" applyFont="1" applyFill="1" applyBorder="1"/>
    <xf numFmtId="0" fontId="9" fillId="3" borderId="8" xfId="0" applyFont="1" applyFill="1" applyBorder="1" applyAlignment="1">
      <alignment horizontal="left" vertical="center" wrapText="1"/>
    </xf>
    <xf numFmtId="0" fontId="9" fillId="3" borderId="8" xfId="0" applyFont="1" applyFill="1" applyBorder="1" applyAlignment="1">
      <alignment horizontal="center"/>
    </xf>
    <xf numFmtId="2" fontId="9" fillId="3" borderId="4" xfId="0" applyNumberFormat="1" applyFont="1" applyFill="1" applyBorder="1" applyAlignment="1">
      <alignment horizontal="center" vertical="center" wrapText="1"/>
    </xf>
    <xf numFmtId="0" fontId="10" fillId="0" borderId="12" xfId="0" applyFont="1" applyBorder="1" applyAlignment="1">
      <alignment vertical="center" wrapText="1"/>
    </xf>
    <xf numFmtId="2" fontId="21" fillId="3" borderId="4" xfId="0" applyNumberFormat="1" applyFont="1" applyFill="1" applyBorder="1" applyAlignment="1">
      <alignment horizontal="center" vertical="center" wrapText="1"/>
    </xf>
    <xf numFmtId="0" fontId="9" fillId="4" borderId="8" xfId="0" applyFont="1" applyFill="1" applyBorder="1" applyAlignment="1">
      <alignment vertical="center" wrapText="1"/>
    </xf>
    <xf numFmtId="0" fontId="9" fillId="0" borderId="0" xfId="1" applyFont="1"/>
    <xf numFmtId="0" fontId="9" fillId="0" borderId="0" xfId="1" applyFont="1" applyBorder="1"/>
    <xf numFmtId="0" fontId="9" fillId="0" borderId="0" xfId="1" applyFont="1" applyAlignment="1">
      <alignment horizontal="center"/>
    </xf>
    <xf numFmtId="165" fontId="9" fillId="3" borderId="4" xfId="0" applyNumberFormat="1" applyFont="1" applyFill="1" applyBorder="1" applyAlignment="1">
      <alignment horizontal="center" vertical="center" wrapText="1"/>
    </xf>
    <xf numFmtId="2" fontId="9" fillId="3" borderId="8" xfId="0" applyNumberFormat="1" applyFont="1" applyFill="1" applyBorder="1" applyAlignment="1">
      <alignment horizontal="center"/>
    </xf>
    <xf numFmtId="2" fontId="9" fillId="3" borderId="4"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9" fillId="0" borderId="3" xfId="0" applyFont="1" applyBorder="1" applyAlignment="1">
      <alignment horizontal="center" vertical="center" wrapText="1"/>
    </xf>
    <xf numFmtId="2" fontId="9" fillId="3" borderId="4" xfId="0" applyNumberFormat="1" applyFont="1" applyFill="1" applyBorder="1" applyAlignment="1">
      <alignment horizontal="center" vertical="center" wrapText="1"/>
    </xf>
    <xf numFmtId="2" fontId="21" fillId="3" borderId="4"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21" fillId="0" borderId="3" xfId="0" applyFont="1" applyBorder="1" applyAlignment="1">
      <alignment horizontal="center" vertical="center" wrapText="1"/>
    </xf>
    <xf numFmtId="2" fontId="9" fillId="3" borderId="4" xfId="0" applyNumberFormat="1" applyFont="1" applyFill="1" applyBorder="1" applyAlignment="1">
      <alignment horizontal="center" vertical="center" wrapText="1"/>
    </xf>
    <xf numFmtId="2" fontId="21" fillId="3" borderId="4"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21" fillId="0" borderId="3" xfId="0" applyFont="1" applyBorder="1" applyAlignment="1">
      <alignment horizontal="center" vertical="center" wrapText="1"/>
    </xf>
    <xf numFmtId="2" fontId="9" fillId="3" borderId="4" xfId="0" applyNumberFormat="1" applyFont="1" applyFill="1" applyBorder="1" applyAlignment="1">
      <alignment horizontal="center" vertical="center" wrapText="1"/>
    </xf>
    <xf numFmtId="0" fontId="9" fillId="3" borderId="8" xfId="0" applyFont="1" applyFill="1" applyBorder="1" applyAlignment="1">
      <alignment vertical="top" wrapText="1"/>
    </xf>
    <xf numFmtId="0" fontId="9" fillId="0" borderId="4" xfId="0" applyFont="1" applyBorder="1" applyAlignment="1">
      <alignment horizontal="justify" vertical="top" wrapText="1"/>
    </xf>
    <xf numFmtId="0" fontId="9" fillId="3" borderId="4" xfId="0" applyFont="1" applyFill="1" applyBorder="1" applyAlignment="1">
      <alignment horizontal="justify" vertical="top" wrapText="1"/>
    </xf>
    <xf numFmtId="0" fontId="1" fillId="0" borderId="4" xfId="0" applyFont="1" applyBorder="1" applyAlignment="1">
      <alignment horizontal="justify" vertical="top" wrapText="1"/>
    </xf>
    <xf numFmtId="0" fontId="10" fillId="0" borderId="4" xfId="0" applyFont="1" applyBorder="1" applyAlignment="1">
      <alignment horizontal="center" vertical="center" wrapText="1"/>
    </xf>
    <xf numFmtId="0" fontId="10" fillId="0" borderId="4" xfId="0" applyFont="1" applyBorder="1" applyAlignment="1">
      <alignment horizontal="left" vertical="top" wrapText="1"/>
    </xf>
    <xf numFmtId="2" fontId="9" fillId="0" borderId="4" xfId="0" applyNumberFormat="1" applyFont="1" applyBorder="1" applyAlignment="1">
      <alignment horizontal="left" vertical="top" wrapText="1"/>
    </xf>
    <xf numFmtId="0" fontId="9" fillId="3" borderId="4" xfId="0" applyFont="1" applyFill="1" applyBorder="1" applyAlignment="1">
      <alignment horizontal="left" vertical="top" wrapText="1"/>
    </xf>
    <xf numFmtId="0" fontId="10" fillId="0" borderId="4" xfId="0" applyFont="1" applyBorder="1" applyAlignment="1">
      <alignment horizontal="center" vertical="top" wrapText="1"/>
    </xf>
    <xf numFmtId="0" fontId="9" fillId="0" borderId="4" xfId="0" applyFont="1" applyBorder="1" applyAlignment="1">
      <alignment horizontal="justify" wrapText="1"/>
    </xf>
    <xf numFmtId="0" fontId="10" fillId="0" borderId="4" xfId="0" applyFont="1" applyBorder="1" applyAlignment="1">
      <alignment horizontal="center" wrapText="1"/>
    </xf>
    <xf numFmtId="0" fontId="9" fillId="0" borderId="4" xfId="0" applyFont="1" applyBorder="1" applyAlignment="1">
      <alignment horizontal="left" vertical="top" wrapText="1"/>
    </xf>
    <xf numFmtId="2" fontId="9" fillId="3" borderId="4" xfId="0" applyNumberFormat="1" applyFont="1" applyFill="1" applyBorder="1" applyAlignment="1">
      <alignment horizontal="center" vertical="center" wrapText="1"/>
    </xf>
    <xf numFmtId="0" fontId="9" fillId="0" borderId="0" xfId="1" applyFont="1" applyAlignment="1">
      <alignment horizontal="right"/>
    </xf>
    <xf numFmtId="0" fontId="23" fillId="0" borderId="0" xfId="0" applyFont="1"/>
    <xf numFmtId="0" fontId="21" fillId="0" borderId="0" xfId="1" applyFont="1"/>
    <xf numFmtId="0" fontId="21" fillId="0" borderId="0" xfId="1" applyFont="1" applyBorder="1"/>
    <xf numFmtId="0" fontId="21" fillId="0" borderId="0" xfId="1" applyFont="1" applyBorder="1" applyAlignment="1">
      <alignment horizontal="center"/>
    </xf>
    <xf numFmtId="0" fontId="21" fillId="0" borderId="0" xfId="1" applyFont="1" applyAlignment="1">
      <alignment horizontal="right"/>
    </xf>
    <xf numFmtId="0" fontId="27" fillId="0" borderId="0" xfId="0" applyFont="1"/>
    <xf numFmtId="0" fontId="30" fillId="0" borderId="0" xfId="2" applyFont="1" applyAlignment="1" applyProtection="1"/>
    <xf numFmtId="0" fontId="28" fillId="0" borderId="0" xfId="0" applyFont="1" applyAlignment="1"/>
    <xf numFmtId="0" fontId="27" fillId="0" borderId="0" xfId="0" applyFont="1" applyAlignment="1"/>
    <xf numFmtId="0" fontId="28" fillId="0" borderId="0" xfId="0" applyFont="1"/>
    <xf numFmtId="0" fontId="27" fillId="0" borderId="0" xfId="0" applyFont="1" applyAlignment="1">
      <alignment vertical="justify"/>
    </xf>
    <xf numFmtId="0" fontId="29" fillId="0" borderId="0" xfId="2" applyAlignment="1" applyProtection="1"/>
    <xf numFmtId="0" fontId="2" fillId="0" borderId="0" xfId="0" applyFont="1" applyAlignment="1"/>
    <xf numFmtId="0" fontId="2" fillId="0" borderId="4" xfId="0" applyFont="1" applyBorder="1" applyAlignment="1">
      <alignment vertical="top" wrapText="1"/>
    </xf>
    <xf numFmtId="0" fontId="1" fillId="0" borderId="4" xfId="0" applyFont="1" applyBorder="1" applyAlignment="1">
      <alignment horizontal="left" vertical="top" wrapText="1"/>
    </xf>
    <xf numFmtId="0" fontId="10" fillId="0" borderId="4" xfId="0" applyFont="1" applyBorder="1" applyAlignment="1">
      <alignment vertical="top" wrapText="1"/>
    </xf>
    <xf numFmtId="165" fontId="9" fillId="0" borderId="4" xfId="0" applyNumberFormat="1" applyFont="1" applyBorder="1" applyAlignment="1">
      <alignment horizontal="center" vertical="center" wrapText="1"/>
    </xf>
    <xf numFmtId="0" fontId="9" fillId="0" borderId="10" xfId="0" applyFont="1" applyBorder="1" applyAlignment="1">
      <alignment horizontal="justify" vertical="top" wrapText="1"/>
    </xf>
    <xf numFmtId="0" fontId="9" fillId="0" borderId="21" xfId="0" applyFont="1" applyBorder="1" applyAlignment="1">
      <alignment horizontal="justify" vertical="top" wrapText="1"/>
    </xf>
    <xf numFmtId="0" fontId="9" fillId="0" borderId="22" xfId="0" applyFont="1" applyBorder="1" applyAlignment="1">
      <alignment horizontal="justify" vertical="top" wrapText="1"/>
    </xf>
    <xf numFmtId="0" fontId="9" fillId="0" borderId="10" xfId="0" applyFont="1" applyBorder="1" applyAlignment="1">
      <alignment horizontal="left" vertical="top" wrapText="1"/>
    </xf>
    <xf numFmtId="0" fontId="1" fillId="3" borderId="4" xfId="0" applyFont="1" applyFill="1" applyBorder="1" applyAlignment="1">
      <alignment horizontal="justify" vertical="top" wrapText="1"/>
    </xf>
    <xf numFmtId="0" fontId="9" fillId="0" borderId="12" xfId="0" applyFont="1" applyBorder="1" applyAlignment="1">
      <alignment horizontal="justify" vertical="top" wrapText="1"/>
    </xf>
    <xf numFmtId="0" fontId="9" fillId="0" borderId="3" xfId="0" applyFont="1" applyBorder="1" applyAlignment="1">
      <alignment horizontal="justify" vertical="top" wrapText="1"/>
    </xf>
    <xf numFmtId="0" fontId="9" fillId="0" borderId="9" xfId="0" applyFont="1" applyBorder="1" applyAlignment="1">
      <alignment horizontal="justify" vertical="top" wrapText="1"/>
    </xf>
    <xf numFmtId="0" fontId="10" fillId="0" borderId="5" xfId="0" applyFont="1" applyBorder="1" applyAlignment="1">
      <alignment horizontal="center" vertical="center"/>
    </xf>
    <xf numFmtId="165" fontId="9" fillId="3" borderId="12" xfId="0" applyNumberFormat="1" applyFont="1" applyFill="1" applyBorder="1" applyAlignment="1">
      <alignment horizontal="center" vertical="center" wrapText="1"/>
    </xf>
    <xf numFmtId="0" fontId="1" fillId="0" borderId="10" xfId="0" applyFont="1" applyBorder="1" applyAlignment="1">
      <alignment horizontal="left" vertical="top" wrapText="1"/>
    </xf>
    <xf numFmtId="0" fontId="8" fillId="0" borderId="4" xfId="0" applyFont="1" applyBorder="1" applyAlignment="1">
      <alignment horizontal="justify" vertical="top" wrapText="1"/>
    </xf>
    <xf numFmtId="0" fontId="16" fillId="0" borderId="4" xfId="0" applyFont="1" applyBorder="1" applyAlignment="1">
      <alignment horizontal="justify" vertical="top" wrapText="1"/>
    </xf>
    <xf numFmtId="0" fontId="31" fillId="0" borderId="0" xfId="0" applyFont="1" applyAlignment="1"/>
    <xf numFmtId="0" fontId="31" fillId="0" borderId="0" xfId="0" applyFont="1"/>
    <xf numFmtId="0" fontId="9" fillId="0" borderId="20" xfId="0" applyFont="1" applyBorder="1" applyAlignment="1">
      <alignment horizontal="center" vertical="center" wrapText="1"/>
    </xf>
    <xf numFmtId="2" fontId="21" fillId="3" borderId="4"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3" borderId="8" xfId="0" applyFont="1" applyFill="1" applyBorder="1" applyAlignment="1">
      <alignment horizontal="justify" vertical="top" wrapText="1"/>
    </xf>
    <xf numFmtId="0" fontId="9" fillId="0" borderId="8" xfId="0" applyFont="1" applyBorder="1" applyAlignment="1">
      <alignment horizontal="justify" vertical="top" wrapText="1"/>
    </xf>
    <xf numFmtId="0" fontId="9" fillId="3" borderId="0" xfId="0" applyFont="1" applyFill="1" applyBorder="1" applyAlignment="1">
      <alignment horizontal="justify" vertical="top" wrapText="1"/>
    </xf>
    <xf numFmtId="0" fontId="21" fillId="0" borderId="4" xfId="0" applyFont="1" applyBorder="1" applyAlignment="1">
      <alignment horizontal="justify" vertical="top"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2" fontId="9" fillId="3" borderId="8" xfId="0" applyNumberFormat="1" applyFont="1" applyFill="1" applyBorder="1" applyAlignment="1">
      <alignment horizontal="center" vertical="center" wrapText="1"/>
    </xf>
    <xf numFmtId="2" fontId="9" fillId="3" borderId="4"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0" fillId="0" borderId="8" xfId="0" applyFont="1" applyBorder="1" applyAlignment="1">
      <alignment vertical="center" wrapText="1"/>
    </xf>
    <xf numFmtId="2" fontId="9" fillId="0" borderId="8" xfId="0" applyNumberFormat="1" applyFont="1" applyBorder="1" applyAlignment="1">
      <alignment horizontal="center" vertical="center" wrapText="1"/>
    </xf>
    <xf numFmtId="0" fontId="10" fillId="0" borderId="8" xfId="0" applyFont="1" applyBorder="1" applyAlignment="1">
      <alignment vertical="top" wrapText="1"/>
    </xf>
    <xf numFmtId="2" fontId="10" fillId="0" borderId="8" xfId="0" applyNumberFormat="1" applyFont="1" applyBorder="1" applyAlignment="1">
      <alignment horizontal="center" vertical="center" wrapText="1"/>
    </xf>
    <xf numFmtId="165" fontId="9" fillId="3" borderId="8" xfId="0" applyNumberFormat="1" applyFont="1" applyFill="1" applyBorder="1" applyAlignment="1">
      <alignment horizontal="center" vertical="center" wrapText="1"/>
    </xf>
    <xf numFmtId="0" fontId="21" fillId="0" borderId="11" xfId="0" applyFont="1" applyBorder="1" applyAlignment="1">
      <alignment horizontal="center" vertical="center" wrapText="1"/>
    </xf>
    <xf numFmtId="2" fontId="21" fillId="3" borderId="12" xfId="0" applyNumberFormat="1" applyFont="1" applyFill="1" applyBorder="1" applyAlignment="1">
      <alignment horizontal="center" vertical="center" wrapText="1"/>
    </xf>
    <xf numFmtId="0" fontId="9" fillId="0" borderId="8" xfId="0" applyFont="1" applyBorder="1" applyAlignment="1">
      <alignment horizontal="left" vertical="top" wrapText="1"/>
    </xf>
    <xf numFmtId="0" fontId="10" fillId="0" borderId="8" xfId="0" applyFont="1" applyBorder="1" applyAlignment="1">
      <alignment horizontal="right" vertical="center" wrapText="1"/>
    </xf>
    <xf numFmtId="2" fontId="9" fillId="0" borderId="8" xfId="0" applyNumberFormat="1" applyFont="1" applyBorder="1"/>
    <xf numFmtId="0" fontId="9" fillId="0" borderId="8" xfId="0" applyFont="1" applyBorder="1" applyAlignment="1">
      <alignment horizontal="center" vertical="center"/>
    </xf>
    <xf numFmtId="2" fontId="10" fillId="0" borderId="8" xfId="0" applyNumberFormat="1" applyFont="1" applyBorder="1" applyAlignment="1">
      <alignment horizontal="center" vertical="center"/>
    </xf>
    <xf numFmtId="0" fontId="33" fillId="0" borderId="0" xfId="2" applyFont="1" applyAlignment="1" applyProtection="1"/>
    <xf numFmtId="0" fontId="21" fillId="0" borderId="4"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3" borderId="8" xfId="0" applyFont="1" applyFill="1" applyBorder="1" applyAlignment="1">
      <alignment horizontal="left"/>
    </xf>
    <xf numFmtId="16" fontId="9" fillId="3" borderId="8" xfId="0" applyNumberFormat="1" applyFont="1" applyFill="1" applyBorder="1" applyAlignment="1">
      <alignment horizontal="center" vertical="center" wrapText="1"/>
    </xf>
    <xf numFmtId="2" fontId="9" fillId="3" borderId="4" xfId="0" applyNumberFormat="1" applyFont="1" applyFill="1" applyBorder="1" applyAlignment="1">
      <alignment horizontal="center" vertical="center" wrapText="1"/>
    </xf>
    <xf numFmtId="0" fontId="25" fillId="0" borderId="0" xfId="1" applyFont="1" applyBorder="1" applyAlignment="1">
      <alignment horizontal="center"/>
    </xf>
    <xf numFmtId="0" fontId="9" fillId="3" borderId="24" xfId="0" applyFont="1" applyFill="1" applyBorder="1" applyAlignment="1">
      <alignment horizontal="left" vertical="top" wrapText="1"/>
    </xf>
    <xf numFmtId="2" fontId="9" fillId="3" borderId="15"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1" fillId="5" borderId="0" xfId="0" applyFont="1" applyFill="1"/>
    <xf numFmtId="0" fontId="9" fillId="0" borderId="27" xfId="0" applyFont="1" applyBorder="1" applyAlignment="1">
      <alignment horizontal="center" vertical="center" wrapText="1"/>
    </xf>
    <xf numFmtId="0" fontId="10" fillId="0" borderId="0" xfId="0" applyFont="1" applyBorder="1" applyAlignment="1">
      <alignment vertical="center" wrapText="1"/>
    </xf>
    <xf numFmtId="0" fontId="10" fillId="0" borderId="10" xfId="0" applyFont="1" applyBorder="1" applyAlignment="1">
      <alignment vertical="top" wrapText="1"/>
    </xf>
    <xf numFmtId="0" fontId="9" fillId="3" borderId="10" xfId="0" applyFont="1" applyFill="1" applyBorder="1" applyAlignment="1">
      <alignment horizontal="justify" vertical="top" wrapText="1"/>
    </xf>
    <xf numFmtId="0" fontId="9" fillId="0" borderId="0" xfId="0" applyFont="1" applyBorder="1" applyAlignment="1">
      <alignment horizontal="justify" vertical="top" wrapText="1"/>
    </xf>
    <xf numFmtId="0" fontId="9" fillId="0" borderId="24" xfId="0" applyFont="1" applyBorder="1" applyAlignment="1">
      <alignment horizontal="justify" vertical="top" wrapText="1"/>
    </xf>
    <xf numFmtId="0" fontId="10" fillId="0" borderId="24" xfId="0" applyFont="1" applyBorder="1" applyAlignment="1">
      <alignment vertical="center" wrapText="1"/>
    </xf>
    <xf numFmtId="0" fontId="10" fillId="0" borderId="10" xfId="0" applyFont="1" applyBorder="1" applyAlignment="1">
      <alignment horizontal="right"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164" fontId="9" fillId="0" borderId="31" xfId="0" applyNumberFormat="1" applyFont="1" applyBorder="1" applyAlignment="1">
      <alignment horizontal="center" vertical="center" wrapText="1"/>
    </xf>
    <xf numFmtId="165" fontId="9" fillId="3" borderId="17" xfId="0" applyNumberFormat="1" applyFont="1" applyFill="1" applyBorder="1" applyAlignment="1">
      <alignment horizontal="center" vertical="center" wrapText="1"/>
    </xf>
    <xf numFmtId="2" fontId="9" fillId="0" borderId="6" xfId="0" applyNumberFormat="1" applyFont="1" applyBorder="1" applyAlignment="1">
      <alignment horizontal="center" vertical="center" wrapText="1"/>
    </xf>
    <xf numFmtId="2" fontId="9" fillId="3" borderId="13" xfId="0" applyNumberFormat="1" applyFont="1" applyFill="1" applyBorder="1" applyAlignment="1">
      <alignment horizontal="center" vertical="center" wrapText="1"/>
    </xf>
    <xf numFmtId="2" fontId="9" fillId="3" borderId="5" xfId="0" applyNumberFormat="1"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41" xfId="0" applyFont="1" applyBorder="1" applyAlignment="1">
      <alignment horizontal="justify" vertical="top" wrapText="1"/>
    </xf>
    <xf numFmtId="0" fontId="9" fillId="0" borderId="42" xfId="0" applyFont="1" applyBorder="1" applyAlignment="1">
      <alignment horizontal="justify" vertical="top" wrapText="1"/>
    </xf>
    <xf numFmtId="165" fontId="9" fillId="0" borderId="31" xfId="0" applyNumberFormat="1" applyFont="1" applyBorder="1" applyAlignment="1">
      <alignment horizontal="center" vertical="center" wrapText="1"/>
    </xf>
    <xf numFmtId="0" fontId="9" fillId="3" borderId="24" xfId="0" applyFont="1" applyFill="1" applyBorder="1" applyAlignment="1">
      <alignment horizontal="justify" vertical="top" wrapText="1"/>
    </xf>
    <xf numFmtId="0" fontId="10" fillId="0" borderId="38" xfId="0" applyFont="1" applyBorder="1" applyAlignment="1">
      <alignment horizontal="justify" vertical="top" wrapText="1"/>
    </xf>
    <xf numFmtId="0" fontId="9" fillId="0" borderId="0" xfId="0" applyFont="1" applyAlignment="1">
      <alignment vertical="top"/>
    </xf>
    <xf numFmtId="0" fontId="9" fillId="0" borderId="3" xfId="0" applyFont="1" applyBorder="1" applyAlignment="1">
      <alignment horizontal="justify" wrapText="1"/>
    </xf>
    <xf numFmtId="0" fontId="16" fillId="3" borderId="4" xfId="0" applyFont="1" applyFill="1" applyBorder="1" applyAlignment="1">
      <alignment horizontal="justify" vertical="top" wrapText="1"/>
    </xf>
    <xf numFmtId="0" fontId="10" fillId="0" borderId="4" xfId="0" applyFont="1" applyBorder="1" applyAlignment="1">
      <alignment horizontal="justify" vertical="top" wrapText="1"/>
    </xf>
    <xf numFmtId="0" fontId="1" fillId="0" borderId="4" xfId="0" applyFont="1" applyBorder="1" applyAlignment="1">
      <alignment horizontal="justify" vertical="top"/>
    </xf>
    <xf numFmtId="0" fontId="16" fillId="0" borderId="40" xfId="0" applyFont="1" applyBorder="1" applyAlignment="1">
      <alignment horizontal="justify" vertical="top" wrapText="1"/>
    </xf>
    <xf numFmtId="2" fontId="9" fillId="3" borderId="8" xfId="0" applyNumberFormat="1" applyFont="1" applyFill="1" applyBorder="1" applyAlignment="1">
      <alignment horizontal="center" vertical="center" wrapText="1"/>
    </xf>
    <xf numFmtId="2" fontId="9" fillId="3" borderId="8" xfId="0" applyNumberFormat="1" applyFont="1" applyFill="1" applyBorder="1" applyAlignment="1">
      <alignment horizontal="center" vertical="center" wrapText="1"/>
    </xf>
    <xf numFmtId="0" fontId="9" fillId="3" borderId="0" xfId="1" applyFont="1" applyFill="1"/>
    <xf numFmtId="0" fontId="9" fillId="3" borderId="0" xfId="1" applyFont="1" applyFill="1" applyAlignment="1">
      <alignment horizontal="right"/>
    </xf>
    <xf numFmtId="0" fontId="9" fillId="3" borderId="2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9" fillId="3" borderId="24" xfId="0" applyFont="1" applyFill="1" applyBorder="1" applyAlignment="1">
      <alignment horizontal="left" vertical="top" wrapText="1"/>
    </xf>
    <xf numFmtId="0" fontId="9" fillId="3" borderId="25"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3" borderId="0" xfId="0" applyFont="1" applyFill="1" applyAlignment="1">
      <alignment vertical="center" wrapText="1"/>
    </xf>
    <xf numFmtId="0" fontId="1" fillId="0" borderId="0" xfId="0" applyFont="1" applyAlignment="1">
      <alignment horizontal="right"/>
    </xf>
    <xf numFmtId="0" fontId="1" fillId="0" borderId="0" xfId="0" applyFont="1" applyAlignment="1">
      <alignment horizontal="right" wrapText="1"/>
    </xf>
    <xf numFmtId="0" fontId="28" fillId="0" borderId="0" xfId="0" applyFont="1" applyAlignment="1">
      <alignment horizontal="left"/>
    </xf>
    <xf numFmtId="0" fontId="2" fillId="0" borderId="0" xfId="0" applyFont="1" applyAlignment="1">
      <alignment horizontal="center"/>
    </xf>
    <xf numFmtId="0" fontId="10" fillId="2" borderId="8" xfId="0" applyFont="1" applyFill="1" applyBorder="1" applyAlignment="1">
      <alignment horizontal="center" vertical="center" wrapText="1"/>
    </xf>
    <xf numFmtId="0" fontId="1" fillId="3" borderId="0" xfId="0" applyFont="1" applyFill="1" applyAlignment="1">
      <alignment horizontal="left"/>
    </xf>
    <xf numFmtId="0" fontId="9" fillId="3" borderId="0" xfId="0" applyFont="1" applyFill="1" applyAlignment="1">
      <alignment horizontal="left"/>
    </xf>
    <xf numFmtId="0" fontId="9" fillId="3" borderId="0" xfId="0" applyFont="1" applyFill="1" applyAlignment="1">
      <alignment horizontal="left" vertical="center" wrapText="1"/>
    </xf>
    <xf numFmtId="0" fontId="9" fillId="3" borderId="0" xfId="0" applyFont="1" applyFill="1" applyAlignment="1">
      <alignment vertical="top" wrapText="1"/>
    </xf>
    <xf numFmtId="0" fontId="9" fillId="0" borderId="0" xfId="1" applyFont="1" applyAlignment="1">
      <alignment horizontal="left"/>
    </xf>
    <xf numFmtId="0" fontId="19" fillId="0" borderId="0" xfId="1" applyFont="1" applyAlignment="1">
      <alignment horizontal="left"/>
    </xf>
    <xf numFmtId="0" fontId="1" fillId="0" borderId="0" xfId="0" applyFont="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7" fillId="0" borderId="0" xfId="0" applyFont="1" applyBorder="1" applyAlignment="1">
      <alignment horizontal="left"/>
    </xf>
    <xf numFmtId="0" fontId="9" fillId="0" borderId="0" xfId="0" applyFont="1" applyAlignment="1">
      <alignment horizontal="left" vertical="center" wrapText="1"/>
    </xf>
    <xf numFmtId="0" fontId="9" fillId="0" borderId="7" xfId="0" applyFont="1" applyBorder="1" applyAlignment="1">
      <alignment horizontal="left" vertical="center" wrapText="1"/>
    </xf>
    <xf numFmtId="0" fontId="9" fillId="0" borderId="0" xfId="0" applyFont="1" applyBorder="1" applyAlignment="1">
      <alignment horizontal="right"/>
    </xf>
    <xf numFmtId="0" fontId="9" fillId="0" borderId="0" xfId="0" applyFont="1" applyAlignment="1">
      <alignment horizontal="right"/>
    </xf>
    <xf numFmtId="0" fontId="21" fillId="0" borderId="8" xfId="0" applyFont="1" applyBorder="1" applyAlignment="1">
      <alignment horizontal="center" vertical="center" wrapText="1"/>
    </xf>
    <xf numFmtId="2" fontId="21" fillId="3" borderId="13" xfId="0" applyNumberFormat="1" applyFont="1" applyFill="1" applyBorder="1" applyAlignment="1">
      <alignment horizontal="center" vertical="center" wrapText="1"/>
    </xf>
    <xf numFmtId="2" fontId="21" fillId="3" borderId="32" xfId="0" applyNumberFormat="1" applyFont="1" applyFill="1" applyBorder="1" applyAlignment="1">
      <alignment horizontal="center" vertical="center" wrapText="1"/>
    </xf>
    <xf numFmtId="2" fontId="9" fillId="3" borderId="30" xfId="0" applyNumberFormat="1" applyFont="1" applyFill="1" applyBorder="1" applyAlignment="1">
      <alignment horizontal="center" vertical="center" wrapText="1"/>
    </xf>
    <xf numFmtId="2" fontId="9" fillId="3" borderId="18" xfId="0" applyNumberFormat="1"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2" fontId="9" fillId="3" borderId="9" xfId="0" applyNumberFormat="1" applyFont="1" applyFill="1" applyBorder="1" applyAlignment="1">
      <alignment horizontal="center" vertical="center" wrapText="1"/>
    </xf>
    <xf numFmtId="2" fontId="9" fillId="3" borderId="3" xfId="0" applyNumberFormat="1"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2" fontId="21" fillId="3" borderId="9" xfId="0" applyNumberFormat="1" applyFont="1" applyFill="1" applyBorder="1" applyAlignment="1">
      <alignment horizontal="center" vertical="center" wrapText="1"/>
    </xf>
    <xf numFmtId="2" fontId="21" fillId="3" borderId="3"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2" fontId="9" fillId="3" borderId="8" xfId="0" applyNumberFormat="1" applyFont="1" applyFill="1" applyBorder="1" applyAlignment="1">
      <alignment horizontal="center" vertical="center" wrapText="1"/>
    </xf>
    <xf numFmtId="2" fontId="21" fillId="3" borderId="8" xfId="0" applyNumberFormat="1" applyFont="1" applyFill="1" applyBorder="1" applyAlignment="1">
      <alignment horizontal="center" vertical="center"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2" fontId="21" fillId="3" borderId="14" xfId="0" applyNumberFormat="1" applyFont="1" applyFill="1" applyBorder="1" applyAlignment="1">
      <alignment horizontal="center" vertical="center" wrapText="1"/>
    </xf>
    <xf numFmtId="2" fontId="21" fillId="3" borderId="17" xfId="0" applyNumberFormat="1" applyFont="1" applyFill="1" applyBorder="1" applyAlignment="1">
      <alignment horizontal="center" vertical="center" wrapText="1"/>
    </xf>
    <xf numFmtId="2" fontId="21" fillId="3" borderId="6" xfId="0" applyNumberFormat="1" applyFont="1" applyFill="1" applyBorder="1" applyAlignment="1">
      <alignment horizontal="center" vertical="center" wrapText="1"/>
    </xf>
    <xf numFmtId="2" fontId="9" fillId="3" borderId="23" xfId="0" applyNumberFormat="1" applyFont="1" applyFill="1" applyBorder="1" applyAlignment="1">
      <alignment horizontal="center" vertical="center" wrapText="1"/>
    </xf>
    <xf numFmtId="2" fontId="9" fillId="3" borderId="36" xfId="0" applyNumberFormat="1" applyFont="1" applyFill="1" applyBorder="1" applyAlignment="1">
      <alignment horizontal="center" vertical="center" wrapText="1"/>
    </xf>
    <xf numFmtId="2" fontId="9" fillId="3" borderId="37" xfId="0" applyNumberFormat="1"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2" fontId="9" fillId="3" borderId="13" xfId="0" applyNumberFormat="1" applyFont="1" applyFill="1" applyBorder="1" applyAlignment="1">
      <alignment horizontal="center" vertical="center" wrapText="1"/>
    </xf>
    <xf numFmtId="2" fontId="9" fillId="3" borderId="15"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2" fontId="9" fillId="3" borderId="17" xfId="0" applyNumberFormat="1" applyFont="1" applyFill="1" applyBorder="1" applyAlignment="1">
      <alignment horizontal="center" vertical="center" wrapText="1"/>
    </xf>
    <xf numFmtId="2" fontId="9" fillId="3" borderId="6"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hyperlink" Target="mailto:evija.casnoita@vtmec.gov.lv" TargetMode="External"/><Relationship Id="rId1" Type="http://schemas.openxmlformats.org/officeDocument/2006/relationships/hyperlink" Target="mailto:lasma.zandberga@vm.gov.lv"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3"/>
  <sheetViews>
    <sheetView tabSelected="1" view="pageBreakPreview" zoomScale="60" zoomScaleNormal="70" workbookViewId="0">
      <selection activeCell="O83" sqref="O83"/>
    </sheetView>
  </sheetViews>
  <sheetFormatPr defaultColWidth="8.85546875" defaultRowHeight="15.75" x14ac:dyDescent="0.25"/>
  <cols>
    <col min="1" max="1" width="8.85546875" style="6"/>
    <col min="2" max="2" width="133.5703125" style="6" customWidth="1"/>
    <col min="3" max="3" width="16.28515625" style="6" customWidth="1"/>
    <col min="4" max="4" width="13.5703125" style="6" customWidth="1"/>
    <col min="5" max="5" width="12.7109375" style="6" customWidth="1"/>
    <col min="6" max="6" width="15.5703125" style="6" customWidth="1"/>
    <col min="7" max="16384" width="8.85546875" style="6"/>
  </cols>
  <sheetData>
    <row r="1" spans="1:6" x14ac:dyDescent="0.25">
      <c r="D1" s="219" t="s">
        <v>238</v>
      </c>
      <c r="E1" s="219"/>
      <c r="F1" s="219"/>
    </row>
    <row r="2" spans="1:6" x14ac:dyDescent="0.25">
      <c r="C2" s="220" t="s">
        <v>222</v>
      </c>
      <c r="D2" s="220"/>
      <c r="E2" s="220"/>
      <c r="F2" s="220"/>
    </row>
    <row r="3" spans="1:6" x14ac:dyDescent="0.25">
      <c r="C3" s="220"/>
      <c r="D3" s="220"/>
      <c r="E3" s="220"/>
      <c r="F3" s="220"/>
    </row>
    <row r="4" spans="1:6" x14ac:dyDescent="0.25">
      <c r="C4" s="220"/>
      <c r="D4" s="220"/>
      <c r="E4" s="220"/>
      <c r="F4" s="220"/>
    </row>
    <row r="5" spans="1:6" x14ac:dyDescent="0.25">
      <c r="C5" s="220"/>
      <c r="D5" s="220"/>
      <c r="E5" s="220"/>
      <c r="F5" s="220"/>
    </row>
    <row r="7" spans="1:6" x14ac:dyDescent="0.25">
      <c r="A7" s="222" t="s">
        <v>171</v>
      </c>
      <c r="B7" s="222"/>
      <c r="C7" s="222"/>
      <c r="D7" s="222"/>
      <c r="E7" s="222"/>
      <c r="F7" s="222"/>
    </row>
    <row r="10" spans="1:6" ht="15.6" customHeight="1" x14ac:dyDescent="0.25">
      <c r="A10" s="223" t="s">
        <v>172</v>
      </c>
      <c r="B10" s="223" t="s">
        <v>15</v>
      </c>
      <c r="C10" s="223" t="s">
        <v>16</v>
      </c>
      <c r="D10" s="223" t="s">
        <v>105</v>
      </c>
      <c r="E10" s="223" t="s">
        <v>106</v>
      </c>
      <c r="F10" s="223" t="s">
        <v>107</v>
      </c>
    </row>
    <row r="11" spans="1:6" x14ac:dyDescent="0.25">
      <c r="A11" s="223"/>
      <c r="B11" s="223"/>
      <c r="C11" s="223"/>
      <c r="D11" s="223"/>
      <c r="E11" s="223"/>
      <c r="F11" s="223"/>
    </row>
    <row r="12" spans="1:6" ht="15.6" customHeight="1" x14ac:dyDescent="0.25">
      <c r="A12" s="74" t="s">
        <v>22</v>
      </c>
      <c r="B12" s="212" t="s">
        <v>231</v>
      </c>
      <c r="C12" s="213"/>
      <c r="D12" s="213"/>
      <c r="E12" s="213"/>
      <c r="F12" s="214"/>
    </row>
    <row r="13" spans="1:6" ht="18.75" x14ac:dyDescent="0.25">
      <c r="A13" s="41" t="s">
        <v>23</v>
      </c>
      <c r="B13" s="40" t="s">
        <v>233</v>
      </c>
      <c r="C13" s="41" t="s">
        <v>17</v>
      </c>
      <c r="D13" s="205">
        <f>'1.1.'!C26</f>
        <v>135.22003333333333</v>
      </c>
      <c r="E13" s="205">
        <v>0</v>
      </c>
      <c r="F13" s="205">
        <f>D13+E13</f>
        <v>135.22003333333333</v>
      </c>
    </row>
    <row r="14" spans="1:6" x14ac:dyDescent="0.25">
      <c r="A14" s="41" t="s">
        <v>24</v>
      </c>
      <c r="B14" s="40" t="s">
        <v>55</v>
      </c>
      <c r="C14" s="41" t="s">
        <v>17</v>
      </c>
      <c r="D14" s="205">
        <f>'1.2.'!C25</f>
        <v>44.039985343005469</v>
      </c>
      <c r="E14" s="205">
        <v>0</v>
      </c>
      <c r="F14" s="205">
        <f t="shared" ref="F14:F33" si="0">D14+E14</f>
        <v>44.039985343005469</v>
      </c>
    </row>
    <row r="15" spans="1:6" x14ac:dyDescent="0.25">
      <c r="A15" s="41" t="s">
        <v>25</v>
      </c>
      <c r="B15" s="40" t="s">
        <v>61</v>
      </c>
      <c r="C15" s="41" t="s">
        <v>17</v>
      </c>
      <c r="D15" s="205">
        <f>'1.3.'!C24</f>
        <v>39.950002666666663</v>
      </c>
      <c r="E15" s="205">
        <v>0</v>
      </c>
      <c r="F15" s="205">
        <f t="shared" si="0"/>
        <v>39.950002666666663</v>
      </c>
    </row>
    <row r="16" spans="1:6" x14ac:dyDescent="0.25">
      <c r="A16" s="41" t="s">
        <v>26</v>
      </c>
      <c r="B16" s="40" t="s">
        <v>62</v>
      </c>
      <c r="C16" s="41" t="s">
        <v>17</v>
      </c>
      <c r="D16" s="205">
        <f>'1.4.'!C24</f>
        <v>44.910025000000005</v>
      </c>
      <c r="E16" s="205">
        <v>0</v>
      </c>
      <c r="F16" s="205">
        <f t="shared" si="0"/>
        <v>44.910025000000005</v>
      </c>
    </row>
    <row r="17" spans="1:6" x14ac:dyDescent="0.25">
      <c r="A17" s="41" t="s">
        <v>27</v>
      </c>
      <c r="B17" s="40" t="s">
        <v>64</v>
      </c>
      <c r="C17" s="41" t="s">
        <v>17</v>
      </c>
      <c r="D17" s="205">
        <f>'1.5.'!C24</f>
        <v>39.629957190000006</v>
      </c>
      <c r="E17" s="205">
        <v>0</v>
      </c>
      <c r="F17" s="205">
        <f t="shared" si="0"/>
        <v>39.629957190000006</v>
      </c>
    </row>
    <row r="18" spans="1:6" x14ac:dyDescent="0.25">
      <c r="A18" s="41" t="s">
        <v>28</v>
      </c>
      <c r="B18" s="40" t="s">
        <v>65</v>
      </c>
      <c r="C18" s="41" t="s">
        <v>17</v>
      </c>
      <c r="D18" s="205">
        <f>'1.6.'!C26</f>
        <v>40.960025189999996</v>
      </c>
      <c r="E18" s="205">
        <v>0</v>
      </c>
      <c r="F18" s="205">
        <f t="shared" si="0"/>
        <v>40.960025189999996</v>
      </c>
    </row>
    <row r="19" spans="1:6" x14ac:dyDescent="0.25">
      <c r="A19" s="41" t="s">
        <v>29</v>
      </c>
      <c r="B19" s="40" t="s">
        <v>211</v>
      </c>
      <c r="C19" s="41" t="s">
        <v>17</v>
      </c>
      <c r="D19" s="205">
        <f>'1.7.'!C24</f>
        <v>44.579996061794873</v>
      </c>
      <c r="E19" s="205">
        <v>0</v>
      </c>
      <c r="F19" s="205">
        <f t="shared" si="0"/>
        <v>44.579996061794873</v>
      </c>
    </row>
    <row r="20" spans="1:6" x14ac:dyDescent="0.25">
      <c r="A20" s="41" t="s">
        <v>30</v>
      </c>
      <c r="B20" s="40" t="s">
        <v>212</v>
      </c>
      <c r="C20" s="41" t="s">
        <v>17</v>
      </c>
      <c r="D20" s="205">
        <f>'1.8.'!C25</f>
        <v>41.039961553636367</v>
      </c>
      <c r="E20" s="205">
        <v>0</v>
      </c>
      <c r="F20" s="205">
        <f t="shared" si="0"/>
        <v>41.039961553636367</v>
      </c>
    </row>
    <row r="21" spans="1:6" x14ac:dyDescent="0.25">
      <c r="A21" s="41" t="s">
        <v>31</v>
      </c>
      <c r="B21" s="40" t="s">
        <v>213</v>
      </c>
      <c r="C21" s="41" t="s">
        <v>17</v>
      </c>
      <c r="D21" s="205">
        <f>'1.9.'!C25</f>
        <v>40.030025190000003</v>
      </c>
      <c r="E21" s="205">
        <v>0</v>
      </c>
      <c r="F21" s="205">
        <f t="shared" si="0"/>
        <v>40.030025190000003</v>
      </c>
    </row>
    <row r="22" spans="1:6" x14ac:dyDescent="0.25">
      <c r="A22" s="41" t="s">
        <v>32</v>
      </c>
      <c r="B22" s="40" t="s">
        <v>214</v>
      </c>
      <c r="C22" s="41" t="s">
        <v>17</v>
      </c>
      <c r="D22" s="205">
        <f>'1.10.'!C25</f>
        <v>39.839789189999998</v>
      </c>
      <c r="E22" s="205">
        <v>0</v>
      </c>
      <c r="F22" s="205">
        <f t="shared" si="0"/>
        <v>39.839789189999998</v>
      </c>
    </row>
    <row r="23" spans="1:6" x14ac:dyDescent="0.25">
      <c r="A23" s="41" t="s">
        <v>33</v>
      </c>
      <c r="B23" s="40" t="s">
        <v>215</v>
      </c>
      <c r="C23" s="41" t="s">
        <v>17</v>
      </c>
      <c r="D23" s="205">
        <f>'1.11.'!C24</f>
        <v>39.919925190000001</v>
      </c>
      <c r="E23" s="205">
        <v>0</v>
      </c>
      <c r="F23" s="205">
        <f t="shared" si="0"/>
        <v>39.919925190000001</v>
      </c>
    </row>
    <row r="24" spans="1:6" x14ac:dyDescent="0.25">
      <c r="A24" s="41" t="s">
        <v>34</v>
      </c>
      <c r="B24" s="40" t="s">
        <v>216</v>
      </c>
      <c r="C24" s="41" t="s">
        <v>17</v>
      </c>
      <c r="D24" s="205">
        <f>'1.12.'!C25</f>
        <v>40.019925190000002</v>
      </c>
      <c r="E24" s="205">
        <v>0</v>
      </c>
      <c r="F24" s="205">
        <f t="shared" si="0"/>
        <v>40.019925190000002</v>
      </c>
    </row>
    <row r="25" spans="1:6" x14ac:dyDescent="0.25">
      <c r="A25" s="41" t="s">
        <v>35</v>
      </c>
      <c r="B25" s="40" t="s">
        <v>217</v>
      </c>
      <c r="C25" s="41" t="s">
        <v>17</v>
      </c>
      <c r="D25" s="205">
        <f>'1.13.'!C24</f>
        <v>39.939858523333335</v>
      </c>
      <c r="E25" s="205">
        <v>0</v>
      </c>
      <c r="F25" s="205">
        <f t="shared" si="0"/>
        <v>39.939858523333335</v>
      </c>
    </row>
    <row r="26" spans="1:6" x14ac:dyDescent="0.25">
      <c r="A26" s="41" t="s">
        <v>36</v>
      </c>
      <c r="B26" s="40" t="s">
        <v>74</v>
      </c>
      <c r="C26" s="41" t="s">
        <v>17</v>
      </c>
      <c r="D26" s="205">
        <f>'1.14.'!C24</f>
        <v>40.52992519</v>
      </c>
      <c r="E26" s="205">
        <v>0</v>
      </c>
      <c r="F26" s="205">
        <f t="shared" si="0"/>
        <v>40.52992519</v>
      </c>
    </row>
    <row r="27" spans="1:6" x14ac:dyDescent="0.25">
      <c r="A27" s="41" t="s">
        <v>37</v>
      </c>
      <c r="B27" s="40" t="s">
        <v>76</v>
      </c>
      <c r="C27" s="41" t="s">
        <v>17</v>
      </c>
      <c r="D27" s="205">
        <f>'1.15.'!C25</f>
        <v>41.100006</v>
      </c>
      <c r="E27" s="205">
        <v>0</v>
      </c>
      <c r="F27" s="205">
        <f t="shared" si="0"/>
        <v>41.100006</v>
      </c>
    </row>
    <row r="28" spans="1:6" x14ac:dyDescent="0.25">
      <c r="A28" s="41" t="s">
        <v>38</v>
      </c>
      <c r="B28" s="40" t="s">
        <v>78</v>
      </c>
      <c r="C28" s="41" t="s">
        <v>17</v>
      </c>
      <c r="D28" s="205">
        <f>'1.16.'!C24</f>
        <v>82.382129539999994</v>
      </c>
      <c r="E28" s="205">
        <v>0</v>
      </c>
      <c r="F28" s="205">
        <f t="shared" si="0"/>
        <v>82.382129539999994</v>
      </c>
    </row>
    <row r="29" spans="1:6" x14ac:dyDescent="0.25">
      <c r="A29" s="41" t="s">
        <v>39</v>
      </c>
      <c r="B29" s="40" t="s">
        <v>47</v>
      </c>
      <c r="C29" s="41" t="s">
        <v>17</v>
      </c>
      <c r="D29" s="205">
        <f>'1.17.'!C24</f>
        <v>75.521066579999996</v>
      </c>
      <c r="E29" s="205">
        <v>0</v>
      </c>
      <c r="F29" s="205">
        <f t="shared" si="0"/>
        <v>75.521066579999996</v>
      </c>
    </row>
    <row r="30" spans="1:6" x14ac:dyDescent="0.25">
      <c r="A30" s="41" t="s">
        <v>40</v>
      </c>
      <c r="B30" s="40" t="s">
        <v>81</v>
      </c>
      <c r="C30" s="41" t="s">
        <v>17</v>
      </c>
      <c r="D30" s="205">
        <f>'1.18.'!C24</f>
        <v>41.879909913043477</v>
      </c>
      <c r="E30" s="205">
        <v>0</v>
      </c>
      <c r="F30" s="205">
        <f t="shared" si="0"/>
        <v>41.879909913043477</v>
      </c>
    </row>
    <row r="31" spans="1:6" x14ac:dyDescent="0.25">
      <c r="A31" s="41" t="s">
        <v>41</v>
      </c>
      <c r="B31" s="40" t="s">
        <v>83</v>
      </c>
      <c r="C31" s="41" t="s">
        <v>17</v>
      </c>
      <c r="D31" s="205">
        <f>'1.19.'!C25</f>
        <v>30.889989668823528</v>
      </c>
      <c r="E31" s="205">
        <v>0</v>
      </c>
      <c r="F31" s="205">
        <f t="shared" si="0"/>
        <v>30.889989668823528</v>
      </c>
    </row>
    <row r="32" spans="1:6" x14ac:dyDescent="0.25">
      <c r="A32" s="41" t="s">
        <v>42</v>
      </c>
      <c r="B32" s="40" t="s">
        <v>85</v>
      </c>
      <c r="C32" s="41" t="s">
        <v>17</v>
      </c>
      <c r="D32" s="205">
        <f>'1.20.'!C24</f>
        <v>38.619916590000003</v>
      </c>
      <c r="E32" s="205">
        <v>0</v>
      </c>
      <c r="F32" s="205">
        <f t="shared" si="0"/>
        <v>38.619916590000003</v>
      </c>
    </row>
    <row r="33" spans="1:7" x14ac:dyDescent="0.25">
      <c r="A33" s="41" t="s">
        <v>43</v>
      </c>
      <c r="B33" s="40" t="s">
        <v>87</v>
      </c>
      <c r="C33" s="41" t="s">
        <v>17</v>
      </c>
      <c r="D33" s="205">
        <f>'1.21.'!C25</f>
        <v>13.350677319999999</v>
      </c>
      <c r="E33" s="205">
        <v>0</v>
      </c>
      <c r="F33" s="205">
        <f t="shared" si="0"/>
        <v>13.350677319999999</v>
      </c>
    </row>
    <row r="34" spans="1:7" x14ac:dyDescent="0.25">
      <c r="A34" s="40" t="s">
        <v>44</v>
      </c>
      <c r="B34" s="209" t="s">
        <v>209</v>
      </c>
      <c r="C34" s="210"/>
      <c r="D34" s="210"/>
      <c r="E34" s="210"/>
      <c r="F34" s="211"/>
    </row>
    <row r="35" spans="1:7" x14ac:dyDescent="0.25">
      <c r="A35" s="41" t="s">
        <v>88</v>
      </c>
      <c r="B35" s="40" t="s">
        <v>89</v>
      </c>
      <c r="C35" s="41" t="s">
        <v>21</v>
      </c>
      <c r="D35" s="205">
        <f>'2.1.'!C25</f>
        <v>36.266199999999998</v>
      </c>
      <c r="E35" s="205">
        <v>7.62</v>
      </c>
      <c r="F35" s="205">
        <f t="shared" ref="F35:F43" si="1">D35+E35</f>
        <v>43.886199999999995</v>
      </c>
      <c r="G35" s="11"/>
    </row>
    <row r="36" spans="1:7" x14ac:dyDescent="0.25">
      <c r="A36" s="41" t="s">
        <v>91</v>
      </c>
      <c r="B36" s="40" t="s">
        <v>188</v>
      </c>
      <c r="C36" s="41" t="s">
        <v>21</v>
      </c>
      <c r="D36" s="205">
        <f>'2.2.'!C27</f>
        <v>44.703099999999999</v>
      </c>
      <c r="E36" s="205">
        <v>9.39</v>
      </c>
      <c r="F36" s="205">
        <f t="shared" si="1"/>
        <v>54.0931</v>
      </c>
      <c r="G36" s="11"/>
    </row>
    <row r="37" spans="1:7" x14ac:dyDescent="0.25">
      <c r="A37" s="41" t="s">
        <v>92</v>
      </c>
      <c r="B37" s="40" t="s">
        <v>189</v>
      </c>
      <c r="C37" s="41" t="s">
        <v>21</v>
      </c>
      <c r="D37" s="205">
        <f>'2.3.'!C27</f>
        <v>44.6783</v>
      </c>
      <c r="E37" s="205">
        <v>9.3800000000000008</v>
      </c>
      <c r="F37" s="205">
        <f t="shared" si="1"/>
        <v>54.058300000000003</v>
      </c>
      <c r="G37" s="11"/>
    </row>
    <row r="38" spans="1:7" x14ac:dyDescent="0.25">
      <c r="A38" s="41" t="s">
        <v>93</v>
      </c>
      <c r="B38" s="40" t="s">
        <v>190</v>
      </c>
      <c r="C38" s="41" t="s">
        <v>21</v>
      </c>
      <c r="D38" s="205">
        <f>'2.4.'!C26</f>
        <v>37.413172559999992</v>
      </c>
      <c r="E38" s="205">
        <v>7.86</v>
      </c>
      <c r="F38" s="205">
        <f t="shared" si="1"/>
        <v>45.273172559999992</v>
      </c>
      <c r="G38" s="11"/>
    </row>
    <row r="39" spans="1:7" x14ac:dyDescent="0.25">
      <c r="A39" s="41" t="s">
        <v>94</v>
      </c>
      <c r="B39" s="40" t="s">
        <v>95</v>
      </c>
      <c r="C39" s="41" t="s">
        <v>21</v>
      </c>
      <c r="D39" s="205">
        <f>'2.5.'!C25</f>
        <v>37.757573409999999</v>
      </c>
      <c r="E39" s="205">
        <v>7.93</v>
      </c>
      <c r="F39" s="205">
        <f t="shared" si="1"/>
        <v>45.687573409999999</v>
      </c>
      <c r="G39" s="11"/>
    </row>
    <row r="40" spans="1:7" x14ac:dyDescent="0.25">
      <c r="A40" s="41" t="s">
        <v>97</v>
      </c>
      <c r="B40" s="40" t="s">
        <v>191</v>
      </c>
      <c r="C40" s="41" t="s">
        <v>21</v>
      </c>
      <c r="D40" s="205">
        <f>'2.6.'!C26</f>
        <v>33.421275029999997</v>
      </c>
      <c r="E40" s="205">
        <v>7.02</v>
      </c>
      <c r="F40" s="205">
        <f t="shared" si="1"/>
        <v>40.44127503</v>
      </c>
      <c r="G40" s="11"/>
    </row>
    <row r="41" spans="1:7" x14ac:dyDescent="0.25">
      <c r="A41" s="41" t="s">
        <v>98</v>
      </c>
      <c r="B41" s="40" t="s">
        <v>194</v>
      </c>
      <c r="C41" s="41" t="s">
        <v>160</v>
      </c>
      <c r="D41" s="205">
        <f>'2.7.'!C24</f>
        <v>22.59737784</v>
      </c>
      <c r="E41" s="205">
        <v>4.75</v>
      </c>
      <c r="F41" s="205">
        <f t="shared" si="1"/>
        <v>27.34737784</v>
      </c>
      <c r="G41" s="11"/>
    </row>
    <row r="42" spans="1:7" x14ac:dyDescent="0.25">
      <c r="A42" s="41" t="s">
        <v>126</v>
      </c>
      <c r="B42" s="40" t="s">
        <v>127</v>
      </c>
      <c r="C42" s="41" t="s">
        <v>21</v>
      </c>
      <c r="D42" s="205">
        <f>'2.8.'!C27</f>
        <v>59.199233333333332</v>
      </c>
      <c r="E42" s="205">
        <v>12.43</v>
      </c>
      <c r="F42" s="205">
        <f t="shared" si="1"/>
        <v>71.629233333333332</v>
      </c>
      <c r="G42" s="11"/>
    </row>
    <row r="43" spans="1:7" x14ac:dyDescent="0.25">
      <c r="A43" s="41" t="s">
        <v>128</v>
      </c>
      <c r="B43" s="40" t="s">
        <v>130</v>
      </c>
      <c r="C43" s="41" t="s">
        <v>21</v>
      </c>
      <c r="D43" s="205">
        <f>'2.9.'!C27</f>
        <v>110.25977777777777</v>
      </c>
      <c r="E43" s="205">
        <v>23.15</v>
      </c>
      <c r="F43" s="205">
        <f t="shared" si="1"/>
        <v>133.40977777777778</v>
      </c>
      <c r="G43" s="11"/>
    </row>
    <row r="44" spans="1:7" x14ac:dyDescent="0.25">
      <c r="A44" s="69">
        <v>3</v>
      </c>
      <c r="B44" s="209" t="s">
        <v>257</v>
      </c>
      <c r="C44" s="210"/>
      <c r="D44" s="210"/>
      <c r="E44" s="210"/>
      <c r="F44" s="211"/>
    </row>
    <row r="45" spans="1:7" ht="31.5" x14ac:dyDescent="0.25">
      <c r="A45" s="41" t="s">
        <v>99</v>
      </c>
      <c r="B45" s="40" t="s">
        <v>258</v>
      </c>
      <c r="C45" s="41" t="s">
        <v>18</v>
      </c>
      <c r="D45" s="205">
        <f>'3.1.'!C28</f>
        <v>351.11978260869563</v>
      </c>
      <c r="E45" s="205">
        <v>73.739999999999995</v>
      </c>
      <c r="F45" s="205">
        <f>SUM(D45:E45)</f>
        <v>424.85978260869564</v>
      </c>
      <c r="G45" s="11"/>
    </row>
    <row r="46" spans="1:7" ht="31.5" x14ac:dyDescent="0.25">
      <c r="A46" s="41" t="s">
        <v>102</v>
      </c>
      <c r="B46" s="40" t="s">
        <v>259</v>
      </c>
      <c r="C46" s="41" t="s">
        <v>129</v>
      </c>
      <c r="D46" s="205">
        <f>'3.2.'!C24</f>
        <v>114.3999</v>
      </c>
      <c r="E46" s="205">
        <v>24.02</v>
      </c>
      <c r="F46" s="205">
        <f>SUM(D46:E46)</f>
        <v>138.41990000000001</v>
      </c>
      <c r="G46" s="11"/>
    </row>
    <row r="47" spans="1:7" ht="31.5" x14ac:dyDescent="0.25">
      <c r="A47" s="41" t="s">
        <v>143</v>
      </c>
      <c r="B47" s="40" t="s">
        <v>260</v>
      </c>
      <c r="C47" s="41" t="s">
        <v>142</v>
      </c>
      <c r="D47" s="205">
        <f>'3.3.'!C27</f>
        <v>265.41012204578948</v>
      </c>
      <c r="E47" s="205">
        <v>55.74</v>
      </c>
      <c r="F47" s="205">
        <f>D47+E47</f>
        <v>321.15012204578949</v>
      </c>
      <c r="G47" s="11"/>
    </row>
    <row r="48" spans="1:7" x14ac:dyDescent="0.25">
      <c r="A48" s="69">
        <v>4</v>
      </c>
      <c r="B48" s="209" t="s">
        <v>132</v>
      </c>
      <c r="C48" s="210"/>
      <c r="D48" s="210"/>
      <c r="E48" s="210"/>
      <c r="F48" s="211"/>
      <c r="G48" s="11"/>
    </row>
    <row r="49" spans="1:7" x14ac:dyDescent="0.25">
      <c r="A49" s="41" t="s">
        <v>104</v>
      </c>
      <c r="B49" s="40" t="s">
        <v>180</v>
      </c>
      <c r="C49" s="41" t="s">
        <v>19</v>
      </c>
      <c r="D49" s="205">
        <f>'4.1.'!C27</f>
        <v>182.17549572999999</v>
      </c>
      <c r="E49" s="205">
        <v>38.26</v>
      </c>
      <c r="F49" s="205">
        <f>D49+E49</f>
        <v>220.43549572999999</v>
      </c>
      <c r="G49" s="11"/>
    </row>
    <row r="50" spans="1:7" x14ac:dyDescent="0.25">
      <c r="A50" s="41" t="s">
        <v>144</v>
      </c>
      <c r="B50" s="40" t="s">
        <v>134</v>
      </c>
      <c r="C50" s="41" t="s">
        <v>133</v>
      </c>
      <c r="D50" s="205">
        <f>'4.2.'!C24</f>
        <v>115.58280000000001</v>
      </c>
      <c r="E50" s="205">
        <v>24.27</v>
      </c>
      <c r="F50" s="205">
        <f>D50+E50</f>
        <v>139.8528</v>
      </c>
      <c r="G50" s="11"/>
    </row>
    <row r="51" spans="1:7" x14ac:dyDescent="0.25">
      <c r="A51" s="168" t="s">
        <v>45</v>
      </c>
      <c r="B51" s="68" t="s">
        <v>103</v>
      </c>
      <c r="C51" s="70" t="s">
        <v>19</v>
      </c>
      <c r="D51" s="79">
        <f>'5.'!C26</f>
        <v>19.797936360000001</v>
      </c>
      <c r="E51" s="205">
        <v>4.16</v>
      </c>
      <c r="F51" s="79">
        <f>D51+E51</f>
        <v>23.957936360000001</v>
      </c>
      <c r="G51" s="11"/>
    </row>
    <row r="52" spans="1:7" ht="34.5" customHeight="1" x14ac:dyDescent="0.25">
      <c r="A52" s="69" t="s">
        <v>46</v>
      </c>
      <c r="B52" s="215" t="s">
        <v>239</v>
      </c>
      <c r="C52" s="216"/>
      <c r="D52" s="216"/>
      <c r="E52" s="216"/>
      <c r="F52" s="217"/>
      <c r="G52" s="11"/>
    </row>
    <row r="53" spans="1:7" x14ac:dyDescent="0.25">
      <c r="A53" s="70" t="s">
        <v>113</v>
      </c>
      <c r="B53" s="40" t="s">
        <v>100</v>
      </c>
      <c r="C53" s="41" t="s">
        <v>19</v>
      </c>
      <c r="D53" s="79">
        <f>'6.1.'!C26</f>
        <v>274.9498142857143</v>
      </c>
      <c r="E53" s="205">
        <v>57.74</v>
      </c>
      <c r="F53" s="79">
        <f>D53+E53</f>
        <v>332.68981428571431</v>
      </c>
      <c r="G53" s="11"/>
    </row>
    <row r="54" spans="1:7" x14ac:dyDescent="0.25">
      <c r="A54" s="70" t="s">
        <v>114</v>
      </c>
      <c r="B54" s="68" t="s">
        <v>101</v>
      </c>
      <c r="C54" s="41" t="s">
        <v>19</v>
      </c>
      <c r="D54" s="79">
        <f>'6.2.'!C26</f>
        <v>198.76010941451992</v>
      </c>
      <c r="E54" s="205">
        <v>41.74</v>
      </c>
      <c r="F54" s="79">
        <f>D54+E54</f>
        <v>240.50010941451993</v>
      </c>
      <c r="G54" s="11"/>
    </row>
    <row r="55" spans="1:7" ht="18.75" x14ac:dyDescent="0.25">
      <c r="A55" s="70" t="s">
        <v>115</v>
      </c>
      <c r="B55" s="40" t="s">
        <v>158</v>
      </c>
      <c r="C55" s="41" t="s">
        <v>19</v>
      </c>
      <c r="D55" s="79">
        <f>'6.3.'!C24</f>
        <v>30.889808715714285</v>
      </c>
      <c r="E55" s="205">
        <v>0</v>
      </c>
      <c r="F55" s="79">
        <f>D55+E55</f>
        <v>30.889808715714285</v>
      </c>
      <c r="G55" s="11"/>
    </row>
    <row r="56" spans="1:7" ht="38.25" customHeight="1" x14ac:dyDescent="0.25">
      <c r="A56" s="69" t="s">
        <v>145</v>
      </c>
      <c r="B56" s="209" t="s">
        <v>806</v>
      </c>
      <c r="C56" s="210"/>
      <c r="D56" s="210"/>
      <c r="E56" s="210"/>
      <c r="F56" s="211"/>
      <c r="G56" s="11"/>
    </row>
    <row r="57" spans="1:7" x14ac:dyDescent="0.25">
      <c r="A57" s="70" t="s">
        <v>203</v>
      </c>
      <c r="B57" s="40" t="s">
        <v>100</v>
      </c>
      <c r="C57" s="41" t="s">
        <v>19</v>
      </c>
      <c r="D57" s="79">
        <f>'7.1.'!C26</f>
        <v>391.72764091571815</v>
      </c>
      <c r="E57" s="205">
        <v>82.26</v>
      </c>
      <c r="F57" s="79">
        <f t="shared" ref="F57:F61" si="2">D57+E57</f>
        <v>473.98764091571815</v>
      </c>
      <c r="G57" s="11"/>
    </row>
    <row r="58" spans="1:7" x14ac:dyDescent="0.25">
      <c r="A58" s="70" t="s">
        <v>202</v>
      </c>
      <c r="B58" s="68" t="s">
        <v>101</v>
      </c>
      <c r="C58" s="41" t="s">
        <v>19</v>
      </c>
      <c r="D58" s="79">
        <f>'7.2.'!C26</f>
        <v>198.76035487737707</v>
      </c>
      <c r="E58" s="205">
        <v>41.74</v>
      </c>
      <c r="F58" s="79">
        <f t="shared" si="2"/>
        <v>240.50035487737708</v>
      </c>
      <c r="G58" s="11"/>
    </row>
    <row r="59" spans="1:7" ht="18.75" x14ac:dyDescent="0.25">
      <c r="A59" s="70" t="s">
        <v>204</v>
      </c>
      <c r="B59" s="40" t="s">
        <v>157</v>
      </c>
      <c r="C59" s="41" t="s">
        <v>19</v>
      </c>
      <c r="D59" s="79">
        <f>'7.3.'!C25</f>
        <v>30.891278049180325</v>
      </c>
      <c r="E59" s="205">
        <v>0</v>
      </c>
      <c r="F59" s="79">
        <f t="shared" si="2"/>
        <v>30.891278049180325</v>
      </c>
      <c r="G59" s="11"/>
    </row>
    <row r="60" spans="1:7" x14ac:dyDescent="0.25">
      <c r="A60" s="70" t="s">
        <v>205</v>
      </c>
      <c r="B60" s="40" t="s">
        <v>159</v>
      </c>
      <c r="C60" s="41" t="s">
        <v>160</v>
      </c>
      <c r="D60" s="79">
        <f>'7.4.'!C24</f>
        <v>90.784899999999993</v>
      </c>
      <c r="E60" s="205">
        <f>ROUND(D60*0.21,2)</f>
        <v>19.059999999999999</v>
      </c>
      <c r="F60" s="79">
        <f t="shared" si="2"/>
        <v>109.8449</v>
      </c>
      <c r="G60" s="11"/>
    </row>
    <row r="61" spans="1:7" x14ac:dyDescent="0.25">
      <c r="A61" s="70" t="s">
        <v>206</v>
      </c>
      <c r="B61" s="40" t="s">
        <v>164</v>
      </c>
      <c r="C61" s="41" t="s">
        <v>160</v>
      </c>
      <c r="D61" s="79">
        <f>'7.5.'!C23</f>
        <v>49.600900000000003</v>
      </c>
      <c r="E61" s="205">
        <f t="shared" ref="E61:E71" si="3">ROUND(D61*0.21,2)</f>
        <v>10.42</v>
      </c>
      <c r="F61" s="79">
        <f t="shared" si="2"/>
        <v>60.020900000000005</v>
      </c>
      <c r="G61" s="11"/>
    </row>
    <row r="62" spans="1:7" x14ac:dyDescent="0.25">
      <c r="A62" s="70" t="s">
        <v>207</v>
      </c>
      <c r="B62" s="40" t="s">
        <v>163</v>
      </c>
      <c r="C62" s="41" t="s">
        <v>165</v>
      </c>
      <c r="D62" s="79">
        <f>'7.6.'!C25</f>
        <v>9.1177841899999983</v>
      </c>
      <c r="E62" s="205">
        <v>1.92</v>
      </c>
      <c r="F62" s="79">
        <f>ROUND(D62+E62,2)</f>
        <v>11.04</v>
      </c>
      <c r="G62" s="11"/>
    </row>
    <row r="63" spans="1:7" x14ac:dyDescent="0.25">
      <c r="A63" s="69" t="s">
        <v>146</v>
      </c>
      <c r="B63" s="40" t="s">
        <v>108</v>
      </c>
      <c r="C63" s="41" t="s">
        <v>109</v>
      </c>
      <c r="D63" s="205">
        <f>'8.'!C25</f>
        <v>16.524670969999999</v>
      </c>
      <c r="E63" s="205">
        <f t="shared" si="3"/>
        <v>3.47</v>
      </c>
      <c r="F63" s="205">
        <f t="shared" ref="F63:F68" si="4">D63+E63</f>
        <v>19.994670969999998</v>
      </c>
      <c r="G63" s="11"/>
    </row>
    <row r="64" spans="1:7" ht="18.75" x14ac:dyDescent="0.25">
      <c r="A64" s="69" t="s">
        <v>147</v>
      </c>
      <c r="B64" s="92" t="s">
        <v>250</v>
      </c>
      <c r="C64" s="41" t="s">
        <v>112</v>
      </c>
      <c r="D64" s="205">
        <f>'9.'!C21</f>
        <v>75.848284579999998</v>
      </c>
      <c r="E64" s="205">
        <f t="shared" si="3"/>
        <v>15.93</v>
      </c>
      <c r="F64" s="205">
        <f t="shared" si="4"/>
        <v>91.77828457999999</v>
      </c>
      <c r="G64" s="11"/>
    </row>
    <row r="65" spans="1:7" x14ac:dyDescent="0.25">
      <c r="A65" s="69" t="s">
        <v>148</v>
      </c>
      <c r="B65" s="40" t="s">
        <v>120</v>
      </c>
      <c r="C65" s="41" t="s">
        <v>116</v>
      </c>
      <c r="D65" s="205">
        <f>'10.'!C23</f>
        <v>66.099999999999994</v>
      </c>
      <c r="E65" s="205">
        <f t="shared" si="3"/>
        <v>13.88</v>
      </c>
      <c r="F65" s="205">
        <f t="shared" si="4"/>
        <v>79.97999999999999</v>
      </c>
      <c r="G65" s="11"/>
    </row>
    <row r="66" spans="1:7" x14ac:dyDescent="0.25">
      <c r="A66" s="69" t="s">
        <v>149</v>
      </c>
      <c r="B66" s="40" t="s">
        <v>117</v>
      </c>
      <c r="C66" s="41" t="s">
        <v>116</v>
      </c>
      <c r="D66" s="205">
        <f>'11.'!C23</f>
        <v>17.711076693114752</v>
      </c>
      <c r="E66" s="205">
        <f t="shared" si="3"/>
        <v>3.72</v>
      </c>
      <c r="F66" s="205">
        <f t="shared" si="4"/>
        <v>21.43107669311475</v>
      </c>
      <c r="G66" s="11"/>
    </row>
    <row r="67" spans="1:7" x14ac:dyDescent="0.25">
      <c r="A67" s="69" t="s">
        <v>150</v>
      </c>
      <c r="B67" s="40" t="s">
        <v>118</v>
      </c>
      <c r="C67" s="41" t="s">
        <v>116</v>
      </c>
      <c r="D67" s="205">
        <f>'12.'!C23</f>
        <v>35.367636173114754</v>
      </c>
      <c r="E67" s="205">
        <f t="shared" si="3"/>
        <v>7.43</v>
      </c>
      <c r="F67" s="205">
        <f t="shared" si="4"/>
        <v>42.797636173114753</v>
      </c>
      <c r="G67" s="11"/>
    </row>
    <row r="68" spans="1:7" x14ac:dyDescent="0.25">
      <c r="A68" s="69" t="s">
        <v>151</v>
      </c>
      <c r="B68" s="40" t="s">
        <v>119</v>
      </c>
      <c r="C68" s="41" t="s">
        <v>116</v>
      </c>
      <c r="D68" s="205">
        <f>'13.'!C22</f>
        <v>8.7997672131147535</v>
      </c>
      <c r="E68" s="205">
        <f t="shared" si="3"/>
        <v>1.85</v>
      </c>
      <c r="F68" s="205">
        <f t="shared" si="4"/>
        <v>10.649767213114753</v>
      </c>
      <c r="G68" s="11"/>
    </row>
    <row r="69" spans="1:7" x14ac:dyDescent="0.25">
      <c r="A69" s="69" t="s">
        <v>152</v>
      </c>
      <c r="B69" s="40" t="s">
        <v>121</v>
      </c>
      <c r="C69" s="41" t="s">
        <v>116</v>
      </c>
      <c r="D69" s="205">
        <f>'14.'!C23</f>
        <v>6.5685322580645167</v>
      </c>
      <c r="E69" s="205">
        <f t="shared" si="3"/>
        <v>1.38</v>
      </c>
      <c r="F69" s="205">
        <f>D69+E69</f>
        <v>7.9485322580645166</v>
      </c>
      <c r="G69" s="11"/>
    </row>
    <row r="70" spans="1:7" ht="20.25" customHeight="1" x14ac:dyDescent="0.25">
      <c r="A70" s="69">
        <v>15</v>
      </c>
      <c r="B70" s="92" t="s">
        <v>251</v>
      </c>
      <c r="C70" s="41" t="s">
        <v>135</v>
      </c>
      <c r="D70" s="205">
        <f>'15.'!C22</f>
        <v>13.030000000000001</v>
      </c>
      <c r="E70" s="205">
        <f t="shared" si="3"/>
        <v>2.74</v>
      </c>
      <c r="F70" s="205">
        <f>D70+E70</f>
        <v>15.770000000000001</v>
      </c>
      <c r="G70" s="11"/>
    </row>
    <row r="71" spans="1:7" ht="18.75" x14ac:dyDescent="0.25">
      <c r="A71" s="69" t="s">
        <v>153</v>
      </c>
      <c r="B71" s="40" t="s">
        <v>252</v>
      </c>
      <c r="C71" s="41" t="s">
        <v>135</v>
      </c>
      <c r="D71" s="205">
        <f>'16.'!C23</f>
        <v>13.030014622950819</v>
      </c>
      <c r="E71" s="205">
        <f t="shared" si="3"/>
        <v>2.74</v>
      </c>
      <c r="F71" s="205">
        <f>D71+E71</f>
        <v>15.77001462295082</v>
      </c>
      <c r="G71" s="11"/>
    </row>
    <row r="72" spans="1:7" x14ac:dyDescent="0.25">
      <c r="A72" s="69" t="s">
        <v>154</v>
      </c>
      <c r="B72" s="209" t="s">
        <v>240</v>
      </c>
      <c r="C72" s="210"/>
      <c r="D72" s="210"/>
      <c r="E72" s="210"/>
      <c r="F72" s="211"/>
      <c r="G72" s="11"/>
    </row>
    <row r="73" spans="1:7" x14ac:dyDescent="0.25">
      <c r="A73" s="41" t="s">
        <v>218</v>
      </c>
      <c r="B73" s="40" t="s">
        <v>184</v>
      </c>
      <c r="C73" s="41" t="s">
        <v>20</v>
      </c>
      <c r="D73" s="205">
        <f>'17.1.'!C26</f>
        <v>81.999920955714288</v>
      </c>
      <c r="E73" s="205">
        <v>17.22</v>
      </c>
      <c r="F73" s="205">
        <f t="shared" ref="F73:F79" si="5">D73+E73</f>
        <v>99.219920955714286</v>
      </c>
      <c r="G73" s="11"/>
    </row>
    <row r="74" spans="1:7" x14ac:dyDescent="0.25">
      <c r="A74" s="41" t="s">
        <v>219</v>
      </c>
      <c r="B74" s="40" t="s">
        <v>185</v>
      </c>
      <c r="C74" s="41" t="s">
        <v>20</v>
      </c>
      <c r="D74" s="205">
        <f>'17.2'!C26</f>
        <v>156.19006327683616</v>
      </c>
      <c r="E74" s="205">
        <v>32.799999999999997</v>
      </c>
      <c r="F74" s="205">
        <f t="shared" si="5"/>
        <v>188.99006327683617</v>
      </c>
      <c r="G74" s="11"/>
    </row>
    <row r="75" spans="1:7" ht="18.75" x14ac:dyDescent="0.25">
      <c r="A75" s="41" t="s">
        <v>220</v>
      </c>
      <c r="B75" s="40" t="s">
        <v>253</v>
      </c>
      <c r="C75" s="41" t="s">
        <v>20</v>
      </c>
      <c r="D75" s="205">
        <f>'17.3.'!C26</f>
        <v>119.04011220683616</v>
      </c>
      <c r="E75" s="205">
        <v>25</v>
      </c>
      <c r="F75" s="205">
        <f t="shared" si="5"/>
        <v>144.04011220683617</v>
      </c>
      <c r="G75" s="11"/>
    </row>
    <row r="76" spans="1:7" ht="36.75" customHeight="1" x14ac:dyDescent="0.25">
      <c r="A76" s="69" t="s">
        <v>155</v>
      </c>
      <c r="B76" s="209" t="s">
        <v>807</v>
      </c>
      <c r="C76" s="210"/>
      <c r="D76" s="210"/>
      <c r="E76" s="210"/>
      <c r="F76" s="211"/>
      <c r="G76" s="11"/>
    </row>
    <row r="77" spans="1:7" x14ac:dyDescent="0.25">
      <c r="A77" s="41" t="s">
        <v>181</v>
      </c>
      <c r="B77" s="40" t="s">
        <v>186</v>
      </c>
      <c r="C77" s="41" t="s">
        <v>20</v>
      </c>
      <c r="D77" s="205">
        <f>'18.1.'!C26</f>
        <v>81.996319946836167</v>
      </c>
      <c r="E77" s="205">
        <v>17.22</v>
      </c>
      <c r="F77" s="205">
        <f>D77+E77</f>
        <v>99.216319946836165</v>
      </c>
      <c r="G77" s="11"/>
    </row>
    <row r="78" spans="1:7" x14ac:dyDescent="0.25">
      <c r="A78" s="169" t="s">
        <v>182</v>
      </c>
      <c r="B78" s="40" t="s">
        <v>185</v>
      </c>
      <c r="C78" s="41" t="s">
        <v>20</v>
      </c>
      <c r="D78" s="205">
        <f>'18.2.'!C26</f>
        <v>156.18885446683618</v>
      </c>
      <c r="E78" s="205">
        <v>32.799999999999997</v>
      </c>
      <c r="F78" s="205">
        <f>D78+E78</f>
        <v>188.98885446683619</v>
      </c>
      <c r="G78" s="11"/>
    </row>
    <row r="79" spans="1:7" x14ac:dyDescent="0.25">
      <c r="A79" s="41" t="s">
        <v>183</v>
      </c>
      <c r="B79" s="40" t="s">
        <v>187</v>
      </c>
      <c r="C79" s="41" t="s">
        <v>20</v>
      </c>
      <c r="D79" s="205">
        <f>'18.3.'!C26</f>
        <v>119.04251220683616</v>
      </c>
      <c r="E79" s="205">
        <v>25</v>
      </c>
      <c r="F79" s="205">
        <f t="shared" si="5"/>
        <v>144.04251220683616</v>
      </c>
      <c r="G79" s="11"/>
    </row>
    <row r="80" spans="1:7" ht="34.5" x14ac:dyDescent="0.25">
      <c r="A80" s="69">
        <v>19</v>
      </c>
      <c r="B80" s="92" t="s">
        <v>254</v>
      </c>
      <c r="C80" s="41" t="s">
        <v>20</v>
      </c>
      <c r="D80" s="205">
        <f>'19'!C24</f>
        <v>505.36004199999996</v>
      </c>
      <c r="E80" s="205">
        <v>106.13</v>
      </c>
      <c r="F80" s="205">
        <f>D80+E80</f>
        <v>611.4900419999999</v>
      </c>
      <c r="G80" s="11"/>
    </row>
    <row r="81" spans="1:7" ht="24" customHeight="1" x14ac:dyDescent="0.25">
      <c r="A81" s="69" t="s">
        <v>221</v>
      </c>
      <c r="B81" s="92" t="s">
        <v>255</v>
      </c>
      <c r="C81" s="41" t="s">
        <v>124</v>
      </c>
      <c r="D81" s="205">
        <f>'20'!C18</f>
        <v>12.408999999999999</v>
      </c>
      <c r="E81" s="205">
        <v>2.61</v>
      </c>
      <c r="F81" s="205">
        <f>D81+E81</f>
        <v>15.018999999999998</v>
      </c>
      <c r="G81" s="11"/>
    </row>
    <row r="82" spans="1:7" ht="34.5" x14ac:dyDescent="0.25">
      <c r="A82" s="69" t="s">
        <v>156</v>
      </c>
      <c r="B82" s="92" t="s">
        <v>256</v>
      </c>
      <c r="C82" s="41" t="s">
        <v>124</v>
      </c>
      <c r="D82" s="205">
        <f>'21'!C17</f>
        <v>18.613500000000002</v>
      </c>
      <c r="E82" s="205">
        <v>3.91</v>
      </c>
      <c r="F82" s="205">
        <f>D82+E82</f>
        <v>22.523500000000002</v>
      </c>
      <c r="G82" s="11"/>
    </row>
    <row r="83" spans="1:7" x14ac:dyDescent="0.25">
      <c r="A83" s="224" t="s">
        <v>136</v>
      </c>
      <c r="B83" s="224"/>
      <c r="C83" s="224"/>
      <c r="D83" s="224"/>
      <c r="E83" s="224"/>
      <c r="F83" s="224"/>
    </row>
    <row r="84" spans="1:7" ht="17.25" customHeight="1" x14ac:dyDescent="0.25">
      <c r="A84" s="225" t="s">
        <v>192</v>
      </c>
      <c r="B84" s="225"/>
      <c r="C84" s="225"/>
      <c r="D84" s="225"/>
      <c r="E84" s="225"/>
      <c r="F84" s="225"/>
    </row>
    <row r="85" spans="1:7" ht="17.25" customHeight="1" x14ac:dyDescent="0.25">
      <c r="A85" s="218" t="s">
        <v>234</v>
      </c>
      <c r="B85" s="218"/>
      <c r="C85" s="218"/>
      <c r="D85" s="218"/>
      <c r="E85" s="218"/>
      <c r="F85" s="218"/>
    </row>
    <row r="86" spans="1:7" ht="21.6" customHeight="1" x14ac:dyDescent="0.25">
      <c r="A86" s="218" t="s">
        <v>232</v>
      </c>
      <c r="B86" s="218"/>
      <c r="C86" s="218"/>
      <c r="D86" s="218"/>
      <c r="E86" s="218"/>
      <c r="F86" s="218"/>
    </row>
    <row r="87" spans="1:7" ht="20.25" customHeight="1" x14ac:dyDescent="0.25">
      <c r="A87" s="226" t="s">
        <v>808</v>
      </c>
      <c r="B87" s="226"/>
      <c r="C87" s="226"/>
      <c r="D87" s="226"/>
      <c r="E87" s="226"/>
      <c r="F87" s="226"/>
    </row>
    <row r="88" spans="1:7" x14ac:dyDescent="0.25">
      <c r="A88" s="218" t="s">
        <v>264</v>
      </c>
      <c r="B88" s="218"/>
      <c r="C88" s="218"/>
      <c r="D88" s="218"/>
      <c r="E88" s="218"/>
      <c r="F88" s="218"/>
    </row>
    <row r="89" spans="1:7" x14ac:dyDescent="0.25">
      <c r="A89" s="218" t="s">
        <v>265</v>
      </c>
      <c r="B89" s="218"/>
      <c r="C89" s="218"/>
      <c r="D89" s="218"/>
      <c r="E89" s="218"/>
      <c r="F89" s="218"/>
    </row>
    <row r="90" spans="1:7" ht="84.75" customHeight="1" x14ac:dyDescent="0.25">
      <c r="A90" s="227" t="s">
        <v>809</v>
      </c>
      <c r="B90" s="227"/>
      <c r="C90" s="227"/>
      <c r="D90" s="227"/>
      <c r="E90" s="227"/>
      <c r="F90" s="227"/>
    </row>
    <row r="91" spans="1:7" ht="19.5" customHeight="1" x14ac:dyDescent="0.25">
      <c r="A91" s="218" t="s">
        <v>266</v>
      </c>
      <c r="B91" s="218"/>
      <c r="C91" s="218"/>
      <c r="D91" s="218"/>
      <c r="E91" s="218"/>
      <c r="F91" s="218"/>
    </row>
    <row r="92" spans="1:7" ht="33.6" customHeight="1" x14ac:dyDescent="0.25">
      <c r="A92" s="218" t="s">
        <v>810</v>
      </c>
      <c r="B92" s="218"/>
      <c r="C92" s="218"/>
      <c r="D92" s="218"/>
      <c r="E92" s="218"/>
      <c r="F92" s="218"/>
    </row>
    <row r="93" spans="1:7" ht="20.25" customHeight="1" x14ac:dyDescent="0.25">
      <c r="A93" s="218" t="s">
        <v>248</v>
      </c>
      <c r="B93" s="218"/>
      <c r="C93" s="218"/>
      <c r="D93" s="218"/>
      <c r="E93" s="218"/>
      <c r="F93" s="218"/>
    </row>
    <row r="94" spans="1:7" ht="47.25" customHeight="1" x14ac:dyDescent="0.25">
      <c r="A94" s="218" t="s">
        <v>249</v>
      </c>
      <c r="B94" s="218"/>
      <c r="C94" s="218"/>
      <c r="D94" s="218"/>
      <c r="E94" s="218"/>
      <c r="F94" s="218"/>
    </row>
    <row r="95" spans="1:7" x14ac:dyDescent="0.25">
      <c r="A95" s="13"/>
      <c r="B95" s="13"/>
      <c r="C95" s="13"/>
      <c r="D95" s="13"/>
      <c r="E95" s="13"/>
      <c r="F95" s="13"/>
    </row>
    <row r="96" spans="1:7" x14ac:dyDescent="0.25">
      <c r="A96" s="207"/>
      <c r="B96" s="207"/>
      <c r="C96" s="207"/>
      <c r="D96" s="207"/>
      <c r="E96" s="208"/>
      <c r="F96" s="208"/>
      <c r="G96" s="106"/>
    </row>
    <row r="97" spans="1:7" x14ac:dyDescent="0.25">
      <c r="A97" s="107"/>
      <c r="B97" s="108"/>
      <c r="C97" s="107"/>
      <c r="D97" s="107"/>
      <c r="E97" s="107"/>
      <c r="F97" s="106"/>
      <c r="G97" s="106"/>
    </row>
    <row r="98" spans="1:7" x14ac:dyDescent="0.25">
      <c r="A98" s="107"/>
      <c r="B98" s="109"/>
      <c r="C98" s="107"/>
      <c r="D98" s="107"/>
      <c r="E98" s="110"/>
      <c r="F98" s="110"/>
      <c r="G98" s="106"/>
    </row>
    <row r="99" spans="1:7" x14ac:dyDescent="0.25">
      <c r="A99" s="111"/>
      <c r="B99" s="111"/>
      <c r="C99" s="111"/>
      <c r="D99" s="111"/>
      <c r="E99" s="111"/>
      <c r="F99" s="106"/>
      <c r="G99" s="106"/>
    </row>
    <row r="100" spans="1:7" x14ac:dyDescent="0.25">
      <c r="A100" s="221"/>
      <c r="B100" s="221"/>
      <c r="C100" s="111"/>
      <c r="D100" s="111"/>
      <c r="E100" s="111"/>
      <c r="F100" s="106"/>
      <c r="G100" s="106"/>
    </row>
    <row r="101" spans="1:7" s="115" customFormat="1" ht="12.75" x14ac:dyDescent="0.2">
      <c r="A101" s="112"/>
      <c r="B101" s="113"/>
      <c r="C101" s="136"/>
      <c r="D101" s="137"/>
      <c r="E101" s="137"/>
    </row>
    <row r="102" spans="1:7" x14ac:dyDescent="0.25">
      <c r="A102" s="115"/>
      <c r="B102" s="111"/>
      <c r="C102" s="116"/>
      <c r="D102" s="116"/>
      <c r="E102" s="111"/>
      <c r="F102" s="106"/>
      <c r="G102" s="106"/>
    </row>
    <row r="103" spans="1:7" x14ac:dyDescent="0.25">
      <c r="A103" s="112"/>
      <c r="B103" s="112"/>
      <c r="C103" s="116"/>
      <c r="D103" s="116"/>
      <c r="E103" s="111"/>
      <c r="F103" s="106"/>
      <c r="G103" s="106"/>
    </row>
  </sheetData>
  <mergeCells count="30">
    <mergeCell ref="A93:F93"/>
    <mergeCell ref="A92:F92"/>
    <mergeCell ref="A88:F88"/>
    <mergeCell ref="A89:F89"/>
    <mergeCell ref="A90:F90"/>
    <mergeCell ref="A91:F91"/>
    <mergeCell ref="A94:F94"/>
    <mergeCell ref="D1:F1"/>
    <mergeCell ref="C2:F5"/>
    <mergeCell ref="A100:B100"/>
    <mergeCell ref="A7:F7"/>
    <mergeCell ref="A10:A11"/>
    <mergeCell ref="B10:B11"/>
    <mergeCell ref="C10:C11"/>
    <mergeCell ref="D10:D11"/>
    <mergeCell ref="E10:E11"/>
    <mergeCell ref="F10:F11"/>
    <mergeCell ref="A83:F83"/>
    <mergeCell ref="A84:F84"/>
    <mergeCell ref="A86:F86"/>
    <mergeCell ref="A87:F87"/>
    <mergeCell ref="A85:F85"/>
    <mergeCell ref="B56:F56"/>
    <mergeCell ref="B72:F72"/>
    <mergeCell ref="B76:F76"/>
    <mergeCell ref="B12:F12"/>
    <mergeCell ref="B34:F34"/>
    <mergeCell ref="B44:F44"/>
    <mergeCell ref="B48:F48"/>
    <mergeCell ref="B52:F52"/>
  </mergeCells>
  <pageMargins left="0.70866141732283472" right="0.70866141732283472" top="0.74803149606299213" bottom="0.74803149606299213" header="0.31496062992125984" footer="0.31496062992125984"/>
  <pageSetup paperSize="9" scale="66" fitToHeight="0" orientation="landscape" r:id="rId1"/>
  <headerFooter differentFirst="1">
    <oddFooter>&amp;L&amp;"Times New Roman,Regular"&amp;10VManotp_021018_VTMECmaks&amp;C&amp;P</oddFooter>
    <firstFooter>&amp;L&amp;10VManotp_130617_VTMECmaks&amp;C&amp;P</firstFooter>
  </headerFooter>
  <rowBreaks count="1" manualBreakCount="1">
    <brk id="43"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5"/>
  <sheetViews>
    <sheetView view="pageBreakPreview" zoomScale="60" zoomScaleNormal="70" workbookViewId="0">
      <selection activeCell="E17" sqref="E17"/>
    </sheetView>
  </sheetViews>
  <sheetFormatPr defaultColWidth="8.85546875" defaultRowHeight="15.75" x14ac:dyDescent="0.25"/>
  <cols>
    <col min="1" max="1" width="15.28515625" style="18" customWidth="1"/>
    <col min="2" max="2" width="141" style="18" customWidth="1"/>
    <col min="3" max="3" width="20.7109375" style="18" customWidth="1"/>
    <col min="4" max="4" width="20.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69</v>
      </c>
      <c r="B4" s="234"/>
      <c r="C4" s="234"/>
    </row>
    <row r="5" spans="1:7" ht="16.5" thickBot="1" x14ac:dyDescent="0.3">
      <c r="A5" s="234" t="s">
        <v>229</v>
      </c>
      <c r="B5" s="234"/>
      <c r="C5" s="234"/>
    </row>
    <row r="6" spans="1:7" ht="82.5" customHeight="1" thickBot="1" x14ac:dyDescent="0.3">
      <c r="A6" s="19" t="s">
        <v>0</v>
      </c>
      <c r="B6" s="20" t="s">
        <v>1</v>
      </c>
      <c r="C6" s="20" t="s">
        <v>2</v>
      </c>
    </row>
    <row r="7" spans="1:7" ht="18" customHeight="1" thickBot="1" x14ac:dyDescent="0.3">
      <c r="A7" s="21"/>
      <c r="B7" s="100" t="s">
        <v>3</v>
      </c>
      <c r="C7" s="23"/>
    </row>
    <row r="8" spans="1:7" ht="18" customHeight="1" thickBot="1" x14ac:dyDescent="0.3">
      <c r="A8" s="21" t="s">
        <v>243</v>
      </c>
      <c r="B8" s="103" t="s">
        <v>599</v>
      </c>
      <c r="C8" s="24">
        <f>(1.2518+3.6817+12.3245+3.0811)*100</f>
        <v>2033.9100000000003</v>
      </c>
    </row>
    <row r="9" spans="1:7" ht="16.5" thickBot="1" x14ac:dyDescent="0.3">
      <c r="A9" s="21" t="s">
        <v>244</v>
      </c>
      <c r="B9" s="93" t="s">
        <v>241</v>
      </c>
      <c r="C9" s="24">
        <f>C8*0.2409</f>
        <v>489.96891900000008</v>
      </c>
    </row>
    <row r="10" spans="1:7" ht="16.5" thickBot="1" x14ac:dyDescent="0.3">
      <c r="A10" s="21"/>
      <c r="B10" s="121" t="s">
        <v>4</v>
      </c>
      <c r="C10" s="25">
        <f>SUM(C8:C9)</f>
        <v>2523.8789190000002</v>
      </c>
    </row>
    <row r="11" spans="1:7" ht="16.5" thickBot="1" x14ac:dyDescent="0.3">
      <c r="A11" s="21"/>
      <c r="B11" s="102" t="s">
        <v>5</v>
      </c>
      <c r="C11" s="16"/>
      <c r="E11" s="27"/>
    </row>
    <row r="12" spans="1:7" ht="32.25" thickBot="1" x14ac:dyDescent="0.3">
      <c r="A12" s="21" t="s">
        <v>6</v>
      </c>
      <c r="B12" s="93" t="s">
        <v>600</v>
      </c>
      <c r="C12" s="24">
        <f>0.007*1.92*107.7*100</f>
        <v>144.74880000000002</v>
      </c>
      <c r="D12" s="32"/>
    </row>
    <row r="13" spans="1:7" ht="32.25" thickBot="1" x14ac:dyDescent="0.3">
      <c r="A13" s="21" t="s">
        <v>7</v>
      </c>
      <c r="B13" s="93" t="s">
        <v>568</v>
      </c>
      <c r="C13" s="24">
        <f>0.002*1.92*107.7*100</f>
        <v>41.356800000000007</v>
      </c>
    </row>
    <row r="14" spans="1:7" ht="32.25" thickBot="1" x14ac:dyDescent="0.3">
      <c r="A14" s="21" t="s">
        <v>8</v>
      </c>
      <c r="B14" s="93" t="s">
        <v>601</v>
      </c>
      <c r="C14" s="24">
        <f>0.013*100</f>
        <v>1.3</v>
      </c>
      <c r="G14" s="28"/>
    </row>
    <row r="15" spans="1:7" ht="34.5" customHeight="1" thickBot="1" x14ac:dyDescent="0.3">
      <c r="A15" s="21" t="s">
        <v>49</v>
      </c>
      <c r="B15" s="99" t="s">
        <v>605</v>
      </c>
      <c r="C15" s="26">
        <f>(7.26*100)+(0.0216*100)</f>
        <v>728.16</v>
      </c>
    </row>
    <row r="16" spans="1:7" ht="32.25" thickBot="1" x14ac:dyDescent="0.3">
      <c r="A16" s="21" t="s">
        <v>51</v>
      </c>
      <c r="B16" s="93" t="s">
        <v>602</v>
      </c>
      <c r="C16" s="24">
        <f>0.003*100</f>
        <v>0.3</v>
      </c>
    </row>
    <row r="17" spans="1:5" ht="36" customHeight="1" thickBot="1" x14ac:dyDescent="0.3">
      <c r="A17" s="21" t="s">
        <v>50</v>
      </c>
      <c r="B17" s="93" t="s">
        <v>603</v>
      </c>
      <c r="C17" s="170">
        <v>132.07</v>
      </c>
    </row>
    <row r="18" spans="1:5" ht="32.25" thickBot="1" x14ac:dyDescent="0.3">
      <c r="A18" s="21" t="s">
        <v>53</v>
      </c>
      <c r="B18" s="94" t="s">
        <v>573</v>
      </c>
      <c r="C18" s="24">
        <f>0.02*1.92*107.7*100</f>
        <v>413.56799999999998</v>
      </c>
    </row>
    <row r="19" spans="1:5" ht="32.25" thickBot="1" x14ac:dyDescent="0.3">
      <c r="A19" s="21" t="s">
        <v>52</v>
      </c>
      <c r="B19" s="93" t="s">
        <v>604</v>
      </c>
      <c r="C19" s="24">
        <f>(0.0042+0.0426+0.0924+0.0317+0.0053)*100</f>
        <v>17.62</v>
      </c>
    </row>
    <row r="20" spans="1:5" ht="16.5" customHeight="1" thickBot="1" x14ac:dyDescent="0.3">
      <c r="A20" s="21"/>
      <c r="B20" s="22" t="s">
        <v>10</v>
      </c>
      <c r="C20" s="26">
        <f>SUM(C12:C19)</f>
        <v>1479.1235999999999</v>
      </c>
    </row>
    <row r="21" spans="1:5" ht="16.5" thickBot="1" x14ac:dyDescent="0.3">
      <c r="A21" s="21"/>
      <c r="B21" s="29" t="s">
        <v>11</v>
      </c>
      <c r="C21" s="25">
        <f>C20+C10</f>
        <v>4003.0025190000001</v>
      </c>
      <c r="E21" s="28"/>
    </row>
    <row r="22" spans="1:5" x14ac:dyDescent="0.25">
      <c r="C22" s="28"/>
    </row>
    <row r="23" spans="1:5" ht="16.5" thickBot="1" x14ac:dyDescent="0.3">
      <c r="C23" s="28"/>
    </row>
    <row r="24" spans="1:5" ht="16.5" thickBot="1" x14ac:dyDescent="0.3">
      <c r="A24" s="234" t="s">
        <v>13</v>
      </c>
      <c r="B24" s="235"/>
      <c r="C24" s="30">
        <v>100</v>
      </c>
    </row>
    <row r="25" spans="1:5" ht="16.5" thickBot="1" x14ac:dyDescent="0.3">
      <c r="A25" s="234" t="s">
        <v>59</v>
      </c>
      <c r="B25" s="235"/>
      <c r="C25" s="31">
        <f>C21/C24</f>
        <v>40.030025190000003</v>
      </c>
    </row>
  </sheetData>
  <mergeCells count="6">
    <mergeCell ref="A24:B24"/>
    <mergeCell ref="A25:B25"/>
    <mergeCell ref="A1:C1"/>
    <mergeCell ref="A3:C3"/>
    <mergeCell ref="A4:C4"/>
    <mergeCell ref="A5:C5"/>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9"/>
  <sheetViews>
    <sheetView view="pageBreakPreview" topLeftCell="A4" zoomScale="60" zoomScaleNormal="80" workbookViewId="0">
      <selection activeCell="C17" sqref="C17"/>
    </sheetView>
  </sheetViews>
  <sheetFormatPr defaultColWidth="8.85546875" defaultRowHeight="15.75" x14ac:dyDescent="0.25"/>
  <cols>
    <col min="1" max="1" width="15.42578125" style="18" customWidth="1"/>
    <col min="2" max="2" width="135.140625" style="18" customWidth="1"/>
    <col min="3" max="3" width="20.5703125" style="18" customWidth="1"/>
    <col min="4" max="4" width="18.140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70</v>
      </c>
      <c r="B4" s="234"/>
      <c r="C4" s="234"/>
    </row>
    <row r="5" spans="1:7" ht="16.5" thickBot="1" x14ac:dyDescent="0.3">
      <c r="A5" s="234" t="s">
        <v>229</v>
      </c>
      <c r="B5" s="234"/>
      <c r="C5" s="234"/>
    </row>
    <row r="6" spans="1:7" ht="90.75" customHeight="1" thickBot="1" x14ac:dyDescent="0.3">
      <c r="A6" s="19" t="s">
        <v>0</v>
      </c>
      <c r="B6" s="20" t="s">
        <v>1</v>
      </c>
      <c r="C6" s="20" t="s">
        <v>2</v>
      </c>
    </row>
    <row r="7" spans="1:7" ht="18.75" customHeight="1" thickBot="1" x14ac:dyDescent="0.3">
      <c r="A7" s="21"/>
      <c r="B7" s="96" t="s">
        <v>3</v>
      </c>
      <c r="C7" s="23"/>
    </row>
    <row r="8" spans="1:7" ht="20.25" customHeight="1" thickBot="1" x14ac:dyDescent="0.3">
      <c r="A8" s="21" t="s">
        <v>243</v>
      </c>
      <c r="B8" s="93" t="s">
        <v>606</v>
      </c>
      <c r="C8" s="24">
        <f>(1.2518+3.6817+12.3245+3.0811)*10</f>
        <v>203.39100000000002</v>
      </c>
    </row>
    <row r="9" spans="1:7" ht="16.5" thickBot="1" x14ac:dyDescent="0.3">
      <c r="A9" s="21" t="s">
        <v>244</v>
      </c>
      <c r="B9" s="12" t="s">
        <v>241</v>
      </c>
      <c r="C9" s="24">
        <f>C8*0.2409</f>
        <v>48.996891900000008</v>
      </c>
    </row>
    <row r="10" spans="1:7" ht="16.5" thickBot="1" x14ac:dyDescent="0.3">
      <c r="A10" s="21"/>
      <c r="B10" s="22" t="s">
        <v>4</v>
      </c>
      <c r="C10" s="25">
        <f>SUM(C8:C9)</f>
        <v>252.38789190000003</v>
      </c>
    </row>
    <row r="11" spans="1:7" ht="16.5" thickBot="1" x14ac:dyDescent="0.3">
      <c r="A11" s="21"/>
      <c r="B11" s="96" t="s">
        <v>5</v>
      </c>
      <c r="C11" s="16"/>
      <c r="E11" s="27"/>
    </row>
    <row r="12" spans="1:7" ht="32.25" thickBot="1" x14ac:dyDescent="0.3">
      <c r="A12" s="21" t="s">
        <v>6</v>
      </c>
      <c r="B12" s="12" t="s">
        <v>607</v>
      </c>
      <c r="C12" s="24">
        <f>0.007*1.92*107.7*10</f>
        <v>14.474880000000001</v>
      </c>
      <c r="D12" s="32"/>
    </row>
    <row r="13" spans="1:7" ht="32.25" thickBot="1" x14ac:dyDescent="0.3">
      <c r="A13" s="21" t="s">
        <v>7</v>
      </c>
      <c r="B13" s="12" t="s">
        <v>608</v>
      </c>
      <c r="C13" s="24">
        <f>0.002*1.92*107.7*10</f>
        <v>4.1356800000000007</v>
      </c>
    </row>
    <row r="14" spans="1:7" ht="32.25" thickBot="1" x14ac:dyDescent="0.3">
      <c r="A14" s="21" t="s">
        <v>8</v>
      </c>
      <c r="B14" s="12" t="s">
        <v>609</v>
      </c>
      <c r="C14" s="24">
        <f>0.013*10</f>
        <v>0.13</v>
      </c>
      <c r="G14" s="28"/>
    </row>
    <row r="15" spans="1:7" ht="37.5" customHeight="1" thickBot="1" x14ac:dyDescent="0.3">
      <c r="A15" s="21" t="s">
        <v>49</v>
      </c>
      <c r="B15" s="94" t="s">
        <v>610</v>
      </c>
      <c r="C15" s="26">
        <f>(7.26*10)+(0.0216*10)</f>
        <v>72.815999999999988</v>
      </c>
    </row>
    <row r="16" spans="1:7" ht="32.25" thickBot="1" x14ac:dyDescent="0.3">
      <c r="A16" s="21" t="s">
        <v>51</v>
      </c>
      <c r="B16" s="12" t="s">
        <v>611</v>
      </c>
      <c r="C16" s="24">
        <f>0.003*10</f>
        <v>0.03</v>
      </c>
    </row>
    <row r="17" spans="1:5" ht="32.25" thickBot="1" x14ac:dyDescent="0.3">
      <c r="A17" s="21" t="s">
        <v>50</v>
      </c>
      <c r="B17" s="12" t="s">
        <v>612</v>
      </c>
      <c r="C17" s="170">
        <v>11.3</v>
      </c>
    </row>
    <row r="18" spans="1:5" ht="31.5" customHeight="1" thickBot="1" x14ac:dyDescent="0.3">
      <c r="A18" s="21" t="s">
        <v>53</v>
      </c>
      <c r="B18" s="93" t="s">
        <v>613</v>
      </c>
      <c r="C18" s="24">
        <f>0.02*1.92*107.7*10</f>
        <v>41.3568</v>
      </c>
    </row>
    <row r="19" spans="1:5" ht="32.25" customHeight="1" thickBot="1" x14ac:dyDescent="0.3">
      <c r="A19" s="21" t="s">
        <v>52</v>
      </c>
      <c r="B19" s="93" t="s">
        <v>614</v>
      </c>
      <c r="C19" s="24">
        <f>(0.0042+0.0426+0.0924+0.0317+0.0053)*10</f>
        <v>1.762</v>
      </c>
    </row>
    <row r="20" spans="1:5" ht="16.5" customHeight="1" thickBot="1" x14ac:dyDescent="0.3">
      <c r="A20" s="21"/>
      <c r="B20" s="22" t="s">
        <v>10</v>
      </c>
      <c r="C20" s="26">
        <f>ROUND(SUM(C12:C19),2)</f>
        <v>146.01</v>
      </c>
    </row>
    <row r="21" spans="1:5" ht="16.5" thickBot="1" x14ac:dyDescent="0.3">
      <c r="A21" s="21"/>
      <c r="B21" s="29" t="s">
        <v>11</v>
      </c>
      <c r="C21" s="25">
        <f>C20+C10</f>
        <v>398.39789189999999</v>
      </c>
      <c r="E21" s="28"/>
    </row>
    <row r="22" spans="1:5" x14ac:dyDescent="0.25">
      <c r="C22" s="28"/>
    </row>
    <row r="23" spans="1:5" ht="16.5" thickBot="1" x14ac:dyDescent="0.3">
      <c r="C23" s="28"/>
    </row>
    <row r="24" spans="1:5" ht="16.5" thickBot="1" x14ac:dyDescent="0.3">
      <c r="A24" s="234" t="s">
        <v>13</v>
      </c>
      <c r="B24" s="235"/>
      <c r="C24" s="30">
        <v>10</v>
      </c>
    </row>
    <row r="25" spans="1:5" ht="16.5" thickBot="1" x14ac:dyDescent="0.3">
      <c r="A25" s="234" t="s">
        <v>59</v>
      </c>
      <c r="B25" s="235"/>
      <c r="C25" s="31">
        <f>C21/C24</f>
        <v>39.839789189999998</v>
      </c>
    </row>
    <row r="28" spans="1:5" ht="16.5" customHeight="1" x14ac:dyDescent="0.25"/>
    <row r="29" spans="1:5"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8"/>
  <sheetViews>
    <sheetView view="pageBreakPreview" zoomScale="60" zoomScaleNormal="70" workbookViewId="0">
      <selection activeCell="E17" sqref="E17"/>
    </sheetView>
  </sheetViews>
  <sheetFormatPr defaultColWidth="8.85546875" defaultRowHeight="15.75" x14ac:dyDescent="0.25"/>
  <cols>
    <col min="1" max="1" width="15.85546875" style="18" customWidth="1"/>
    <col min="2" max="2" width="124.7109375" style="18" customWidth="1"/>
    <col min="3" max="3" width="21.42578125" style="18" customWidth="1"/>
    <col min="4" max="4" width="18.28515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71</v>
      </c>
      <c r="B4" s="234"/>
      <c r="C4" s="234"/>
    </row>
    <row r="5" spans="1:7" ht="16.5" thickBot="1" x14ac:dyDescent="0.3">
      <c r="A5" s="234" t="s">
        <v>229</v>
      </c>
      <c r="B5" s="234"/>
      <c r="C5" s="234"/>
    </row>
    <row r="6" spans="1:7" ht="90" customHeight="1" thickBot="1" x14ac:dyDescent="0.3">
      <c r="A6" s="19" t="s">
        <v>0</v>
      </c>
      <c r="B6" s="20" t="s">
        <v>1</v>
      </c>
      <c r="C6" s="20" t="s">
        <v>2</v>
      </c>
    </row>
    <row r="7" spans="1:7" ht="17.25" customHeight="1" thickBot="1" x14ac:dyDescent="0.3">
      <c r="A7" s="21"/>
      <c r="B7" s="96" t="s">
        <v>3</v>
      </c>
      <c r="C7" s="23"/>
    </row>
    <row r="8" spans="1:7" ht="15.75" customHeight="1" thickBot="1" x14ac:dyDescent="0.3">
      <c r="A8" s="21" t="s">
        <v>243</v>
      </c>
      <c r="B8" s="93" t="s">
        <v>615</v>
      </c>
      <c r="C8" s="24">
        <f>(1.2518+3.6817+12.3245+3.0811)*50</f>
        <v>1016.9550000000002</v>
      </c>
    </row>
    <row r="9" spans="1:7" ht="16.5" thickBot="1" x14ac:dyDescent="0.3">
      <c r="A9" s="21" t="s">
        <v>244</v>
      </c>
      <c r="B9" s="12" t="s">
        <v>241</v>
      </c>
      <c r="C9" s="24">
        <f>C8*0.2409</f>
        <v>244.98445950000004</v>
      </c>
    </row>
    <row r="10" spans="1:7" ht="16.5" thickBot="1" x14ac:dyDescent="0.3">
      <c r="A10" s="21"/>
      <c r="B10" s="22" t="s">
        <v>4</v>
      </c>
      <c r="C10" s="25">
        <f>SUM(C8:C9)</f>
        <v>1261.9394595000001</v>
      </c>
    </row>
    <row r="11" spans="1:7" ht="16.5" thickBot="1" x14ac:dyDescent="0.3">
      <c r="A11" s="21"/>
      <c r="B11" s="22" t="s">
        <v>5</v>
      </c>
      <c r="C11" s="16"/>
      <c r="E11" s="27"/>
    </row>
    <row r="12" spans="1:7" ht="32.25" thickBot="1" x14ac:dyDescent="0.3">
      <c r="A12" s="21" t="s">
        <v>6</v>
      </c>
      <c r="B12" s="12" t="s">
        <v>616</v>
      </c>
      <c r="C12" s="24">
        <f>0.007*1.92*107.7*50</f>
        <v>72.374400000000009</v>
      </c>
      <c r="D12" s="32"/>
    </row>
    <row r="13" spans="1:7" ht="32.25" customHeight="1" thickBot="1" x14ac:dyDescent="0.3">
      <c r="A13" s="21" t="s">
        <v>7</v>
      </c>
      <c r="B13" s="93" t="s">
        <v>617</v>
      </c>
      <c r="C13" s="24">
        <f>0.002*1.92*107.7*50</f>
        <v>20.678400000000003</v>
      </c>
    </row>
    <row r="14" spans="1:7" ht="32.25" thickBot="1" x14ac:dyDescent="0.3">
      <c r="A14" s="21" t="s">
        <v>8</v>
      </c>
      <c r="B14" s="12" t="s">
        <v>618</v>
      </c>
      <c r="C14" s="24">
        <f>0.013*50</f>
        <v>0.65</v>
      </c>
      <c r="G14" s="28"/>
    </row>
    <row r="15" spans="1:7" ht="67.5" customHeight="1" thickBot="1" x14ac:dyDescent="0.3">
      <c r="A15" s="21" t="s">
        <v>49</v>
      </c>
      <c r="B15" s="94" t="s">
        <v>623</v>
      </c>
      <c r="C15" s="26">
        <f>(7.26*50)+(0.0216*50)</f>
        <v>364.08</v>
      </c>
    </row>
    <row r="16" spans="1:7" ht="32.25" thickBot="1" x14ac:dyDescent="0.3">
      <c r="A16" s="21" t="s">
        <v>51</v>
      </c>
      <c r="B16" s="12" t="s">
        <v>619</v>
      </c>
      <c r="C16" s="24">
        <f>0.003*50</f>
        <v>0.15</v>
      </c>
    </row>
    <row r="17" spans="1:5" ht="37.5" customHeight="1" thickBot="1" x14ac:dyDescent="0.3">
      <c r="A17" s="21" t="s">
        <v>50</v>
      </c>
      <c r="B17" s="93" t="s">
        <v>620</v>
      </c>
      <c r="C17" s="170">
        <v>60.67</v>
      </c>
    </row>
    <row r="18" spans="1:5" ht="32.25" thickBot="1" x14ac:dyDescent="0.3">
      <c r="A18" s="21" t="s">
        <v>53</v>
      </c>
      <c r="B18" s="12" t="s">
        <v>621</v>
      </c>
      <c r="C18" s="24">
        <f>0.02*1.92*107.7*50</f>
        <v>206.78399999999999</v>
      </c>
    </row>
    <row r="19" spans="1:5" ht="32.25" thickBot="1" x14ac:dyDescent="0.3">
      <c r="A19" s="21" t="s">
        <v>52</v>
      </c>
      <c r="B19" s="12" t="s">
        <v>622</v>
      </c>
      <c r="C19" s="24">
        <f>(0.0034+0.04+0.09+0.03+0.01)*50</f>
        <v>8.67</v>
      </c>
    </row>
    <row r="20" spans="1:5" ht="16.5" customHeight="1" thickBot="1" x14ac:dyDescent="0.3">
      <c r="A20" s="21"/>
      <c r="B20" s="22" t="s">
        <v>10</v>
      </c>
      <c r="C20" s="26">
        <f>SUM(C12:C19)</f>
        <v>734.05679999999995</v>
      </c>
    </row>
    <row r="21" spans="1:5" ht="16.5" thickBot="1" x14ac:dyDescent="0.3">
      <c r="A21" s="21"/>
      <c r="B21" s="29" t="s">
        <v>11</v>
      </c>
      <c r="C21" s="25">
        <f>C20+C10</f>
        <v>1995.9962595000002</v>
      </c>
      <c r="E21" s="28"/>
    </row>
    <row r="22" spans="1:5" ht="16.5" thickBot="1" x14ac:dyDescent="0.3">
      <c r="C22" s="28"/>
    </row>
    <row r="23" spans="1:5" ht="16.5" thickBot="1" x14ac:dyDescent="0.3">
      <c r="A23" s="234" t="s">
        <v>13</v>
      </c>
      <c r="B23" s="235"/>
      <c r="C23" s="30">
        <v>50</v>
      </c>
    </row>
    <row r="24" spans="1:5" ht="16.5" thickBot="1" x14ac:dyDescent="0.3">
      <c r="A24" s="234" t="s">
        <v>59</v>
      </c>
      <c r="B24" s="235"/>
      <c r="C24" s="31">
        <f>C21/C23</f>
        <v>39.919925190000001</v>
      </c>
    </row>
    <row r="27" spans="1:5" ht="16.5" customHeight="1" x14ac:dyDescent="0.25"/>
    <row r="28" spans="1:5" ht="16.5" customHeight="1" x14ac:dyDescent="0.25"/>
  </sheetData>
  <mergeCells count="6">
    <mergeCell ref="A23:B23"/>
    <mergeCell ref="A24:B24"/>
    <mergeCell ref="A1:C1"/>
    <mergeCell ref="A3:C3"/>
    <mergeCell ref="A4:C4"/>
    <mergeCell ref="A5:C5"/>
  </mergeCells>
  <pageMargins left="0.70866141732283472" right="0.70866141732283472" top="0.74803149606299213" bottom="0.74803149606299213" header="0.31496062992125984" footer="0.31496062992125984"/>
  <pageSetup paperSize="9" scale="81" fitToHeight="0" orientation="landscape" r:id="rId1"/>
  <headerFooter differentFirst="1">
    <oddFooter>&amp;C&amp;P</oddFooter>
    <firstFooter>&amp;L&amp;10VManotp_130617_VTMECmaks&amp;C&amp;P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29"/>
  <sheetViews>
    <sheetView view="pageBreakPreview" zoomScale="60" zoomScaleNormal="60" workbookViewId="0">
      <selection activeCell="G21" sqref="G21"/>
    </sheetView>
  </sheetViews>
  <sheetFormatPr defaultColWidth="8.85546875" defaultRowHeight="15.75" x14ac:dyDescent="0.25"/>
  <cols>
    <col min="1" max="1" width="16.140625" style="18" customWidth="1"/>
    <col min="2" max="2" width="140.5703125" style="18" customWidth="1"/>
    <col min="3" max="3" width="21.42578125" style="18" customWidth="1"/>
    <col min="4" max="4" width="27.140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72</v>
      </c>
      <c r="B4" s="234"/>
      <c r="C4" s="234"/>
    </row>
    <row r="5" spans="1:7" ht="16.5" thickBot="1" x14ac:dyDescent="0.3">
      <c r="A5" s="234" t="s">
        <v>229</v>
      </c>
      <c r="B5" s="234"/>
      <c r="C5" s="234"/>
    </row>
    <row r="6" spans="1:7" ht="87" customHeight="1" thickBot="1" x14ac:dyDescent="0.3">
      <c r="A6" s="19" t="s">
        <v>0</v>
      </c>
      <c r="B6" s="20" t="s">
        <v>1</v>
      </c>
      <c r="C6" s="20" t="s">
        <v>2</v>
      </c>
    </row>
    <row r="7" spans="1:7" ht="16.5" thickBot="1" x14ac:dyDescent="0.3">
      <c r="A7" s="21"/>
      <c r="B7" s="22" t="s">
        <v>3</v>
      </c>
      <c r="C7" s="23"/>
    </row>
    <row r="8" spans="1:7" ht="18.75" customHeight="1" thickBot="1" x14ac:dyDescent="0.3">
      <c r="A8" s="21" t="s">
        <v>243</v>
      </c>
      <c r="B8" s="93" t="s">
        <v>624</v>
      </c>
      <c r="C8" s="24">
        <f>(1.2518+3.6817+12.3245+3.0811)*50</f>
        <v>1016.9550000000002</v>
      </c>
    </row>
    <row r="9" spans="1:7" ht="16.5" thickBot="1" x14ac:dyDescent="0.3">
      <c r="A9" s="21" t="s">
        <v>244</v>
      </c>
      <c r="B9" s="12" t="s">
        <v>241</v>
      </c>
      <c r="C9" s="24">
        <f>C8*0.2409</f>
        <v>244.98445950000004</v>
      </c>
    </row>
    <row r="10" spans="1:7" ht="16.5" thickBot="1" x14ac:dyDescent="0.3">
      <c r="A10" s="21"/>
      <c r="B10" s="22" t="s">
        <v>4</v>
      </c>
      <c r="C10" s="25">
        <f>SUM(C8:C9)</f>
        <v>1261.9394595000001</v>
      </c>
    </row>
    <row r="11" spans="1:7" ht="16.5" thickBot="1" x14ac:dyDescent="0.3">
      <c r="A11" s="21"/>
      <c r="B11" s="22" t="s">
        <v>5</v>
      </c>
      <c r="C11" s="16"/>
      <c r="E11" s="27"/>
    </row>
    <row r="12" spans="1:7" ht="32.25" thickBot="1" x14ac:dyDescent="0.3">
      <c r="A12" s="21" t="s">
        <v>6</v>
      </c>
      <c r="B12" s="12" t="s">
        <v>625</v>
      </c>
      <c r="C12" s="24">
        <f>0.007*1.92*107.7*50</f>
        <v>72.374400000000009</v>
      </c>
      <c r="D12" s="32"/>
    </row>
    <row r="13" spans="1:7" ht="32.25" thickBot="1" x14ac:dyDescent="0.3">
      <c r="A13" s="21" t="s">
        <v>7</v>
      </c>
      <c r="B13" s="12" t="s">
        <v>626</v>
      </c>
      <c r="C13" s="24">
        <f>0.002*1.92*107.7*50</f>
        <v>20.678400000000003</v>
      </c>
    </row>
    <row r="14" spans="1:7" ht="37.5" customHeight="1" thickBot="1" x14ac:dyDescent="0.3">
      <c r="A14" s="21" t="s">
        <v>8</v>
      </c>
      <c r="B14" s="12" t="s">
        <v>618</v>
      </c>
      <c r="C14" s="24">
        <f>0.013*50</f>
        <v>0.65</v>
      </c>
      <c r="G14" s="28"/>
    </row>
    <row r="15" spans="1:7" ht="69.75" customHeight="1" thickBot="1" x14ac:dyDescent="0.3">
      <c r="A15" s="21" t="s">
        <v>49</v>
      </c>
      <c r="B15" s="14" t="s">
        <v>627</v>
      </c>
      <c r="C15" s="26">
        <f>(7.26*50)+(0.0216*50)</f>
        <v>364.08</v>
      </c>
    </row>
    <row r="16" spans="1:7" ht="32.25" thickBot="1" x14ac:dyDescent="0.3">
      <c r="A16" s="21" t="s">
        <v>51</v>
      </c>
      <c r="B16" s="12" t="s">
        <v>619</v>
      </c>
      <c r="C16" s="24">
        <f>0.003*50</f>
        <v>0.15</v>
      </c>
    </row>
    <row r="17" spans="1:3" ht="32.25" thickBot="1" x14ac:dyDescent="0.3">
      <c r="A17" s="21" t="s">
        <v>50</v>
      </c>
      <c r="B17" s="12" t="s">
        <v>628</v>
      </c>
      <c r="C17" s="170">
        <v>65.67</v>
      </c>
    </row>
    <row r="18" spans="1:3" ht="32.25" thickBot="1" x14ac:dyDescent="0.3">
      <c r="A18" s="21" t="s">
        <v>53</v>
      </c>
      <c r="B18" s="12" t="s">
        <v>629</v>
      </c>
      <c r="C18" s="24">
        <f>0.02*1.92*107.7*50</f>
        <v>206.78399999999999</v>
      </c>
    </row>
    <row r="19" spans="1:3" ht="32.25" thickBot="1" x14ac:dyDescent="0.3">
      <c r="A19" s="21" t="s">
        <v>52</v>
      </c>
      <c r="B19" s="93" t="s">
        <v>630</v>
      </c>
      <c r="C19" s="24">
        <f>(0.0034+0.04+0.09+0.03+0.01)*50</f>
        <v>8.67</v>
      </c>
    </row>
    <row r="20" spans="1:3" ht="18.75" customHeight="1" thickBot="1" x14ac:dyDescent="0.3">
      <c r="A20" s="21"/>
      <c r="B20" s="22" t="s">
        <v>10</v>
      </c>
      <c r="C20" s="26">
        <f>SUM(C12:C19)</f>
        <v>739.05679999999995</v>
      </c>
    </row>
    <row r="21" spans="1:3" ht="16.5" thickBot="1" x14ac:dyDescent="0.3">
      <c r="A21" s="21"/>
      <c r="B21" s="29" t="s">
        <v>11</v>
      </c>
      <c r="C21" s="25">
        <f>C20+C10</f>
        <v>2000.9962595000002</v>
      </c>
    </row>
    <row r="22" spans="1:3" x14ac:dyDescent="0.25">
      <c r="C22" s="28"/>
    </row>
    <row r="23" spans="1:3" ht="16.5" thickBot="1" x14ac:dyDescent="0.3">
      <c r="C23" s="28"/>
    </row>
    <row r="24" spans="1:3" ht="16.5" thickBot="1" x14ac:dyDescent="0.3">
      <c r="A24" s="234" t="s">
        <v>13</v>
      </c>
      <c r="B24" s="235"/>
      <c r="C24" s="30">
        <v>50</v>
      </c>
    </row>
    <row r="25" spans="1:3" ht="16.5" thickBot="1" x14ac:dyDescent="0.3">
      <c r="A25" s="234" t="s">
        <v>59</v>
      </c>
      <c r="B25" s="235"/>
      <c r="C25" s="31">
        <f>C21/C24</f>
        <v>40.019925190000002</v>
      </c>
    </row>
    <row r="28" spans="1:3" ht="16.5" customHeight="1" x14ac:dyDescent="0.25"/>
    <row r="29" spans="1:3"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8"/>
  <sheetViews>
    <sheetView view="pageBreakPreview" zoomScale="60" zoomScaleNormal="60" workbookViewId="0">
      <selection activeCell="J38" sqref="J38"/>
    </sheetView>
  </sheetViews>
  <sheetFormatPr defaultColWidth="8.85546875" defaultRowHeight="15.75" x14ac:dyDescent="0.25"/>
  <cols>
    <col min="1" max="1" width="14.5703125" style="18" customWidth="1"/>
    <col min="2" max="2" width="134" style="18" customWidth="1"/>
    <col min="3" max="3" width="20.7109375" style="18" customWidth="1"/>
    <col min="4" max="4" width="33.57031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73</v>
      </c>
      <c r="B4" s="234"/>
      <c r="C4" s="234"/>
    </row>
    <row r="5" spans="1:7" ht="16.5" thickBot="1" x14ac:dyDescent="0.3">
      <c r="A5" s="234" t="s">
        <v>229</v>
      </c>
      <c r="B5" s="234"/>
      <c r="C5" s="234"/>
    </row>
    <row r="6" spans="1:7" ht="92.25" customHeight="1" thickBot="1" x14ac:dyDescent="0.3">
      <c r="A6" s="19" t="s">
        <v>0</v>
      </c>
      <c r="B6" s="20" t="s">
        <v>1</v>
      </c>
      <c r="C6" s="20" t="s">
        <v>2</v>
      </c>
    </row>
    <row r="7" spans="1:7" ht="18" customHeight="1" thickBot="1" x14ac:dyDescent="0.3">
      <c r="A7" s="21"/>
      <c r="B7" s="96" t="s">
        <v>3</v>
      </c>
      <c r="C7" s="23"/>
    </row>
    <row r="8" spans="1:7" ht="21" customHeight="1" thickBot="1" x14ac:dyDescent="0.3">
      <c r="A8" s="21" t="s">
        <v>243</v>
      </c>
      <c r="B8" s="93" t="s">
        <v>631</v>
      </c>
      <c r="C8" s="24">
        <f>(1.2518+3.6817+12.3245+3.0811)*21</f>
        <v>427.12110000000007</v>
      </c>
    </row>
    <row r="9" spans="1:7" ht="16.5" thickBot="1" x14ac:dyDescent="0.3">
      <c r="A9" s="21" t="s">
        <v>244</v>
      </c>
      <c r="B9" s="12" t="s">
        <v>241</v>
      </c>
      <c r="C9" s="24">
        <f>C8*0.2409</f>
        <v>102.89347299000002</v>
      </c>
    </row>
    <row r="10" spans="1:7" ht="16.5" thickBot="1" x14ac:dyDescent="0.3">
      <c r="A10" s="21"/>
      <c r="B10" s="22" t="s">
        <v>4</v>
      </c>
      <c r="C10" s="25">
        <f>SUM(C8:C9)</f>
        <v>530.01457299000003</v>
      </c>
    </row>
    <row r="11" spans="1:7" ht="16.5" thickBot="1" x14ac:dyDescent="0.3">
      <c r="A11" s="21"/>
      <c r="B11" s="96" t="s">
        <v>5</v>
      </c>
      <c r="C11" s="16"/>
      <c r="E11" s="27"/>
    </row>
    <row r="12" spans="1:7" ht="37.5" customHeight="1" thickBot="1" x14ac:dyDescent="0.3">
      <c r="A12" s="21" t="s">
        <v>6</v>
      </c>
      <c r="B12" s="12" t="s">
        <v>632</v>
      </c>
      <c r="C12" s="24">
        <f>0.007*1.92*107.7*21</f>
        <v>30.397248000000001</v>
      </c>
      <c r="D12" s="32"/>
    </row>
    <row r="13" spans="1:7" ht="32.25" thickBot="1" x14ac:dyDescent="0.3">
      <c r="A13" s="21" t="s">
        <v>7</v>
      </c>
      <c r="B13" s="12" t="s">
        <v>633</v>
      </c>
      <c r="C13" s="24">
        <f>0.002*1.92*107.7*21</f>
        <v>8.6849280000000011</v>
      </c>
    </row>
    <row r="14" spans="1:7" ht="16.5" thickBot="1" x14ac:dyDescent="0.3">
      <c r="A14" s="21" t="s">
        <v>8</v>
      </c>
      <c r="B14" s="12" t="s">
        <v>639</v>
      </c>
      <c r="C14" s="24">
        <f>0.013*21</f>
        <v>0.27299999999999996</v>
      </c>
      <c r="G14" s="28"/>
    </row>
    <row r="15" spans="1:7" ht="72.75" customHeight="1" thickBot="1" x14ac:dyDescent="0.3">
      <c r="A15" s="21" t="s">
        <v>49</v>
      </c>
      <c r="B15" s="14" t="s">
        <v>634</v>
      </c>
      <c r="C15" s="26">
        <f>(7.26*21)+(0.0216*21)</f>
        <v>152.9136</v>
      </c>
    </row>
    <row r="16" spans="1:7" ht="32.25" thickBot="1" x14ac:dyDescent="0.3">
      <c r="A16" s="21" t="s">
        <v>51</v>
      </c>
      <c r="B16" s="12" t="s">
        <v>635</v>
      </c>
      <c r="C16" s="24">
        <f>0.003*21</f>
        <v>6.3E-2</v>
      </c>
    </row>
    <row r="17" spans="1:3" ht="34.5" customHeight="1" thickBot="1" x14ac:dyDescent="0.3">
      <c r="A17" s="21" t="s">
        <v>50</v>
      </c>
      <c r="B17" s="93" t="s">
        <v>636</v>
      </c>
      <c r="C17" s="170">
        <v>25.9</v>
      </c>
    </row>
    <row r="18" spans="1:3" ht="32.25" thickBot="1" x14ac:dyDescent="0.3">
      <c r="A18" s="21" t="s">
        <v>53</v>
      </c>
      <c r="B18" s="12" t="s">
        <v>637</v>
      </c>
      <c r="C18" s="24">
        <f>0.02*1.92*107.7*21</f>
        <v>86.849279999999993</v>
      </c>
    </row>
    <row r="19" spans="1:3" ht="32.25" thickBot="1" x14ac:dyDescent="0.3">
      <c r="A19" s="21" t="s">
        <v>52</v>
      </c>
      <c r="B19" s="12" t="s">
        <v>638</v>
      </c>
      <c r="C19" s="24">
        <f>(0.0034+0.04+0.09+0.03+0.01)*21</f>
        <v>3.6414</v>
      </c>
    </row>
    <row r="20" spans="1:3" ht="17.25" customHeight="1" thickBot="1" x14ac:dyDescent="0.3">
      <c r="A20" s="21"/>
      <c r="B20" s="22" t="s">
        <v>10</v>
      </c>
      <c r="C20" s="26">
        <f>SUM(C12:C19)</f>
        <v>308.72245599999997</v>
      </c>
    </row>
    <row r="21" spans="1:3" ht="16.5" thickBot="1" x14ac:dyDescent="0.3">
      <c r="A21" s="21"/>
      <c r="B21" s="29" t="s">
        <v>11</v>
      </c>
      <c r="C21" s="25">
        <f>C20+C10</f>
        <v>838.73702899</v>
      </c>
    </row>
    <row r="22" spans="1:3" ht="16.5" thickBot="1" x14ac:dyDescent="0.3">
      <c r="C22" s="28"/>
    </row>
    <row r="23" spans="1:3" ht="16.5" thickBot="1" x14ac:dyDescent="0.3">
      <c r="A23" s="234" t="s">
        <v>13</v>
      </c>
      <c r="B23" s="235"/>
      <c r="C23" s="30">
        <v>21</v>
      </c>
    </row>
    <row r="24" spans="1:3" ht="16.5" thickBot="1" x14ac:dyDescent="0.3">
      <c r="A24" s="234" t="s">
        <v>59</v>
      </c>
      <c r="B24" s="235"/>
      <c r="C24" s="31">
        <f>C21/C23</f>
        <v>39.939858523333335</v>
      </c>
    </row>
    <row r="27" spans="1:3" ht="16.5" customHeight="1" x14ac:dyDescent="0.25"/>
    <row r="28" spans="1:3"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79" fitToHeight="0" orientation="landscape" r:id="rId1"/>
  <headerFooter differentFirst="1">
    <oddFooter>&amp;C&amp;P</oddFooter>
    <firstFooter>&amp;L&amp;10VManotp_130617_VTMECmaks&amp;C&amp;P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28"/>
  <sheetViews>
    <sheetView view="pageBreakPreview" zoomScale="60" zoomScaleNormal="70" workbookViewId="0">
      <selection activeCell="C17" sqref="C17"/>
    </sheetView>
  </sheetViews>
  <sheetFormatPr defaultColWidth="8.85546875" defaultRowHeight="15.75" x14ac:dyDescent="0.25"/>
  <cols>
    <col min="1" max="1" width="14" style="18" customWidth="1"/>
    <col min="2" max="2" width="121.85546875" style="18" customWidth="1"/>
    <col min="3" max="3" width="23"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75</v>
      </c>
      <c r="B4" s="234"/>
      <c r="C4" s="234"/>
    </row>
    <row r="5" spans="1:7" ht="16.5" thickBot="1" x14ac:dyDescent="0.3">
      <c r="A5" s="234" t="s">
        <v>229</v>
      </c>
      <c r="B5" s="234"/>
      <c r="C5" s="234"/>
    </row>
    <row r="6" spans="1:7" ht="85.5" customHeight="1" thickBot="1" x14ac:dyDescent="0.3">
      <c r="A6" s="19" t="s">
        <v>0</v>
      </c>
      <c r="B6" s="20" t="s">
        <v>1</v>
      </c>
      <c r="C6" s="20" t="s">
        <v>2</v>
      </c>
    </row>
    <row r="7" spans="1:7" ht="16.5" thickBot="1" x14ac:dyDescent="0.3">
      <c r="A7" s="21"/>
      <c r="B7" s="96" t="s">
        <v>3</v>
      </c>
      <c r="C7" s="23"/>
    </row>
    <row r="8" spans="1:7" ht="19.5" customHeight="1" thickBot="1" x14ac:dyDescent="0.3">
      <c r="A8" s="21" t="s">
        <v>243</v>
      </c>
      <c r="B8" s="93" t="s">
        <v>640</v>
      </c>
      <c r="C8" s="24">
        <f>(1.2518+3.6817+12.3245+3.0811)*50</f>
        <v>1016.9550000000002</v>
      </c>
    </row>
    <row r="9" spans="1:7" ht="16.5" thickBot="1" x14ac:dyDescent="0.3">
      <c r="A9" s="21" t="s">
        <v>244</v>
      </c>
      <c r="B9" s="93" t="s">
        <v>241</v>
      </c>
      <c r="C9" s="24">
        <f>C8*0.2409</f>
        <v>244.98445950000004</v>
      </c>
    </row>
    <row r="10" spans="1:7" ht="16.5" thickBot="1" x14ac:dyDescent="0.3">
      <c r="A10" s="21"/>
      <c r="B10" s="22" t="s">
        <v>4</v>
      </c>
      <c r="C10" s="25">
        <f>SUM(C8:C9)</f>
        <v>1261.9394595000001</v>
      </c>
    </row>
    <row r="11" spans="1:7" ht="16.5" thickBot="1" x14ac:dyDescent="0.3">
      <c r="A11" s="21"/>
      <c r="B11" s="96" t="s">
        <v>5</v>
      </c>
      <c r="C11" s="16"/>
      <c r="E11" s="27"/>
    </row>
    <row r="12" spans="1:7" ht="32.25" thickBot="1" x14ac:dyDescent="0.3">
      <c r="A12" s="21" t="s">
        <v>6</v>
      </c>
      <c r="B12" s="93" t="s">
        <v>616</v>
      </c>
      <c r="C12" s="24">
        <f>0.007*1.92*107.7*50</f>
        <v>72.374400000000009</v>
      </c>
      <c r="D12" s="32"/>
    </row>
    <row r="13" spans="1:7" ht="33" customHeight="1" thickBot="1" x14ac:dyDescent="0.3">
      <c r="A13" s="21" t="s">
        <v>7</v>
      </c>
      <c r="B13" s="93" t="s">
        <v>641</v>
      </c>
      <c r="C13" s="24">
        <f>0.002*1.92*107.7*50</f>
        <v>20.678400000000003</v>
      </c>
    </row>
    <row r="14" spans="1:7" ht="18.75" customHeight="1" thickBot="1" x14ac:dyDescent="0.3">
      <c r="A14" s="21" t="s">
        <v>8</v>
      </c>
      <c r="B14" s="93" t="s">
        <v>642</v>
      </c>
      <c r="C14" s="24">
        <f>0.013*50</f>
        <v>0.65</v>
      </c>
      <c r="G14" s="28"/>
    </row>
    <row r="15" spans="1:7" ht="66.75" customHeight="1" thickBot="1" x14ac:dyDescent="0.3">
      <c r="A15" s="21" t="s">
        <v>49</v>
      </c>
      <c r="B15" s="94" t="s">
        <v>643</v>
      </c>
      <c r="C15" s="26">
        <f>(7.26*50)+(0.0216*50)</f>
        <v>364.08</v>
      </c>
    </row>
    <row r="16" spans="1:7" ht="32.25" thickBot="1" x14ac:dyDescent="0.3">
      <c r="A16" s="21" t="s">
        <v>51</v>
      </c>
      <c r="B16" s="103" t="s">
        <v>644</v>
      </c>
      <c r="C16" s="24">
        <f>0.003*50</f>
        <v>0.15</v>
      </c>
    </row>
    <row r="17" spans="1:5" ht="35.25" customHeight="1" thickBot="1" x14ac:dyDescent="0.3">
      <c r="A17" s="21" t="s">
        <v>50</v>
      </c>
      <c r="B17" s="103" t="s">
        <v>645</v>
      </c>
      <c r="C17" s="170">
        <v>91.17</v>
      </c>
    </row>
    <row r="18" spans="1:5" ht="32.25" thickBot="1" x14ac:dyDescent="0.3">
      <c r="A18" s="21" t="s">
        <v>53</v>
      </c>
      <c r="B18" s="103" t="s">
        <v>646</v>
      </c>
      <c r="C18" s="24">
        <f>0.02*1.92*107.7*50</f>
        <v>206.78399999999999</v>
      </c>
    </row>
    <row r="19" spans="1:5" ht="33.75" customHeight="1" thickBot="1" x14ac:dyDescent="0.3">
      <c r="A19" s="21" t="s">
        <v>52</v>
      </c>
      <c r="B19" s="103" t="s">
        <v>622</v>
      </c>
      <c r="C19" s="24">
        <f>(0.0034+0.04+0.09+0.03+0.01)*50</f>
        <v>8.67</v>
      </c>
    </row>
    <row r="20" spans="1:5" ht="16.5" customHeight="1" thickBot="1" x14ac:dyDescent="0.3">
      <c r="A20" s="21"/>
      <c r="B20" s="22" t="s">
        <v>10</v>
      </c>
      <c r="C20" s="26">
        <f>SUM(C12:C19)</f>
        <v>764.55679999999995</v>
      </c>
    </row>
    <row r="21" spans="1:5" ht="16.5" thickBot="1" x14ac:dyDescent="0.3">
      <c r="A21" s="21"/>
      <c r="B21" s="29" t="s">
        <v>11</v>
      </c>
      <c r="C21" s="25">
        <f>C20+C10</f>
        <v>2026.4962595000002</v>
      </c>
      <c r="E21" s="28"/>
    </row>
    <row r="22" spans="1:5" ht="16.5" thickBot="1" x14ac:dyDescent="0.3">
      <c r="C22" s="28"/>
    </row>
    <row r="23" spans="1:5" ht="16.5" thickBot="1" x14ac:dyDescent="0.3">
      <c r="A23" s="234" t="s">
        <v>13</v>
      </c>
      <c r="B23" s="235"/>
      <c r="C23" s="30">
        <v>50</v>
      </c>
    </row>
    <row r="24" spans="1:5" ht="16.5" thickBot="1" x14ac:dyDescent="0.3">
      <c r="A24" s="234" t="s">
        <v>59</v>
      </c>
      <c r="B24" s="235"/>
      <c r="C24" s="31">
        <f>C21/C23</f>
        <v>40.52992519</v>
      </c>
    </row>
    <row r="27" spans="1:5" ht="16.5" customHeight="1" x14ac:dyDescent="0.25"/>
    <row r="28" spans="1:5"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82" fitToHeight="0" orientation="landscape" r:id="rId1"/>
  <headerFooter differentFirst="1">
    <oddFooter>&amp;C&amp;P</oddFooter>
    <firstFooter>&amp;L&amp;10VManotp_130617_VTMECmaks&amp;C&amp;P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9"/>
  <sheetViews>
    <sheetView view="pageBreakPreview" topLeftCell="A4" zoomScale="60" zoomScaleNormal="70" workbookViewId="0">
      <selection activeCell="G33" sqref="G33"/>
    </sheetView>
  </sheetViews>
  <sheetFormatPr defaultColWidth="8.85546875" defaultRowHeight="15.75" x14ac:dyDescent="0.25"/>
  <cols>
    <col min="1" max="1" width="14.140625" style="18" customWidth="1"/>
    <col min="2" max="2" width="136.28515625" style="18" customWidth="1"/>
    <col min="3" max="3" width="21" style="18" customWidth="1"/>
    <col min="4" max="4" width="21.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77</v>
      </c>
      <c r="B4" s="234"/>
      <c r="C4" s="234"/>
    </row>
    <row r="5" spans="1:7" ht="16.5" thickBot="1" x14ac:dyDescent="0.3">
      <c r="A5" s="234" t="s">
        <v>229</v>
      </c>
      <c r="B5" s="234"/>
      <c r="C5" s="234"/>
    </row>
    <row r="6" spans="1:7" ht="92.25" customHeight="1" thickBot="1" x14ac:dyDescent="0.3">
      <c r="A6" s="19" t="s">
        <v>0</v>
      </c>
      <c r="B6" s="20" t="s">
        <v>1</v>
      </c>
      <c r="C6" s="20" t="s">
        <v>2</v>
      </c>
    </row>
    <row r="7" spans="1:7" ht="16.5" thickBot="1" x14ac:dyDescent="0.3">
      <c r="A7" s="21"/>
      <c r="B7" s="96" t="s">
        <v>3</v>
      </c>
      <c r="C7" s="23"/>
    </row>
    <row r="8" spans="1:7" ht="18.75" customHeight="1" thickBot="1" x14ac:dyDescent="0.3">
      <c r="A8" s="21" t="s">
        <v>243</v>
      </c>
      <c r="B8" s="93" t="s">
        <v>647</v>
      </c>
      <c r="C8" s="24">
        <f>(1.2518+3.6817+12.3245+3.0811)*120</f>
        <v>2440.692</v>
      </c>
    </row>
    <row r="9" spans="1:7" ht="16.5" thickBot="1" x14ac:dyDescent="0.3">
      <c r="A9" s="21" t="s">
        <v>244</v>
      </c>
      <c r="B9" s="12" t="s">
        <v>241</v>
      </c>
      <c r="C9" s="24">
        <f>C8*0.2409</f>
        <v>587.96270279999999</v>
      </c>
    </row>
    <row r="10" spans="1:7" ht="16.5" thickBot="1" x14ac:dyDescent="0.3">
      <c r="A10" s="21"/>
      <c r="B10" s="22" t="s">
        <v>4</v>
      </c>
      <c r="C10" s="25">
        <f>ROUND(SUM(C8:C9),2)</f>
        <v>3028.65</v>
      </c>
    </row>
    <row r="11" spans="1:7" ht="16.5" thickBot="1" x14ac:dyDescent="0.3">
      <c r="A11" s="21"/>
      <c r="B11" s="96" t="s">
        <v>5</v>
      </c>
      <c r="C11" s="16"/>
      <c r="E11" s="27"/>
    </row>
    <row r="12" spans="1:7" ht="32.25" thickBot="1" x14ac:dyDescent="0.3">
      <c r="A12" s="21" t="s">
        <v>6</v>
      </c>
      <c r="B12" s="12" t="s">
        <v>648</v>
      </c>
      <c r="C12" s="24">
        <f>0.007*1.92*107.7*120</f>
        <v>173.69856000000001</v>
      </c>
      <c r="D12" s="32"/>
    </row>
    <row r="13" spans="1:7" ht="32.25" thickBot="1" x14ac:dyDescent="0.3">
      <c r="A13" s="21" t="s">
        <v>7</v>
      </c>
      <c r="B13" s="12" t="s">
        <v>649</v>
      </c>
      <c r="C13" s="24">
        <f>0.002*1.92*107.7*120</f>
        <v>49.628160000000008</v>
      </c>
    </row>
    <row r="14" spans="1:7" ht="32.25" thickBot="1" x14ac:dyDescent="0.3">
      <c r="A14" s="21" t="s">
        <v>8</v>
      </c>
      <c r="B14" s="12" t="s">
        <v>650</v>
      </c>
      <c r="C14" s="24">
        <f>0.013*120</f>
        <v>1.5599999999999998</v>
      </c>
      <c r="G14" s="28"/>
    </row>
    <row r="15" spans="1:7" ht="68.25" customHeight="1" thickBot="1" x14ac:dyDescent="0.3">
      <c r="A15" s="21" t="s">
        <v>49</v>
      </c>
      <c r="B15" s="14" t="s">
        <v>651</v>
      </c>
      <c r="C15" s="26">
        <f>(7.26*120)+(0.0216*120)</f>
        <v>873.79199999999992</v>
      </c>
    </row>
    <row r="16" spans="1:7" ht="32.25" thickBot="1" x14ac:dyDescent="0.3">
      <c r="A16" s="21" t="s">
        <v>51</v>
      </c>
      <c r="B16" s="12" t="s">
        <v>652</v>
      </c>
      <c r="C16" s="24">
        <f>0.003*120</f>
        <v>0.36</v>
      </c>
    </row>
    <row r="17" spans="1:5" ht="36" customHeight="1" thickBot="1" x14ac:dyDescent="0.3">
      <c r="A17" s="21" t="s">
        <v>50</v>
      </c>
      <c r="B17" s="93" t="s">
        <v>653</v>
      </c>
      <c r="C17" s="170">
        <v>287.22000000000003</v>
      </c>
    </row>
    <row r="18" spans="1:5" ht="32.25" thickBot="1" x14ac:dyDescent="0.3">
      <c r="A18" s="21" t="s">
        <v>53</v>
      </c>
      <c r="B18" s="12" t="s">
        <v>654</v>
      </c>
      <c r="C18" s="24">
        <f>4.1357*120</f>
        <v>496.28399999999999</v>
      </c>
    </row>
    <row r="19" spans="1:5" ht="16.5" thickBot="1" x14ac:dyDescent="0.3">
      <c r="A19" s="21" t="s">
        <v>52</v>
      </c>
      <c r="B19" s="12" t="s">
        <v>655</v>
      </c>
      <c r="C19" s="24">
        <f>(0.0034+0.04+0.09+0.03+0.01)*120</f>
        <v>20.808</v>
      </c>
    </row>
    <row r="20" spans="1:5" ht="16.5" customHeight="1" thickBot="1" x14ac:dyDescent="0.3">
      <c r="A20" s="21"/>
      <c r="B20" s="22" t="s">
        <v>10</v>
      </c>
      <c r="C20" s="26">
        <f>SUM(C12:C19)</f>
        <v>1903.3507199999999</v>
      </c>
    </row>
    <row r="21" spans="1:5" ht="16.5" thickBot="1" x14ac:dyDescent="0.3">
      <c r="A21" s="21"/>
      <c r="B21" s="29" t="s">
        <v>11</v>
      </c>
      <c r="C21" s="25">
        <f>C20+C10</f>
        <v>4932.00072</v>
      </c>
      <c r="E21" s="28"/>
    </row>
    <row r="22" spans="1:5" x14ac:dyDescent="0.25">
      <c r="C22" s="28"/>
    </row>
    <row r="23" spans="1:5" ht="16.5" thickBot="1" x14ac:dyDescent="0.3">
      <c r="C23" s="28"/>
    </row>
    <row r="24" spans="1:5" ht="16.5" thickBot="1" x14ac:dyDescent="0.3">
      <c r="A24" s="234" t="s">
        <v>13</v>
      </c>
      <c r="B24" s="235"/>
      <c r="C24" s="30">
        <v>120</v>
      </c>
    </row>
    <row r="25" spans="1:5" ht="16.5" thickBot="1" x14ac:dyDescent="0.3">
      <c r="A25" s="234" t="s">
        <v>59</v>
      </c>
      <c r="B25" s="235"/>
      <c r="C25" s="31">
        <f>C21/C24</f>
        <v>41.100006</v>
      </c>
    </row>
    <row r="28" spans="1:5" ht="16.5" customHeight="1" x14ac:dyDescent="0.25"/>
    <row r="29" spans="1:5"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9" fitToHeight="0" orientation="landscape" r:id="rId1"/>
  <headerFooter differentFirst="1">
    <oddFooter>&amp;C&amp;P</oddFooter>
    <firstFooter>&amp;L&amp;10VManotp_130617_VTMECmaks&amp;C&amp;P</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8"/>
  <sheetViews>
    <sheetView view="pageBreakPreview" zoomScale="70" zoomScaleNormal="70" zoomScaleSheetLayoutView="70" workbookViewId="0">
      <selection activeCell="B9" sqref="B9"/>
    </sheetView>
  </sheetViews>
  <sheetFormatPr defaultColWidth="8.85546875" defaultRowHeight="15.75" x14ac:dyDescent="0.25"/>
  <cols>
    <col min="1" max="1" width="14.140625" style="18" customWidth="1"/>
    <col min="2" max="2" width="138.85546875" style="18" customWidth="1"/>
    <col min="3" max="3" width="24.8554687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79</v>
      </c>
      <c r="B4" s="234"/>
      <c r="C4" s="234"/>
    </row>
    <row r="5" spans="1:7" ht="16.5" thickBot="1" x14ac:dyDescent="0.3">
      <c r="A5" s="234" t="s">
        <v>229</v>
      </c>
      <c r="B5" s="234"/>
      <c r="C5" s="234"/>
    </row>
    <row r="6" spans="1:7" ht="81" customHeight="1" thickBot="1" x14ac:dyDescent="0.3">
      <c r="A6" s="19" t="s">
        <v>0</v>
      </c>
      <c r="B6" s="20" t="s">
        <v>1</v>
      </c>
      <c r="C6" s="20" t="s">
        <v>2</v>
      </c>
    </row>
    <row r="7" spans="1:7" ht="16.5" thickBot="1" x14ac:dyDescent="0.3">
      <c r="A7" s="21"/>
      <c r="B7" s="22" t="s">
        <v>3</v>
      </c>
      <c r="C7" s="23"/>
    </row>
    <row r="8" spans="1:7" ht="18" customHeight="1" thickBot="1" x14ac:dyDescent="0.3">
      <c r="A8" s="21" t="s">
        <v>243</v>
      </c>
      <c r="B8" s="103" t="s">
        <v>656</v>
      </c>
      <c r="C8" s="24">
        <f>(1.2518+22.0899+7.3633+12.3245+3.0811)*1</f>
        <v>46.110599999999998</v>
      </c>
    </row>
    <row r="9" spans="1:7" ht="16.5" thickBot="1" x14ac:dyDescent="0.3">
      <c r="A9" s="21" t="s">
        <v>244</v>
      </c>
      <c r="B9" s="93" t="s">
        <v>241</v>
      </c>
      <c r="C9" s="24">
        <f>C8*0.2409</f>
        <v>11.108043539999999</v>
      </c>
    </row>
    <row r="10" spans="1:7" ht="16.5" thickBot="1" x14ac:dyDescent="0.3">
      <c r="A10" s="21"/>
      <c r="B10" s="22" t="s">
        <v>4</v>
      </c>
      <c r="C10" s="25">
        <f>SUM(C8:C9)</f>
        <v>57.218643539999995</v>
      </c>
    </row>
    <row r="11" spans="1:7" ht="16.5" thickBot="1" x14ac:dyDescent="0.3">
      <c r="A11" s="21"/>
      <c r="B11" s="22" t="s">
        <v>5</v>
      </c>
      <c r="C11" s="16"/>
      <c r="E11" s="27"/>
    </row>
    <row r="12" spans="1:7" ht="32.25" thickBot="1" x14ac:dyDescent="0.3">
      <c r="A12" s="21" t="s">
        <v>6</v>
      </c>
      <c r="B12" s="93" t="s">
        <v>657</v>
      </c>
      <c r="C12" s="24">
        <f>0.007*5.42*107.7*1</f>
        <v>4.086138</v>
      </c>
      <c r="D12" s="32"/>
    </row>
    <row r="13" spans="1:7" ht="32.25" thickBot="1" x14ac:dyDescent="0.3">
      <c r="A13" s="21" t="s">
        <v>7</v>
      </c>
      <c r="B13" s="93" t="s">
        <v>664</v>
      </c>
      <c r="C13" s="24">
        <f>0.002*5.42*107.7*1</f>
        <v>1.1674680000000002</v>
      </c>
      <c r="D13" s="28"/>
    </row>
    <row r="14" spans="1:7" ht="32.25" thickBot="1" x14ac:dyDescent="0.3">
      <c r="A14" s="21" t="s">
        <v>8</v>
      </c>
      <c r="B14" s="93" t="s">
        <v>658</v>
      </c>
      <c r="C14" s="24">
        <f>0.013*1</f>
        <v>1.2999999999999999E-2</v>
      </c>
      <c r="G14" s="28"/>
    </row>
    <row r="15" spans="1:7" ht="65.25" customHeight="1" thickBot="1" x14ac:dyDescent="0.3">
      <c r="A15" s="21" t="s">
        <v>49</v>
      </c>
      <c r="B15" s="94" t="s">
        <v>659</v>
      </c>
      <c r="C15" s="26">
        <f>(7.26*1)+(0.0216*1)</f>
        <v>7.2816000000000001</v>
      </c>
    </row>
    <row r="16" spans="1:7" ht="33" customHeight="1" thickBot="1" x14ac:dyDescent="0.3">
      <c r="A16" s="21" t="s">
        <v>51</v>
      </c>
      <c r="B16" s="93" t="s">
        <v>660</v>
      </c>
      <c r="C16" s="91">
        <f>ROUNDUP(0.003*1,2)</f>
        <v>0.01</v>
      </c>
    </row>
    <row r="17" spans="1:3" ht="32.25" thickBot="1" x14ac:dyDescent="0.3">
      <c r="A17" s="21" t="s">
        <v>50</v>
      </c>
      <c r="B17" s="93" t="s">
        <v>661</v>
      </c>
      <c r="C17" s="24">
        <f>(0.05+0.04+0.01+0.3184+0.01+0.1573+0.0015+0.1+0.07)*1</f>
        <v>0.75719999999999987</v>
      </c>
    </row>
    <row r="18" spans="1:3" ht="33" customHeight="1" thickBot="1" x14ac:dyDescent="0.3">
      <c r="A18" s="21" t="s">
        <v>53</v>
      </c>
      <c r="B18" s="93" t="s">
        <v>663</v>
      </c>
      <c r="C18" s="24">
        <f>0.02*5.42*107.7*1</f>
        <v>11.67468</v>
      </c>
    </row>
    <row r="19" spans="1:3" ht="32.25" thickBot="1" x14ac:dyDescent="0.3">
      <c r="A19" s="21" t="s">
        <v>52</v>
      </c>
      <c r="B19" s="93" t="s">
        <v>662</v>
      </c>
      <c r="C19" s="24">
        <f>(0.0034+0.04+0.09+0.03+0.01)*1</f>
        <v>0.1734</v>
      </c>
    </row>
    <row r="20" spans="1:3" ht="24.75" customHeight="1" thickBot="1" x14ac:dyDescent="0.3">
      <c r="A20" s="21"/>
      <c r="B20" s="22" t="s">
        <v>10</v>
      </c>
      <c r="C20" s="26">
        <f>SUM(C12:C19)</f>
        <v>25.163485999999999</v>
      </c>
    </row>
    <row r="21" spans="1:3" ht="16.5" thickBot="1" x14ac:dyDescent="0.3">
      <c r="A21" s="21"/>
      <c r="B21" s="29" t="s">
        <v>11</v>
      </c>
      <c r="C21" s="25">
        <f>C20+C10</f>
        <v>82.382129539999994</v>
      </c>
    </row>
    <row r="22" spans="1:3" ht="16.5" thickBot="1" x14ac:dyDescent="0.3">
      <c r="C22" s="28"/>
    </row>
    <row r="23" spans="1:3" ht="16.5" thickBot="1" x14ac:dyDescent="0.3">
      <c r="A23" s="234" t="s">
        <v>13</v>
      </c>
      <c r="B23" s="235"/>
      <c r="C23" s="30">
        <v>1</v>
      </c>
    </row>
    <row r="24" spans="1:3" ht="16.5" thickBot="1" x14ac:dyDescent="0.3">
      <c r="A24" s="234" t="s">
        <v>59</v>
      </c>
      <c r="B24" s="235"/>
      <c r="C24" s="31">
        <f>C21/C23</f>
        <v>82.382129539999994</v>
      </c>
    </row>
    <row r="27" spans="1:3" ht="16.5" customHeight="1" x14ac:dyDescent="0.25"/>
    <row r="28" spans="1:3"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28"/>
  <sheetViews>
    <sheetView view="pageBreakPreview" zoomScale="60" zoomScaleNormal="70" workbookViewId="0">
      <selection activeCell="B8" sqref="B8"/>
    </sheetView>
  </sheetViews>
  <sheetFormatPr defaultColWidth="8.85546875" defaultRowHeight="15.75" x14ac:dyDescent="0.25"/>
  <cols>
    <col min="1" max="1" width="15.140625" style="18" customWidth="1"/>
    <col min="2" max="2" width="128.28515625" style="18" customWidth="1"/>
    <col min="3" max="3" width="26.5703125" style="18" customWidth="1"/>
    <col min="4" max="4" width="23.140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80</v>
      </c>
      <c r="B4" s="234"/>
      <c r="C4" s="234"/>
    </row>
    <row r="5" spans="1:7" ht="16.5" thickBot="1" x14ac:dyDescent="0.3">
      <c r="A5" s="234" t="s">
        <v>229</v>
      </c>
      <c r="B5" s="234"/>
      <c r="C5" s="234"/>
    </row>
    <row r="6" spans="1:7" ht="72" customHeight="1" thickBot="1" x14ac:dyDescent="0.3">
      <c r="A6" s="19" t="s">
        <v>0</v>
      </c>
      <c r="B6" s="20" t="s">
        <v>1</v>
      </c>
      <c r="C6" s="20" t="s">
        <v>2</v>
      </c>
    </row>
    <row r="7" spans="1:7" ht="16.5" thickBot="1" x14ac:dyDescent="0.3">
      <c r="A7" s="21"/>
      <c r="B7" s="96" t="s">
        <v>3</v>
      </c>
      <c r="C7" s="23"/>
    </row>
    <row r="8" spans="1:7" ht="20.25" customHeight="1" thickBot="1" x14ac:dyDescent="0.3">
      <c r="A8" s="21" t="s">
        <v>243</v>
      </c>
      <c r="B8" s="93" t="s">
        <v>665</v>
      </c>
      <c r="C8" s="24">
        <f>(7.3633+7.3633+3.6817+18.4868+3.0811)*3</f>
        <v>119.92859999999999</v>
      </c>
    </row>
    <row r="9" spans="1:7" ht="16.5" thickBot="1" x14ac:dyDescent="0.3">
      <c r="A9" s="21" t="s">
        <v>244</v>
      </c>
      <c r="B9" s="12" t="s">
        <v>241</v>
      </c>
      <c r="C9" s="24">
        <f>C8*0.2409</f>
        <v>28.890799739999999</v>
      </c>
    </row>
    <row r="10" spans="1:7" ht="16.5" thickBot="1" x14ac:dyDescent="0.3">
      <c r="A10" s="21"/>
      <c r="B10" s="22" t="s">
        <v>4</v>
      </c>
      <c r="C10" s="25">
        <f>SUM(C8:C9)</f>
        <v>148.81939973999999</v>
      </c>
    </row>
    <row r="11" spans="1:7" ht="16.5" thickBot="1" x14ac:dyDescent="0.3">
      <c r="A11" s="21"/>
      <c r="B11" s="22" t="s">
        <v>5</v>
      </c>
      <c r="C11" s="26"/>
      <c r="E11" s="27"/>
    </row>
    <row r="12" spans="1:7" ht="39.75" customHeight="1" thickBot="1" x14ac:dyDescent="0.3">
      <c r="A12" s="21" t="s">
        <v>6</v>
      </c>
      <c r="B12" s="93" t="s">
        <v>666</v>
      </c>
      <c r="C12" s="24">
        <f>3.689*3</f>
        <v>11.067</v>
      </c>
    </row>
    <row r="13" spans="1:7" ht="35.25" customHeight="1" thickBot="1" x14ac:dyDescent="0.3">
      <c r="A13" s="21" t="s">
        <v>7</v>
      </c>
      <c r="B13" s="93" t="s">
        <v>667</v>
      </c>
      <c r="C13" s="24">
        <f>1.054*3</f>
        <v>3.1619999999999999</v>
      </c>
    </row>
    <row r="14" spans="1:7" ht="34.5" customHeight="1" thickBot="1" x14ac:dyDescent="0.3">
      <c r="A14" s="21" t="s">
        <v>8</v>
      </c>
      <c r="B14" s="93" t="s">
        <v>668</v>
      </c>
      <c r="C14" s="24">
        <f>0.013*3</f>
        <v>3.9E-2</v>
      </c>
      <c r="G14" s="28"/>
    </row>
    <row r="15" spans="1:7" ht="68.25" customHeight="1" thickBot="1" x14ac:dyDescent="0.3">
      <c r="A15" s="21" t="s">
        <v>49</v>
      </c>
      <c r="B15" s="94" t="s">
        <v>669</v>
      </c>
      <c r="C15" s="26">
        <f>21.78+0.0648</f>
        <v>21.844800000000003</v>
      </c>
    </row>
    <row r="16" spans="1:7" ht="36" customHeight="1" thickBot="1" x14ac:dyDescent="0.3">
      <c r="A16" s="21" t="s">
        <v>51</v>
      </c>
      <c r="B16" s="93" t="s">
        <v>670</v>
      </c>
      <c r="C16" s="24">
        <f>0.003*3</f>
        <v>9.0000000000000011E-3</v>
      </c>
    </row>
    <row r="17" spans="1:3" ht="34.5" customHeight="1" thickBot="1" x14ac:dyDescent="0.3">
      <c r="A17" s="21" t="s">
        <v>50</v>
      </c>
      <c r="B17" s="93" t="s">
        <v>671</v>
      </c>
      <c r="C17" s="24">
        <f>3.1106*3</f>
        <v>9.3317999999999994</v>
      </c>
    </row>
    <row r="18" spans="1:3" ht="39" customHeight="1" thickBot="1" x14ac:dyDescent="0.3">
      <c r="A18" s="21" t="s">
        <v>53</v>
      </c>
      <c r="B18" s="93" t="s">
        <v>673</v>
      </c>
      <c r="C18" s="24">
        <f>10.54*3</f>
        <v>31.619999999999997</v>
      </c>
    </row>
    <row r="19" spans="1:3" ht="32.25" customHeight="1" thickBot="1" x14ac:dyDescent="0.3">
      <c r="A19" s="21" t="s">
        <v>52</v>
      </c>
      <c r="B19" s="93" t="s">
        <v>672</v>
      </c>
      <c r="C19" s="24">
        <f>0.2234*3</f>
        <v>0.67019999999999991</v>
      </c>
    </row>
    <row r="20" spans="1:3" ht="23.25" customHeight="1" thickBot="1" x14ac:dyDescent="0.3">
      <c r="A20" s="21"/>
      <c r="B20" s="22" t="s">
        <v>10</v>
      </c>
      <c r="C20" s="26">
        <f>SUM(C12:C19)</f>
        <v>77.743799999999993</v>
      </c>
    </row>
    <row r="21" spans="1:3" ht="16.5" thickBot="1" x14ac:dyDescent="0.3">
      <c r="A21" s="21"/>
      <c r="B21" s="29" t="s">
        <v>11</v>
      </c>
      <c r="C21" s="25">
        <f>C20+C10</f>
        <v>226.56319973999999</v>
      </c>
    </row>
    <row r="22" spans="1:3" ht="16.5" thickBot="1" x14ac:dyDescent="0.3">
      <c r="C22" s="28"/>
    </row>
    <row r="23" spans="1:3" ht="16.5" thickBot="1" x14ac:dyDescent="0.3">
      <c r="A23" s="234" t="s">
        <v>13</v>
      </c>
      <c r="B23" s="235"/>
      <c r="C23" s="30">
        <v>3</v>
      </c>
    </row>
    <row r="24" spans="1:3" ht="16.5" thickBot="1" x14ac:dyDescent="0.3">
      <c r="A24" s="234" t="s">
        <v>59</v>
      </c>
      <c r="B24" s="235"/>
      <c r="C24" s="31">
        <f>C21/C23</f>
        <v>75.521066579999996</v>
      </c>
    </row>
    <row r="27" spans="1:3" ht="16.5" customHeight="1" x14ac:dyDescent="0.25"/>
    <row r="28" spans="1:3"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8"/>
  <sheetViews>
    <sheetView view="pageBreakPreview" topLeftCell="A4" zoomScale="60" zoomScaleNormal="70" workbookViewId="0">
      <selection activeCell="N32" sqref="N32"/>
    </sheetView>
  </sheetViews>
  <sheetFormatPr defaultColWidth="8.85546875" defaultRowHeight="15.75" x14ac:dyDescent="0.25"/>
  <cols>
    <col min="1" max="1" width="14.140625" style="18" customWidth="1"/>
    <col min="2" max="2" width="135.7109375" style="18" customWidth="1"/>
    <col min="3" max="3" width="24.140625" style="18" customWidth="1"/>
    <col min="4" max="4" width="19.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82</v>
      </c>
      <c r="B4" s="234"/>
      <c r="C4" s="234"/>
    </row>
    <row r="5" spans="1:7" ht="16.5" thickBot="1" x14ac:dyDescent="0.3">
      <c r="A5" s="234" t="s">
        <v>58</v>
      </c>
      <c r="B5" s="234"/>
      <c r="C5" s="234"/>
    </row>
    <row r="6" spans="1:7" ht="85.5" customHeight="1" thickBot="1" x14ac:dyDescent="0.3">
      <c r="A6" s="19" t="s">
        <v>0</v>
      </c>
      <c r="B6" s="20" t="s">
        <v>1</v>
      </c>
      <c r="C6" s="20" t="s">
        <v>2</v>
      </c>
    </row>
    <row r="7" spans="1:7" ht="16.5" thickBot="1" x14ac:dyDescent="0.3">
      <c r="A7" s="21"/>
      <c r="B7" s="22" t="s">
        <v>3</v>
      </c>
      <c r="C7" s="23"/>
    </row>
    <row r="8" spans="1:7" ht="17.25" customHeight="1" thickBot="1" x14ac:dyDescent="0.3">
      <c r="A8" s="21" t="s">
        <v>243</v>
      </c>
      <c r="B8" s="93" t="s">
        <v>674</v>
      </c>
      <c r="C8" s="17">
        <f>ROUND((1.2518+3.6817+12.3245+3.0811)*46,2)</f>
        <v>935.6</v>
      </c>
    </row>
    <row r="9" spans="1:7" ht="16.5" thickBot="1" x14ac:dyDescent="0.3">
      <c r="A9" s="21" t="s">
        <v>244</v>
      </c>
      <c r="B9" s="12" t="s">
        <v>241</v>
      </c>
      <c r="C9" s="17">
        <f>ROUND(C8*0.2409,2)</f>
        <v>225.39</v>
      </c>
    </row>
    <row r="10" spans="1:7" ht="16.5" thickBot="1" x14ac:dyDescent="0.3">
      <c r="A10" s="21"/>
      <c r="B10" s="22" t="s">
        <v>4</v>
      </c>
      <c r="C10" s="25">
        <f>SUM(C8:C9)</f>
        <v>1160.99</v>
      </c>
    </row>
    <row r="11" spans="1:7" ht="16.5" thickBot="1" x14ac:dyDescent="0.3">
      <c r="A11" s="21"/>
      <c r="B11" s="22" t="s">
        <v>5</v>
      </c>
      <c r="C11" s="16"/>
      <c r="E11" s="27"/>
    </row>
    <row r="12" spans="1:7" ht="32.25" thickBot="1" x14ac:dyDescent="0.3">
      <c r="A12" s="21" t="s">
        <v>6</v>
      </c>
      <c r="B12" s="95" t="s">
        <v>675</v>
      </c>
      <c r="C12" s="17">
        <f>0.007*1.92*107.7*46</f>
        <v>66.584448000000009</v>
      </c>
      <c r="D12" s="32"/>
    </row>
    <row r="13" spans="1:7" ht="32.25" thickBot="1" x14ac:dyDescent="0.3">
      <c r="A13" s="21" t="s">
        <v>7</v>
      </c>
      <c r="B13" s="95" t="s">
        <v>676</v>
      </c>
      <c r="C13" s="17">
        <f>0.002*1.92*107.7*46</f>
        <v>19.024128000000001</v>
      </c>
    </row>
    <row r="14" spans="1:7" ht="32.25" thickBot="1" x14ac:dyDescent="0.3">
      <c r="A14" s="21" t="s">
        <v>8</v>
      </c>
      <c r="B14" s="95" t="s">
        <v>677</v>
      </c>
      <c r="C14" s="17">
        <f>0.013*46</f>
        <v>0.59799999999999998</v>
      </c>
      <c r="G14" s="28"/>
    </row>
    <row r="15" spans="1:7" ht="73.5" customHeight="1" thickBot="1" x14ac:dyDescent="0.3">
      <c r="A15" s="21" t="s">
        <v>49</v>
      </c>
      <c r="B15" s="127" t="s">
        <v>678</v>
      </c>
      <c r="C15" s="9">
        <f>(7.26*46)+(0.0216*46)</f>
        <v>334.95359999999999</v>
      </c>
    </row>
    <row r="16" spans="1:7" ht="32.25" thickBot="1" x14ac:dyDescent="0.3">
      <c r="A16" s="21" t="s">
        <v>51</v>
      </c>
      <c r="B16" s="7" t="s">
        <v>682</v>
      </c>
      <c r="C16" s="17">
        <f>0.003*46</f>
        <v>0.13800000000000001</v>
      </c>
    </row>
    <row r="17" spans="1:3" ht="34.5" customHeight="1" thickBot="1" x14ac:dyDescent="0.3">
      <c r="A17" s="21" t="s">
        <v>50</v>
      </c>
      <c r="B17" s="95" t="s">
        <v>679</v>
      </c>
      <c r="C17" s="17">
        <v>145.97</v>
      </c>
    </row>
    <row r="18" spans="1:3" ht="32.25" thickBot="1" x14ac:dyDescent="0.3">
      <c r="A18" s="21" t="s">
        <v>53</v>
      </c>
      <c r="B18" s="95" t="s">
        <v>681</v>
      </c>
      <c r="C18" s="17">
        <f>0.02*1.92*107.7*46</f>
        <v>190.24127999999999</v>
      </c>
    </row>
    <row r="19" spans="1:3" ht="37.5" customHeight="1" thickBot="1" x14ac:dyDescent="0.3">
      <c r="A19" s="21" t="s">
        <v>52</v>
      </c>
      <c r="B19" s="95" t="s">
        <v>680</v>
      </c>
      <c r="C19" s="17">
        <f>(0.0034+0.04+0.09+0.03+0.01)*46</f>
        <v>7.9763999999999999</v>
      </c>
    </row>
    <row r="20" spans="1:3" ht="16.5" thickBot="1" x14ac:dyDescent="0.3">
      <c r="A20" s="21"/>
      <c r="B20" s="22" t="s">
        <v>10</v>
      </c>
      <c r="C20" s="26">
        <f>SUM(C12:C19)</f>
        <v>765.4858559999999</v>
      </c>
    </row>
    <row r="21" spans="1:3" ht="16.5" thickBot="1" x14ac:dyDescent="0.3">
      <c r="A21" s="21"/>
      <c r="B21" s="29" t="s">
        <v>11</v>
      </c>
      <c r="C21" s="25">
        <f>C20+C10</f>
        <v>1926.475856</v>
      </c>
    </row>
    <row r="22" spans="1:3" ht="16.5" thickBot="1" x14ac:dyDescent="0.3">
      <c r="C22" s="28"/>
    </row>
    <row r="23" spans="1:3" ht="16.5" thickBot="1" x14ac:dyDescent="0.3">
      <c r="A23" s="234" t="s">
        <v>13</v>
      </c>
      <c r="B23" s="235"/>
      <c r="C23" s="30">
        <v>46</v>
      </c>
    </row>
    <row r="24" spans="1:3" ht="16.5" thickBot="1" x14ac:dyDescent="0.3">
      <c r="A24" s="234" t="s">
        <v>59</v>
      </c>
      <c r="B24" s="235"/>
      <c r="C24" s="31">
        <f>C21/C23</f>
        <v>41.879909913043477</v>
      </c>
    </row>
    <row r="27" spans="1:3" ht="16.5" customHeight="1" x14ac:dyDescent="0.25"/>
    <row r="28" spans="1:3"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view="pageBreakPreview" zoomScale="60" zoomScaleNormal="70" zoomScalePageLayoutView="80" workbookViewId="0">
      <selection activeCell="K32" sqref="K32"/>
    </sheetView>
  </sheetViews>
  <sheetFormatPr defaultColWidth="8.85546875" defaultRowHeight="15.75" x14ac:dyDescent="0.25"/>
  <cols>
    <col min="1" max="1" width="11.7109375" style="6" customWidth="1"/>
    <col min="2" max="2" width="104.28515625" style="6" customWidth="1"/>
    <col min="3" max="3" width="19.85546875" style="6" customWidth="1"/>
    <col min="4" max="4" width="14.85546875" style="6" customWidth="1"/>
    <col min="5" max="16384" width="8.85546875" style="6"/>
  </cols>
  <sheetData>
    <row r="1" spans="1:5" x14ac:dyDescent="0.25">
      <c r="A1" s="222" t="s">
        <v>228</v>
      </c>
      <c r="B1" s="222"/>
      <c r="C1" s="222"/>
      <c r="D1" s="118"/>
      <c r="E1" s="118"/>
    </row>
    <row r="3" spans="1:5" x14ac:dyDescent="0.25">
      <c r="A3" s="230" t="s">
        <v>12</v>
      </c>
      <c r="B3" s="230"/>
      <c r="C3" s="230"/>
    </row>
    <row r="4" spans="1:5" x14ac:dyDescent="0.25">
      <c r="A4" s="230" t="s">
        <v>54</v>
      </c>
      <c r="B4" s="230"/>
      <c r="C4" s="230"/>
    </row>
    <row r="5" spans="1:5" x14ac:dyDescent="0.25">
      <c r="A5" s="230" t="s">
        <v>230</v>
      </c>
      <c r="B5" s="230"/>
      <c r="C5" s="230"/>
    </row>
    <row r="6" spans="1:5" ht="16.5" thickBot="1" x14ac:dyDescent="0.3">
      <c r="A6" s="233" t="s">
        <v>247</v>
      </c>
      <c r="B6" s="233"/>
    </row>
    <row r="7" spans="1:5" ht="101.25" customHeight="1" thickBot="1" x14ac:dyDescent="0.3">
      <c r="A7" s="1" t="s">
        <v>0</v>
      </c>
      <c r="B7" s="2" t="s">
        <v>1</v>
      </c>
      <c r="C7" s="2" t="s">
        <v>2</v>
      </c>
    </row>
    <row r="8" spans="1:5" ht="16.5" thickBot="1" x14ac:dyDescent="0.3">
      <c r="A8" s="3"/>
      <c r="B8" s="4" t="s">
        <v>3</v>
      </c>
      <c r="C8" s="5"/>
    </row>
    <row r="9" spans="1:5" ht="19.5" customHeight="1" thickBot="1" x14ac:dyDescent="0.3">
      <c r="A9" s="3" t="s">
        <v>243</v>
      </c>
      <c r="B9" s="93" t="s">
        <v>531</v>
      </c>
      <c r="C9" s="24">
        <f>65.2765*120</f>
        <v>7833.18</v>
      </c>
    </row>
    <row r="10" spans="1:5" ht="35.25" customHeight="1" thickBot="1" x14ac:dyDescent="0.3">
      <c r="A10" s="3" t="s">
        <v>244</v>
      </c>
      <c r="B10" s="95" t="s">
        <v>241</v>
      </c>
      <c r="C10" s="17">
        <f>C9*0.2409</f>
        <v>1887.013062</v>
      </c>
    </row>
    <row r="11" spans="1:5" ht="21.75" customHeight="1" thickBot="1" x14ac:dyDescent="0.3">
      <c r="A11" s="3"/>
      <c r="B11" s="119" t="s">
        <v>4</v>
      </c>
      <c r="C11" s="10">
        <f>ROUND(SUM(C9:C10),2)</f>
        <v>9720.19</v>
      </c>
    </row>
    <row r="12" spans="1:5" ht="18.75" customHeight="1" thickBot="1" x14ac:dyDescent="0.3">
      <c r="A12" s="3"/>
      <c r="B12" s="119" t="s">
        <v>5</v>
      </c>
      <c r="C12" s="9"/>
    </row>
    <row r="13" spans="1:5" ht="40.5" customHeight="1" thickBot="1" x14ac:dyDescent="0.3">
      <c r="A13" s="3" t="s">
        <v>6</v>
      </c>
      <c r="B13" s="120" t="s">
        <v>534</v>
      </c>
      <c r="C13" s="17">
        <f>4.6516*120</f>
        <v>558.19200000000001</v>
      </c>
    </row>
    <row r="14" spans="1:5" ht="37.5" customHeight="1" thickBot="1" x14ac:dyDescent="0.3">
      <c r="A14" s="3" t="s">
        <v>7</v>
      </c>
      <c r="B14" s="203" t="s">
        <v>533</v>
      </c>
      <c r="C14" s="17">
        <f>1.329*120</f>
        <v>159.47999999999999</v>
      </c>
    </row>
    <row r="15" spans="1:5" ht="17.25" customHeight="1" thickBot="1" x14ac:dyDescent="0.3">
      <c r="A15" s="3" t="s">
        <v>8</v>
      </c>
      <c r="B15" s="95" t="s">
        <v>532</v>
      </c>
      <c r="C15" s="17">
        <f>0.013*120</f>
        <v>1.5599999999999998</v>
      </c>
    </row>
    <row r="16" spans="1:5" ht="68.25" customHeight="1" thickBot="1" x14ac:dyDescent="0.3">
      <c r="A16" s="3" t="s">
        <v>49</v>
      </c>
      <c r="B16" s="94" t="s">
        <v>535</v>
      </c>
      <c r="C16" s="9">
        <f>(29.04*120)+(0.0664*120)</f>
        <v>3492.7679999999996</v>
      </c>
    </row>
    <row r="17" spans="1:7" ht="33.75" customHeight="1" thickBot="1" x14ac:dyDescent="0.3">
      <c r="A17" s="3" t="s">
        <v>51</v>
      </c>
      <c r="B17" s="93" t="s">
        <v>536</v>
      </c>
      <c r="C17" s="17">
        <f>0.003*120</f>
        <v>0.36</v>
      </c>
      <c r="E17" s="13"/>
    </row>
    <row r="18" spans="1:7" ht="35.25" customHeight="1" thickBot="1" x14ac:dyDescent="0.3">
      <c r="A18" s="3" t="s">
        <v>50</v>
      </c>
      <c r="B18" s="93" t="s">
        <v>537</v>
      </c>
      <c r="C18" s="17">
        <v>628.51</v>
      </c>
      <c r="E18" s="175"/>
    </row>
    <row r="19" spans="1:7" ht="36" customHeight="1" thickBot="1" x14ac:dyDescent="0.3">
      <c r="A19" s="3" t="s">
        <v>53</v>
      </c>
      <c r="B19" s="95" t="s">
        <v>538</v>
      </c>
      <c r="C19" s="17">
        <f>ROUND(0.02*6.17*107.7*120,2)</f>
        <v>1594.82</v>
      </c>
    </row>
    <row r="20" spans="1:7" ht="35.25" customHeight="1" thickBot="1" x14ac:dyDescent="0.3">
      <c r="A20" s="3" t="s">
        <v>52</v>
      </c>
      <c r="B20" s="95" t="s">
        <v>539</v>
      </c>
      <c r="C20" s="17">
        <f>(0.0474+0.0165+0.1679+0.2758+0.0634+0.0167)*120</f>
        <v>70.524000000000015</v>
      </c>
      <c r="G20" s="11"/>
    </row>
    <row r="21" spans="1:7" ht="16.5" thickBot="1" x14ac:dyDescent="0.3">
      <c r="A21" s="3"/>
      <c r="B21" s="4" t="s">
        <v>10</v>
      </c>
      <c r="C21" s="9">
        <f>SUM(C13:C20)</f>
        <v>6506.2139999999999</v>
      </c>
    </row>
    <row r="22" spans="1:7" ht="16.5" thickBot="1" x14ac:dyDescent="0.3">
      <c r="A22" s="3"/>
      <c r="B22" s="8" t="s">
        <v>11</v>
      </c>
      <c r="C22" s="10">
        <f>C21+C11</f>
        <v>16226.404</v>
      </c>
      <c r="E22" s="11"/>
    </row>
    <row r="23" spans="1:7" x14ac:dyDescent="0.25">
      <c r="C23" s="11"/>
    </row>
    <row r="24" spans="1:7" ht="16.5" thickBot="1" x14ac:dyDescent="0.3">
      <c r="C24" s="11"/>
    </row>
    <row r="25" spans="1:7" ht="16.5" thickBot="1" x14ac:dyDescent="0.3">
      <c r="A25" s="231" t="s">
        <v>13</v>
      </c>
      <c r="B25" s="232"/>
      <c r="C25" s="30">
        <v>120</v>
      </c>
    </row>
    <row r="26" spans="1:7" ht="16.5" thickBot="1" x14ac:dyDescent="0.3">
      <c r="A26" s="231" t="s">
        <v>14</v>
      </c>
      <c r="B26" s="232"/>
      <c r="C26" s="15">
        <f>C22/C25</f>
        <v>135.22003333333333</v>
      </c>
    </row>
    <row r="28" spans="1:7" x14ac:dyDescent="0.25">
      <c r="A28" s="75"/>
      <c r="B28" s="75"/>
      <c r="C28" s="75"/>
      <c r="D28" s="75"/>
      <c r="E28" s="75"/>
      <c r="F28" s="75"/>
    </row>
    <row r="29" spans="1:7" ht="0.75" customHeight="1" x14ac:dyDescent="0.25">
      <c r="A29" s="228"/>
      <c r="B29" s="228"/>
      <c r="C29" s="76"/>
      <c r="D29" s="76"/>
      <c r="E29" s="76"/>
      <c r="F29" s="76"/>
    </row>
    <row r="30" spans="1:7" ht="18.75" hidden="1" x14ac:dyDescent="0.25">
      <c r="A30" s="229"/>
      <c r="B30" s="229"/>
      <c r="C30" s="77"/>
      <c r="D30" s="77"/>
      <c r="E30" s="75"/>
      <c r="F30" s="75"/>
    </row>
  </sheetData>
  <mergeCells count="9">
    <mergeCell ref="A29:B29"/>
    <mergeCell ref="A30:B30"/>
    <mergeCell ref="A1:C1"/>
    <mergeCell ref="A3:C3"/>
    <mergeCell ref="A4:C4"/>
    <mergeCell ref="A5:C5"/>
    <mergeCell ref="A25:B25"/>
    <mergeCell ref="A26:B26"/>
    <mergeCell ref="A6:B6"/>
  </mergeCells>
  <pageMargins left="0.70866141732283472" right="0.70866141732283472" top="0.74803149606299213" bottom="0.74803149606299213" header="0.31496062992125984" footer="0.31496062992125984"/>
  <pageSetup paperSize="9" scale="73" orientation="portrait" r:id="rId1"/>
  <headerFooter differentFirst="1">
    <oddFooter>&amp;C&amp;P</oddFooter>
    <firstFooter>&amp;L&amp;10VManotp_130617_VTMECmaks&amp;C&amp;P</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29"/>
  <sheetViews>
    <sheetView view="pageBreakPreview" topLeftCell="A4" zoomScale="60" zoomScaleNormal="70" workbookViewId="0">
      <selection activeCell="E17" sqref="E17"/>
    </sheetView>
  </sheetViews>
  <sheetFormatPr defaultColWidth="8.85546875" defaultRowHeight="15.75" x14ac:dyDescent="0.25"/>
  <cols>
    <col min="1" max="1" width="14.7109375" style="18" customWidth="1"/>
    <col min="2" max="2" width="138.7109375" style="18" customWidth="1"/>
    <col min="3" max="3" width="23.42578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84</v>
      </c>
      <c r="B4" s="234"/>
      <c r="C4" s="234"/>
    </row>
    <row r="5" spans="1:7" ht="16.5" thickBot="1" x14ac:dyDescent="0.3">
      <c r="A5" s="234" t="s">
        <v>229</v>
      </c>
      <c r="B5" s="234"/>
      <c r="C5" s="234"/>
    </row>
    <row r="6" spans="1:7" ht="96" customHeight="1" thickBot="1" x14ac:dyDescent="0.3">
      <c r="A6" s="19" t="s">
        <v>0</v>
      </c>
      <c r="B6" s="20" t="s">
        <v>1</v>
      </c>
      <c r="C6" s="20" t="s">
        <v>2</v>
      </c>
    </row>
    <row r="7" spans="1:7" ht="16.5" thickBot="1" x14ac:dyDescent="0.3">
      <c r="A7" s="21"/>
      <c r="B7" s="22" t="s">
        <v>3</v>
      </c>
      <c r="C7" s="23"/>
    </row>
    <row r="8" spans="1:7" ht="18" customHeight="1" thickBot="1" x14ac:dyDescent="0.3">
      <c r="A8" s="21" t="s">
        <v>243</v>
      </c>
      <c r="B8" s="95" t="s">
        <v>683</v>
      </c>
      <c r="C8" s="17">
        <f>(1.2518+3.6817+4.0671+4.0671+2.0952)*85</f>
        <v>1288.8465000000001</v>
      </c>
    </row>
    <row r="9" spans="1:7" ht="16.5" thickBot="1" x14ac:dyDescent="0.3">
      <c r="A9" s="21" t="s">
        <v>244</v>
      </c>
      <c r="B9" s="93" t="s">
        <v>241</v>
      </c>
      <c r="C9" s="24">
        <f>C8*0.2409</f>
        <v>310.48312185000003</v>
      </c>
    </row>
    <row r="10" spans="1:7" ht="16.5" thickBot="1" x14ac:dyDescent="0.3">
      <c r="A10" s="21"/>
      <c r="B10" s="121" t="s">
        <v>4</v>
      </c>
      <c r="C10" s="25">
        <f>SUM(C8:C9)</f>
        <v>1599.3296218500002</v>
      </c>
    </row>
    <row r="11" spans="1:7" ht="16.5" thickBot="1" x14ac:dyDescent="0.3">
      <c r="A11" s="21"/>
      <c r="B11" s="121" t="s">
        <v>5</v>
      </c>
      <c r="C11" s="16"/>
      <c r="E11" s="27"/>
    </row>
    <row r="12" spans="1:7" ht="32.25" thickBot="1" x14ac:dyDescent="0.3">
      <c r="A12" s="21" t="s">
        <v>6</v>
      </c>
      <c r="B12" s="93" t="s">
        <v>684</v>
      </c>
      <c r="C12" s="24">
        <f>1.1309*85</f>
        <v>96.126500000000007</v>
      </c>
      <c r="D12" s="32"/>
    </row>
    <row r="13" spans="1:7" ht="32.25" thickBot="1" x14ac:dyDescent="0.3">
      <c r="A13" s="21" t="s">
        <v>7</v>
      </c>
      <c r="B13" s="93" t="s">
        <v>685</v>
      </c>
      <c r="C13" s="24">
        <f>0.3231*85</f>
        <v>27.4635</v>
      </c>
      <c r="D13" s="28"/>
    </row>
    <row r="14" spans="1:7" ht="32.25" thickBot="1" x14ac:dyDescent="0.3">
      <c r="A14" s="21" t="s">
        <v>8</v>
      </c>
      <c r="B14" s="93" t="s">
        <v>686</v>
      </c>
      <c r="C14" s="24">
        <f>0.013*85</f>
        <v>1.105</v>
      </c>
      <c r="G14" s="28"/>
    </row>
    <row r="15" spans="1:7" ht="36" customHeight="1" thickBot="1" x14ac:dyDescent="0.3">
      <c r="A15" s="21" t="s">
        <v>49</v>
      </c>
      <c r="B15" s="127" t="s">
        <v>687</v>
      </c>
      <c r="C15" s="9">
        <f>0.0074*85</f>
        <v>0.629</v>
      </c>
    </row>
    <row r="16" spans="1:7" ht="32.25" thickBot="1" x14ac:dyDescent="0.3">
      <c r="A16" s="21" t="s">
        <v>51</v>
      </c>
      <c r="B16" s="95" t="s">
        <v>688</v>
      </c>
      <c r="C16" s="17">
        <f>0.003*85</f>
        <v>0.255</v>
      </c>
    </row>
    <row r="17" spans="1:5" ht="32.25" thickBot="1" x14ac:dyDescent="0.3">
      <c r="A17" s="21" t="s">
        <v>50</v>
      </c>
      <c r="B17" s="95" t="s">
        <v>689</v>
      </c>
      <c r="C17" s="170">
        <v>615.03</v>
      </c>
    </row>
    <row r="18" spans="1:5" ht="32.25" thickBot="1" x14ac:dyDescent="0.3">
      <c r="A18" s="21" t="s">
        <v>53</v>
      </c>
      <c r="B18" s="93" t="s">
        <v>690</v>
      </c>
      <c r="C18" s="24">
        <f>3.231*85</f>
        <v>274.63499999999999</v>
      </c>
    </row>
    <row r="19" spans="1:5" ht="33.75" customHeight="1" thickBot="1" x14ac:dyDescent="0.3">
      <c r="A19" s="21" t="s">
        <v>52</v>
      </c>
      <c r="B19" s="95" t="s">
        <v>691</v>
      </c>
      <c r="C19" s="17">
        <f>0.1303*85</f>
        <v>11.0755</v>
      </c>
    </row>
    <row r="20" spans="1:5" ht="16.5" thickBot="1" x14ac:dyDescent="0.3">
      <c r="A20" s="21"/>
      <c r="B20" s="22" t="s">
        <v>10</v>
      </c>
      <c r="C20" s="26">
        <f>SUM(C12:C19)</f>
        <v>1026.3194999999998</v>
      </c>
    </row>
    <row r="21" spans="1:5" ht="16.5" thickBot="1" x14ac:dyDescent="0.3">
      <c r="A21" s="21"/>
      <c r="B21" s="29" t="s">
        <v>11</v>
      </c>
      <c r="C21" s="25">
        <f>C20+C10</f>
        <v>2625.64912185</v>
      </c>
      <c r="E21" s="28"/>
    </row>
    <row r="22" spans="1:5" x14ac:dyDescent="0.25">
      <c r="C22" s="28"/>
    </row>
    <row r="23" spans="1:5" ht="16.5" thickBot="1" x14ac:dyDescent="0.3">
      <c r="C23" s="28"/>
    </row>
    <row r="24" spans="1:5" ht="16.5" thickBot="1" x14ac:dyDescent="0.3">
      <c r="A24" s="234" t="s">
        <v>13</v>
      </c>
      <c r="B24" s="235"/>
      <c r="C24" s="30">
        <v>85</v>
      </c>
    </row>
    <row r="25" spans="1:5" ht="16.5" thickBot="1" x14ac:dyDescent="0.3">
      <c r="A25" s="234" t="s">
        <v>59</v>
      </c>
      <c r="B25" s="235"/>
      <c r="C25" s="31">
        <f>C21/C24</f>
        <v>30.889989668823528</v>
      </c>
    </row>
    <row r="28" spans="1:5" ht="16.5" customHeight="1" x14ac:dyDescent="0.25"/>
    <row r="29" spans="1:5"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28"/>
  <sheetViews>
    <sheetView view="pageBreakPreview" topLeftCell="A6" zoomScale="60" zoomScaleNormal="70" workbookViewId="0">
      <selection activeCell="K27" sqref="K27"/>
    </sheetView>
  </sheetViews>
  <sheetFormatPr defaultColWidth="8.85546875" defaultRowHeight="15.75" x14ac:dyDescent="0.25"/>
  <cols>
    <col min="1" max="1" width="14.7109375" style="18" customWidth="1"/>
    <col min="2" max="2" width="123.28515625" style="18" customWidth="1"/>
    <col min="3" max="3" width="24.85546875" style="18" customWidth="1"/>
    <col min="4" max="4" width="26.28515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86</v>
      </c>
      <c r="B4" s="234"/>
      <c r="C4" s="234"/>
    </row>
    <row r="5" spans="1:7" ht="16.5" thickBot="1" x14ac:dyDescent="0.3">
      <c r="A5" s="234" t="s">
        <v>229</v>
      </c>
      <c r="B5" s="234"/>
      <c r="C5" s="234"/>
    </row>
    <row r="6" spans="1:7" ht="92.25" customHeight="1" thickBot="1" x14ac:dyDescent="0.3">
      <c r="A6" s="19" t="s">
        <v>0</v>
      </c>
      <c r="B6" s="20" t="s">
        <v>1</v>
      </c>
      <c r="C6" s="20" t="s">
        <v>2</v>
      </c>
    </row>
    <row r="7" spans="1:7" ht="16.5" thickBot="1" x14ac:dyDescent="0.3">
      <c r="A7" s="21"/>
      <c r="B7" s="22" t="s">
        <v>3</v>
      </c>
      <c r="C7" s="23"/>
    </row>
    <row r="8" spans="1:7" ht="20.25" customHeight="1" thickBot="1" x14ac:dyDescent="0.3">
      <c r="A8" s="21" t="s">
        <v>243</v>
      </c>
      <c r="B8" s="93" t="s">
        <v>692</v>
      </c>
      <c r="C8" s="24">
        <f>(1.2518+3.6817+4.0671+8.2574+4.0671)*25</f>
        <v>533.12750000000005</v>
      </c>
    </row>
    <row r="9" spans="1:7" ht="16.5" thickBot="1" x14ac:dyDescent="0.3">
      <c r="A9" s="21" t="s">
        <v>244</v>
      </c>
      <c r="B9" s="12" t="s">
        <v>241</v>
      </c>
      <c r="C9" s="24">
        <f>C8*0.2409</f>
        <v>128.43041475000001</v>
      </c>
    </row>
    <row r="10" spans="1:7" ht="16.5" thickBot="1" x14ac:dyDescent="0.3">
      <c r="A10" s="21"/>
      <c r="B10" s="22" t="s">
        <v>4</v>
      </c>
      <c r="C10" s="25">
        <f>SUM(C8:C9)</f>
        <v>661.55791475000001</v>
      </c>
    </row>
    <row r="11" spans="1:7" ht="16.5" thickBot="1" x14ac:dyDescent="0.3">
      <c r="A11" s="21"/>
      <c r="B11" s="22" t="s">
        <v>5</v>
      </c>
      <c r="C11" s="16"/>
      <c r="E11" s="27"/>
    </row>
    <row r="12" spans="1:7" ht="35.25" customHeight="1" thickBot="1" x14ac:dyDescent="0.3">
      <c r="A12" s="21" t="s">
        <v>6</v>
      </c>
      <c r="B12" s="93" t="s">
        <v>693</v>
      </c>
      <c r="C12" s="24">
        <f>1.05*25</f>
        <v>26.25</v>
      </c>
      <c r="D12" s="32"/>
    </row>
    <row r="13" spans="1:7" ht="36" customHeight="1" thickBot="1" x14ac:dyDescent="0.3">
      <c r="A13" s="21" t="s">
        <v>7</v>
      </c>
      <c r="B13" s="93" t="s">
        <v>694</v>
      </c>
      <c r="C13" s="24">
        <f>0.3*25</f>
        <v>7.5</v>
      </c>
      <c r="D13" s="28"/>
    </row>
    <row r="14" spans="1:7" ht="32.25" thickBot="1" x14ac:dyDescent="0.3">
      <c r="A14" s="21" t="s">
        <v>8</v>
      </c>
      <c r="B14" s="93" t="s">
        <v>695</v>
      </c>
      <c r="C14" s="24">
        <f>0.013*25</f>
        <v>0.32500000000000001</v>
      </c>
      <c r="G14" s="28"/>
    </row>
    <row r="15" spans="1:7" ht="32.25" customHeight="1" thickBot="1" x14ac:dyDescent="0.3">
      <c r="A15" s="21" t="s">
        <v>49</v>
      </c>
      <c r="B15" s="94" t="s">
        <v>696</v>
      </c>
      <c r="C15" s="9">
        <f>0.0074*25</f>
        <v>0.185</v>
      </c>
    </row>
    <row r="16" spans="1:7" ht="32.25" thickBot="1" x14ac:dyDescent="0.3">
      <c r="A16" s="21" t="s">
        <v>51</v>
      </c>
      <c r="B16" s="93" t="s">
        <v>697</v>
      </c>
      <c r="C16" s="17">
        <f>0.003*25</f>
        <v>7.4999999999999997E-2</v>
      </c>
    </row>
    <row r="17" spans="1:5" ht="33.75" customHeight="1" thickBot="1" x14ac:dyDescent="0.3">
      <c r="A17" s="21" t="s">
        <v>50</v>
      </c>
      <c r="B17" s="93" t="s">
        <v>698</v>
      </c>
      <c r="C17" s="170">
        <v>181.09</v>
      </c>
    </row>
    <row r="18" spans="1:5" ht="32.25" thickBot="1" x14ac:dyDescent="0.3">
      <c r="A18" s="21" t="s">
        <v>53</v>
      </c>
      <c r="B18" s="93" t="s">
        <v>699</v>
      </c>
      <c r="C18" s="24">
        <f>3*25</f>
        <v>75</v>
      </c>
    </row>
    <row r="19" spans="1:5" ht="32.25" thickBot="1" x14ac:dyDescent="0.3">
      <c r="A19" s="21" t="s">
        <v>52</v>
      </c>
      <c r="B19" s="93" t="s">
        <v>700</v>
      </c>
      <c r="C19" s="24">
        <f>0.5406*25</f>
        <v>13.514999999999999</v>
      </c>
    </row>
    <row r="20" spans="1:5" ht="16.5" thickBot="1" x14ac:dyDescent="0.3">
      <c r="A20" s="21"/>
      <c r="B20" s="22" t="s">
        <v>10</v>
      </c>
      <c r="C20" s="26">
        <f>SUM(C12:C19)</f>
        <v>303.94</v>
      </c>
    </row>
    <row r="21" spans="1:5" ht="16.5" thickBot="1" x14ac:dyDescent="0.3">
      <c r="A21" s="21"/>
      <c r="B21" s="29" t="s">
        <v>11</v>
      </c>
      <c r="C21" s="25">
        <f>C20+C10</f>
        <v>965.49791475000006</v>
      </c>
      <c r="E21" s="28"/>
    </row>
    <row r="22" spans="1:5" ht="16.5" thickBot="1" x14ac:dyDescent="0.3">
      <c r="C22" s="28"/>
    </row>
    <row r="23" spans="1:5" ht="16.5" thickBot="1" x14ac:dyDescent="0.3">
      <c r="A23" s="234" t="s">
        <v>13</v>
      </c>
      <c r="B23" s="235"/>
      <c r="C23" s="30">
        <v>25</v>
      </c>
    </row>
    <row r="24" spans="1:5" ht="16.5" thickBot="1" x14ac:dyDescent="0.3">
      <c r="A24" s="234" t="s">
        <v>59</v>
      </c>
      <c r="B24" s="235"/>
      <c r="C24" s="31">
        <f>C21/C23</f>
        <v>38.619916590000003</v>
      </c>
    </row>
    <row r="27" spans="1:5" ht="16.5" customHeight="1" x14ac:dyDescent="0.25"/>
    <row r="28" spans="1:5" ht="16.5" customHeight="1" x14ac:dyDescent="0.25"/>
  </sheetData>
  <mergeCells count="6">
    <mergeCell ref="A23:B23"/>
    <mergeCell ref="A24:B24"/>
    <mergeCell ref="A1:C1"/>
    <mergeCell ref="A3:C3"/>
    <mergeCell ref="A4:C4"/>
    <mergeCell ref="A5:C5"/>
  </mergeCells>
  <pageMargins left="0.70866141732283472" right="0.70866141732283472" top="0.74803149606299213" bottom="0.74803149606299213" header="0.31496062992125984" footer="0.31496062992125984"/>
  <pageSetup paperSize="9" scale="80" fitToHeight="0" orientation="landscape" r:id="rId1"/>
  <headerFooter differentFirst="1">
    <oddFooter>&amp;C&amp;P</oddFooter>
    <firstFooter>&amp;L&amp;10VManotp_130617_VTMECmaks&amp;C&amp;P</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29"/>
  <sheetViews>
    <sheetView view="pageBreakPreview" zoomScale="60" zoomScaleNormal="70" workbookViewId="0">
      <selection activeCell="B15" sqref="B15"/>
    </sheetView>
  </sheetViews>
  <sheetFormatPr defaultColWidth="8.85546875" defaultRowHeight="15.75" x14ac:dyDescent="0.25"/>
  <cols>
    <col min="1" max="1" width="13.85546875" style="6" customWidth="1"/>
    <col min="2" max="2" width="139.5703125" style="6" customWidth="1"/>
    <col min="3" max="3" width="20.5703125" style="6" customWidth="1"/>
    <col min="4" max="4" width="3" style="6" customWidth="1"/>
    <col min="5" max="16384" width="8.85546875" style="6"/>
  </cols>
  <sheetData>
    <row r="1" spans="1:6" x14ac:dyDescent="0.25">
      <c r="A1" s="222" t="s">
        <v>228</v>
      </c>
      <c r="B1" s="222"/>
      <c r="C1" s="222"/>
    </row>
    <row r="3" spans="1:6" x14ac:dyDescent="0.25">
      <c r="A3" s="230" t="s">
        <v>12</v>
      </c>
      <c r="B3" s="230"/>
      <c r="C3" s="230"/>
    </row>
    <row r="4" spans="1:6" x14ac:dyDescent="0.25">
      <c r="A4" s="230" t="s">
        <v>48</v>
      </c>
      <c r="B4" s="230"/>
      <c r="C4" s="230"/>
    </row>
    <row r="5" spans="1:6" ht="16.5" thickBot="1" x14ac:dyDescent="0.3">
      <c r="A5" s="230" t="s">
        <v>230</v>
      </c>
      <c r="B5" s="230"/>
      <c r="C5" s="230"/>
    </row>
    <row r="6" spans="1:6" ht="86.25" customHeight="1" thickBot="1" x14ac:dyDescent="0.3">
      <c r="A6" s="1" t="s">
        <v>0</v>
      </c>
      <c r="B6" s="2" t="s">
        <v>1</v>
      </c>
      <c r="C6" s="2" t="s">
        <v>2</v>
      </c>
    </row>
    <row r="7" spans="1:6" ht="16.5" thickBot="1" x14ac:dyDescent="0.3">
      <c r="A7" s="3"/>
      <c r="B7" s="4" t="s">
        <v>3</v>
      </c>
      <c r="C7" s="5"/>
    </row>
    <row r="8" spans="1:6" ht="20.25" customHeight="1" thickBot="1" x14ac:dyDescent="0.3">
      <c r="A8" s="3" t="s">
        <v>243</v>
      </c>
      <c r="B8" s="95" t="s">
        <v>701</v>
      </c>
      <c r="C8" s="9">
        <f>(3.0926+3.0811+3.0811)*1</f>
        <v>9.2547999999999995</v>
      </c>
      <c r="F8" s="11"/>
    </row>
    <row r="9" spans="1:6" ht="16.5" thickBot="1" x14ac:dyDescent="0.3">
      <c r="A9" s="3" t="s">
        <v>244</v>
      </c>
      <c r="B9" s="95" t="s">
        <v>241</v>
      </c>
      <c r="C9" s="9">
        <f>C8*0.2409</f>
        <v>2.2294813200000001</v>
      </c>
    </row>
    <row r="10" spans="1:6" ht="16.5" thickBot="1" x14ac:dyDescent="0.3">
      <c r="A10" s="3"/>
      <c r="B10" s="119" t="s">
        <v>4</v>
      </c>
      <c r="C10" s="10">
        <f>SUM(C8:C9)</f>
        <v>11.484281319999999</v>
      </c>
    </row>
    <row r="11" spans="1:6" ht="16.5" thickBot="1" x14ac:dyDescent="0.3">
      <c r="A11" s="3"/>
      <c r="B11" s="119" t="s">
        <v>5</v>
      </c>
      <c r="C11" s="9"/>
    </row>
    <row r="12" spans="1:6" ht="32.25" thickBot="1" x14ac:dyDescent="0.3">
      <c r="A12" s="3" t="s">
        <v>6</v>
      </c>
      <c r="B12" s="95" t="s">
        <v>702</v>
      </c>
      <c r="C12" s="9">
        <f>0.007*0.92*48.7</f>
        <v>0.31362800000000002</v>
      </c>
    </row>
    <row r="13" spans="1:6" ht="37.5" customHeight="1" thickBot="1" x14ac:dyDescent="0.3">
      <c r="A13" s="3" t="s">
        <v>7</v>
      </c>
      <c r="B13" s="95" t="s">
        <v>703</v>
      </c>
      <c r="C13" s="9">
        <f>0.002*0.92*48.7</f>
        <v>8.9608000000000007E-2</v>
      </c>
    </row>
    <row r="14" spans="1:6" ht="16.5" thickBot="1" x14ac:dyDescent="0.3">
      <c r="A14" s="3" t="s">
        <v>8</v>
      </c>
      <c r="B14" s="95" t="s">
        <v>704</v>
      </c>
      <c r="C14" s="9">
        <f>0.009+0.004</f>
        <v>1.2999999999999999E-2</v>
      </c>
    </row>
    <row r="15" spans="1:6" ht="33" customHeight="1" thickBot="1" x14ac:dyDescent="0.3">
      <c r="A15" s="3" t="s">
        <v>49</v>
      </c>
      <c r="B15" s="95" t="s">
        <v>705</v>
      </c>
      <c r="C15" s="9">
        <f>0.23+0.1</f>
        <v>0.33</v>
      </c>
    </row>
    <row r="16" spans="1:6" ht="32.25" thickBot="1" x14ac:dyDescent="0.3">
      <c r="A16" s="3" t="s">
        <v>51</v>
      </c>
      <c r="B16" s="95" t="s">
        <v>706</v>
      </c>
      <c r="C16" s="9">
        <f>0.84/10</f>
        <v>8.3999999999999991E-2</v>
      </c>
    </row>
    <row r="17" spans="1:3" ht="33.75" customHeight="1" thickBot="1" x14ac:dyDescent="0.3">
      <c r="A17" s="3" t="s">
        <v>50</v>
      </c>
      <c r="B17" s="95" t="s">
        <v>707</v>
      </c>
      <c r="C17" s="9">
        <f>0.2016*5/100</f>
        <v>1.008E-2</v>
      </c>
    </row>
    <row r="18" spans="1:3" ht="19.5" customHeight="1" thickBot="1" x14ac:dyDescent="0.3">
      <c r="A18" s="3" t="s">
        <v>53</v>
      </c>
      <c r="B18" s="95" t="s">
        <v>709</v>
      </c>
      <c r="C18" s="9">
        <f>0.02*0.92*48.7</f>
        <v>0.89607999999999999</v>
      </c>
    </row>
    <row r="19" spans="1:3" ht="16.5" thickBot="1" x14ac:dyDescent="0.3">
      <c r="A19" s="3" t="s">
        <v>52</v>
      </c>
      <c r="B19" s="95" t="s">
        <v>708</v>
      </c>
      <c r="C19" s="9">
        <f>(0.12+0.01)*1</f>
        <v>0.13</v>
      </c>
    </row>
    <row r="20" spans="1:3" ht="18.75" customHeight="1" thickBot="1" x14ac:dyDescent="0.3">
      <c r="A20" s="3"/>
      <c r="B20" s="4" t="s">
        <v>10</v>
      </c>
      <c r="C20" s="9">
        <f>SUM(C12:C19)</f>
        <v>1.8663959999999999</v>
      </c>
    </row>
    <row r="21" spans="1:3" ht="16.5" thickBot="1" x14ac:dyDescent="0.3">
      <c r="A21" s="3"/>
      <c r="B21" s="8" t="s">
        <v>11</v>
      </c>
      <c r="C21" s="10">
        <f>C20+C10</f>
        <v>13.350677319999999</v>
      </c>
    </row>
    <row r="22" spans="1:3" x14ac:dyDescent="0.25">
      <c r="C22" s="11"/>
    </row>
    <row r="23" spans="1:3" ht="16.5" thickBot="1" x14ac:dyDescent="0.3">
      <c r="C23" s="11"/>
    </row>
    <row r="24" spans="1:3" ht="16.5" thickBot="1" x14ac:dyDescent="0.3">
      <c r="A24" s="231" t="s">
        <v>13</v>
      </c>
      <c r="B24" s="232"/>
      <c r="C24" s="30">
        <v>1</v>
      </c>
    </row>
    <row r="25" spans="1:3" ht="16.5" thickBot="1" x14ac:dyDescent="0.3">
      <c r="A25" s="231" t="s">
        <v>14</v>
      </c>
      <c r="B25" s="232"/>
      <c r="C25" s="15">
        <f>C21/C24</f>
        <v>13.350677319999999</v>
      </c>
    </row>
    <row r="28" spans="1:3" ht="16.5" customHeight="1" x14ac:dyDescent="0.25"/>
    <row r="29" spans="1:3"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9" fitToHeight="0" orientation="landscape" r:id="rId1"/>
  <headerFooter differentFirst="1">
    <oddFooter>&amp;C&amp;P</oddFooter>
    <firstFooter>&amp;L&amp;10VManotp_130617_VTMECmaks&amp;C&amp;P</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29"/>
  <sheetViews>
    <sheetView view="pageBreakPreview" zoomScale="60" zoomScaleNormal="70" workbookViewId="0">
      <selection activeCell="A42" sqref="A42"/>
    </sheetView>
  </sheetViews>
  <sheetFormatPr defaultColWidth="8.85546875" defaultRowHeight="15.75" x14ac:dyDescent="0.25"/>
  <cols>
    <col min="1" max="1" width="17.85546875" style="18" customWidth="1"/>
    <col min="2" max="2" width="136.85546875" style="18" customWidth="1"/>
    <col min="3" max="3" width="20.140625" style="18" customWidth="1"/>
    <col min="4" max="4" width="19.140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90</v>
      </c>
      <c r="B4" s="234"/>
      <c r="C4" s="234"/>
    </row>
    <row r="5" spans="1:7" ht="16.5" thickBot="1" x14ac:dyDescent="0.3">
      <c r="A5" s="234" t="s">
        <v>229</v>
      </c>
      <c r="B5" s="234"/>
      <c r="C5" s="234"/>
    </row>
    <row r="6" spans="1:7" ht="81" customHeight="1" thickBot="1" x14ac:dyDescent="0.3">
      <c r="A6" s="19" t="s">
        <v>0</v>
      </c>
      <c r="B6" s="20" t="s">
        <v>1</v>
      </c>
      <c r="C6" s="20" t="s">
        <v>2</v>
      </c>
    </row>
    <row r="7" spans="1:7" ht="16.5" thickBot="1" x14ac:dyDescent="0.3">
      <c r="A7" s="21"/>
      <c r="B7" s="22" t="s">
        <v>3</v>
      </c>
      <c r="C7" s="23"/>
    </row>
    <row r="8" spans="1:7" ht="19.5" customHeight="1" thickBot="1" x14ac:dyDescent="0.3">
      <c r="A8" s="21" t="s">
        <v>243</v>
      </c>
      <c r="B8" s="93" t="s">
        <v>717</v>
      </c>
      <c r="C8" s="24">
        <f>(9.7932+1.8967+1.799)*1</f>
        <v>13.488900000000001</v>
      </c>
    </row>
    <row r="9" spans="1:7" ht="16.5" thickBot="1" x14ac:dyDescent="0.3">
      <c r="A9" s="21" t="s">
        <v>244</v>
      </c>
      <c r="B9" s="93" t="s">
        <v>241</v>
      </c>
      <c r="C9" s="24">
        <f>C8*0.2409</f>
        <v>3.2494760100000004</v>
      </c>
    </row>
    <row r="10" spans="1:7" ht="16.5" thickBot="1" x14ac:dyDescent="0.3">
      <c r="A10" s="21"/>
      <c r="B10" s="121" t="s">
        <v>4</v>
      </c>
      <c r="C10" s="25">
        <f>ROUND(SUM(C8:C9),2)</f>
        <v>16.739999999999998</v>
      </c>
    </row>
    <row r="11" spans="1:7" ht="16.5" thickBot="1" x14ac:dyDescent="0.3">
      <c r="A11" s="21"/>
      <c r="B11" s="121" t="s">
        <v>5</v>
      </c>
      <c r="C11" s="26"/>
      <c r="E11" s="27"/>
    </row>
    <row r="12" spans="1:7" s="34" customFormat="1" ht="35.25" thickBot="1" x14ac:dyDescent="0.3">
      <c r="A12" s="21" t="s">
        <v>6</v>
      </c>
      <c r="B12" s="103" t="s">
        <v>713</v>
      </c>
      <c r="C12" s="24">
        <f>0.3548*1</f>
        <v>0.3548</v>
      </c>
    </row>
    <row r="13" spans="1:7" ht="35.25" thickBot="1" x14ac:dyDescent="0.3">
      <c r="A13" s="21" t="s">
        <v>7</v>
      </c>
      <c r="B13" s="93" t="s">
        <v>712</v>
      </c>
      <c r="C13" s="24">
        <f>0.1014*1</f>
        <v>0.1014</v>
      </c>
    </row>
    <row r="14" spans="1:7" ht="32.25" thickBot="1" x14ac:dyDescent="0.3">
      <c r="A14" s="21" t="s">
        <v>8</v>
      </c>
      <c r="B14" s="93" t="s">
        <v>285</v>
      </c>
      <c r="C14" s="24">
        <f>0.026*1</f>
        <v>2.5999999999999999E-2</v>
      </c>
      <c r="G14" s="28"/>
    </row>
    <row r="15" spans="1:7" ht="36" customHeight="1" thickBot="1" x14ac:dyDescent="0.3">
      <c r="A15" s="21" t="s">
        <v>49</v>
      </c>
      <c r="B15" s="94" t="s">
        <v>711</v>
      </c>
      <c r="C15" s="35">
        <f>0.0002*1</f>
        <v>2.0000000000000001E-4</v>
      </c>
    </row>
    <row r="16" spans="1:7" ht="35.25" customHeight="1" thickBot="1" x14ac:dyDescent="0.3">
      <c r="A16" s="21" t="s">
        <v>51</v>
      </c>
      <c r="B16" s="93" t="s">
        <v>710</v>
      </c>
      <c r="C16" s="78">
        <f>0.0016*1</f>
        <v>1.6000000000000001E-3</v>
      </c>
    </row>
    <row r="17" spans="1:3" ht="36" customHeight="1" thickBot="1" x14ac:dyDescent="0.3">
      <c r="A17" s="33" t="s">
        <v>50</v>
      </c>
      <c r="B17" s="93" t="s">
        <v>715</v>
      </c>
      <c r="C17" s="36">
        <f>17.8676+0.0002</f>
        <v>17.867799999999999</v>
      </c>
    </row>
    <row r="18" spans="1:3" ht="38.25" customHeight="1" thickBot="1" x14ac:dyDescent="0.3">
      <c r="A18" s="21" t="s">
        <v>53</v>
      </c>
      <c r="B18" s="93" t="s">
        <v>714</v>
      </c>
      <c r="C18" s="24">
        <f>1.0138*1</f>
        <v>1.0138</v>
      </c>
    </row>
    <row r="19" spans="1:3" ht="20.25" customHeight="1" thickBot="1" x14ac:dyDescent="0.3">
      <c r="A19" s="21" t="s">
        <v>52</v>
      </c>
      <c r="B19" s="93" t="s">
        <v>716</v>
      </c>
      <c r="C19" s="24">
        <f>0.1606*1</f>
        <v>0.16059999999999999</v>
      </c>
    </row>
    <row r="20" spans="1:3" ht="16.5" thickBot="1" x14ac:dyDescent="0.3">
      <c r="A20" s="21"/>
      <c r="B20" s="22" t="s">
        <v>10</v>
      </c>
      <c r="C20" s="26">
        <f>SUM(C12:C19)</f>
        <v>19.526199999999996</v>
      </c>
    </row>
    <row r="21" spans="1:3" ht="16.5" thickBot="1" x14ac:dyDescent="0.3">
      <c r="A21" s="21"/>
      <c r="B21" s="29" t="s">
        <v>11</v>
      </c>
      <c r="C21" s="25">
        <f>C20+C10</f>
        <v>36.266199999999998</v>
      </c>
    </row>
    <row r="22" spans="1:3" x14ac:dyDescent="0.25">
      <c r="C22" s="28"/>
    </row>
    <row r="23" spans="1:3" ht="16.5" thickBot="1" x14ac:dyDescent="0.3">
      <c r="C23" s="28"/>
    </row>
    <row r="24" spans="1:3" ht="16.5" thickBot="1" x14ac:dyDescent="0.3">
      <c r="A24" s="234" t="s">
        <v>13</v>
      </c>
      <c r="B24" s="235"/>
      <c r="C24" s="30">
        <v>1</v>
      </c>
    </row>
    <row r="25" spans="1:3" ht="16.5" thickBot="1" x14ac:dyDescent="0.3">
      <c r="A25" s="234" t="s">
        <v>59</v>
      </c>
      <c r="B25" s="235"/>
      <c r="C25" s="31">
        <f>C21/C24</f>
        <v>36.266199999999998</v>
      </c>
    </row>
    <row r="28" spans="1:3" ht="16.5" customHeight="1" x14ac:dyDescent="0.25"/>
    <row r="29" spans="1:3"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F31"/>
  <sheetViews>
    <sheetView view="pageBreakPreview" zoomScale="70" zoomScaleNormal="70" zoomScaleSheetLayoutView="70" workbookViewId="0">
      <selection activeCell="B24" sqref="B24"/>
    </sheetView>
  </sheetViews>
  <sheetFormatPr defaultColWidth="8.85546875" defaultRowHeight="15.75" x14ac:dyDescent="0.25"/>
  <cols>
    <col min="1" max="1" width="13.85546875" style="18" customWidth="1"/>
    <col min="2" max="2" width="138.5703125" style="18" customWidth="1"/>
    <col min="3" max="3" width="24.140625" style="18" customWidth="1"/>
    <col min="4" max="4" width="107.85546875" style="18" customWidth="1"/>
    <col min="5" max="16384" width="8.85546875" style="18"/>
  </cols>
  <sheetData>
    <row r="1" spans="1:6" x14ac:dyDescent="0.25">
      <c r="A1" s="222" t="s">
        <v>228</v>
      </c>
      <c r="B1" s="222"/>
      <c r="C1" s="222"/>
    </row>
    <row r="3" spans="1:6" x14ac:dyDescent="0.25">
      <c r="A3" s="234" t="s">
        <v>56</v>
      </c>
      <c r="B3" s="234"/>
      <c r="C3" s="234"/>
    </row>
    <row r="4" spans="1:6" x14ac:dyDescent="0.25">
      <c r="A4" s="234" t="s">
        <v>137</v>
      </c>
      <c r="B4" s="234"/>
      <c r="C4" s="234"/>
    </row>
    <row r="5" spans="1:6" ht="16.5" thickBot="1" x14ac:dyDescent="0.3">
      <c r="A5" s="234" t="s">
        <v>229</v>
      </c>
      <c r="B5" s="234"/>
      <c r="C5" s="234"/>
    </row>
    <row r="6" spans="1:6" ht="84.75" customHeight="1" thickBot="1" x14ac:dyDescent="0.3">
      <c r="A6" s="19" t="s">
        <v>0</v>
      </c>
      <c r="B6" s="176" t="s">
        <v>1</v>
      </c>
      <c r="C6" s="184" t="s">
        <v>2</v>
      </c>
    </row>
    <row r="7" spans="1:6" ht="16.5" thickBot="1" x14ac:dyDescent="0.3">
      <c r="A7" s="46"/>
      <c r="B7" s="177" t="s">
        <v>3</v>
      </c>
      <c r="C7" s="185"/>
    </row>
    <row r="8" spans="1:6" ht="18.75" customHeight="1" x14ac:dyDescent="0.25">
      <c r="A8" s="243" t="s">
        <v>243</v>
      </c>
      <c r="B8" s="245" t="s">
        <v>271</v>
      </c>
      <c r="C8" s="241">
        <f>(7.3633+1.8967+1.799+11.045+1.8967+3.6524)</f>
        <v>27.653099999999998</v>
      </c>
    </row>
    <row r="9" spans="1:6" ht="0.75" customHeight="1" thickBot="1" x14ac:dyDescent="0.3">
      <c r="A9" s="244"/>
      <c r="B9" s="246"/>
      <c r="C9" s="242"/>
    </row>
    <row r="10" spans="1:6" ht="16.5" thickBot="1" x14ac:dyDescent="0.3">
      <c r="A10" s="46" t="s">
        <v>244</v>
      </c>
      <c r="B10" s="123" t="s">
        <v>241</v>
      </c>
      <c r="C10" s="63">
        <f>C8*0.2409</f>
        <v>6.6616317899999995</v>
      </c>
    </row>
    <row r="11" spans="1:6" ht="16.5" thickBot="1" x14ac:dyDescent="0.3">
      <c r="A11" s="46"/>
      <c r="B11" s="178" t="s">
        <v>4</v>
      </c>
      <c r="C11" s="186">
        <f>ROUND(SUM(C8:C10),2)</f>
        <v>34.31</v>
      </c>
    </row>
    <row r="12" spans="1:6" ht="16.5" thickBot="1" x14ac:dyDescent="0.3">
      <c r="A12" s="46"/>
      <c r="B12" s="178" t="s">
        <v>5</v>
      </c>
      <c r="C12" s="62"/>
      <c r="D12" s="27"/>
    </row>
    <row r="13" spans="1:6" s="34" customFormat="1" ht="16.5" thickBot="1" x14ac:dyDescent="0.3">
      <c r="A13" s="46" t="s">
        <v>6</v>
      </c>
      <c r="B13" s="123" t="s">
        <v>719</v>
      </c>
      <c r="C13" s="63">
        <f>0.7446*1</f>
        <v>0.74460000000000004</v>
      </c>
    </row>
    <row r="14" spans="1:6" s="34" customFormat="1" ht="16.5" thickBot="1" x14ac:dyDescent="0.3">
      <c r="A14" s="46" t="s">
        <v>7</v>
      </c>
      <c r="B14" s="123" t="s">
        <v>718</v>
      </c>
      <c r="C14" s="63">
        <f>0.2127*1</f>
        <v>0.2127</v>
      </c>
    </row>
    <row r="15" spans="1:6" ht="18" customHeight="1" thickBot="1" x14ac:dyDescent="0.3">
      <c r="A15" s="46" t="s">
        <v>8</v>
      </c>
      <c r="B15" s="123" t="s">
        <v>270</v>
      </c>
      <c r="C15" s="63">
        <f>0.052*1</f>
        <v>5.1999999999999998E-2</v>
      </c>
    </row>
    <row r="16" spans="1:6" ht="33.75" customHeight="1" thickBot="1" x14ac:dyDescent="0.3">
      <c r="A16" s="46" t="s">
        <v>49</v>
      </c>
      <c r="B16" s="179" t="s">
        <v>711</v>
      </c>
      <c r="C16" s="188">
        <f>0.0002*1</f>
        <v>2.0000000000000001E-4</v>
      </c>
      <c r="F16" s="28"/>
    </row>
    <row r="17" spans="1:3" ht="20.25" customHeight="1" thickBot="1" x14ac:dyDescent="0.3">
      <c r="A17" s="147" t="s">
        <v>51</v>
      </c>
      <c r="B17" s="180" t="s">
        <v>720</v>
      </c>
      <c r="C17" s="189">
        <f>0.0016*1</f>
        <v>1.6000000000000001E-3</v>
      </c>
    </row>
    <row r="18" spans="1:3" ht="31.5" customHeight="1" x14ac:dyDescent="0.25">
      <c r="A18" s="238" t="s">
        <v>50</v>
      </c>
      <c r="B18" s="181" t="s">
        <v>721</v>
      </c>
      <c r="C18" s="239">
        <f>7.034+0.0009</f>
        <v>7.0348999999999995</v>
      </c>
    </row>
    <row r="19" spans="1:3" ht="31.5" customHeight="1" thickBot="1" x14ac:dyDescent="0.3">
      <c r="A19" s="238"/>
      <c r="B19" s="181" t="s">
        <v>722</v>
      </c>
      <c r="C19" s="240"/>
    </row>
    <row r="20" spans="1:3" ht="34.5" x14ac:dyDescent="0.25">
      <c r="A20" s="148" t="s">
        <v>53</v>
      </c>
      <c r="B20" s="181" t="s">
        <v>723</v>
      </c>
      <c r="C20" s="191">
        <f>2.1274*1</f>
        <v>2.1274000000000002</v>
      </c>
    </row>
    <row r="21" spans="1:3" ht="35.25" customHeight="1" thickBot="1" x14ac:dyDescent="0.3">
      <c r="A21" s="148" t="s">
        <v>52</v>
      </c>
      <c r="B21" s="181" t="s">
        <v>269</v>
      </c>
      <c r="C21" s="173">
        <f>0.2197*1</f>
        <v>0.21970000000000001</v>
      </c>
    </row>
    <row r="22" spans="1:3" ht="26.25" customHeight="1" thickBot="1" x14ac:dyDescent="0.3">
      <c r="A22" s="148"/>
      <c r="B22" s="182" t="s">
        <v>10</v>
      </c>
      <c r="C22" s="190">
        <f>SUM(C13:C21)</f>
        <v>10.393099999999999</v>
      </c>
    </row>
    <row r="23" spans="1:3" ht="16.5" thickBot="1" x14ac:dyDescent="0.3">
      <c r="A23" s="46"/>
      <c r="B23" s="183" t="s">
        <v>11</v>
      </c>
      <c r="C23" s="187">
        <f>C22+C11</f>
        <v>44.703099999999999</v>
      </c>
    </row>
    <row r="24" spans="1:3" x14ac:dyDescent="0.25">
      <c r="C24" s="28"/>
    </row>
    <row r="25" spans="1:3" ht="16.5" thickBot="1" x14ac:dyDescent="0.3">
      <c r="C25" s="28"/>
    </row>
    <row r="26" spans="1:3" ht="16.5" thickBot="1" x14ac:dyDescent="0.3">
      <c r="A26" s="234" t="s">
        <v>13</v>
      </c>
      <c r="B26" s="235"/>
      <c r="C26" s="30">
        <v>1</v>
      </c>
    </row>
    <row r="27" spans="1:3" ht="16.5" thickBot="1" x14ac:dyDescent="0.3">
      <c r="A27" s="234" t="s">
        <v>59</v>
      </c>
      <c r="B27" s="235"/>
      <c r="C27" s="31">
        <f>C23/C26</f>
        <v>44.703099999999999</v>
      </c>
    </row>
    <row r="30" spans="1:3" ht="16.5" customHeight="1" x14ac:dyDescent="0.25"/>
    <row r="31" spans="1:3" ht="16.5" customHeight="1" x14ac:dyDescent="0.25"/>
  </sheetData>
  <mergeCells count="11">
    <mergeCell ref="A26:B26"/>
    <mergeCell ref="A27:B27"/>
    <mergeCell ref="A18:A19"/>
    <mergeCell ref="A1:C1"/>
    <mergeCell ref="A3:C3"/>
    <mergeCell ref="A4:C4"/>
    <mergeCell ref="A5:C5"/>
    <mergeCell ref="C18:C19"/>
    <mergeCell ref="C8:C9"/>
    <mergeCell ref="A8:A9"/>
    <mergeCell ref="B8:B9"/>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F27"/>
  <sheetViews>
    <sheetView view="pageBreakPreview" zoomScale="60" zoomScaleNormal="70" workbookViewId="0">
      <selection activeCell="B24" sqref="B24"/>
    </sheetView>
  </sheetViews>
  <sheetFormatPr defaultColWidth="8.85546875" defaultRowHeight="15.75" x14ac:dyDescent="0.25"/>
  <cols>
    <col min="1" max="1" width="15.28515625" style="18" customWidth="1"/>
    <col min="2" max="2" width="115" style="18" customWidth="1"/>
    <col min="3" max="3" width="23.85546875" style="18" customWidth="1"/>
    <col min="4" max="16384" width="8.85546875" style="18"/>
  </cols>
  <sheetData>
    <row r="1" spans="1:6" x14ac:dyDescent="0.25">
      <c r="A1" s="222" t="s">
        <v>228</v>
      </c>
      <c r="B1" s="222"/>
      <c r="C1" s="222"/>
    </row>
    <row r="3" spans="1:6" x14ac:dyDescent="0.25">
      <c r="A3" s="234" t="s">
        <v>56</v>
      </c>
      <c r="B3" s="234"/>
      <c r="C3" s="234"/>
    </row>
    <row r="4" spans="1:6" x14ac:dyDescent="0.25">
      <c r="A4" s="234" t="s">
        <v>138</v>
      </c>
      <c r="B4" s="234"/>
      <c r="C4" s="234"/>
    </row>
    <row r="5" spans="1:6" ht="16.5" thickBot="1" x14ac:dyDescent="0.3">
      <c r="A5" s="234" t="s">
        <v>229</v>
      </c>
      <c r="B5" s="234"/>
      <c r="C5" s="234"/>
    </row>
    <row r="6" spans="1:6" ht="90.75" customHeight="1" thickBot="1" x14ac:dyDescent="0.3">
      <c r="A6" s="19" t="s">
        <v>0</v>
      </c>
      <c r="B6" s="20" t="s">
        <v>1</v>
      </c>
      <c r="C6" s="20" t="s">
        <v>2</v>
      </c>
    </row>
    <row r="7" spans="1:6" ht="16.5" thickBot="1" x14ac:dyDescent="0.3">
      <c r="A7" s="46"/>
      <c r="B7" s="22" t="s">
        <v>3</v>
      </c>
      <c r="C7" s="23"/>
    </row>
    <row r="8" spans="1:6" ht="15.75" customHeight="1" x14ac:dyDescent="0.25">
      <c r="A8" s="247" t="s">
        <v>243</v>
      </c>
      <c r="B8" s="130" t="s">
        <v>274</v>
      </c>
      <c r="C8" s="249">
        <f>(7.3633+1.8967+1.799+3.0926+1.8967)*1</f>
        <v>16.048299999999998</v>
      </c>
    </row>
    <row r="9" spans="1:6" ht="18.75" customHeight="1" thickBot="1" x14ac:dyDescent="0.3">
      <c r="A9" s="248"/>
      <c r="B9" s="129" t="s">
        <v>273</v>
      </c>
      <c r="C9" s="250"/>
    </row>
    <row r="10" spans="1:6" ht="16.5" thickBot="1" x14ac:dyDescent="0.3">
      <c r="A10" s="46" t="s">
        <v>244</v>
      </c>
      <c r="B10" s="12" t="s">
        <v>241</v>
      </c>
      <c r="C10" s="24">
        <f>ROUND(C8*0.2409,2)</f>
        <v>3.87</v>
      </c>
    </row>
    <row r="11" spans="1:6" ht="16.5" thickBot="1" x14ac:dyDescent="0.3">
      <c r="A11" s="46"/>
      <c r="B11" s="22" t="s">
        <v>4</v>
      </c>
      <c r="C11" s="25">
        <f>SUM(C8:C10)</f>
        <v>19.918299999999999</v>
      </c>
    </row>
    <row r="12" spans="1:6" ht="16.5" thickBot="1" x14ac:dyDescent="0.3">
      <c r="A12" s="46"/>
      <c r="B12" s="22" t="s">
        <v>5</v>
      </c>
      <c r="C12" s="26"/>
      <c r="D12" s="27"/>
    </row>
    <row r="13" spans="1:6" s="34" customFormat="1" ht="35.25" thickBot="1" x14ac:dyDescent="0.3">
      <c r="A13" s="46" t="s">
        <v>6</v>
      </c>
      <c r="B13" s="12" t="s">
        <v>724</v>
      </c>
      <c r="C13" s="24">
        <f>0.4053*1</f>
        <v>0.40529999999999999</v>
      </c>
    </row>
    <row r="14" spans="1:6" s="34" customFormat="1" ht="35.25" thickBot="1" x14ac:dyDescent="0.3">
      <c r="A14" s="46" t="s">
        <v>7</v>
      </c>
      <c r="B14" s="12" t="s">
        <v>725</v>
      </c>
      <c r="C14" s="24">
        <f>0.1158*1</f>
        <v>0.1158</v>
      </c>
    </row>
    <row r="15" spans="1:6" ht="34.5" customHeight="1" thickBot="1" x14ac:dyDescent="0.3">
      <c r="A15" s="46" t="s">
        <v>8</v>
      </c>
      <c r="B15" s="93" t="s">
        <v>726</v>
      </c>
      <c r="C15" s="24">
        <f>0.052*1</f>
        <v>5.1999999999999998E-2</v>
      </c>
    </row>
    <row r="16" spans="1:6" ht="32.25" thickBot="1" x14ac:dyDescent="0.3">
      <c r="A16" s="46" t="s">
        <v>49</v>
      </c>
      <c r="B16" s="14" t="s">
        <v>711</v>
      </c>
      <c r="C16" s="35">
        <f>0.0002*1</f>
        <v>2.0000000000000001E-4</v>
      </c>
      <c r="F16" s="28"/>
    </row>
    <row r="17" spans="1:3" ht="16.5" thickBot="1" x14ac:dyDescent="0.3">
      <c r="A17" s="46" t="s">
        <v>51</v>
      </c>
      <c r="B17" s="12" t="s">
        <v>728</v>
      </c>
      <c r="C17" s="78">
        <f>0.0016*1</f>
        <v>1.6000000000000001E-3</v>
      </c>
    </row>
    <row r="18" spans="1:3" x14ac:dyDescent="0.25">
      <c r="A18" s="251" t="s">
        <v>50</v>
      </c>
      <c r="B18" s="253" t="s">
        <v>727</v>
      </c>
      <c r="C18" s="255">
        <f>22.8604+0.0009</f>
        <v>22.8613</v>
      </c>
    </row>
    <row r="19" spans="1:3" ht="8.25" customHeight="1" thickBot="1" x14ac:dyDescent="0.3">
      <c r="A19" s="252"/>
      <c r="B19" s="254"/>
      <c r="C19" s="256"/>
    </row>
    <row r="20" spans="1:3" ht="16.5" thickBot="1" x14ac:dyDescent="0.3">
      <c r="A20" s="46" t="s">
        <v>53</v>
      </c>
      <c r="B20" s="12" t="s">
        <v>275</v>
      </c>
      <c r="C20" s="24">
        <f>1.1579*1</f>
        <v>1.1578999999999999</v>
      </c>
    </row>
    <row r="21" spans="1:3" ht="17.25" customHeight="1" thickBot="1" x14ac:dyDescent="0.3">
      <c r="A21" s="46" t="s">
        <v>52</v>
      </c>
      <c r="B21" s="93" t="s">
        <v>272</v>
      </c>
      <c r="C21" s="24">
        <f>0.1613*1</f>
        <v>0.1613</v>
      </c>
    </row>
    <row r="22" spans="1:3" ht="27" customHeight="1" thickBot="1" x14ac:dyDescent="0.3">
      <c r="A22" s="46"/>
      <c r="B22" s="22" t="s">
        <v>10</v>
      </c>
      <c r="C22" s="26">
        <f>ROUND(SUM(C13:C21),2)</f>
        <v>24.76</v>
      </c>
    </row>
    <row r="23" spans="1:3" ht="16.5" thickBot="1" x14ac:dyDescent="0.3">
      <c r="A23" s="46"/>
      <c r="B23" s="29" t="s">
        <v>11</v>
      </c>
      <c r="C23" s="25">
        <f>C22+C11</f>
        <v>44.6783</v>
      </c>
    </row>
    <row r="24" spans="1:3" x14ac:dyDescent="0.25">
      <c r="C24" s="28"/>
    </row>
    <row r="25" spans="1:3" ht="16.5" thickBot="1" x14ac:dyDescent="0.3">
      <c r="C25" s="28"/>
    </row>
    <row r="26" spans="1:3" ht="16.5" thickBot="1" x14ac:dyDescent="0.3">
      <c r="A26" s="234" t="s">
        <v>13</v>
      </c>
      <c r="B26" s="235"/>
      <c r="C26" s="131">
        <v>1</v>
      </c>
    </row>
    <row r="27" spans="1:3" ht="16.5" thickBot="1" x14ac:dyDescent="0.3">
      <c r="A27" s="234" t="s">
        <v>59</v>
      </c>
      <c r="B27" s="235"/>
      <c r="C27" s="31">
        <f>C23/C26</f>
        <v>44.6783</v>
      </c>
    </row>
  </sheetData>
  <mergeCells count="11">
    <mergeCell ref="A1:C1"/>
    <mergeCell ref="A3:C3"/>
    <mergeCell ref="A4:C4"/>
    <mergeCell ref="A5:C5"/>
    <mergeCell ref="C18:C19"/>
    <mergeCell ref="A26:B26"/>
    <mergeCell ref="A27:B27"/>
    <mergeCell ref="A8:A9"/>
    <mergeCell ref="C8:C9"/>
    <mergeCell ref="A18:A19"/>
    <mergeCell ref="B18:B19"/>
  </mergeCells>
  <pageMargins left="0.70866141732283472" right="0.70866141732283472" top="0.74803149606299213" bottom="0.74803149606299213" header="0.31496062992125984" footer="0.31496062992125984"/>
  <pageSetup paperSize="9" scale="84" fitToHeight="0" orientation="landscape" r:id="rId1"/>
  <headerFooter differentFirst="1">
    <oddFooter>&amp;C&amp;P</oddFooter>
    <firstFooter>&amp;L&amp;10VManotp_130617_VTMECmaks&amp;C&amp;P</firstFooter>
  </headerFooter>
  <colBreaks count="1" manualBreakCount="1">
    <brk id="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30"/>
  <sheetViews>
    <sheetView view="pageBreakPreview" zoomScale="60" zoomScaleNormal="70" workbookViewId="0">
      <selection activeCell="B18" sqref="B18"/>
    </sheetView>
  </sheetViews>
  <sheetFormatPr defaultColWidth="8.85546875" defaultRowHeight="15.75" x14ac:dyDescent="0.25"/>
  <cols>
    <col min="1" max="1" width="14" style="18" customWidth="1"/>
    <col min="2" max="2" width="135.7109375" style="18" customWidth="1"/>
    <col min="3" max="3" width="22.2851562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139</v>
      </c>
      <c r="B4" s="234"/>
      <c r="C4" s="234"/>
    </row>
    <row r="5" spans="1:7" ht="16.5" thickBot="1" x14ac:dyDescent="0.3">
      <c r="A5" s="234" t="s">
        <v>229</v>
      </c>
      <c r="B5" s="234"/>
      <c r="C5" s="234"/>
    </row>
    <row r="6" spans="1:7" ht="91.5" customHeight="1" thickBot="1" x14ac:dyDescent="0.3">
      <c r="A6" s="19" t="s">
        <v>0</v>
      </c>
      <c r="B6" s="20" t="s">
        <v>1</v>
      </c>
      <c r="C6" s="20" t="s">
        <v>2</v>
      </c>
    </row>
    <row r="7" spans="1:7" x14ac:dyDescent="0.25">
      <c r="A7" s="147"/>
      <c r="B7" s="72" t="s">
        <v>3</v>
      </c>
      <c r="C7" s="142"/>
    </row>
    <row r="8" spans="1:7" ht="21" customHeight="1" x14ac:dyDescent="0.25">
      <c r="A8" s="257" t="s">
        <v>243</v>
      </c>
      <c r="B8" s="260" t="s">
        <v>282</v>
      </c>
      <c r="C8" s="258">
        <f>(4.9334+1.8967+1.799+3.0926+1.8967)*1</f>
        <v>13.618399999999998</v>
      </c>
    </row>
    <row r="9" spans="1:7" hidden="1" x14ac:dyDescent="0.25">
      <c r="A9" s="257"/>
      <c r="B9" s="261"/>
      <c r="C9" s="258"/>
      <c r="D9" s="43"/>
    </row>
    <row r="10" spans="1:7" x14ac:dyDescent="0.25">
      <c r="A10" s="148" t="s">
        <v>246</v>
      </c>
      <c r="B10" s="144" t="s">
        <v>241</v>
      </c>
      <c r="C10" s="149">
        <f>C8*0.2409</f>
        <v>3.2806725599999993</v>
      </c>
    </row>
    <row r="11" spans="1:7" x14ac:dyDescent="0.25">
      <c r="A11" s="148"/>
      <c r="B11" s="155" t="s">
        <v>4</v>
      </c>
      <c r="C11" s="156">
        <f>SUM(C8:C10)</f>
        <v>16.899072559999997</v>
      </c>
    </row>
    <row r="12" spans="1:7" x14ac:dyDescent="0.25">
      <c r="A12" s="148"/>
      <c r="B12" s="155" t="s">
        <v>5</v>
      </c>
      <c r="C12" s="154"/>
      <c r="E12" s="27"/>
    </row>
    <row r="13" spans="1:7" s="34" customFormat="1" ht="34.5" x14ac:dyDescent="0.25">
      <c r="A13" s="148" t="s">
        <v>6</v>
      </c>
      <c r="B13" s="144" t="s">
        <v>280</v>
      </c>
      <c r="C13" s="149">
        <f>0.3413*1</f>
        <v>0.34129999999999999</v>
      </c>
      <c r="D13" s="48"/>
    </row>
    <row r="14" spans="1:7" s="34" customFormat="1" ht="34.5" x14ac:dyDescent="0.25">
      <c r="A14" s="148" t="s">
        <v>7</v>
      </c>
      <c r="B14" s="144" t="s">
        <v>281</v>
      </c>
      <c r="C14" s="149">
        <f>0.0975*1</f>
        <v>9.7500000000000003E-2</v>
      </c>
      <c r="D14" s="48"/>
    </row>
    <row r="15" spans="1:7" ht="35.25" customHeight="1" x14ac:dyDescent="0.25">
      <c r="A15" s="148" t="s">
        <v>8</v>
      </c>
      <c r="B15" s="144" t="s">
        <v>279</v>
      </c>
      <c r="C15" s="149">
        <f>0.052*1</f>
        <v>5.1999999999999998E-2</v>
      </c>
    </row>
    <row r="16" spans="1:7" ht="34.5" customHeight="1" x14ac:dyDescent="0.25">
      <c r="A16" s="148" t="s">
        <v>49</v>
      </c>
      <c r="B16" s="143" t="s">
        <v>278</v>
      </c>
      <c r="C16" s="154">
        <f>0.0002+0.064</f>
        <v>6.4200000000000007E-2</v>
      </c>
      <c r="G16" s="28"/>
    </row>
    <row r="17" spans="1:3" ht="39" customHeight="1" x14ac:dyDescent="0.25">
      <c r="A17" s="148" t="s">
        <v>51</v>
      </c>
      <c r="B17" s="144" t="s">
        <v>277</v>
      </c>
      <c r="C17" s="157">
        <f>0.0016*1</f>
        <v>1.6000000000000001E-3</v>
      </c>
    </row>
    <row r="18" spans="1:3" ht="36" customHeight="1" x14ac:dyDescent="0.25">
      <c r="A18" s="262" t="s">
        <v>50</v>
      </c>
      <c r="B18" s="144" t="s">
        <v>729</v>
      </c>
      <c r="C18" s="259">
        <f>18.9458+0.0002</f>
        <v>18.945999999999998</v>
      </c>
    </row>
    <row r="19" spans="1:3" ht="51" customHeight="1" x14ac:dyDescent="0.25">
      <c r="A19" s="263"/>
      <c r="B19" s="144" t="s">
        <v>730</v>
      </c>
      <c r="C19" s="259"/>
    </row>
    <row r="20" spans="1:3" ht="19.5" customHeight="1" x14ac:dyDescent="0.25">
      <c r="A20" s="148" t="s">
        <v>53</v>
      </c>
      <c r="B20" s="144" t="s">
        <v>276</v>
      </c>
      <c r="C20" s="149">
        <f>0.975*1</f>
        <v>0.97499999999999998</v>
      </c>
    </row>
    <row r="21" spans="1:3" x14ac:dyDescent="0.25">
      <c r="A21" s="148" t="s">
        <v>52</v>
      </c>
      <c r="B21" s="144" t="s">
        <v>731</v>
      </c>
      <c r="C21" s="149">
        <f>(0.0358+0.0007)*1</f>
        <v>3.6499999999999998E-2</v>
      </c>
    </row>
    <row r="22" spans="1:3" ht="19.5" customHeight="1" x14ac:dyDescent="0.25">
      <c r="A22" s="148"/>
      <c r="B22" s="153" t="s">
        <v>10</v>
      </c>
      <c r="C22" s="154">
        <f>SUM(C13:C21)</f>
        <v>20.514099999999999</v>
      </c>
    </row>
    <row r="23" spans="1:3" ht="16.5" thickBot="1" x14ac:dyDescent="0.3">
      <c r="A23" s="46"/>
      <c r="B23" s="29" t="s">
        <v>11</v>
      </c>
      <c r="C23" s="25">
        <f>C22+C11</f>
        <v>37.413172559999992</v>
      </c>
    </row>
    <row r="24" spans="1:3" ht="16.5" thickBot="1" x14ac:dyDescent="0.3">
      <c r="C24" s="28"/>
    </row>
    <row r="25" spans="1:3" ht="16.5" thickBot="1" x14ac:dyDescent="0.3">
      <c r="A25" s="234" t="s">
        <v>13</v>
      </c>
      <c r="B25" s="235"/>
      <c r="C25" s="30">
        <v>1</v>
      </c>
    </row>
    <row r="26" spans="1:3" ht="16.5" thickBot="1" x14ac:dyDescent="0.3">
      <c r="A26" s="234" t="s">
        <v>59</v>
      </c>
      <c r="B26" s="235"/>
      <c r="C26" s="31">
        <f>C23/C25</f>
        <v>37.413172559999992</v>
      </c>
    </row>
    <row r="29" spans="1:3" ht="16.5" customHeight="1" x14ac:dyDescent="0.25"/>
    <row r="30" spans="1:3" ht="16.5" customHeight="1" x14ac:dyDescent="0.25"/>
  </sheetData>
  <mergeCells count="11">
    <mergeCell ref="A25:B25"/>
    <mergeCell ref="A26:B26"/>
    <mergeCell ref="A8:A9"/>
    <mergeCell ref="C8:C9"/>
    <mergeCell ref="A1:C1"/>
    <mergeCell ref="A3:C3"/>
    <mergeCell ref="A4:C4"/>
    <mergeCell ref="A5:C5"/>
    <mergeCell ref="C18:C19"/>
    <mergeCell ref="B8:B9"/>
    <mergeCell ref="A18:A19"/>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9"/>
  <sheetViews>
    <sheetView view="pageBreakPreview" topLeftCell="A4" zoomScale="60" zoomScaleNormal="60" workbookViewId="0">
      <selection activeCell="B22" sqref="B22"/>
    </sheetView>
  </sheetViews>
  <sheetFormatPr defaultColWidth="8.85546875" defaultRowHeight="15.75" x14ac:dyDescent="0.25"/>
  <cols>
    <col min="1" max="1" width="14.5703125" style="18" customWidth="1"/>
    <col min="2" max="2" width="129.28515625" style="18" customWidth="1"/>
    <col min="3" max="3" width="24.140625" style="18" customWidth="1"/>
    <col min="4" max="4" width="24.28515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96</v>
      </c>
      <c r="B4" s="234"/>
      <c r="C4" s="234"/>
    </row>
    <row r="5" spans="1:7" ht="16.5" thickBot="1" x14ac:dyDescent="0.3">
      <c r="A5" s="234" t="s">
        <v>229</v>
      </c>
      <c r="B5" s="234"/>
      <c r="C5" s="234"/>
    </row>
    <row r="6" spans="1:7" ht="88.5" customHeight="1" thickBot="1" x14ac:dyDescent="0.3">
      <c r="A6" s="19" t="s">
        <v>0</v>
      </c>
      <c r="B6" s="20" t="s">
        <v>1</v>
      </c>
      <c r="C6" s="20" t="s">
        <v>2</v>
      </c>
    </row>
    <row r="7" spans="1:7" ht="16.5" thickBot="1" x14ac:dyDescent="0.3">
      <c r="A7" s="21"/>
      <c r="B7" s="22" t="s">
        <v>3</v>
      </c>
      <c r="C7" s="23"/>
    </row>
    <row r="8" spans="1:7" ht="18.75" customHeight="1" thickBot="1" x14ac:dyDescent="0.3">
      <c r="A8" s="21" t="s">
        <v>243</v>
      </c>
      <c r="B8" s="93" t="s">
        <v>286</v>
      </c>
      <c r="C8" s="24">
        <f>(3.6817+22.3142+1.799)*1</f>
        <v>27.794899999999998</v>
      </c>
    </row>
    <row r="9" spans="1:7" ht="16.5" thickBot="1" x14ac:dyDescent="0.3">
      <c r="A9" s="21" t="s">
        <v>244</v>
      </c>
      <c r="B9" s="12" t="s">
        <v>241</v>
      </c>
      <c r="C9" s="24">
        <f>C8*0.2409</f>
        <v>6.69579141</v>
      </c>
    </row>
    <row r="10" spans="1:7" ht="16.5" thickBot="1" x14ac:dyDescent="0.3">
      <c r="A10" s="21"/>
      <c r="B10" s="22" t="s">
        <v>4</v>
      </c>
      <c r="C10" s="25">
        <f>SUM(C8:C9)</f>
        <v>34.490691409999997</v>
      </c>
    </row>
    <row r="11" spans="1:7" ht="16.5" thickBot="1" x14ac:dyDescent="0.3">
      <c r="A11" s="21"/>
      <c r="B11" s="22" t="s">
        <v>5</v>
      </c>
      <c r="C11" s="26"/>
      <c r="E11" s="27"/>
    </row>
    <row r="12" spans="1:7" s="34" customFormat="1" ht="37.5" customHeight="1" thickBot="1" x14ac:dyDescent="0.3">
      <c r="A12" s="21" t="s">
        <v>6</v>
      </c>
      <c r="B12" s="93" t="s">
        <v>733</v>
      </c>
      <c r="C12" s="24">
        <f>0.5487*1</f>
        <v>0.54869999999999997</v>
      </c>
    </row>
    <row r="13" spans="1:7" ht="37.5" customHeight="1" thickBot="1" x14ac:dyDescent="0.3">
      <c r="A13" s="21" t="s">
        <v>7</v>
      </c>
      <c r="B13" s="93" t="s">
        <v>734</v>
      </c>
      <c r="C13" s="24">
        <f>0.002*2.83*27.7</f>
        <v>0.156782</v>
      </c>
    </row>
    <row r="14" spans="1:7" ht="33.75" customHeight="1" thickBot="1" x14ac:dyDescent="0.3">
      <c r="A14" s="21" t="s">
        <v>8</v>
      </c>
      <c r="B14" s="93" t="s">
        <v>285</v>
      </c>
      <c r="C14" s="24">
        <f>0.026*1</f>
        <v>2.5999999999999999E-2</v>
      </c>
      <c r="G14" s="28"/>
    </row>
    <row r="15" spans="1:7" ht="32.25" thickBot="1" x14ac:dyDescent="0.3">
      <c r="A15" s="21" t="s">
        <v>49</v>
      </c>
      <c r="B15" s="94" t="s">
        <v>284</v>
      </c>
      <c r="C15" s="35">
        <f>0.0002*1</f>
        <v>2.0000000000000001E-4</v>
      </c>
    </row>
    <row r="16" spans="1:7" ht="35.25" customHeight="1" thickBot="1" x14ac:dyDescent="0.3">
      <c r="A16" s="21" t="s">
        <v>51</v>
      </c>
      <c r="B16" s="93" t="s">
        <v>283</v>
      </c>
      <c r="C16" s="78">
        <f>0.0016*1</f>
        <v>1.6000000000000001E-3</v>
      </c>
    </row>
    <row r="17" spans="1:3" ht="84" customHeight="1" thickBot="1" x14ac:dyDescent="0.3">
      <c r="A17" s="140" t="s">
        <v>50</v>
      </c>
      <c r="B17" s="93" t="s">
        <v>732</v>
      </c>
      <c r="C17" s="139">
        <f>(0.7168+0.0001+0.0194+0.0525)</f>
        <v>0.78879999999999995</v>
      </c>
    </row>
    <row r="18" spans="1:3" ht="17.25" customHeight="1" thickBot="1" x14ac:dyDescent="0.3">
      <c r="A18" s="21" t="s">
        <v>53</v>
      </c>
      <c r="B18" s="93" t="s">
        <v>287</v>
      </c>
      <c r="C18" s="24">
        <f>1.5678*1</f>
        <v>1.5678000000000001</v>
      </c>
    </row>
    <row r="19" spans="1:3" ht="19.5" customHeight="1" thickBot="1" x14ac:dyDescent="0.3">
      <c r="A19" s="21" t="s">
        <v>52</v>
      </c>
      <c r="B19" s="93" t="s">
        <v>288</v>
      </c>
      <c r="C19" s="24">
        <f>0.177*1</f>
        <v>0.17699999999999999</v>
      </c>
    </row>
    <row r="20" spans="1:3" ht="21" customHeight="1" thickBot="1" x14ac:dyDescent="0.3">
      <c r="A20" s="21"/>
      <c r="B20" s="22" t="s">
        <v>10</v>
      </c>
      <c r="C20" s="26">
        <f>SUM(C12:C19)</f>
        <v>3.2668820000000003</v>
      </c>
    </row>
    <row r="21" spans="1:3" ht="16.5" thickBot="1" x14ac:dyDescent="0.3">
      <c r="A21" s="21"/>
      <c r="B21" s="29" t="s">
        <v>11</v>
      </c>
      <c r="C21" s="25">
        <f>C20+C10</f>
        <v>37.757573409999999</v>
      </c>
    </row>
    <row r="22" spans="1:3" x14ac:dyDescent="0.25">
      <c r="C22" s="28"/>
    </row>
    <row r="23" spans="1:3" ht="16.5" thickBot="1" x14ac:dyDescent="0.3">
      <c r="C23" s="28"/>
    </row>
    <row r="24" spans="1:3" ht="16.5" thickBot="1" x14ac:dyDescent="0.3">
      <c r="A24" s="234" t="s">
        <v>13</v>
      </c>
      <c r="B24" s="235"/>
      <c r="C24" s="30">
        <v>1</v>
      </c>
    </row>
    <row r="25" spans="1:3" ht="16.5" thickBot="1" x14ac:dyDescent="0.3">
      <c r="A25" s="234" t="s">
        <v>59</v>
      </c>
      <c r="B25" s="235"/>
      <c r="C25" s="31">
        <f>C21/C24</f>
        <v>37.757573409999999</v>
      </c>
    </row>
    <row r="28" spans="1:3" ht="16.5" customHeight="1" x14ac:dyDescent="0.25"/>
    <row r="29" spans="1:3"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30"/>
  <sheetViews>
    <sheetView view="pageBreakPreview" topLeftCell="A4" zoomScale="60" zoomScaleNormal="70" workbookViewId="0">
      <selection activeCell="B19" sqref="B19"/>
    </sheetView>
  </sheetViews>
  <sheetFormatPr defaultColWidth="8.85546875" defaultRowHeight="15.75" x14ac:dyDescent="0.25"/>
  <cols>
    <col min="1" max="1" width="14.28515625" style="18" customWidth="1"/>
    <col min="2" max="2" width="136.5703125" style="18" customWidth="1"/>
    <col min="3" max="3" width="23.140625" style="18" customWidth="1"/>
    <col min="4" max="4" width="12.28515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140</v>
      </c>
      <c r="B4" s="234"/>
      <c r="C4" s="234"/>
    </row>
    <row r="5" spans="1:7" ht="16.5" thickBot="1" x14ac:dyDescent="0.3">
      <c r="A5" s="234" t="s">
        <v>229</v>
      </c>
      <c r="B5" s="234"/>
      <c r="C5" s="234"/>
    </row>
    <row r="6" spans="1:7" ht="89.25" customHeight="1" thickBot="1" x14ac:dyDescent="0.3">
      <c r="A6" s="19" t="s">
        <v>0</v>
      </c>
      <c r="B6" s="20" t="s">
        <v>1</v>
      </c>
      <c r="C6" s="20" t="s">
        <v>2</v>
      </c>
    </row>
    <row r="7" spans="1:7" ht="16.5" thickBot="1" x14ac:dyDescent="0.3">
      <c r="A7" s="46"/>
      <c r="B7" s="22" t="s">
        <v>3</v>
      </c>
      <c r="C7" s="23"/>
    </row>
    <row r="8" spans="1:7" ht="17.25" customHeight="1" x14ac:dyDescent="0.25">
      <c r="A8" s="247" t="s">
        <v>243</v>
      </c>
      <c r="B8" s="130" t="s">
        <v>735</v>
      </c>
      <c r="C8" s="249">
        <f>(2.4299+11.1571+1.799+2.4299+3.6818+1.799)*1</f>
        <v>23.296699999999998</v>
      </c>
    </row>
    <row r="9" spans="1:7" ht="19.5" customHeight="1" thickBot="1" x14ac:dyDescent="0.3">
      <c r="A9" s="248"/>
      <c r="B9" s="200" t="s">
        <v>736</v>
      </c>
      <c r="C9" s="250"/>
    </row>
    <row r="10" spans="1:7" ht="16.5" thickBot="1" x14ac:dyDescent="0.3">
      <c r="A10" s="46" t="s">
        <v>244</v>
      </c>
      <c r="B10" s="12" t="s">
        <v>241</v>
      </c>
      <c r="C10" s="24">
        <f>C8*0.2409</f>
        <v>5.6121750299999995</v>
      </c>
    </row>
    <row r="11" spans="1:7" ht="16.5" thickBot="1" x14ac:dyDescent="0.3">
      <c r="A11" s="46"/>
      <c r="B11" s="22" t="s">
        <v>4</v>
      </c>
      <c r="C11" s="25">
        <f>SUM(C8:C10)</f>
        <v>28.908875029999997</v>
      </c>
      <c r="E11" s="49"/>
      <c r="F11" s="49"/>
    </row>
    <row r="12" spans="1:7" ht="16.5" thickBot="1" x14ac:dyDescent="0.3">
      <c r="A12" s="46"/>
      <c r="B12" s="22" t="s">
        <v>5</v>
      </c>
      <c r="C12" s="26"/>
      <c r="E12" s="50"/>
      <c r="F12" s="49"/>
    </row>
    <row r="13" spans="1:7" s="34" customFormat="1" ht="35.25" thickBot="1" x14ac:dyDescent="0.3">
      <c r="A13" s="46" t="s">
        <v>6</v>
      </c>
      <c r="B13" s="101" t="s">
        <v>737</v>
      </c>
      <c r="C13" s="24">
        <f>0.5158*1</f>
        <v>0.51580000000000004</v>
      </c>
      <c r="D13" s="48"/>
      <c r="E13" s="51"/>
      <c r="F13" s="51"/>
    </row>
    <row r="14" spans="1:7" s="34" customFormat="1" ht="35.25" thickBot="1" x14ac:dyDescent="0.3">
      <c r="A14" s="46" t="s">
        <v>7</v>
      </c>
      <c r="B14" s="12" t="s">
        <v>738</v>
      </c>
      <c r="C14" s="24">
        <f>0.1474*1</f>
        <v>0.1474</v>
      </c>
      <c r="D14" s="48"/>
    </row>
    <row r="15" spans="1:7" ht="32.25" thickBot="1" x14ac:dyDescent="0.3">
      <c r="A15" s="46" t="s">
        <v>8</v>
      </c>
      <c r="B15" s="12" t="s">
        <v>279</v>
      </c>
      <c r="C15" s="24">
        <f>0.052*1</f>
        <v>5.1999999999999998E-2</v>
      </c>
    </row>
    <row r="16" spans="1:7" ht="32.25" thickBot="1" x14ac:dyDescent="0.3">
      <c r="A16" s="46" t="s">
        <v>49</v>
      </c>
      <c r="B16" s="94" t="s">
        <v>291</v>
      </c>
      <c r="C16" s="35">
        <f>0.0002*1</f>
        <v>2.0000000000000001E-4</v>
      </c>
      <c r="D16" s="48"/>
      <c r="G16" s="28"/>
    </row>
    <row r="17" spans="1:3" ht="16.5" thickBot="1" x14ac:dyDescent="0.3">
      <c r="A17" s="46" t="s">
        <v>51</v>
      </c>
      <c r="B17" s="12" t="s">
        <v>290</v>
      </c>
      <c r="C17" s="132">
        <f>0.0016*1</f>
        <v>1.6000000000000001E-3</v>
      </c>
    </row>
    <row r="18" spans="1:3" ht="34.5" customHeight="1" x14ac:dyDescent="0.25">
      <c r="A18" s="251" t="s">
        <v>50</v>
      </c>
      <c r="B18" s="124" t="s">
        <v>739</v>
      </c>
      <c r="C18" s="239">
        <f>2.0913+0.0001</f>
        <v>2.0914000000000001</v>
      </c>
    </row>
    <row r="19" spans="1:3" ht="50.25" customHeight="1" thickBot="1" x14ac:dyDescent="0.3">
      <c r="A19" s="252"/>
      <c r="B19" s="125" t="s">
        <v>740</v>
      </c>
      <c r="C19" s="264"/>
    </row>
    <row r="20" spans="1:3" ht="15.75" customHeight="1" thickBot="1" x14ac:dyDescent="0.3">
      <c r="A20" s="46" t="s">
        <v>53</v>
      </c>
      <c r="B20" s="123" t="s">
        <v>741</v>
      </c>
      <c r="C20" s="53">
        <f>1.4736*1</f>
        <v>1.4736</v>
      </c>
    </row>
    <row r="21" spans="1:3" ht="34.5" customHeight="1" thickBot="1" x14ac:dyDescent="0.3">
      <c r="A21" s="46" t="s">
        <v>52</v>
      </c>
      <c r="B21" s="123" t="s">
        <v>289</v>
      </c>
      <c r="C21" s="54">
        <f>(0.1248+0.0605+0.0358+0.0093)*1</f>
        <v>0.23039999999999999</v>
      </c>
    </row>
    <row r="22" spans="1:3" ht="19.5" customHeight="1" thickBot="1" x14ac:dyDescent="0.3">
      <c r="A22" s="46"/>
      <c r="B22" s="22" t="s">
        <v>10</v>
      </c>
      <c r="C22" s="26">
        <f>SUM(C13:C21)</f>
        <v>4.5124000000000004</v>
      </c>
    </row>
    <row r="23" spans="1:3" ht="16.5" thickBot="1" x14ac:dyDescent="0.3">
      <c r="A23" s="46"/>
      <c r="B23" s="29" t="s">
        <v>11</v>
      </c>
      <c r="C23" s="25">
        <f>C22+C11</f>
        <v>33.421275029999997</v>
      </c>
    </row>
    <row r="24" spans="1:3" ht="16.5" thickBot="1" x14ac:dyDescent="0.3">
      <c r="C24" s="28"/>
    </row>
    <row r="25" spans="1:3" ht="16.5" thickBot="1" x14ac:dyDescent="0.3">
      <c r="A25" s="234" t="s">
        <v>13</v>
      </c>
      <c r="B25" s="235"/>
      <c r="C25" s="30">
        <v>1</v>
      </c>
    </row>
    <row r="26" spans="1:3" ht="16.5" thickBot="1" x14ac:dyDescent="0.3">
      <c r="A26" s="234" t="s">
        <v>59</v>
      </c>
      <c r="B26" s="235"/>
      <c r="C26" s="31">
        <f>C23/C25</f>
        <v>33.421275029999997</v>
      </c>
    </row>
    <row r="29" spans="1:3" ht="16.5" customHeight="1" x14ac:dyDescent="0.25"/>
    <row r="30" spans="1:3" ht="16.5" customHeight="1" x14ac:dyDescent="0.25"/>
  </sheetData>
  <mergeCells count="10">
    <mergeCell ref="A1:C1"/>
    <mergeCell ref="A3:C3"/>
    <mergeCell ref="A4:C4"/>
    <mergeCell ref="A5:C5"/>
    <mergeCell ref="A18:A19"/>
    <mergeCell ref="A25:B25"/>
    <mergeCell ref="A26:B26"/>
    <mergeCell ref="A8:A9"/>
    <mergeCell ref="C8:C9"/>
    <mergeCell ref="C18:C19"/>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28"/>
  <sheetViews>
    <sheetView view="pageBreakPreview" zoomScale="60" zoomScaleNormal="90" workbookViewId="0">
      <selection activeCell="B12" sqref="B12"/>
    </sheetView>
  </sheetViews>
  <sheetFormatPr defaultColWidth="8.85546875" defaultRowHeight="15.75" x14ac:dyDescent="0.25"/>
  <cols>
    <col min="1" max="1" width="14.85546875" style="18" customWidth="1"/>
    <col min="2" max="2" width="137.28515625" style="18" customWidth="1"/>
    <col min="3" max="3" width="25.710937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193</v>
      </c>
      <c r="B4" s="234"/>
      <c r="C4" s="234"/>
    </row>
    <row r="5" spans="1:7" ht="17.25" customHeight="1" thickBot="1" x14ac:dyDescent="0.3">
      <c r="A5" s="234" t="s">
        <v>229</v>
      </c>
      <c r="B5" s="234"/>
      <c r="C5" s="234"/>
    </row>
    <row r="6" spans="1:7" ht="67.5" customHeight="1" thickBot="1" x14ac:dyDescent="0.3">
      <c r="A6" s="19" t="s">
        <v>0</v>
      </c>
      <c r="B6" s="20" t="s">
        <v>1</v>
      </c>
      <c r="C6" s="20" t="s">
        <v>2</v>
      </c>
    </row>
    <row r="7" spans="1:7" ht="16.5" thickBot="1" x14ac:dyDescent="0.3">
      <c r="A7" s="21"/>
      <c r="B7" s="22" t="s">
        <v>3</v>
      </c>
      <c r="C7" s="23"/>
    </row>
    <row r="8" spans="1:7" ht="36.75" customHeight="1" thickBot="1" x14ac:dyDescent="0.3">
      <c r="A8" s="21" t="s">
        <v>243</v>
      </c>
      <c r="B8" s="93" t="s">
        <v>292</v>
      </c>
      <c r="C8" s="24">
        <f>(7.3633+7.4753+1.799)*1</f>
        <v>16.637599999999999</v>
      </c>
    </row>
    <row r="9" spans="1:7" ht="16.5" thickBot="1" x14ac:dyDescent="0.3">
      <c r="A9" s="21" t="s">
        <v>244</v>
      </c>
      <c r="B9" s="12" t="s">
        <v>241</v>
      </c>
      <c r="C9" s="24">
        <f>C8*0.2409</f>
        <v>4.0079978399999998</v>
      </c>
    </row>
    <row r="10" spans="1:7" ht="16.5" thickBot="1" x14ac:dyDescent="0.3">
      <c r="A10" s="21"/>
      <c r="B10" s="22" t="s">
        <v>4</v>
      </c>
      <c r="C10" s="25">
        <f>SUM(C8:C9)</f>
        <v>20.645597840000001</v>
      </c>
    </row>
    <row r="11" spans="1:7" ht="16.5" thickBot="1" x14ac:dyDescent="0.3">
      <c r="A11" s="21"/>
      <c r="B11" s="22" t="s">
        <v>5</v>
      </c>
      <c r="C11" s="26"/>
      <c r="E11" s="27"/>
    </row>
    <row r="12" spans="1:7" s="34" customFormat="1" ht="35.25" thickBot="1" x14ac:dyDescent="0.3">
      <c r="A12" s="21" t="s">
        <v>6</v>
      </c>
      <c r="B12" s="93" t="s">
        <v>293</v>
      </c>
      <c r="C12" s="24">
        <f>0.3878*1</f>
        <v>0.38779999999999998</v>
      </c>
    </row>
    <row r="13" spans="1:7" ht="40.5" customHeight="1" thickBot="1" x14ac:dyDescent="0.3">
      <c r="A13" s="21" t="s">
        <v>7</v>
      </c>
      <c r="B13" s="93" t="s">
        <v>295</v>
      </c>
      <c r="C13" s="24">
        <f>0.1108*1</f>
        <v>0.1108</v>
      </c>
    </row>
    <row r="14" spans="1:7" ht="33.75" customHeight="1" thickBot="1" x14ac:dyDescent="0.3">
      <c r="A14" s="21" t="s">
        <v>8</v>
      </c>
      <c r="B14" s="93" t="s">
        <v>294</v>
      </c>
      <c r="C14" s="24">
        <f>0.026*1</f>
        <v>2.5999999999999999E-2</v>
      </c>
      <c r="G14" s="28"/>
    </row>
    <row r="15" spans="1:7" ht="18.75" customHeight="1" thickBot="1" x14ac:dyDescent="0.3">
      <c r="A15" s="21" t="s">
        <v>49</v>
      </c>
      <c r="B15" s="94" t="s">
        <v>745</v>
      </c>
      <c r="C15" s="35">
        <f>0.00008*1</f>
        <v>8.0000000000000007E-5</v>
      </c>
    </row>
    <row r="16" spans="1:7" ht="36.75" customHeight="1" thickBot="1" x14ac:dyDescent="0.3">
      <c r="A16" s="21" t="s">
        <v>51</v>
      </c>
      <c r="B16" s="93" t="s">
        <v>277</v>
      </c>
      <c r="C16" s="78">
        <f>0.0016*1</f>
        <v>1.6000000000000001E-3</v>
      </c>
    </row>
    <row r="17" spans="1:3" ht="103.5" customHeight="1" thickBot="1" x14ac:dyDescent="0.3">
      <c r="A17" s="33" t="s">
        <v>50</v>
      </c>
      <c r="B17" s="93" t="s">
        <v>742</v>
      </c>
      <c r="C17" s="24">
        <f>0.2412+0.0001</f>
        <v>0.24129999999999999</v>
      </c>
    </row>
    <row r="18" spans="1:3" ht="19.5" customHeight="1" thickBot="1" x14ac:dyDescent="0.3">
      <c r="A18" s="21" t="s">
        <v>53</v>
      </c>
      <c r="B18" s="93" t="s">
        <v>744</v>
      </c>
      <c r="C18" s="24">
        <f>1.108*1</f>
        <v>1.1080000000000001</v>
      </c>
    </row>
    <row r="19" spans="1:3" ht="16.5" thickBot="1" x14ac:dyDescent="0.3">
      <c r="A19" s="21" t="s">
        <v>52</v>
      </c>
      <c r="B19" s="93" t="s">
        <v>743</v>
      </c>
      <c r="C19" s="24">
        <f>0.0358+0.0404</f>
        <v>7.619999999999999E-2</v>
      </c>
    </row>
    <row r="20" spans="1:3" ht="16.5" thickBot="1" x14ac:dyDescent="0.3">
      <c r="A20" s="21"/>
      <c r="B20" s="22" t="s">
        <v>10</v>
      </c>
      <c r="C20" s="26">
        <f>SUM(C12:C19)</f>
        <v>1.9517800000000001</v>
      </c>
    </row>
    <row r="21" spans="1:3" ht="16.5" thickBot="1" x14ac:dyDescent="0.3">
      <c r="A21" s="21"/>
      <c r="B21" s="29" t="s">
        <v>11</v>
      </c>
      <c r="C21" s="25">
        <f>C20+C10</f>
        <v>22.59737784</v>
      </c>
    </row>
    <row r="22" spans="1:3" ht="16.5" thickBot="1" x14ac:dyDescent="0.3">
      <c r="C22" s="28"/>
    </row>
    <row r="23" spans="1:3" ht="16.5" thickBot="1" x14ac:dyDescent="0.3">
      <c r="A23" s="234" t="s">
        <v>13</v>
      </c>
      <c r="B23" s="235"/>
      <c r="C23" s="30">
        <v>1</v>
      </c>
    </row>
    <row r="24" spans="1:3" ht="16.5" thickBot="1" x14ac:dyDescent="0.3">
      <c r="A24" s="234" t="s">
        <v>59</v>
      </c>
      <c r="B24" s="235"/>
      <c r="C24" s="31">
        <f>C21/C23</f>
        <v>22.59737784</v>
      </c>
    </row>
    <row r="27" spans="1:3" ht="16.5" customHeight="1" x14ac:dyDescent="0.25"/>
    <row r="28" spans="1:3"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76" fitToHeight="0" orientation="landscape" r:id="rId1"/>
  <headerFooter differentFirst="1">
    <oddFooter>&amp;C&amp;P</oddFooter>
    <firstFooter>&amp;L&amp;10VManotp_130617_VTMECmaks&amp;C&amp;P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8"/>
  <sheetViews>
    <sheetView view="pageBreakPreview" topLeftCell="A13" zoomScale="70" zoomScaleNormal="70" zoomScaleSheetLayoutView="70" workbookViewId="0">
      <selection activeCell="C34" sqref="C34"/>
    </sheetView>
  </sheetViews>
  <sheetFormatPr defaultColWidth="8.85546875" defaultRowHeight="15.75" x14ac:dyDescent="0.25"/>
  <cols>
    <col min="1" max="1" width="13.85546875" style="18" customWidth="1"/>
    <col min="2" max="2" width="100.28515625" style="18" customWidth="1"/>
    <col min="3" max="3" width="19" style="18" customWidth="1"/>
    <col min="4" max="4" width="18.7109375" style="18" customWidth="1"/>
    <col min="5" max="16384" width="8.85546875" style="18"/>
  </cols>
  <sheetData>
    <row r="1" spans="1:5" x14ac:dyDescent="0.25">
      <c r="A1" s="222" t="s">
        <v>228</v>
      </c>
      <c r="B1" s="222"/>
      <c r="C1" s="222"/>
    </row>
    <row r="3" spans="1:5" x14ac:dyDescent="0.25">
      <c r="A3" s="234" t="s">
        <v>56</v>
      </c>
      <c r="B3" s="234"/>
      <c r="C3" s="234"/>
    </row>
    <row r="4" spans="1:5" ht="15.75" customHeight="1" x14ac:dyDescent="0.25">
      <c r="A4" s="234" t="s">
        <v>57</v>
      </c>
      <c r="B4" s="234"/>
      <c r="C4" s="234"/>
    </row>
    <row r="5" spans="1:5" ht="15.75" customHeight="1" thickBot="1" x14ac:dyDescent="0.3">
      <c r="A5" s="234" t="s">
        <v>229</v>
      </c>
      <c r="B5" s="234"/>
      <c r="C5" s="234"/>
    </row>
    <row r="6" spans="1:5" ht="109.5" customHeight="1" thickBot="1" x14ac:dyDescent="0.3">
      <c r="A6" s="19" t="s">
        <v>0</v>
      </c>
      <c r="B6" s="20" t="s">
        <v>1</v>
      </c>
      <c r="C6" s="20" t="s">
        <v>2</v>
      </c>
    </row>
    <row r="7" spans="1:5" ht="16.5" thickBot="1" x14ac:dyDescent="0.3">
      <c r="A7" s="21"/>
      <c r="B7" s="22" t="s">
        <v>3</v>
      </c>
      <c r="C7" s="23"/>
    </row>
    <row r="8" spans="1:5" ht="18" customHeight="1" thickBot="1" x14ac:dyDescent="0.3">
      <c r="A8" s="21" t="s">
        <v>243</v>
      </c>
      <c r="B8" s="93" t="s">
        <v>543</v>
      </c>
      <c r="C8" s="24">
        <f>(1.2518+2.43+3.6817+12.3245+3.0811)*180</f>
        <v>4098.4380000000001</v>
      </c>
    </row>
    <row r="9" spans="1:5" ht="32.25" customHeight="1" thickBot="1" x14ac:dyDescent="0.3">
      <c r="A9" s="21" t="s">
        <v>245</v>
      </c>
      <c r="B9" s="12" t="s">
        <v>241</v>
      </c>
      <c r="C9" s="24">
        <f>C8*0.2409</f>
        <v>987.31371420000005</v>
      </c>
    </row>
    <row r="10" spans="1:5" ht="16.5" thickBot="1" x14ac:dyDescent="0.3">
      <c r="A10" s="21"/>
      <c r="B10" s="22" t="s">
        <v>4</v>
      </c>
      <c r="C10" s="25">
        <f>SUM(C8:C9)</f>
        <v>5085.7517141999997</v>
      </c>
    </row>
    <row r="11" spans="1:5" ht="16.5" thickBot="1" x14ac:dyDescent="0.3">
      <c r="A11" s="21"/>
      <c r="B11" s="22" t="s">
        <v>5</v>
      </c>
      <c r="C11" s="26"/>
    </row>
    <row r="12" spans="1:5" ht="36" customHeight="1" thickBot="1" x14ac:dyDescent="0.3">
      <c r="A12" s="21" t="s">
        <v>6</v>
      </c>
      <c r="B12" s="93" t="s">
        <v>542</v>
      </c>
      <c r="C12" s="24">
        <f>(0.007*2.25*107.7)*180</f>
        <v>305.3295</v>
      </c>
    </row>
    <row r="13" spans="1:5" ht="36.75" customHeight="1" thickBot="1" x14ac:dyDescent="0.3">
      <c r="A13" s="21" t="s">
        <v>7</v>
      </c>
      <c r="B13" s="93" t="s">
        <v>548</v>
      </c>
      <c r="C13" s="24">
        <f>(0.002*2.25*107.7)*180</f>
        <v>87.237000000000009</v>
      </c>
    </row>
    <row r="14" spans="1:5" ht="32.25" thickBot="1" x14ac:dyDescent="0.3">
      <c r="A14" s="21" t="s">
        <v>8</v>
      </c>
      <c r="B14" s="93" t="s">
        <v>541</v>
      </c>
      <c r="C14" s="24">
        <f>0.013*180</f>
        <v>2.34</v>
      </c>
    </row>
    <row r="15" spans="1:5" ht="100.5" customHeight="1" thickBot="1" x14ac:dyDescent="0.3">
      <c r="A15" s="21" t="s">
        <v>49</v>
      </c>
      <c r="B15" s="94" t="s">
        <v>540</v>
      </c>
      <c r="C15" s="26">
        <f>(7.26*180)+(6.573/305*180)</f>
        <v>1310.6791475409836</v>
      </c>
    </row>
    <row r="16" spans="1:5" ht="32.25" thickBot="1" x14ac:dyDescent="0.3">
      <c r="A16" s="21" t="s">
        <v>51</v>
      </c>
      <c r="B16" s="93" t="s">
        <v>544</v>
      </c>
      <c r="C16" s="24">
        <f>0.003*180</f>
        <v>0.54</v>
      </c>
      <c r="E16" s="27"/>
    </row>
    <row r="17" spans="1:7" ht="35.25" customHeight="1" thickBot="1" x14ac:dyDescent="0.3">
      <c r="A17" s="21" t="s">
        <v>50</v>
      </c>
      <c r="B17" s="94" t="s">
        <v>545</v>
      </c>
      <c r="C17" s="170">
        <v>225.51</v>
      </c>
    </row>
    <row r="18" spans="1:7" ht="36" customHeight="1" thickBot="1" x14ac:dyDescent="0.3">
      <c r="A18" s="21" t="s">
        <v>53</v>
      </c>
      <c r="B18" s="93" t="s">
        <v>546</v>
      </c>
      <c r="C18" s="24">
        <f>4.8465*180</f>
        <v>872.37</v>
      </c>
    </row>
    <row r="19" spans="1:7" ht="36" customHeight="1" thickBot="1" x14ac:dyDescent="0.3">
      <c r="A19" s="21" t="s">
        <v>52</v>
      </c>
      <c r="B19" s="93" t="s">
        <v>547</v>
      </c>
      <c r="C19" s="24">
        <f>0.208*180</f>
        <v>37.44</v>
      </c>
      <c r="G19" s="28"/>
    </row>
    <row r="20" spans="1:7" ht="16.5" thickBot="1" x14ac:dyDescent="0.3">
      <c r="A20" s="21"/>
      <c r="B20" s="22" t="s">
        <v>10</v>
      </c>
      <c r="C20" s="26">
        <f>SUM(C12:C19)</f>
        <v>2841.4456475409838</v>
      </c>
    </row>
    <row r="21" spans="1:7" ht="16.5" thickBot="1" x14ac:dyDescent="0.3">
      <c r="A21" s="21"/>
      <c r="B21" s="29" t="s">
        <v>11</v>
      </c>
      <c r="C21" s="25">
        <f>C20+C10</f>
        <v>7927.197361740984</v>
      </c>
      <c r="D21" s="28"/>
      <c r="E21" s="28"/>
    </row>
    <row r="22" spans="1:7" x14ac:dyDescent="0.25">
      <c r="C22" s="28"/>
    </row>
    <row r="23" spans="1:7" ht="16.5" thickBot="1" x14ac:dyDescent="0.3">
      <c r="C23" s="28"/>
    </row>
    <row r="24" spans="1:7" ht="16.5" thickBot="1" x14ac:dyDescent="0.3">
      <c r="A24" s="234" t="s">
        <v>13</v>
      </c>
      <c r="B24" s="235"/>
      <c r="C24" s="30">
        <v>180</v>
      </c>
    </row>
    <row r="25" spans="1:7" ht="34.5" customHeight="1" thickBot="1" x14ac:dyDescent="0.3">
      <c r="A25" s="234" t="s">
        <v>59</v>
      </c>
      <c r="B25" s="235"/>
      <c r="C25" s="31">
        <f>C21/C24</f>
        <v>44.039985343005469</v>
      </c>
    </row>
    <row r="26" spans="1:7" s="6" customFormat="1" x14ac:dyDescent="0.25">
      <c r="A26" s="75"/>
      <c r="B26" s="75"/>
      <c r="C26" s="75"/>
      <c r="D26" s="75"/>
      <c r="E26" s="75"/>
      <c r="F26" s="75"/>
    </row>
    <row r="27" spans="1:7" s="6" customFormat="1" x14ac:dyDescent="0.25">
      <c r="A27" s="228"/>
      <c r="B27" s="228"/>
      <c r="C27" s="76"/>
      <c r="D27" s="76"/>
      <c r="E27" s="76"/>
      <c r="F27" s="76"/>
    </row>
    <row r="28" spans="1:7" s="6" customFormat="1" ht="18.75" x14ac:dyDescent="0.25">
      <c r="A28" s="229"/>
      <c r="B28" s="229"/>
      <c r="C28" s="77"/>
      <c r="D28" s="77"/>
      <c r="E28" s="75"/>
      <c r="F28" s="75"/>
    </row>
  </sheetData>
  <mergeCells count="8">
    <mergeCell ref="A27:B27"/>
    <mergeCell ref="A28:B28"/>
    <mergeCell ref="A1:C1"/>
    <mergeCell ref="A3:C3"/>
    <mergeCell ref="A4:C4"/>
    <mergeCell ref="A5:C5"/>
    <mergeCell ref="A24:B24"/>
    <mergeCell ref="A25:B25"/>
  </mergeCells>
  <pageMargins left="0.70866141732283472" right="0.70866141732283472" top="0.74803149606299213" bottom="0.74803149606299213" header="0.31496062992125984" footer="0.31496062992125984"/>
  <pageSetup paperSize="9" scale="73" orientation="portrait" r:id="rId1"/>
  <headerFooter differentFirst="1">
    <oddFooter>&amp;C&amp;P</oddFooter>
    <firstFooter>&amp;L&amp;10VManotp_130617_VTMECmaks&amp;C&amp;P</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31"/>
  <sheetViews>
    <sheetView view="pageBreakPreview" zoomScale="60" zoomScaleNormal="70" workbookViewId="0">
      <selection activeCell="D23" sqref="D23"/>
    </sheetView>
  </sheetViews>
  <sheetFormatPr defaultColWidth="8.85546875" defaultRowHeight="15.75" x14ac:dyDescent="0.25"/>
  <cols>
    <col min="1" max="1" width="15.85546875" style="18" customWidth="1"/>
    <col min="2" max="2" width="138.28515625" style="18" customWidth="1"/>
    <col min="3" max="3" width="25.8554687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141</v>
      </c>
      <c r="B4" s="234"/>
      <c r="C4" s="234"/>
    </row>
    <row r="5" spans="1:7" ht="16.5" thickBot="1" x14ac:dyDescent="0.3">
      <c r="A5" s="234" t="s">
        <v>229</v>
      </c>
      <c r="B5" s="234"/>
      <c r="C5" s="234"/>
    </row>
    <row r="6" spans="1:7" ht="72" customHeight="1" thickBot="1" x14ac:dyDescent="0.3">
      <c r="A6" s="19" t="s">
        <v>0</v>
      </c>
      <c r="B6" s="20" t="s">
        <v>1</v>
      </c>
      <c r="C6" s="20" t="s">
        <v>2</v>
      </c>
    </row>
    <row r="7" spans="1:7" ht="16.5" thickBot="1" x14ac:dyDescent="0.3">
      <c r="A7" s="47"/>
      <c r="B7" s="22" t="s">
        <v>3</v>
      </c>
      <c r="C7" s="23"/>
    </row>
    <row r="8" spans="1:7" ht="19.5" customHeight="1" x14ac:dyDescent="0.25">
      <c r="A8" s="247" t="s">
        <v>243</v>
      </c>
      <c r="B8" s="130" t="s">
        <v>298</v>
      </c>
      <c r="C8" s="249">
        <f>(10.4559+1.8967+1.799+3.0926+1.8967)*6</f>
        <v>114.84539999999998</v>
      </c>
    </row>
    <row r="9" spans="1:7" ht="20.25" customHeight="1" thickBot="1" x14ac:dyDescent="0.3">
      <c r="A9" s="248"/>
      <c r="B9" s="129" t="s">
        <v>299</v>
      </c>
      <c r="C9" s="250"/>
    </row>
    <row r="10" spans="1:7" ht="16.5" thickBot="1" x14ac:dyDescent="0.3">
      <c r="A10" s="47" t="s">
        <v>244</v>
      </c>
      <c r="B10" s="93" t="s">
        <v>241</v>
      </c>
      <c r="C10" s="24">
        <f>ROUND(C8*0.2409,2)</f>
        <v>27.67</v>
      </c>
    </row>
    <row r="11" spans="1:7" ht="16.5" thickBot="1" x14ac:dyDescent="0.3">
      <c r="A11" s="47"/>
      <c r="B11" s="121" t="s">
        <v>4</v>
      </c>
      <c r="C11" s="25">
        <f>SUM(C8:C10)</f>
        <v>142.5154</v>
      </c>
    </row>
    <row r="12" spans="1:7" ht="16.5" thickBot="1" x14ac:dyDescent="0.3">
      <c r="A12" s="47"/>
      <c r="B12" s="121" t="s">
        <v>5</v>
      </c>
      <c r="C12" s="26"/>
      <c r="E12" s="27"/>
    </row>
    <row r="13" spans="1:7" s="34" customFormat="1" ht="39.75" customHeight="1" thickBot="1" x14ac:dyDescent="0.3">
      <c r="A13" s="47" t="s">
        <v>6</v>
      </c>
      <c r="B13" s="93" t="s">
        <v>751</v>
      </c>
      <c r="C13" s="24">
        <f>0.4867*6</f>
        <v>2.9202000000000004</v>
      </c>
      <c r="D13" s="48"/>
    </row>
    <row r="14" spans="1:7" s="34" customFormat="1" ht="38.25" customHeight="1" thickBot="1" x14ac:dyDescent="0.3">
      <c r="A14" s="47" t="s">
        <v>7</v>
      </c>
      <c r="B14" s="93" t="s">
        <v>750</v>
      </c>
      <c r="C14" s="24">
        <f>0.1391*6</f>
        <v>0.83460000000000001</v>
      </c>
    </row>
    <row r="15" spans="1:7" ht="34.5" customHeight="1" thickBot="1" x14ac:dyDescent="0.3">
      <c r="A15" s="47" t="s">
        <v>8</v>
      </c>
      <c r="B15" s="93" t="s">
        <v>296</v>
      </c>
      <c r="C15" s="24">
        <f>0.052*6</f>
        <v>0.312</v>
      </c>
    </row>
    <row r="16" spans="1:7" ht="34.5" customHeight="1" thickBot="1" x14ac:dyDescent="0.3">
      <c r="A16" s="47" t="s">
        <v>49</v>
      </c>
      <c r="B16" s="94" t="s">
        <v>297</v>
      </c>
      <c r="C16" s="122">
        <f>0.0002*6</f>
        <v>1.2000000000000001E-3</v>
      </c>
      <c r="G16" s="28"/>
    </row>
    <row r="17" spans="1:3" ht="16.5" thickBot="1" x14ac:dyDescent="0.3">
      <c r="A17" s="47" t="s">
        <v>51</v>
      </c>
      <c r="B17" s="93" t="s">
        <v>752</v>
      </c>
      <c r="C17" s="60">
        <f>0.0016*6</f>
        <v>9.6000000000000009E-3</v>
      </c>
    </row>
    <row r="18" spans="1:3" ht="31.5" x14ac:dyDescent="0.25">
      <c r="A18" s="251" t="s">
        <v>50</v>
      </c>
      <c r="B18" s="124" t="s">
        <v>748</v>
      </c>
      <c r="C18" s="265">
        <f>199.2884+0.0012</f>
        <v>199.28960000000001</v>
      </c>
    </row>
    <row r="19" spans="1:3" ht="52.5" customHeight="1" thickBot="1" x14ac:dyDescent="0.3">
      <c r="A19" s="252"/>
      <c r="B19" s="125" t="s">
        <v>749</v>
      </c>
      <c r="C19" s="266"/>
    </row>
    <row r="20" spans="1:3" ht="20.25" customHeight="1" thickBot="1" x14ac:dyDescent="0.3">
      <c r="A20" s="47" t="s">
        <v>53</v>
      </c>
      <c r="B20" s="93" t="s">
        <v>747</v>
      </c>
      <c r="C20" s="24">
        <f>1.3905*6</f>
        <v>8.343</v>
      </c>
    </row>
    <row r="21" spans="1:3" ht="20.25" customHeight="1" thickBot="1" x14ac:dyDescent="0.3">
      <c r="A21" s="47" t="s">
        <v>52</v>
      </c>
      <c r="B21" s="93" t="s">
        <v>746</v>
      </c>
      <c r="C21" s="24">
        <f>(0.1248+0.0358+0.0007)*6</f>
        <v>0.96779999999999999</v>
      </c>
    </row>
    <row r="22" spans="1:3" ht="19.5" customHeight="1" thickBot="1" x14ac:dyDescent="0.3">
      <c r="A22" s="47"/>
      <c r="B22" s="22" t="s">
        <v>10</v>
      </c>
      <c r="C22" s="26">
        <f>ROUND(SUM(C13:C21),2)</f>
        <v>212.68</v>
      </c>
    </row>
    <row r="23" spans="1:3" ht="16.5" thickBot="1" x14ac:dyDescent="0.3">
      <c r="A23" s="47"/>
      <c r="B23" s="29" t="s">
        <v>11</v>
      </c>
      <c r="C23" s="25">
        <f>C22+C11</f>
        <v>355.19540000000001</v>
      </c>
    </row>
    <row r="24" spans="1:3" x14ac:dyDescent="0.25">
      <c r="C24" s="28"/>
    </row>
    <row r="25" spans="1:3" ht="16.5" thickBot="1" x14ac:dyDescent="0.3">
      <c r="C25" s="28"/>
    </row>
    <row r="26" spans="1:3" ht="16.5" thickBot="1" x14ac:dyDescent="0.3">
      <c r="A26" s="234" t="s">
        <v>13</v>
      </c>
      <c r="B26" s="235"/>
      <c r="C26" s="30">
        <v>6</v>
      </c>
    </row>
    <row r="27" spans="1:3" ht="16.5" thickBot="1" x14ac:dyDescent="0.3">
      <c r="A27" s="234" t="s">
        <v>59</v>
      </c>
      <c r="B27" s="235"/>
      <c r="C27" s="31">
        <f>C23/C26</f>
        <v>59.199233333333332</v>
      </c>
    </row>
    <row r="30" spans="1:3" ht="16.5" customHeight="1" x14ac:dyDescent="0.25"/>
    <row r="31" spans="1:3" ht="16.5" customHeight="1" x14ac:dyDescent="0.25"/>
  </sheetData>
  <mergeCells count="10">
    <mergeCell ref="A1:C1"/>
    <mergeCell ref="A3:C3"/>
    <mergeCell ref="A4:C4"/>
    <mergeCell ref="A5:C5"/>
    <mergeCell ref="C18:C19"/>
    <mergeCell ref="A26:B26"/>
    <mergeCell ref="A27:B27"/>
    <mergeCell ref="A8:A9"/>
    <mergeCell ref="C8:C9"/>
    <mergeCell ref="A18:A19"/>
  </mergeCells>
  <pageMargins left="0.70866141732283472" right="0.70866141732283472" top="0.74803149606299213" bottom="0.74803149606299213" header="0.31496062992125984" footer="0.31496062992125984"/>
  <pageSetup paperSize="9" scale="76" fitToHeight="0" orientation="landscape" r:id="rId1"/>
  <headerFooter differentFirst="1">
    <oddFooter>&amp;C&amp;P</oddFooter>
    <firstFooter>&amp;L&amp;10VManotp_130617_VTMECmaks&amp;C&amp;P</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45"/>
  <sheetViews>
    <sheetView view="pageBreakPreview" zoomScale="60" zoomScaleNormal="70" workbookViewId="0">
      <selection activeCell="K23" sqref="K23"/>
    </sheetView>
  </sheetViews>
  <sheetFormatPr defaultColWidth="8.85546875" defaultRowHeight="15.75" x14ac:dyDescent="0.25"/>
  <cols>
    <col min="1" max="1" width="14.42578125" style="18" customWidth="1"/>
    <col min="2" max="2" width="137" style="18" customWidth="1"/>
    <col min="3" max="3" width="20.85546875" style="18" customWidth="1"/>
    <col min="4" max="4" width="19.85546875" style="18" customWidth="1"/>
    <col min="5" max="16384" width="8.85546875" style="18"/>
  </cols>
  <sheetData>
    <row r="1" spans="1:9" x14ac:dyDescent="0.25">
      <c r="A1" s="222" t="s">
        <v>228</v>
      </c>
      <c r="B1" s="222"/>
      <c r="C1" s="222"/>
    </row>
    <row r="3" spans="1:9" x14ac:dyDescent="0.25">
      <c r="A3" s="234" t="s">
        <v>56</v>
      </c>
      <c r="B3" s="234"/>
      <c r="C3" s="234"/>
    </row>
    <row r="4" spans="1:9" x14ac:dyDescent="0.25">
      <c r="A4" s="234" t="s">
        <v>131</v>
      </c>
      <c r="B4" s="234"/>
      <c r="C4" s="234"/>
    </row>
    <row r="5" spans="1:9" ht="16.5" thickBot="1" x14ac:dyDescent="0.3">
      <c r="A5" s="234" t="s">
        <v>229</v>
      </c>
      <c r="B5" s="234"/>
      <c r="C5" s="234"/>
    </row>
    <row r="6" spans="1:9" ht="85.5" customHeight="1" thickBot="1" x14ac:dyDescent="0.3">
      <c r="A6" s="19" t="s">
        <v>0</v>
      </c>
      <c r="B6" s="20" t="s">
        <v>1</v>
      </c>
      <c r="C6" s="20" t="s">
        <v>2</v>
      </c>
    </row>
    <row r="7" spans="1:9" ht="16.5" thickBot="1" x14ac:dyDescent="0.3">
      <c r="A7" s="174"/>
      <c r="B7" s="72" t="s">
        <v>3</v>
      </c>
      <c r="C7" s="142"/>
    </row>
    <row r="8" spans="1:9" ht="19.5" customHeight="1" x14ac:dyDescent="0.25">
      <c r="A8" s="273" t="s">
        <v>243</v>
      </c>
      <c r="B8" s="172" t="s">
        <v>300</v>
      </c>
      <c r="C8" s="275">
        <f>(11.045+24.2109+1.799+3.0926+13.0538+11.045+1.8967+1.799)*9</f>
        <v>611.47799999999995</v>
      </c>
    </row>
    <row r="9" spans="1:9" ht="19.5" customHeight="1" thickBot="1" x14ac:dyDescent="0.3">
      <c r="A9" s="274"/>
      <c r="B9" s="197" t="s">
        <v>753</v>
      </c>
      <c r="C9" s="276"/>
    </row>
    <row r="10" spans="1:9" ht="20.25" customHeight="1" thickBot="1" x14ac:dyDescent="0.3">
      <c r="A10" s="47" t="s">
        <v>244</v>
      </c>
      <c r="B10" s="12" t="s">
        <v>241</v>
      </c>
      <c r="C10" s="60">
        <f>ROUND(C8*0.2409,2)</f>
        <v>147.31</v>
      </c>
    </row>
    <row r="11" spans="1:9" ht="16.5" thickBot="1" x14ac:dyDescent="0.3">
      <c r="A11" s="47"/>
      <c r="B11" s="59" t="s">
        <v>4</v>
      </c>
      <c r="C11" s="61">
        <f>SUM(C8:C10)</f>
        <v>758.78800000000001</v>
      </c>
      <c r="D11" s="49"/>
    </row>
    <row r="12" spans="1:9" ht="16.5" thickBot="1" x14ac:dyDescent="0.3">
      <c r="A12" s="47"/>
      <c r="B12" s="59" t="s">
        <v>5</v>
      </c>
      <c r="C12" s="62"/>
      <c r="D12" s="49"/>
      <c r="E12" s="27"/>
    </row>
    <row r="13" spans="1:9" ht="37.5" customHeight="1" thickBot="1" x14ac:dyDescent="0.3">
      <c r="A13" s="47" t="s">
        <v>6</v>
      </c>
      <c r="B13" s="123" t="s">
        <v>754</v>
      </c>
      <c r="C13" s="63">
        <f>1.4717*9</f>
        <v>13.2453</v>
      </c>
      <c r="D13" s="48"/>
      <c r="E13" s="27"/>
    </row>
    <row r="14" spans="1:9" ht="39" customHeight="1" thickBot="1" x14ac:dyDescent="0.3">
      <c r="A14" s="47" t="s">
        <v>7</v>
      </c>
      <c r="B14" s="123" t="s">
        <v>755</v>
      </c>
      <c r="C14" s="63">
        <f>0.4205*9</f>
        <v>3.7845</v>
      </c>
      <c r="D14" s="48"/>
      <c r="E14" s="27"/>
    </row>
    <row r="15" spans="1:9" s="34" customFormat="1" ht="34.5" customHeight="1" thickBot="1" x14ac:dyDescent="0.3">
      <c r="A15" s="47" t="s">
        <v>8</v>
      </c>
      <c r="B15" s="126" t="s">
        <v>756</v>
      </c>
      <c r="C15" s="63">
        <f>0.078*9</f>
        <v>0.70199999999999996</v>
      </c>
      <c r="D15" s="48"/>
      <c r="E15" s="51"/>
    </row>
    <row r="16" spans="1:9" ht="34.5" customHeight="1" thickBot="1" x14ac:dyDescent="0.3">
      <c r="A16" s="47" t="s">
        <v>49</v>
      </c>
      <c r="B16" s="145" t="s">
        <v>757</v>
      </c>
      <c r="C16" s="196">
        <f>0.0002*9</f>
        <v>1.8000000000000002E-3</v>
      </c>
      <c r="D16" s="48"/>
      <c r="E16" s="49"/>
      <c r="I16" s="199"/>
    </row>
    <row r="17" spans="1:7" ht="32.25" thickBot="1" x14ac:dyDescent="0.3">
      <c r="A17" s="193" t="s">
        <v>51</v>
      </c>
      <c r="B17" s="195" t="s">
        <v>758</v>
      </c>
      <c r="C17" s="192">
        <f>0.0016*9</f>
        <v>1.4400000000000001E-2</v>
      </c>
      <c r="D17" s="58"/>
      <c r="E17" s="49"/>
      <c r="G17" s="28"/>
    </row>
    <row r="18" spans="1:7" ht="17.25" customHeight="1" x14ac:dyDescent="0.25">
      <c r="A18" s="270" t="s">
        <v>50</v>
      </c>
      <c r="B18" s="198" t="s">
        <v>301</v>
      </c>
      <c r="C18" s="267">
        <f>(19.451+0.0002)*9</f>
        <v>175.0608</v>
      </c>
    </row>
    <row r="19" spans="1:7" ht="21.75" customHeight="1" x14ac:dyDescent="0.25">
      <c r="A19" s="271"/>
      <c r="B19" s="204" t="s">
        <v>302</v>
      </c>
      <c r="C19" s="268"/>
    </row>
    <row r="20" spans="1:7" ht="18.75" customHeight="1" thickBot="1" x14ac:dyDescent="0.3">
      <c r="A20" s="272"/>
      <c r="B20" s="194" t="s">
        <v>761</v>
      </c>
      <c r="C20" s="269"/>
    </row>
    <row r="21" spans="1:7" ht="20.25" customHeight="1" thickBot="1" x14ac:dyDescent="0.3">
      <c r="A21" s="47" t="s">
        <v>53</v>
      </c>
      <c r="B21" s="123" t="s">
        <v>760</v>
      </c>
      <c r="C21" s="55">
        <f>(4.2049*9)</f>
        <v>37.844100000000005</v>
      </c>
    </row>
    <row r="22" spans="1:7" ht="18" customHeight="1" thickBot="1" x14ac:dyDescent="0.3">
      <c r="A22" s="47" t="s">
        <v>52</v>
      </c>
      <c r="B22" s="133" t="s">
        <v>759</v>
      </c>
      <c r="C22" s="56">
        <f>(0.1248+0.0358+0.0807+0.0009+0.0316+0.0474+0.0007)*9</f>
        <v>2.8970999999999996</v>
      </c>
    </row>
    <row r="23" spans="1:7" ht="16.5" thickBot="1" x14ac:dyDescent="0.3">
      <c r="A23" s="47"/>
      <c r="B23" s="22" t="s">
        <v>10</v>
      </c>
      <c r="C23" s="26">
        <f>SUM(C13:C22)</f>
        <v>233.54999999999998</v>
      </c>
    </row>
    <row r="24" spans="1:7" ht="16.5" thickBot="1" x14ac:dyDescent="0.3">
      <c r="A24" s="47"/>
      <c r="B24" s="29" t="s">
        <v>11</v>
      </c>
      <c r="C24" s="25">
        <f>C23+C11</f>
        <v>992.33799999999997</v>
      </c>
    </row>
    <row r="25" spans="1:7" ht="16.5" thickBot="1" x14ac:dyDescent="0.3">
      <c r="C25" s="28"/>
    </row>
    <row r="26" spans="1:7" ht="16.5" thickBot="1" x14ac:dyDescent="0.3">
      <c r="A26" s="234" t="s">
        <v>13</v>
      </c>
      <c r="B26" s="235"/>
      <c r="C26" s="30">
        <v>9</v>
      </c>
    </row>
    <row r="27" spans="1:7" ht="16.5" thickBot="1" x14ac:dyDescent="0.3">
      <c r="A27" s="234" t="s">
        <v>59</v>
      </c>
      <c r="B27" s="235"/>
      <c r="C27" s="31">
        <f>C24/C26</f>
        <v>110.25977777777777</v>
      </c>
    </row>
    <row r="30" spans="1:7" ht="16.5" customHeight="1" x14ac:dyDescent="0.25"/>
    <row r="31" spans="1:7" ht="16.5" customHeight="1" x14ac:dyDescent="0.25"/>
    <row r="38" spans="1:6" x14ac:dyDescent="0.25">
      <c r="A38" s="75"/>
      <c r="B38" s="75"/>
      <c r="C38" s="105"/>
      <c r="D38" s="75"/>
      <c r="E38" s="105"/>
      <c r="F38" s="105"/>
    </row>
    <row r="39" spans="1:6" x14ac:dyDescent="0.25">
      <c r="A39" s="107"/>
      <c r="B39" s="108"/>
      <c r="C39" s="106"/>
      <c r="D39" s="107"/>
      <c r="E39" s="107"/>
      <c r="F39" s="106"/>
    </row>
    <row r="40" spans="1:6" x14ac:dyDescent="0.25">
      <c r="A40" s="107"/>
      <c r="B40" s="109"/>
      <c r="C40" s="110"/>
      <c r="D40" s="107"/>
      <c r="E40" s="110"/>
      <c r="F40" s="110"/>
    </row>
    <row r="41" spans="1:6" x14ac:dyDescent="0.25">
      <c r="A41" s="111"/>
      <c r="B41" s="111"/>
      <c r="C41" s="111"/>
      <c r="D41" s="111"/>
      <c r="E41" s="111"/>
      <c r="F41" s="106"/>
    </row>
    <row r="42" spans="1:6" x14ac:dyDescent="0.25">
      <c r="A42" s="221"/>
      <c r="B42" s="221"/>
      <c r="C42" s="111"/>
      <c r="D42" s="111"/>
      <c r="E42" s="111"/>
      <c r="F42" s="106"/>
    </row>
    <row r="43" spans="1:6" x14ac:dyDescent="0.25">
      <c r="A43" s="117"/>
      <c r="B43" s="113"/>
      <c r="C43" s="114"/>
      <c r="D43" s="111"/>
      <c r="E43" s="111"/>
      <c r="F43" s="106"/>
    </row>
    <row r="44" spans="1:6" x14ac:dyDescent="0.25">
      <c r="A44" s="115"/>
      <c r="B44" s="111"/>
      <c r="C44" s="116"/>
      <c r="D44" s="116"/>
      <c r="E44" s="111"/>
      <c r="F44" s="106"/>
    </row>
    <row r="45" spans="1:6" x14ac:dyDescent="0.25">
      <c r="A45" s="112"/>
      <c r="B45" s="112"/>
      <c r="C45" s="116"/>
      <c r="D45" s="116"/>
      <c r="E45" s="111"/>
      <c r="F45" s="106"/>
    </row>
  </sheetData>
  <mergeCells count="11">
    <mergeCell ref="A1:C1"/>
    <mergeCell ref="A42:B42"/>
    <mergeCell ref="C18:C20"/>
    <mergeCell ref="A27:B27"/>
    <mergeCell ref="A26:B26"/>
    <mergeCell ref="A18:A20"/>
    <mergeCell ref="A8:A9"/>
    <mergeCell ref="C8:C9"/>
    <mergeCell ref="A3:C3"/>
    <mergeCell ref="A4:C4"/>
    <mergeCell ref="A5:C5"/>
  </mergeCells>
  <pageMargins left="0.70866141732283472" right="0.70866141732283472" top="0.74803149606299213" bottom="0.74803149606299213" header="0.31496062992125984" footer="0.31496062992125984"/>
  <pageSetup paperSize="9" scale="79" fitToHeight="0" orientation="landscape" r:id="rId1"/>
  <headerFooter differentFirst="1">
    <oddFooter>&amp;C&amp;P</oddFooter>
    <firstFooter>&amp;L&amp;10VManotp_130617_VTMECmaks&amp;C&amp;P</firstFooter>
  </headerFooter>
  <colBreaks count="1" manualBreakCount="1">
    <brk id="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37"/>
  <sheetViews>
    <sheetView view="pageBreakPreview" zoomScale="60" zoomScaleNormal="60" workbookViewId="0">
      <selection activeCell="F29" sqref="F29"/>
    </sheetView>
  </sheetViews>
  <sheetFormatPr defaultColWidth="8.85546875" defaultRowHeight="15.75" x14ac:dyDescent="0.25"/>
  <cols>
    <col min="1" max="1" width="14" style="18" customWidth="1"/>
    <col min="2" max="2" width="138.140625" style="18" customWidth="1"/>
    <col min="3" max="3" width="25.7109375" style="18" customWidth="1"/>
    <col min="4" max="4" width="21.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261</v>
      </c>
      <c r="B4" s="234"/>
      <c r="C4" s="234"/>
    </row>
    <row r="5" spans="1:7" ht="16.5" thickBot="1" x14ac:dyDescent="0.3">
      <c r="A5" s="234" t="s">
        <v>229</v>
      </c>
      <c r="B5" s="234"/>
      <c r="C5" s="234"/>
    </row>
    <row r="6" spans="1:7" ht="73.5" customHeight="1" thickBot="1" x14ac:dyDescent="0.3">
      <c r="A6" s="19" t="s">
        <v>0</v>
      </c>
      <c r="B6" s="20" t="s">
        <v>1</v>
      </c>
      <c r="C6" s="20" t="s">
        <v>2</v>
      </c>
    </row>
    <row r="7" spans="1:7" ht="16.5" thickBot="1" x14ac:dyDescent="0.3">
      <c r="A7" s="89"/>
      <c r="B7" s="22" t="s">
        <v>3</v>
      </c>
      <c r="C7" s="23"/>
    </row>
    <row r="8" spans="1:7" ht="34.5" customHeight="1" thickBot="1" x14ac:dyDescent="0.3">
      <c r="A8" s="89" t="s">
        <v>243</v>
      </c>
      <c r="B8" s="93" t="s">
        <v>305</v>
      </c>
      <c r="C8" s="87">
        <f>(29.4532+8.1771+66.9426+73.947)*23</f>
        <v>4105.9576999999999</v>
      </c>
    </row>
    <row r="9" spans="1:7" ht="16.5" thickBot="1" x14ac:dyDescent="0.3">
      <c r="A9" s="89" t="s">
        <v>244</v>
      </c>
      <c r="B9" s="12" t="s">
        <v>241</v>
      </c>
      <c r="C9" s="87">
        <f>ROUND(C8*0.2409,2)</f>
        <v>989.13</v>
      </c>
    </row>
    <row r="10" spans="1:7" ht="16.5" thickBot="1" x14ac:dyDescent="0.3">
      <c r="A10" s="89"/>
      <c r="B10" s="22" t="s">
        <v>4</v>
      </c>
      <c r="C10" s="25">
        <f>SUM(C8:C9)</f>
        <v>5095.0877</v>
      </c>
    </row>
    <row r="11" spans="1:7" ht="16.5" thickBot="1" x14ac:dyDescent="0.3">
      <c r="A11" s="89"/>
      <c r="B11" s="22" t="s">
        <v>5</v>
      </c>
      <c r="C11" s="26"/>
      <c r="E11" s="27"/>
    </row>
    <row r="12" spans="1:7" s="34" customFormat="1" ht="35.25" thickBot="1" x14ac:dyDescent="0.3">
      <c r="A12" s="89" t="s">
        <v>6</v>
      </c>
      <c r="B12" s="93" t="s">
        <v>762</v>
      </c>
      <c r="C12" s="87">
        <f>7.8033*23</f>
        <v>179.4759</v>
      </c>
    </row>
    <row r="13" spans="1:7" s="34" customFormat="1" ht="35.25" thickBot="1" x14ac:dyDescent="0.3">
      <c r="A13" s="89" t="s">
        <v>7</v>
      </c>
      <c r="B13" s="93" t="s">
        <v>763</v>
      </c>
      <c r="C13" s="87">
        <f>2.2295*23</f>
        <v>51.278499999999994</v>
      </c>
    </row>
    <row r="14" spans="1:7" s="34" customFormat="1" ht="32.25" thickBot="1" x14ac:dyDescent="0.3">
      <c r="A14" s="89" t="s">
        <v>8</v>
      </c>
      <c r="B14" s="93" t="s">
        <v>764</v>
      </c>
      <c r="C14" s="87">
        <f>0.026*23</f>
        <v>0.59799999999999998</v>
      </c>
    </row>
    <row r="15" spans="1:7" ht="32.25" thickBot="1" x14ac:dyDescent="0.3">
      <c r="A15" s="89" t="s">
        <v>49</v>
      </c>
      <c r="B15" s="94" t="s">
        <v>765</v>
      </c>
      <c r="C15" s="26">
        <f>0.0029*23</f>
        <v>6.6699999999999995E-2</v>
      </c>
    </row>
    <row r="16" spans="1:7" ht="32.25" thickBot="1" x14ac:dyDescent="0.3">
      <c r="A16" s="89" t="s">
        <v>51</v>
      </c>
      <c r="B16" s="93" t="s">
        <v>766</v>
      </c>
      <c r="C16" s="87">
        <f>0.03*23</f>
        <v>0.69</v>
      </c>
      <c r="G16" s="28"/>
    </row>
    <row r="17" spans="1:7" ht="21" customHeight="1" x14ac:dyDescent="0.25">
      <c r="A17" s="251" t="s">
        <v>50</v>
      </c>
      <c r="B17" s="130" t="s">
        <v>304</v>
      </c>
      <c r="C17" s="255">
        <f>(82.8869+0.0015)*23</f>
        <v>1906.4331999999997</v>
      </c>
      <c r="G17" s="28"/>
    </row>
    <row r="18" spans="1:7" ht="21.75" customHeight="1" thickBot="1" x14ac:dyDescent="0.3">
      <c r="A18" s="252"/>
      <c r="B18" s="129" t="s">
        <v>767</v>
      </c>
      <c r="C18" s="256"/>
    </row>
    <row r="19" spans="1:7" ht="16.5" thickBot="1" x14ac:dyDescent="0.3">
      <c r="A19" s="90" t="s">
        <v>9</v>
      </c>
      <c r="B19" s="93" t="s">
        <v>768</v>
      </c>
      <c r="C19" s="88">
        <f>0.11*23</f>
        <v>2.5299999999999998</v>
      </c>
    </row>
    <row r="20" spans="1:7" ht="35.25" thickBot="1" x14ac:dyDescent="0.3">
      <c r="A20" s="89" t="s">
        <v>53</v>
      </c>
      <c r="B20" s="93" t="s">
        <v>769</v>
      </c>
      <c r="C20" s="87">
        <f>22.295*23</f>
        <v>512.78500000000008</v>
      </c>
    </row>
    <row r="21" spans="1:7" ht="19.5" customHeight="1" x14ac:dyDescent="0.25">
      <c r="A21" s="247" t="s">
        <v>52</v>
      </c>
      <c r="B21" s="130" t="s">
        <v>303</v>
      </c>
      <c r="C21" s="249">
        <v>326.81</v>
      </c>
    </row>
    <row r="22" spans="1:7" ht="21" customHeight="1" thickBot="1" x14ac:dyDescent="0.3">
      <c r="A22" s="248"/>
      <c r="B22" s="200" t="s">
        <v>770</v>
      </c>
      <c r="C22" s="250"/>
    </row>
    <row r="23" spans="1:7" ht="16.5" thickBot="1" x14ac:dyDescent="0.3">
      <c r="A23" s="89"/>
      <c r="B23" s="22" t="s">
        <v>10</v>
      </c>
      <c r="C23" s="26">
        <f>SUM(C12:C22)</f>
        <v>2980.6672999999996</v>
      </c>
    </row>
    <row r="24" spans="1:7" ht="16.5" thickBot="1" x14ac:dyDescent="0.3">
      <c r="A24" s="89"/>
      <c r="B24" s="29" t="s">
        <v>11</v>
      </c>
      <c r="C24" s="25">
        <f>C23+C10</f>
        <v>8075.7549999999992</v>
      </c>
      <c r="E24" s="28"/>
    </row>
    <row r="25" spans="1:7" x14ac:dyDescent="0.25">
      <c r="C25" s="28"/>
    </row>
    <row r="26" spans="1:7" ht="16.5" thickBot="1" x14ac:dyDescent="0.3">
      <c r="C26" s="28"/>
    </row>
    <row r="27" spans="1:7" ht="16.5" thickBot="1" x14ac:dyDescent="0.3">
      <c r="A27" s="234" t="s">
        <v>13</v>
      </c>
      <c r="B27" s="235"/>
      <c r="C27" s="30">
        <v>23</v>
      </c>
    </row>
    <row r="28" spans="1:7" ht="16.5" thickBot="1" x14ac:dyDescent="0.3">
      <c r="A28" s="234" t="s">
        <v>59</v>
      </c>
      <c r="B28" s="235"/>
      <c r="C28" s="31">
        <f>C24/C27</f>
        <v>351.11978260869563</v>
      </c>
    </row>
    <row r="31" spans="1:7" ht="16.5" customHeight="1" x14ac:dyDescent="0.25"/>
    <row r="32" spans="1:7" ht="16.5" customHeight="1" x14ac:dyDescent="0.25"/>
    <row r="37" spans="1:2" ht="18.75" x14ac:dyDescent="0.25">
      <c r="A37" s="229"/>
      <c r="B37" s="229"/>
    </row>
  </sheetData>
  <mergeCells count="11">
    <mergeCell ref="A3:C3"/>
    <mergeCell ref="A1:C1"/>
    <mergeCell ref="A37:B37"/>
    <mergeCell ref="A4:C4"/>
    <mergeCell ref="A5:C5"/>
    <mergeCell ref="A17:A18"/>
    <mergeCell ref="C17:C18"/>
    <mergeCell ref="A21:A22"/>
    <mergeCell ref="C21:C22"/>
    <mergeCell ref="A27:B27"/>
    <mergeCell ref="A28:B28"/>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28"/>
  <sheetViews>
    <sheetView view="pageBreakPreview" topLeftCell="A4" zoomScale="60" zoomScaleNormal="80" workbookViewId="0">
      <selection activeCell="B22" sqref="B22"/>
    </sheetView>
  </sheetViews>
  <sheetFormatPr defaultColWidth="8.85546875" defaultRowHeight="15.75" x14ac:dyDescent="0.25"/>
  <cols>
    <col min="1" max="1" width="15.85546875" style="18" customWidth="1"/>
    <col min="2" max="2" width="134.42578125" style="18" customWidth="1"/>
    <col min="3" max="3" width="22.8554687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262</v>
      </c>
      <c r="B4" s="234"/>
      <c r="C4" s="234"/>
    </row>
    <row r="5" spans="1:7" ht="16.5" thickBot="1" x14ac:dyDescent="0.3">
      <c r="A5" s="234" t="s">
        <v>229</v>
      </c>
      <c r="B5" s="234"/>
      <c r="C5" s="234"/>
    </row>
    <row r="6" spans="1:7" ht="84.75" customHeight="1" thickBot="1" x14ac:dyDescent="0.3">
      <c r="A6" s="19" t="s">
        <v>0</v>
      </c>
      <c r="B6" s="20" t="s">
        <v>1</v>
      </c>
      <c r="C6" s="20" t="s">
        <v>2</v>
      </c>
    </row>
    <row r="7" spans="1:7" ht="16.5" thickBot="1" x14ac:dyDescent="0.3">
      <c r="A7" s="85"/>
      <c r="B7" s="72" t="s">
        <v>3</v>
      </c>
      <c r="C7" s="23"/>
    </row>
    <row r="8" spans="1:7" ht="36" customHeight="1" thickBot="1" x14ac:dyDescent="0.3">
      <c r="A8" s="138" t="s">
        <v>243</v>
      </c>
      <c r="B8" s="144" t="s">
        <v>308</v>
      </c>
      <c r="C8" s="83">
        <f>ROUND((11.045+24.649+22.3142)*3,2)</f>
        <v>174.02</v>
      </c>
    </row>
    <row r="9" spans="1:7" s="34" customFormat="1" ht="16.5" thickBot="1" x14ac:dyDescent="0.3">
      <c r="A9" s="85" t="s">
        <v>244</v>
      </c>
      <c r="B9" s="93" t="s">
        <v>241</v>
      </c>
      <c r="C9" s="83">
        <f>ROUND(C8*0.2409,2)</f>
        <v>41.92</v>
      </c>
    </row>
    <row r="10" spans="1:7" s="34" customFormat="1" ht="16.5" thickBot="1" x14ac:dyDescent="0.3">
      <c r="A10" s="85"/>
      <c r="B10" s="121" t="s">
        <v>4</v>
      </c>
      <c r="C10" s="25">
        <f>SUM(C8:C9)</f>
        <v>215.94</v>
      </c>
    </row>
    <row r="11" spans="1:7" s="34" customFormat="1" ht="16.5" thickBot="1" x14ac:dyDescent="0.3">
      <c r="A11" s="85"/>
      <c r="B11" s="121" t="s">
        <v>5</v>
      </c>
      <c r="C11" s="26"/>
    </row>
    <row r="12" spans="1:7" ht="34.5" customHeight="1" thickBot="1" x14ac:dyDescent="0.3">
      <c r="A12" s="85" t="s">
        <v>6</v>
      </c>
      <c r="B12" s="93" t="s">
        <v>771</v>
      </c>
      <c r="C12" s="83">
        <f>2.4525*3</f>
        <v>7.3574999999999999</v>
      </c>
    </row>
    <row r="13" spans="1:7" ht="35.25" thickBot="1" x14ac:dyDescent="0.3">
      <c r="A13" s="85" t="s">
        <v>7</v>
      </c>
      <c r="B13" s="93" t="s">
        <v>772</v>
      </c>
      <c r="C13" s="83">
        <f>0.7007*3</f>
        <v>2.1021000000000001</v>
      </c>
      <c r="G13" s="28"/>
    </row>
    <row r="14" spans="1:7" ht="18" customHeight="1" thickBot="1" x14ac:dyDescent="0.3">
      <c r="A14" s="251" t="s">
        <v>50</v>
      </c>
      <c r="B14" s="93" t="s">
        <v>307</v>
      </c>
      <c r="C14" s="255">
        <f>18.0198*3</f>
        <v>54.059399999999997</v>
      </c>
      <c r="G14" s="28"/>
    </row>
    <row r="15" spans="1:7" ht="17.25" customHeight="1" thickBot="1" x14ac:dyDescent="0.3">
      <c r="A15" s="252"/>
      <c r="B15" s="93" t="s">
        <v>773</v>
      </c>
      <c r="C15" s="256"/>
    </row>
    <row r="16" spans="1:7" ht="16.5" thickBot="1" x14ac:dyDescent="0.3">
      <c r="A16" s="86" t="s">
        <v>9</v>
      </c>
      <c r="B16" s="93" t="s">
        <v>774</v>
      </c>
      <c r="C16" s="84">
        <f>0.0275*3</f>
        <v>8.2500000000000004E-2</v>
      </c>
    </row>
    <row r="17" spans="1:3" ht="16.5" customHeight="1" thickBot="1" x14ac:dyDescent="0.3">
      <c r="A17" s="85" t="s">
        <v>53</v>
      </c>
      <c r="B17" s="128" t="s">
        <v>775</v>
      </c>
      <c r="C17" s="60">
        <f>7.007*3</f>
        <v>21.021000000000001</v>
      </c>
    </row>
    <row r="18" spans="1:3" ht="17.25" customHeight="1" x14ac:dyDescent="0.25">
      <c r="A18" s="277" t="s">
        <v>52</v>
      </c>
      <c r="B18" s="181" t="s">
        <v>306</v>
      </c>
      <c r="C18" s="278">
        <f>14.2124*3</f>
        <v>42.6372</v>
      </c>
    </row>
    <row r="19" spans="1:3" ht="15.75" customHeight="1" thickBot="1" x14ac:dyDescent="0.3">
      <c r="A19" s="248"/>
      <c r="B19" s="123" t="s">
        <v>776</v>
      </c>
      <c r="C19" s="279"/>
    </row>
    <row r="20" spans="1:3" ht="16.5" thickBot="1" x14ac:dyDescent="0.3">
      <c r="A20" s="85"/>
      <c r="B20" s="22" t="s">
        <v>10</v>
      </c>
      <c r="C20" s="26">
        <f>SUM(C12:C19)</f>
        <v>127.25970000000001</v>
      </c>
    </row>
    <row r="21" spans="1:3" ht="16.5" thickBot="1" x14ac:dyDescent="0.3">
      <c r="A21" s="85"/>
      <c r="B21" s="29" t="s">
        <v>11</v>
      </c>
      <c r="C21" s="25">
        <f>C20+C10</f>
        <v>343.19970000000001</v>
      </c>
    </row>
    <row r="22" spans="1:3" ht="16.5" thickBot="1" x14ac:dyDescent="0.3">
      <c r="C22" s="28"/>
    </row>
    <row r="23" spans="1:3" ht="16.5" thickBot="1" x14ac:dyDescent="0.3">
      <c r="A23" s="234" t="s">
        <v>13</v>
      </c>
      <c r="B23" s="235"/>
      <c r="C23" s="30">
        <v>3</v>
      </c>
    </row>
    <row r="24" spans="1:3" ht="16.5" thickBot="1" x14ac:dyDescent="0.3">
      <c r="A24" s="234" t="s">
        <v>59</v>
      </c>
      <c r="B24" s="235"/>
      <c r="C24" s="31">
        <f>C21/C23</f>
        <v>114.3999</v>
      </c>
    </row>
    <row r="27" spans="1:3" ht="16.5" customHeight="1" x14ac:dyDescent="0.25"/>
    <row r="28" spans="1:3" ht="16.5" customHeight="1" x14ac:dyDescent="0.25"/>
  </sheetData>
  <mergeCells count="10">
    <mergeCell ref="A23:B23"/>
    <mergeCell ref="A24:B24"/>
    <mergeCell ref="A3:C3"/>
    <mergeCell ref="A1:C1"/>
    <mergeCell ref="A4:C4"/>
    <mergeCell ref="A5:C5"/>
    <mergeCell ref="A14:A15"/>
    <mergeCell ref="C14:C15"/>
    <mergeCell ref="A18:A19"/>
    <mergeCell ref="C18:C19"/>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31"/>
  <sheetViews>
    <sheetView view="pageBreakPreview" topLeftCell="A4" zoomScale="60" zoomScaleNormal="70" workbookViewId="0">
      <selection activeCell="K32" sqref="K32"/>
    </sheetView>
  </sheetViews>
  <sheetFormatPr defaultColWidth="8.85546875" defaultRowHeight="15.75" x14ac:dyDescent="0.25"/>
  <cols>
    <col min="1" max="1" width="14.85546875" style="18" customWidth="1"/>
    <col min="2" max="2" width="129.7109375" style="18" customWidth="1"/>
    <col min="3" max="3" width="26.7109375" style="18" customWidth="1"/>
    <col min="4" max="4" width="22.140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263</v>
      </c>
      <c r="B4" s="234"/>
      <c r="C4" s="234"/>
    </row>
    <row r="5" spans="1:7" ht="16.5" thickBot="1" x14ac:dyDescent="0.3">
      <c r="A5" s="234" t="s">
        <v>229</v>
      </c>
      <c r="B5" s="234"/>
      <c r="C5" s="234"/>
    </row>
    <row r="6" spans="1:7" ht="64.5" customHeight="1" thickBot="1" x14ac:dyDescent="0.3">
      <c r="A6" s="19" t="s">
        <v>0</v>
      </c>
      <c r="B6" s="20" t="s">
        <v>1</v>
      </c>
      <c r="C6" s="20" t="s">
        <v>2</v>
      </c>
    </row>
    <row r="7" spans="1:7" ht="16.5" thickBot="1" x14ac:dyDescent="0.3">
      <c r="A7" s="52"/>
      <c r="B7" s="22" t="s">
        <v>3</v>
      </c>
      <c r="C7" s="23"/>
    </row>
    <row r="8" spans="1:7" ht="17.25" customHeight="1" thickBot="1" x14ac:dyDescent="0.3">
      <c r="A8" s="52" t="s">
        <v>243</v>
      </c>
      <c r="B8" s="93" t="s">
        <v>777</v>
      </c>
      <c r="C8" s="24">
        <f>(22.0899+2.7257+30.8113+27.8928)*19</f>
        <v>1586.8742999999999</v>
      </c>
    </row>
    <row r="9" spans="1:7" ht="16.5" thickBot="1" x14ac:dyDescent="0.3">
      <c r="A9" s="52" t="s">
        <v>244</v>
      </c>
      <c r="B9" s="93" t="s">
        <v>241</v>
      </c>
      <c r="C9" s="24">
        <f>C8*0.2409</f>
        <v>382.27801886999998</v>
      </c>
    </row>
    <row r="10" spans="1:7" ht="16.5" thickBot="1" x14ac:dyDescent="0.3">
      <c r="A10" s="52"/>
      <c r="B10" s="121" t="s">
        <v>4</v>
      </c>
      <c r="C10" s="25">
        <f>SUM(C8:C9)</f>
        <v>1969.1523188699998</v>
      </c>
    </row>
    <row r="11" spans="1:7" ht="16.5" thickBot="1" x14ac:dyDescent="0.3">
      <c r="A11" s="52"/>
      <c r="B11" s="121" t="s">
        <v>5</v>
      </c>
      <c r="C11" s="26"/>
      <c r="E11" s="27"/>
    </row>
    <row r="12" spans="1:7" s="34" customFormat="1" ht="16.5" thickBot="1" x14ac:dyDescent="0.3">
      <c r="A12" s="52" t="s">
        <v>6</v>
      </c>
      <c r="B12" s="93" t="s">
        <v>778</v>
      </c>
      <c r="C12" s="24">
        <f>3.6385*19</f>
        <v>69.131500000000003</v>
      </c>
      <c r="D12" s="57"/>
    </row>
    <row r="13" spans="1:7" s="34" customFormat="1" ht="18.75" customHeight="1" thickBot="1" x14ac:dyDescent="0.3">
      <c r="A13" s="52" t="s">
        <v>7</v>
      </c>
      <c r="B13" s="93" t="s">
        <v>779</v>
      </c>
      <c r="C13" s="24">
        <f>1.0396*19</f>
        <v>19.752400000000002</v>
      </c>
    </row>
    <row r="14" spans="1:7" s="34" customFormat="1" ht="17.25" customHeight="1" thickBot="1" x14ac:dyDescent="0.3">
      <c r="A14" s="52" t="s">
        <v>8</v>
      </c>
      <c r="B14" s="93" t="s">
        <v>780</v>
      </c>
      <c r="C14" s="24">
        <f>0.026*19</f>
        <v>0.49399999999999999</v>
      </c>
    </row>
    <row r="15" spans="1:7" ht="16.5" thickBot="1" x14ac:dyDescent="0.3">
      <c r="A15" s="52" t="s">
        <v>49</v>
      </c>
      <c r="B15" s="94" t="s">
        <v>781</v>
      </c>
      <c r="C15" s="26">
        <f>0.0029*19</f>
        <v>5.5099999999999996E-2</v>
      </c>
    </row>
    <row r="16" spans="1:7" ht="16.5" thickBot="1" x14ac:dyDescent="0.3">
      <c r="A16" s="52" t="s">
        <v>51</v>
      </c>
      <c r="B16" s="93" t="s">
        <v>782</v>
      </c>
      <c r="C16" s="24">
        <f>0.03*19</f>
        <v>0.56999999999999995</v>
      </c>
      <c r="G16" s="28"/>
    </row>
    <row r="17" spans="1:7" ht="17.25" customHeight="1" x14ac:dyDescent="0.25">
      <c r="A17" s="251" t="s">
        <v>50</v>
      </c>
      <c r="B17" s="130" t="s">
        <v>309</v>
      </c>
      <c r="C17" s="255">
        <f>(132.3378+0.0015)*19</f>
        <v>2514.4466999999995</v>
      </c>
      <c r="G17" s="28"/>
    </row>
    <row r="18" spans="1:7" ht="16.5" customHeight="1" thickBot="1" x14ac:dyDescent="0.3">
      <c r="A18" s="252"/>
      <c r="B18" s="129" t="s">
        <v>310</v>
      </c>
      <c r="C18" s="256"/>
    </row>
    <row r="19" spans="1:7" ht="19.5" customHeight="1" x14ac:dyDescent="0.25">
      <c r="A19" s="158" t="s">
        <v>9</v>
      </c>
      <c r="B19" s="128" t="s">
        <v>783</v>
      </c>
      <c r="C19" s="159">
        <f>0.0825*19</f>
        <v>1.5675000000000001</v>
      </c>
    </row>
    <row r="20" spans="1:7" ht="18.75" x14ac:dyDescent="0.25">
      <c r="A20" s="148" t="s">
        <v>53</v>
      </c>
      <c r="B20" s="144" t="s">
        <v>311</v>
      </c>
      <c r="C20" s="206">
        <v>197.59</v>
      </c>
      <c r="D20" s="28"/>
    </row>
    <row r="21" spans="1:7" ht="20.25" customHeight="1" x14ac:dyDescent="0.25">
      <c r="A21" s="257" t="s">
        <v>52</v>
      </c>
      <c r="B21" s="144" t="s">
        <v>306</v>
      </c>
      <c r="C21" s="258">
        <f>14.2124*19</f>
        <v>270.03559999999999</v>
      </c>
    </row>
    <row r="22" spans="1:7" ht="19.5" customHeight="1" x14ac:dyDescent="0.25">
      <c r="A22" s="257"/>
      <c r="B22" s="160" t="s">
        <v>784</v>
      </c>
      <c r="C22" s="258"/>
    </row>
    <row r="23" spans="1:7" ht="18.75" customHeight="1" x14ac:dyDescent="0.25">
      <c r="A23" s="148"/>
      <c r="B23" s="153" t="s">
        <v>10</v>
      </c>
      <c r="C23" s="154">
        <f>ROUND(SUM(C12:C22),2)</f>
        <v>3073.64</v>
      </c>
    </row>
    <row r="24" spans="1:7" x14ac:dyDescent="0.25">
      <c r="A24" s="148"/>
      <c r="B24" s="161" t="s">
        <v>11</v>
      </c>
      <c r="C24" s="156">
        <f>C23+C10</f>
        <v>5042.7923188699997</v>
      </c>
      <c r="E24" s="28"/>
    </row>
    <row r="25" spans="1:7" x14ac:dyDescent="0.25">
      <c r="A25" s="42"/>
      <c r="B25" s="42"/>
      <c r="C25" s="162"/>
    </row>
    <row r="26" spans="1:7" x14ac:dyDescent="0.25">
      <c r="A26" s="280" t="s">
        <v>13</v>
      </c>
      <c r="B26" s="280"/>
      <c r="C26" s="163">
        <v>19</v>
      </c>
    </row>
    <row r="27" spans="1:7" x14ac:dyDescent="0.25">
      <c r="A27" s="280" t="s">
        <v>59</v>
      </c>
      <c r="B27" s="280"/>
      <c r="C27" s="164">
        <f>C24/C26</f>
        <v>265.41012204578948</v>
      </c>
    </row>
    <row r="30" spans="1:7" ht="16.5" customHeight="1" x14ac:dyDescent="0.25"/>
    <row r="31" spans="1:7" ht="16.5" customHeight="1" x14ac:dyDescent="0.25"/>
  </sheetData>
  <mergeCells count="10">
    <mergeCell ref="A1:C1"/>
    <mergeCell ref="C21:C22"/>
    <mergeCell ref="A26:B26"/>
    <mergeCell ref="A27:B27"/>
    <mergeCell ref="A21:A22"/>
    <mergeCell ref="A3:C3"/>
    <mergeCell ref="A4:C4"/>
    <mergeCell ref="A5:C5"/>
    <mergeCell ref="A17:A18"/>
    <mergeCell ref="C17:C18"/>
  </mergeCells>
  <pageMargins left="0.70866141732283472" right="0.70866141732283472" top="0.74803149606299213" bottom="0.74803149606299213" header="0.31496062992125984" footer="0.31496062992125984"/>
  <pageSetup paperSize="9" scale="76" fitToHeight="0" orientation="landscape" r:id="rId1"/>
  <headerFooter differentFirst="1">
    <oddFooter>&amp;C&amp;P</oddFooter>
    <firstFooter>&amp;L&amp;10VManotp_130617_VTMECmaks&amp;C&amp;P</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31"/>
  <sheetViews>
    <sheetView view="pageBreakPreview" zoomScale="60" zoomScaleNormal="70" workbookViewId="0">
      <selection activeCell="A27" sqref="A27:B27"/>
    </sheetView>
  </sheetViews>
  <sheetFormatPr defaultColWidth="8.85546875" defaultRowHeight="15.75" x14ac:dyDescent="0.25"/>
  <cols>
    <col min="1" max="1" width="15" style="18" customWidth="1"/>
    <col min="2" max="2" width="125.7109375" style="18" customWidth="1"/>
    <col min="3" max="3" width="25" style="18" customWidth="1"/>
    <col min="4" max="4" width="107.85546875" style="18" customWidth="1"/>
    <col min="5" max="16384" width="8.85546875" style="18"/>
  </cols>
  <sheetData>
    <row r="1" spans="1:5" x14ac:dyDescent="0.25">
      <c r="A1" s="222" t="s">
        <v>228</v>
      </c>
      <c r="B1" s="222"/>
      <c r="C1" s="222"/>
    </row>
    <row r="3" spans="1:5" x14ac:dyDescent="0.25">
      <c r="A3" s="234" t="s">
        <v>56</v>
      </c>
      <c r="B3" s="234"/>
      <c r="C3" s="234"/>
    </row>
    <row r="4" spans="1:5" x14ac:dyDescent="0.25">
      <c r="A4" s="234" t="s">
        <v>195</v>
      </c>
      <c r="B4" s="234"/>
      <c r="C4" s="234"/>
    </row>
    <row r="5" spans="1:5" ht="16.5" thickBot="1" x14ac:dyDescent="0.3">
      <c r="A5" s="234" t="s">
        <v>229</v>
      </c>
      <c r="B5" s="234"/>
      <c r="C5" s="234"/>
    </row>
    <row r="6" spans="1:5" ht="84.75" customHeight="1" thickBot="1" x14ac:dyDescent="0.3">
      <c r="A6" s="19" t="s">
        <v>0</v>
      </c>
      <c r="B6" s="20" t="s">
        <v>1</v>
      </c>
      <c r="C6" s="20" t="s">
        <v>2</v>
      </c>
    </row>
    <row r="7" spans="1:5" ht="16.5" thickBot="1" x14ac:dyDescent="0.3">
      <c r="A7" s="89"/>
      <c r="B7" s="22" t="s">
        <v>3</v>
      </c>
      <c r="C7" s="23"/>
    </row>
    <row r="8" spans="1:5" ht="33.75" customHeight="1" thickBot="1" x14ac:dyDescent="0.3">
      <c r="A8" s="89" t="s">
        <v>243</v>
      </c>
      <c r="B8" s="93" t="s">
        <v>312</v>
      </c>
      <c r="C8" s="87">
        <f>(22.0899+2.7257+30.8113+27.8928)*1</f>
        <v>83.5197</v>
      </c>
    </row>
    <row r="9" spans="1:5" ht="16.5" thickBot="1" x14ac:dyDescent="0.3">
      <c r="A9" s="89" t="s">
        <v>244</v>
      </c>
      <c r="B9" s="93" t="s">
        <v>241</v>
      </c>
      <c r="C9" s="87">
        <f>C8*0.2409</f>
        <v>20.11989573</v>
      </c>
    </row>
    <row r="10" spans="1:5" ht="16.5" thickBot="1" x14ac:dyDescent="0.3">
      <c r="A10" s="89"/>
      <c r="B10" s="121" t="s">
        <v>4</v>
      </c>
      <c r="C10" s="25">
        <f>SUM(C8:C9)</f>
        <v>103.63959573</v>
      </c>
    </row>
    <row r="11" spans="1:5" ht="16.5" thickBot="1" x14ac:dyDescent="0.3">
      <c r="A11" s="89"/>
      <c r="B11" s="121" t="s">
        <v>5</v>
      </c>
      <c r="C11" s="26"/>
      <c r="E11" s="27"/>
    </row>
    <row r="12" spans="1:5" s="34" customFormat="1" ht="35.25" thickBot="1" x14ac:dyDescent="0.3">
      <c r="A12" s="89" t="s">
        <v>6</v>
      </c>
      <c r="B12" s="93" t="s">
        <v>787</v>
      </c>
      <c r="C12" s="87">
        <f>3.7902*1</f>
        <v>3.7902</v>
      </c>
    </row>
    <row r="13" spans="1:5" s="34" customFormat="1" ht="35.25" thickBot="1" x14ac:dyDescent="0.3">
      <c r="A13" s="89" t="s">
        <v>7</v>
      </c>
      <c r="B13" s="93" t="s">
        <v>788</v>
      </c>
      <c r="C13" s="87">
        <f>1.0829*1</f>
        <v>1.0829</v>
      </c>
    </row>
    <row r="14" spans="1:5" s="34" customFormat="1" ht="32.25" thickBot="1" x14ac:dyDescent="0.3">
      <c r="A14" s="89" t="s">
        <v>8</v>
      </c>
      <c r="B14" s="93" t="s">
        <v>314</v>
      </c>
      <c r="C14" s="87">
        <f>0.026*1</f>
        <v>2.5999999999999999E-2</v>
      </c>
    </row>
    <row r="15" spans="1:5" ht="35.25" customHeight="1" thickBot="1" x14ac:dyDescent="0.3">
      <c r="A15" s="89" t="s">
        <v>49</v>
      </c>
      <c r="B15" s="94" t="s">
        <v>313</v>
      </c>
      <c r="C15" s="122">
        <f>0.0029*1</f>
        <v>2.8999999999999998E-3</v>
      </c>
    </row>
    <row r="16" spans="1:5" ht="32.25" thickBot="1" x14ac:dyDescent="0.3">
      <c r="A16" s="89" t="s">
        <v>51</v>
      </c>
      <c r="B16" s="93" t="s">
        <v>315</v>
      </c>
      <c r="C16" s="104">
        <f>0.03*1</f>
        <v>0.03</v>
      </c>
    </row>
    <row r="17" spans="1:7" ht="16.5" customHeight="1" thickBot="1" x14ac:dyDescent="0.3">
      <c r="A17" s="251" t="s">
        <v>50</v>
      </c>
      <c r="B17" s="134" t="s">
        <v>316</v>
      </c>
      <c r="C17" s="255">
        <f>48.5335+0.0015</f>
        <v>48.534999999999997</v>
      </c>
      <c r="G17" s="28"/>
    </row>
    <row r="18" spans="1:7" ht="18.75" customHeight="1" thickBot="1" x14ac:dyDescent="0.3">
      <c r="A18" s="252"/>
      <c r="B18" s="93" t="s">
        <v>785</v>
      </c>
      <c r="C18" s="256"/>
    </row>
    <row r="19" spans="1:7" ht="16.5" thickBot="1" x14ac:dyDescent="0.3">
      <c r="A19" s="90" t="s">
        <v>9</v>
      </c>
      <c r="B19" s="93" t="s">
        <v>317</v>
      </c>
      <c r="C19" s="88">
        <f>1.375*2/100</f>
        <v>2.75E-2</v>
      </c>
    </row>
    <row r="20" spans="1:7" ht="37.5" customHeight="1" thickBot="1" x14ac:dyDescent="0.3">
      <c r="A20" s="89" t="s">
        <v>53</v>
      </c>
      <c r="B20" s="93" t="s">
        <v>318</v>
      </c>
      <c r="C20" s="87">
        <f>10.829*1</f>
        <v>10.829000000000001</v>
      </c>
    </row>
    <row r="21" spans="1:7" ht="15.75" customHeight="1" thickBot="1" x14ac:dyDescent="0.3">
      <c r="A21" s="247" t="s">
        <v>52</v>
      </c>
      <c r="B21" s="146" t="s">
        <v>319</v>
      </c>
      <c r="C21" s="249">
        <f>14.2124*1</f>
        <v>14.212400000000001</v>
      </c>
    </row>
    <row r="22" spans="1:7" ht="18.75" customHeight="1" thickBot="1" x14ac:dyDescent="0.3">
      <c r="A22" s="248"/>
      <c r="B22" s="146" t="s">
        <v>786</v>
      </c>
      <c r="C22" s="250"/>
    </row>
    <row r="23" spans="1:7" ht="17.25" customHeight="1" thickBot="1" x14ac:dyDescent="0.3">
      <c r="A23" s="89"/>
      <c r="B23" s="22" t="s">
        <v>10</v>
      </c>
      <c r="C23" s="26">
        <f>SUM(C12:C21)</f>
        <v>78.535899999999998</v>
      </c>
    </row>
    <row r="24" spans="1:7" ht="16.5" thickBot="1" x14ac:dyDescent="0.3">
      <c r="A24" s="89"/>
      <c r="B24" s="29" t="s">
        <v>11</v>
      </c>
      <c r="C24" s="25">
        <f>C23+C10</f>
        <v>182.17549572999999</v>
      </c>
    </row>
    <row r="25" spans="1:7" ht="16.5" thickBot="1" x14ac:dyDescent="0.3">
      <c r="C25" s="28"/>
    </row>
    <row r="26" spans="1:7" ht="16.5" thickBot="1" x14ac:dyDescent="0.3">
      <c r="A26" s="234" t="s">
        <v>13</v>
      </c>
      <c r="B26" s="235"/>
      <c r="C26" s="30">
        <v>1</v>
      </c>
    </row>
    <row r="27" spans="1:7" ht="16.5" thickBot="1" x14ac:dyDescent="0.3">
      <c r="A27" s="234" t="s">
        <v>59</v>
      </c>
      <c r="B27" s="235"/>
      <c r="C27" s="31">
        <f>C24/C26</f>
        <v>182.17549572999999</v>
      </c>
    </row>
    <row r="30" spans="1:7" ht="16.5" customHeight="1" x14ac:dyDescent="0.25"/>
    <row r="31" spans="1:7" ht="16.5" customHeight="1" x14ac:dyDescent="0.25"/>
  </sheetData>
  <mergeCells count="10">
    <mergeCell ref="A1:C1"/>
    <mergeCell ref="A4:C4"/>
    <mergeCell ref="A5:C5"/>
    <mergeCell ref="A17:A18"/>
    <mergeCell ref="C17:C18"/>
    <mergeCell ref="A21:A22"/>
    <mergeCell ref="C21:C22"/>
    <mergeCell ref="A26:B26"/>
    <mergeCell ref="A27:B27"/>
    <mergeCell ref="A3:C3"/>
  </mergeCells>
  <pageMargins left="0.70866141732283472" right="0.70866141732283472" top="0.74803149606299213" bottom="0.74803149606299213" header="0.31496062992125984" footer="0.31496062992125984"/>
  <pageSetup paperSize="9" scale="79" fitToHeight="0" orientation="landscape" r:id="rId1"/>
  <headerFooter differentFirst="1">
    <oddFooter>&amp;C&amp;P</oddFooter>
    <firstFooter>&amp;L&amp;10VManotp_130617_VTMECmaks&amp;C&amp;P</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28"/>
  <sheetViews>
    <sheetView view="pageBreakPreview" topLeftCell="A2" zoomScale="60" zoomScaleNormal="70" workbookViewId="0">
      <selection activeCell="D13" sqref="D13"/>
    </sheetView>
  </sheetViews>
  <sheetFormatPr defaultColWidth="8.85546875" defaultRowHeight="15.75" x14ac:dyDescent="0.25"/>
  <cols>
    <col min="1" max="1" width="18.140625" style="18" customWidth="1"/>
    <col min="2" max="2" width="129" style="18" customWidth="1"/>
    <col min="3" max="3" width="23.570312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196</v>
      </c>
      <c r="B4" s="234"/>
      <c r="C4" s="234"/>
    </row>
    <row r="5" spans="1:7" ht="16.5" thickBot="1" x14ac:dyDescent="0.3">
      <c r="A5" s="234" t="s">
        <v>229</v>
      </c>
      <c r="B5" s="234"/>
      <c r="C5" s="234"/>
    </row>
    <row r="6" spans="1:7" ht="87" customHeight="1" thickBot="1" x14ac:dyDescent="0.3">
      <c r="A6" s="19" t="s">
        <v>0</v>
      </c>
      <c r="B6" s="20" t="s">
        <v>1</v>
      </c>
      <c r="C6" s="20" t="s">
        <v>2</v>
      </c>
    </row>
    <row r="7" spans="1:7" ht="16.5" thickBot="1" x14ac:dyDescent="0.3">
      <c r="A7" s="89"/>
      <c r="B7" s="22" t="s">
        <v>3</v>
      </c>
      <c r="C7" s="23"/>
    </row>
    <row r="8" spans="1:7" ht="38.25" customHeight="1" thickBot="1" x14ac:dyDescent="0.3">
      <c r="A8" s="89" t="s">
        <v>243</v>
      </c>
      <c r="B8" s="93" t="s">
        <v>326</v>
      </c>
      <c r="C8" s="87">
        <f>(11.045+24.649+22.3142)*1</f>
        <v>58.008200000000002</v>
      </c>
    </row>
    <row r="9" spans="1:7" s="44" customFormat="1" ht="16.5" thickBot="1" x14ac:dyDescent="0.3">
      <c r="A9" s="89" t="s">
        <v>244</v>
      </c>
      <c r="B9" s="93" t="s">
        <v>241</v>
      </c>
      <c r="C9" s="87">
        <f>C8*0.2409</f>
        <v>13.97417538</v>
      </c>
    </row>
    <row r="10" spans="1:7" s="34" customFormat="1" ht="16.5" thickBot="1" x14ac:dyDescent="0.3">
      <c r="A10" s="89"/>
      <c r="B10" s="121" t="s">
        <v>4</v>
      </c>
      <c r="C10" s="25">
        <f>ROUND(SUM(C8:C9),2)</f>
        <v>71.98</v>
      </c>
    </row>
    <row r="11" spans="1:7" s="34" customFormat="1" ht="16.5" thickBot="1" x14ac:dyDescent="0.3">
      <c r="A11" s="89"/>
      <c r="B11" s="121" t="s">
        <v>5</v>
      </c>
      <c r="C11" s="26"/>
    </row>
    <row r="12" spans="1:7" ht="35.25" thickBot="1" x14ac:dyDescent="0.3">
      <c r="A12" s="89" t="s">
        <v>6</v>
      </c>
      <c r="B12" s="93" t="s">
        <v>324</v>
      </c>
      <c r="C12" s="87">
        <f>2.4525*1</f>
        <v>2.4525000000000001</v>
      </c>
    </row>
    <row r="13" spans="1:7" ht="35.25" thickBot="1" x14ac:dyDescent="0.3">
      <c r="A13" s="89" t="s">
        <v>7</v>
      </c>
      <c r="B13" s="93" t="s">
        <v>325</v>
      </c>
      <c r="C13" s="87">
        <f>0.7007*1</f>
        <v>0.70069999999999999</v>
      </c>
    </row>
    <row r="14" spans="1:7" ht="17.25" customHeight="1" thickBot="1" x14ac:dyDescent="0.3">
      <c r="A14" s="251" t="s">
        <v>50</v>
      </c>
      <c r="B14" s="93" t="s">
        <v>307</v>
      </c>
      <c r="C14" s="255">
        <f>19.2027*1</f>
        <v>19.2027</v>
      </c>
      <c r="G14" s="28"/>
    </row>
    <row r="15" spans="1:7" ht="19.5" customHeight="1" thickBot="1" x14ac:dyDescent="0.3">
      <c r="A15" s="252"/>
      <c r="B15" s="135" t="s">
        <v>320</v>
      </c>
      <c r="C15" s="256"/>
    </row>
    <row r="16" spans="1:7" ht="16.5" thickBot="1" x14ac:dyDescent="0.3">
      <c r="A16" s="90" t="s">
        <v>9</v>
      </c>
      <c r="B16" s="93" t="s">
        <v>321</v>
      </c>
      <c r="C16" s="88">
        <f>1.375*2/100</f>
        <v>2.75E-2</v>
      </c>
    </row>
    <row r="17" spans="1:3" ht="35.25" thickBot="1" x14ac:dyDescent="0.3">
      <c r="A17" s="89" t="s">
        <v>53</v>
      </c>
      <c r="B17" s="93" t="s">
        <v>322</v>
      </c>
      <c r="C17" s="87">
        <f>7.007*1</f>
        <v>7.0069999999999997</v>
      </c>
    </row>
    <row r="18" spans="1:3" ht="16.5" thickBot="1" x14ac:dyDescent="0.3">
      <c r="A18" s="247" t="s">
        <v>52</v>
      </c>
      <c r="B18" s="93" t="s">
        <v>306</v>
      </c>
      <c r="C18" s="249">
        <f>14.2124*1</f>
        <v>14.212400000000001</v>
      </c>
    </row>
    <row r="19" spans="1:3" ht="17.25" customHeight="1" thickBot="1" x14ac:dyDescent="0.3">
      <c r="A19" s="248"/>
      <c r="B19" s="93" t="s">
        <v>323</v>
      </c>
      <c r="C19" s="250"/>
    </row>
    <row r="20" spans="1:3" ht="20.25" customHeight="1" thickBot="1" x14ac:dyDescent="0.3">
      <c r="A20" s="89"/>
      <c r="B20" s="22" t="s">
        <v>10</v>
      </c>
      <c r="C20" s="26">
        <f>SUM(C12:C18)</f>
        <v>43.602800000000002</v>
      </c>
    </row>
    <row r="21" spans="1:3" ht="16.5" thickBot="1" x14ac:dyDescent="0.3">
      <c r="A21" s="89"/>
      <c r="B21" s="29" t="s">
        <v>11</v>
      </c>
      <c r="C21" s="25">
        <f>C20+C10</f>
        <v>115.58280000000001</v>
      </c>
    </row>
    <row r="22" spans="1:3" ht="16.5" thickBot="1" x14ac:dyDescent="0.3">
      <c r="C22" s="28"/>
    </row>
    <row r="23" spans="1:3" ht="16.5" thickBot="1" x14ac:dyDescent="0.3">
      <c r="A23" s="234" t="s">
        <v>13</v>
      </c>
      <c r="B23" s="235"/>
      <c r="C23" s="30">
        <v>1</v>
      </c>
    </row>
    <row r="24" spans="1:3" ht="16.5" thickBot="1" x14ac:dyDescent="0.3">
      <c r="A24" s="234" t="s">
        <v>59</v>
      </c>
      <c r="B24" s="235"/>
      <c r="C24" s="31">
        <f>C21/C23</f>
        <v>115.58280000000001</v>
      </c>
    </row>
    <row r="27" spans="1:3" ht="16.5" customHeight="1" x14ac:dyDescent="0.25"/>
    <row r="28" spans="1:3" ht="16.5" customHeight="1" x14ac:dyDescent="0.25"/>
  </sheetData>
  <mergeCells count="10">
    <mergeCell ref="A1:C1"/>
    <mergeCell ref="A4:C4"/>
    <mergeCell ref="A5:C5"/>
    <mergeCell ref="A14:A15"/>
    <mergeCell ref="C14:C15"/>
    <mergeCell ref="A18:A19"/>
    <mergeCell ref="C18:C19"/>
    <mergeCell ref="A23:B23"/>
    <mergeCell ref="A24:B24"/>
    <mergeCell ref="A3:C3"/>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30"/>
  <sheetViews>
    <sheetView view="pageBreakPreview" zoomScale="60" zoomScaleNormal="70" workbookViewId="0">
      <selection activeCell="V13" sqref="V13"/>
    </sheetView>
  </sheetViews>
  <sheetFormatPr defaultColWidth="8.85546875" defaultRowHeight="15.75" x14ac:dyDescent="0.25"/>
  <cols>
    <col min="1" max="1" width="16" style="18" customWidth="1"/>
    <col min="2" max="2" width="132" style="18" customWidth="1"/>
    <col min="3" max="3" width="23.5703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197</v>
      </c>
      <c r="B4" s="234"/>
      <c r="C4" s="234"/>
    </row>
    <row r="5" spans="1:7" ht="16.5" thickBot="1" x14ac:dyDescent="0.3">
      <c r="A5" s="234" t="s">
        <v>229</v>
      </c>
      <c r="B5" s="234"/>
      <c r="C5" s="234"/>
    </row>
    <row r="6" spans="1:7" ht="90" customHeight="1" thickBot="1" x14ac:dyDescent="0.3">
      <c r="A6" s="19" t="s">
        <v>0</v>
      </c>
      <c r="B6" s="20" t="s">
        <v>1</v>
      </c>
      <c r="C6" s="20" t="s">
        <v>2</v>
      </c>
    </row>
    <row r="7" spans="1:7" ht="16.5" thickBot="1" x14ac:dyDescent="0.3">
      <c r="A7" s="21"/>
      <c r="B7" s="22" t="s">
        <v>3</v>
      </c>
      <c r="C7" s="23"/>
    </row>
    <row r="8" spans="1:7" ht="35.25" customHeight="1" thickBot="1" x14ac:dyDescent="0.3">
      <c r="A8" s="21" t="s">
        <v>243</v>
      </c>
      <c r="B8" s="93" t="s">
        <v>335</v>
      </c>
      <c r="C8" s="17">
        <f>(1.2518+0.9267+5.1763+4.0671+1.2518+0.9267)*1</f>
        <v>13.6004</v>
      </c>
    </row>
    <row r="9" spans="1:7" ht="16.5" thickBot="1" x14ac:dyDescent="0.3">
      <c r="A9" s="21" t="s">
        <v>244</v>
      </c>
      <c r="B9" s="93" t="s">
        <v>241</v>
      </c>
      <c r="C9" s="24">
        <f>C8*0.2409</f>
        <v>3.2763363600000002</v>
      </c>
    </row>
    <row r="10" spans="1:7" ht="16.5" thickBot="1" x14ac:dyDescent="0.3">
      <c r="A10" s="21"/>
      <c r="B10" s="121" t="s">
        <v>4</v>
      </c>
      <c r="C10" s="25">
        <f>SUM(C8:C9)</f>
        <v>16.876736360000002</v>
      </c>
    </row>
    <row r="11" spans="1:7" ht="16.5" thickBot="1" x14ac:dyDescent="0.3">
      <c r="A11" s="21"/>
      <c r="B11" s="121" t="s">
        <v>5</v>
      </c>
      <c r="C11" s="16"/>
      <c r="E11" s="27"/>
    </row>
    <row r="12" spans="1:7" ht="34.5" customHeight="1" thickBot="1" x14ac:dyDescent="0.3">
      <c r="A12" s="21" t="s">
        <v>6</v>
      </c>
      <c r="B12" s="93" t="s">
        <v>334</v>
      </c>
      <c r="C12" s="24">
        <f>0.5856*1</f>
        <v>0.58560000000000001</v>
      </c>
      <c r="D12" s="32"/>
    </row>
    <row r="13" spans="1:7" ht="35.25" customHeight="1" thickBot="1" x14ac:dyDescent="0.3">
      <c r="A13" s="21" t="s">
        <v>7</v>
      </c>
      <c r="B13" s="93" t="s">
        <v>333</v>
      </c>
      <c r="C13" s="24">
        <f>0.1673*1</f>
        <v>0.1673</v>
      </c>
      <c r="D13" s="32"/>
    </row>
    <row r="14" spans="1:7" ht="34.5" customHeight="1" thickBot="1" x14ac:dyDescent="0.3">
      <c r="A14" s="21" t="s">
        <v>8</v>
      </c>
      <c r="B14" s="93" t="s">
        <v>314</v>
      </c>
      <c r="C14" s="24">
        <f>0.026*1</f>
        <v>2.5999999999999999E-2</v>
      </c>
      <c r="D14" s="28"/>
    </row>
    <row r="15" spans="1:7" ht="36" customHeight="1" thickBot="1" x14ac:dyDescent="0.3">
      <c r="A15" s="21" t="s">
        <v>49</v>
      </c>
      <c r="B15" s="94" t="s">
        <v>328</v>
      </c>
      <c r="C15" s="26">
        <f>0.0436*1</f>
        <v>4.36E-2</v>
      </c>
      <c r="G15" s="28"/>
    </row>
    <row r="16" spans="1:7" ht="36" customHeight="1" thickBot="1" x14ac:dyDescent="0.3">
      <c r="A16" s="21" t="s">
        <v>51</v>
      </c>
      <c r="B16" s="93" t="s">
        <v>327</v>
      </c>
      <c r="C16" s="24">
        <f>0.0066*1</f>
        <v>6.6E-3</v>
      </c>
    </row>
    <row r="17" spans="1:3" ht="33" customHeight="1" thickBot="1" x14ac:dyDescent="0.3">
      <c r="A17" s="21" t="s">
        <v>50</v>
      </c>
      <c r="B17" s="93" t="s">
        <v>329</v>
      </c>
      <c r="C17" s="24">
        <f>(0.081+0.2601)*1</f>
        <v>0.34110000000000001</v>
      </c>
    </row>
    <row r="18" spans="1:3" ht="16.5" thickBot="1" x14ac:dyDescent="0.3">
      <c r="A18" s="21" t="s">
        <v>9</v>
      </c>
      <c r="B18" s="93" t="s">
        <v>330</v>
      </c>
      <c r="C18" s="24">
        <f>0.012*1</f>
        <v>1.2E-2</v>
      </c>
    </row>
    <row r="19" spans="1:3" ht="20.25" customHeight="1" thickBot="1" x14ac:dyDescent="0.3">
      <c r="A19" s="21" t="s">
        <v>53</v>
      </c>
      <c r="B19" s="93" t="s">
        <v>331</v>
      </c>
      <c r="C19" s="24">
        <f>1.6731*1</f>
        <v>1.6731</v>
      </c>
    </row>
    <row r="20" spans="1:3" ht="35.25" customHeight="1" thickBot="1" x14ac:dyDescent="0.3">
      <c r="A20" s="21" t="s">
        <v>52</v>
      </c>
      <c r="B20" s="93" t="s">
        <v>332</v>
      </c>
      <c r="C20" s="17">
        <f>(0.0529+0.0078+0.0052)*1</f>
        <v>6.59E-2</v>
      </c>
    </row>
    <row r="21" spans="1:3" ht="16.5" thickBot="1" x14ac:dyDescent="0.3">
      <c r="A21" s="21"/>
      <c r="B21" s="22" t="s">
        <v>10</v>
      </c>
      <c r="C21" s="26">
        <f>SUM(C12:C20)</f>
        <v>2.9212000000000002</v>
      </c>
    </row>
    <row r="22" spans="1:3" ht="16.5" thickBot="1" x14ac:dyDescent="0.3">
      <c r="A22" s="21"/>
      <c r="B22" s="29" t="s">
        <v>11</v>
      </c>
      <c r="C22" s="25">
        <f>C21+C10</f>
        <v>19.797936360000001</v>
      </c>
    </row>
    <row r="23" spans="1:3" x14ac:dyDescent="0.25">
      <c r="C23" s="28"/>
    </row>
    <row r="24" spans="1:3" ht="16.5" thickBot="1" x14ac:dyDescent="0.3">
      <c r="C24" s="28"/>
    </row>
    <row r="25" spans="1:3" ht="16.5" thickBot="1" x14ac:dyDescent="0.3">
      <c r="A25" s="234" t="s">
        <v>13</v>
      </c>
      <c r="B25" s="235"/>
      <c r="C25" s="30">
        <v>1</v>
      </c>
    </row>
    <row r="26" spans="1:3" ht="16.5" thickBot="1" x14ac:dyDescent="0.3">
      <c r="A26" s="234" t="s">
        <v>59</v>
      </c>
      <c r="B26" s="235"/>
      <c r="C26" s="31">
        <f>C22/C25</f>
        <v>19.797936360000001</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F30"/>
  <sheetViews>
    <sheetView view="pageBreakPreview" zoomScale="60" zoomScaleNormal="70" workbookViewId="0">
      <selection activeCell="B10" sqref="B10"/>
    </sheetView>
  </sheetViews>
  <sheetFormatPr defaultColWidth="8.85546875" defaultRowHeight="15.75" x14ac:dyDescent="0.25"/>
  <cols>
    <col min="1" max="1" width="13.85546875" style="18" customWidth="1"/>
    <col min="2" max="2" width="134.7109375" style="18" customWidth="1"/>
    <col min="3" max="3" width="22.28515625" style="18" customWidth="1"/>
    <col min="4" max="16384" width="8.85546875" style="18"/>
  </cols>
  <sheetData>
    <row r="1" spans="1:6" x14ac:dyDescent="0.25">
      <c r="A1" s="222" t="s">
        <v>228</v>
      </c>
      <c r="B1" s="222"/>
      <c r="C1" s="222"/>
    </row>
    <row r="3" spans="1:6" x14ac:dyDescent="0.25">
      <c r="A3" s="234" t="s">
        <v>56</v>
      </c>
      <c r="B3" s="234"/>
      <c r="C3" s="234"/>
    </row>
    <row r="4" spans="1:6" x14ac:dyDescent="0.25">
      <c r="A4" s="234" t="s">
        <v>167</v>
      </c>
      <c r="B4" s="234"/>
      <c r="C4" s="234"/>
    </row>
    <row r="5" spans="1:6" ht="16.5" thickBot="1" x14ac:dyDescent="0.3">
      <c r="A5" s="234" t="s">
        <v>229</v>
      </c>
      <c r="B5" s="234"/>
      <c r="C5" s="234"/>
    </row>
    <row r="6" spans="1:6" ht="88.5" customHeight="1" thickBot="1" x14ac:dyDescent="0.3">
      <c r="A6" s="19" t="s">
        <v>0</v>
      </c>
      <c r="B6" s="20" t="s">
        <v>1</v>
      </c>
      <c r="C6" s="20" t="s">
        <v>2</v>
      </c>
    </row>
    <row r="7" spans="1:6" ht="44.45" customHeight="1" thickBot="1" x14ac:dyDescent="0.3">
      <c r="A7" s="21"/>
      <c r="B7" s="22" t="s">
        <v>3</v>
      </c>
      <c r="C7" s="23"/>
    </row>
    <row r="8" spans="1:6" ht="21.75" customHeight="1" thickBot="1" x14ac:dyDescent="0.3">
      <c r="A8" s="21" t="s">
        <v>243</v>
      </c>
      <c r="B8" s="93" t="s">
        <v>342</v>
      </c>
      <c r="C8" s="24">
        <f>(36.7716+73.947+79.5228+10.918+1.8504)*7</f>
        <v>1421.0686000000001</v>
      </c>
    </row>
    <row r="9" spans="1:6" ht="16.5" thickBot="1" x14ac:dyDescent="0.3">
      <c r="A9" s="21" t="s">
        <v>244</v>
      </c>
      <c r="B9" s="12" t="s">
        <v>241</v>
      </c>
      <c r="C9" s="24">
        <f>ROUND((C8*0.2409),2)</f>
        <v>342.34</v>
      </c>
    </row>
    <row r="10" spans="1:6" ht="16.5" thickBot="1" x14ac:dyDescent="0.3">
      <c r="A10" s="21"/>
      <c r="B10" s="22" t="s">
        <v>4</v>
      </c>
      <c r="C10" s="25">
        <f>SUM(C8:C9)</f>
        <v>1763.4086</v>
      </c>
    </row>
    <row r="11" spans="1:6" ht="16.5" thickBot="1" x14ac:dyDescent="0.3">
      <c r="A11" s="21"/>
      <c r="B11" s="22" t="s">
        <v>5</v>
      </c>
      <c r="C11" s="26"/>
      <c r="D11" s="27"/>
    </row>
    <row r="12" spans="1:6" s="34" customFormat="1" ht="34.5" customHeight="1" thickBot="1" x14ac:dyDescent="0.3">
      <c r="A12" s="21" t="s">
        <v>6</v>
      </c>
      <c r="B12" s="93" t="s">
        <v>340</v>
      </c>
      <c r="C12" s="24">
        <f>5.1011*7</f>
        <v>35.707699999999996</v>
      </c>
    </row>
    <row r="13" spans="1:6" s="34" customFormat="1" ht="32.25" customHeight="1" thickBot="1" x14ac:dyDescent="0.3">
      <c r="A13" s="21" t="s">
        <v>7</v>
      </c>
      <c r="B13" s="93" t="s">
        <v>341</v>
      </c>
      <c r="C13" s="24">
        <f>1.1794*7</f>
        <v>8.2558000000000007</v>
      </c>
    </row>
    <row r="14" spans="1:6" ht="36" customHeight="1" thickBot="1" x14ac:dyDescent="0.3">
      <c r="A14" s="21" t="s">
        <v>8</v>
      </c>
      <c r="B14" s="93" t="s">
        <v>789</v>
      </c>
      <c r="C14" s="24">
        <f>0.078*7</f>
        <v>0.54600000000000004</v>
      </c>
    </row>
    <row r="15" spans="1:6" ht="18.75" customHeight="1" thickBot="1" x14ac:dyDescent="0.3">
      <c r="A15" s="21" t="s">
        <v>49</v>
      </c>
      <c r="B15" s="94" t="s">
        <v>339</v>
      </c>
      <c r="C15" s="9">
        <f>0.0088*7</f>
        <v>6.1600000000000002E-2</v>
      </c>
      <c r="F15" s="28"/>
    </row>
    <row r="16" spans="1:6" ht="20.25" customHeight="1" thickBot="1" x14ac:dyDescent="0.3">
      <c r="A16" s="21" t="s">
        <v>51</v>
      </c>
      <c r="B16" s="95" t="s">
        <v>338</v>
      </c>
      <c r="C16" s="17">
        <f>0.0544*7</f>
        <v>0.38079999999999997</v>
      </c>
    </row>
    <row r="17" spans="1:3" ht="16.5" thickBot="1" x14ac:dyDescent="0.3">
      <c r="A17" s="33" t="s">
        <v>50</v>
      </c>
      <c r="B17" s="95" t="s">
        <v>790</v>
      </c>
      <c r="C17" s="24">
        <f>3.56*7</f>
        <v>24.92</v>
      </c>
    </row>
    <row r="18" spans="1:3" ht="32.25" thickBot="1" x14ac:dyDescent="0.3">
      <c r="A18" s="33" t="s">
        <v>9</v>
      </c>
      <c r="B18" s="37" t="s">
        <v>337</v>
      </c>
      <c r="C18" s="24">
        <f>0.2235*7</f>
        <v>1.5645</v>
      </c>
    </row>
    <row r="19" spans="1:3" ht="32.25" thickBot="1" x14ac:dyDescent="0.3">
      <c r="A19" s="21" t="s">
        <v>53</v>
      </c>
      <c r="B19" s="12" t="s">
        <v>336</v>
      </c>
      <c r="C19" s="24">
        <f>12.3191*7</f>
        <v>86.233699999999999</v>
      </c>
    </row>
    <row r="20" spans="1:3" ht="32.25" customHeight="1" thickBot="1" x14ac:dyDescent="0.3">
      <c r="A20" s="21" t="s">
        <v>52</v>
      </c>
      <c r="B20" s="166" t="s">
        <v>791</v>
      </c>
      <c r="C20" s="17">
        <f>0.51*7</f>
        <v>3.5700000000000003</v>
      </c>
    </row>
    <row r="21" spans="1:3" ht="32.450000000000003" customHeight="1" thickBot="1" x14ac:dyDescent="0.3">
      <c r="A21" s="21"/>
      <c r="B21" s="22" t="s">
        <v>10</v>
      </c>
      <c r="C21" s="26">
        <f>SUM(C12:C20)</f>
        <v>161.24009999999998</v>
      </c>
    </row>
    <row r="22" spans="1:3" ht="16.5" thickBot="1" x14ac:dyDescent="0.3">
      <c r="A22" s="21"/>
      <c r="B22" s="29" t="s">
        <v>11</v>
      </c>
      <c r="C22" s="25">
        <f>C21+C10</f>
        <v>1924.6487</v>
      </c>
    </row>
    <row r="23" spans="1:3" x14ac:dyDescent="0.25">
      <c r="C23" s="28"/>
    </row>
    <row r="24" spans="1:3" ht="16.5" thickBot="1" x14ac:dyDescent="0.3">
      <c r="C24" s="28"/>
    </row>
    <row r="25" spans="1:3" ht="16.5" thickBot="1" x14ac:dyDescent="0.3">
      <c r="A25" s="234" t="s">
        <v>13</v>
      </c>
      <c r="B25" s="235"/>
      <c r="C25" s="30">
        <v>7</v>
      </c>
    </row>
    <row r="26" spans="1:3" ht="16.5" thickBot="1" x14ac:dyDescent="0.3">
      <c r="A26" s="234" t="s">
        <v>59</v>
      </c>
      <c r="B26" s="235"/>
      <c r="C26" s="31">
        <f>C22/C25</f>
        <v>274.9498142857143</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G30"/>
  <sheetViews>
    <sheetView view="pageBreakPreview" topLeftCell="A4" zoomScale="60" zoomScaleNormal="80" workbookViewId="0">
      <selection activeCell="B12" sqref="B12"/>
    </sheetView>
  </sheetViews>
  <sheetFormatPr defaultColWidth="8.85546875" defaultRowHeight="15.75" x14ac:dyDescent="0.25"/>
  <cols>
    <col min="1" max="1" width="15.140625" style="18" customWidth="1"/>
    <col min="2" max="2" width="137.140625" style="18" customWidth="1"/>
    <col min="3" max="3" width="23.14062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169</v>
      </c>
      <c r="B4" s="234"/>
      <c r="C4" s="234"/>
    </row>
    <row r="5" spans="1:7" ht="16.5" thickBot="1" x14ac:dyDescent="0.3">
      <c r="A5" s="234" t="s">
        <v>229</v>
      </c>
      <c r="B5" s="234"/>
      <c r="C5" s="234"/>
    </row>
    <row r="6" spans="1:7" ht="86.25" customHeight="1" thickBot="1" x14ac:dyDescent="0.3">
      <c r="A6" s="19" t="s">
        <v>0</v>
      </c>
      <c r="B6" s="20" t="s">
        <v>1</v>
      </c>
      <c r="C6" s="20" t="s">
        <v>2</v>
      </c>
    </row>
    <row r="7" spans="1:7" ht="16.5" thickBot="1" x14ac:dyDescent="0.3">
      <c r="A7" s="151"/>
      <c r="B7" s="22" t="s">
        <v>3</v>
      </c>
      <c r="C7" s="23"/>
    </row>
    <row r="8" spans="1:7" ht="19.5" customHeight="1" thickBot="1" x14ac:dyDescent="0.3">
      <c r="A8" s="151" t="s">
        <v>243</v>
      </c>
      <c r="B8" s="93" t="s">
        <v>352</v>
      </c>
      <c r="C8" s="150">
        <f>(88.3596+35.2224+10.9028)*7</f>
        <v>941.39360000000011</v>
      </c>
    </row>
    <row r="9" spans="1:7" ht="16.5" thickBot="1" x14ac:dyDescent="0.3">
      <c r="A9" s="151" t="s">
        <v>244</v>
      </c>
      <c r="B9" s="93" t="s">
        <v>241</v>
      </c>
      <c r="C9" s="150">
        <f>ROUND(C8*0.2409,2)</f>
        <v>226.78</v>
      </c>
    </row>
    <row r="10" spans="1:7" ht="16.5" thickBot="1" x14ac:dyDescent="0.3">
      <c r="A10" s="151"/>
      <c r="B10" s="121" t="s">
        <v>4</v>
      </c>
      <c r="C10" s="25">
        <f>SUM(C8:C9)</f>
        <v>1168.1736000000001</v>
      </c>
    </row>
    <row r="11" spans="1:7" ht="16.5" thickBot="1" x14ac:dyDescent="0.3">
      <c r="A11" s="151"/>
      <c r="B11" s="121" t="s">
        <v>5</v>
      </c>
      <c r="C11" s="26"/>
      <c r="E11" s="27"/>
    </row>
    <row r="12" spans="1:7" s="34" customFormat="1" ht="16.5" thickBot="1" x14ac:dyDescent="0.3">
      <c r="A12" s="151" t="s">
        <v>6</v>
      </c>
      <c r="B12" s="93" t="s">
        <v>351</v>
      </c>
      <c r="C12" s="150">
        <f>0.007*9*98.2*7</f>
        <v>43.306200000000004</v>
      </c>
    </row>
    <row r="13" spans="1:7" s="34" customFormat="1" ht="21" customHeight="1" thickBot="1" x14ac:dyDescent="0.3">
      <c r="A13" s="151" t="s">
        <v>7</v>
      </c>
      <c r="B13" s="93" t="s">
        <v>350</v>
      </c>
      <c r="C13" s="150">
        <f>0.002*9*98.2*7</f>
        <v>12.373200000000002</v>
      </c>
    </row>
    <row r="14" spans="1:7" ht="32.25" thickBot="1" x14ac:dyDescent="0.3">
      <c r="A14" s="151" t="s">
        <v>8</v>
      </c>
      <c r="B14" s="93" t="s">
        <v>349</v>
      </c>
      <c r="C14" s="150">
        <f>(0.009+0.004)*4*7</f>
        <v>0.36399999999999999</v>
      </c>
    </row>
    <row r="15" spans="1:7" ht="32.25" thickBot="1" x14ac:dyDescent="0.3">
      <c r="A15" s="151" t="s">
        <v>49</v>
      </c>
      <c r="B15" s="94" t="s">
        <v>348</v>
      </c>
      <c r="C15" s="38">
        <f>0.3767/122*7</f>
        <v>2.1613934426229508E-2</v>
      </c>
      <c r="G15" s="28"/>
    </row>
    <row r="16" spans="1:7" ht="33.75" customHeight="1" thickBot="1" x14ac:dyDescent="0.3">
      <c r="A16" s="151" t="s">
        <v>51</v>
      </c>
      <c r="B16" s="95" t="s">
        <v>347</v>
      </c>
      <c r="C16" s="17">
        <f>(2.1+2.1665+2.1665+0.2915)/122*7</f>
        <v>0.3858319672131148</v>
      </c>
    </row>
    <row r="17" spans="1:3" ht="35.25" customHeight="1" thickBot="1" x14ac:dyDescent="0.3">
      <c r="A17" s="152" t="s">
        <v>50</v>
      </c>
      <c r="B17" s="127" t="s">
        <v>346</v>
      </c>
      <c r="C17" s="150">
        <f>(0.081+0.066+0.0515+0.9+0.0636+0.0207+0.021+0.3121+0.019+0.0179+0.3872+0.1+1.4036+0.033+0.0201+0.0408+0.0151+0.1354+0.1904+1.5)*7</f>
        <v>37.648799999999994</v>
      </c>
    </row>
    <row r="18" spans="1:3" ht="36.75" customHeight="1" thickBot="1" x14ac:dyDescent="0.3">
      <c r="A18" s="152" t="s">
        <v>9</v>
      </c>
      <c r="B18" s="135" t="s">
        <v>345</v>
      </c>
      <c r="C18" s="150">
        <f>(0.0164+0.0343)*7</f>
        <v>0.35489999999999999</v>
      </c>
    </row>
    <row r="19" spans="1:3" ht="33.75" customHeight="1" thickBot="1" x14ac:dyDescent="0.3">
      <c r="A19" s="151" t="s">
        <v>53</v>
      </c>
      <c r="B19" s="93" t="s">
        <v>344</v>
      </c>
      <c r="C19" s="150">
        <f>0.02*9*98.2*7</f>
        <v>123.73199999999999</v>
      </c>
    </row>
    <row r="20" spans="1:3" ht="33.75" customHeight="1" thickBot="1" x14ac:dyDescent="0.3">
      <c r="A20" s="151" t="s">
        <v>52</v>
      </c>
      <c r="B20" s="95" t="s">
        <v>343</v>
      </c>
      <c r="C20" s="17">
        <f>(0.0309+0.0666+0.5934+0.0084+0.0067+0.0021+0.00056)*7</f>
        <v>4.9606200000000005</v>
      </c>
    </row>
    <row r="21" spans="1:3" ht="16.5" thickBot="1" x14ac:dyDescent="0.3">
      <c r="A21" s="151"/>
      <c r="B21" s="22" t="s">
        <v>10</v>
      </c>
      <c r="C21" s="26">
        <f>SUM(C12:C20)</f>
        <v>223.14716590163934</v>
      </c>
    </row>
    <row r="22" spans="1:3" ht="16.5" thickBot="1" x14ac:dyDescent="0.3">
      <c r="A22" s="151"/>
      <c r="B22" s="29" t="s">
        <v>11</v>
      </c>
      <c r="C22" s="25">
        <f>C21+C10</f>
        <v>1391.3207659016393</v>
      </c>
    </row>
    <row r="23" spans="1:3" x14ac:dyDescent="0.25">
      <c r="C23" s="28"/>
    </row>
    <row r="24" spans="1:3" ht="16.5" thickBot="1" x14ac:dyDescent="0.3">
      <c r="C24" s="28"/>
    </row>
    <row r="25" spans="1:3" ht="16.5" thickBot="1" x14ac:dyDescent="0.3">
      <c r="A25" s="234" t="s">
        <v>13</v>
      </c>
      <c r="B25" s="235"/>
      <c r="C25" s="30">
        <v>7</v>
      </c>
    </row>
    <row r="26" spans="1:3" ht="16.5" thickBot="1" x14ac:dyDescent="0.3">
      <c r="A26" s="234" t="s">
        <v>59</v>
      </c>
      <c r="B26" s="235"/>
      <c r="C26" s="31">
        <f>C22/C25</f>
        <v>198.76010941451992</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4"/>
  <sheetViews>
    <sheetView view="pageBreakPreview" topLeftCell="A4" zoomScale="60" zoomScaleNormal="70" workbookViewId="0">
      <selection activeCell="E17" sqref="E17"/>
    </sheetView>
  </sheetViews>
  <sheetFormatPr defaultColWidth="8.85546875" defaultRowHeight="15.75" x14ac:dyDescent="0.25"/>
  <cols>
    <col min="1" max="1" width="15.140625" style="18" customWidth="1"/>
    <col min="2" max="2" width="135.28515625" style="18" customWidth="1"/>
    <col min="3" max="3" width="25.28515625" style="18" customWidth="1"/>
    <col min="4" max="4" width="20.85546875" style="18" customWidth="1"/>
    <col min="5" max="16384" width="8.85546875" style="18"/>
  </cols>
  <sheetData>
    <row r="1" spans="1:5" x14ac:dyDescent="0.25">
      <c r="A1" s="222" t="s">
        <v>228</v>
      </c>
      <c r="B1" s="222"/>
      <c r="C1" s="222"/>
    </row>
    <row r="3" spans="1:5" x14ac:dyDescent="0.25">
      <c r="A3" s="234" t="s">
        <v>56</v>
      </c>
      <c r="B3" s="234"/>
      <c r="C3" s="234"/>
    </row>
    <row r="4" spans="1:5" ht="16.5" customHeight="1" x14ac:dyDescent="0.25">
      <c r="A4" s="234" t="s">
        <v>60</v>
      </c>
      <c r="B4" s="234"/>
      <c r="C4" s="234"/>
    </row>
    <row r="5" spans="1:5" ht="16.5" thickBot="1" x14ac:dyDescent="0.3">
      <c r="A5" s="234" t="s">
        <v>229</v>
      </c>
      <c r="B5" s="234"/>
      <c r="C5" s="234"/>
    </row>
    <row r="6" spans="1:5" ht="75" customHeight="1" thickBot="1" x14ac:dyDescent="0.3">
      <c r="A6" s="19" t="s">
        <v>0</v>
      </c>
      <c r="B6" s="20" t="s">
        <v>1</v>
      </c>
      <c r="C6" s="20" t="s">
        <v>2</v>
      </c>
    </row>
    <row r="7" spans="1:5" ht="16.5" thickBot="1" x14ac:dyDescent="0.3">
      <c r="A7" s="21"/>
      <c r="B7" s="22" t="s">
        <v>3</v>
      </c>
      <c r="C7" s="23"/>
    </row>
    <row r="8" spans="1:5" ht="19.5" customHeight="1" thickBot="1" x14ac:dyDescent="0.3">
      <c r="A8" s="21" t="s">
        <v>243</v>
      </c>
      <c r="B8" s="93" t="s">
        <v>557</v>
      </c>
      <c r="C8" s="24">
        <f>(1.2518+3.6817+12.3245+3.0811)*180</f>
        <v>3661.0380000000005</v>
      </c>
    </row>
    <row r="9" spans="1:5" ht="18.75" customHeight="1" thickBot="1" x14ac:dyDescent="0.3">
      <c r="A9" s="21" t="s">
        <v>244</v>
      </c>
      <c r="B9" s="12" t="s">
        <v>241</v>
      </c>
      <c r="C9" s="24">
        <f>C8*0.2409</f>
        <v>881.9440542000001</v>
      </c>
    </row>
    <row r="10" spans="1:5" ht="16.5" thickBot="1" x14ac:dyDescent="0.3">
      <c r="A10" s="21"/>
      <c r="B10" s="22" t="s">
        <v>4</v>
      </c>
      <c r="C10" s="25">
        <f>ROUND(SUM(C8:C9),2)</f>
        <v>4542.9799999999996</v>
      </c>
    </row>
    <row r="11" spans="1:5" ht="16.5" thickBot="1" x14ac:dyDescent="0.3">
      <c r="A11" s="21"/>
      <c r="B11" s="22" t="s">
        <v>5</v>
      </c>
      <c r="C11" s="26"/>
    </row>
    <row r="12" spans="1:5" ht="39" customHeight="1" thickBot="1" x14ac:dyDescent="0.3">
      <c r="A12" s="21" t="s">
        <v>6</v>
      </c>
      <c r="B12" s="93" t="s">
        <v>550</v>
      </c>
      <c r="C12" s="24">
        <f>0.007*1.92*107.7*180</f>
        <v>260.54784000000001</v>
      </c>
    </row>
    <row r="13" spans="1:5" ht="38.25" customHeight="1" thickBot="1" x14ac:dyDescent="0.3">
      <c r="A13" s="21" t="s">
        <v>7</v>
      </c>
      <c r="B13" s="93" t="s">
        <v>556</v>
      </c>
      <c r="C13" s="24">
        <f>0.002*1.92*107.7*180</f>
        <v>74.442240000000012</v>
      </c>
      <c r="D13" s="28"/>
    </row>
    <row r="14" spans="1:5" ht="33" customHeight="1" thickBot="1" x14ac:dyDescent="0.3">
      <c r="A14" s="21" t="s">
        <v>8</v>
      </c>
      <c r="B14" s="93" t="s">
        <v>551</v>
      </c>
      <c r="C14" s="24">
        <f>0.013*180</f>
        <v>2.34</v>
      </c>
    </row>
    <row r="15" spans="1:5" ht="66.75" customHeight="1" thickBot="1" x14ac:dyDescent="0.3">
      <c r="A15" s="21" t="s">
        <v>49</v>
      </c>
      <c r="B15" s="94" t="s">
        <v>549</v>
      </c>
      <c r="C15" s="26">
        <f>(7.26*180)+(0.0216*180)</f>
        <v>1310.6879999999999</v>
      </c>
    </row>
    <row r="16" spans="1:5" ht="33.75" customHeight="1" thickBot="1" x14ac:dyDescent="0.3">
      <c r="A16" s="21" t="s">
        <v>51</v>
      </c>
      <c r="B16" s="93" t="s">
        <v>552</v>
      </c>
      <c r="C16" s="24">
        <f>0.003*180</f>
        <v>0.54</v>
      </c>
      <c r="E16" s="27"/>
    </row>
    <row r="17" spans="1:7" ht="39.75" customHeight="1" thickBot="1" x14ac:dyDescent="0.3">
      <c r="A17" s="21" t="s">
        <v>50</v>
      </c>
      <c r="B17" s="93" t="s">
        <v>553</v>
      </c>
      <c r="C17" s="170">
        <f>217.6</f>
        <v>217.6</v>
      </c>
    </row>
    <row r="18" spans="1:7" ht="36.75" customHeight="1" thickBot="1" x14ac:dyDescent="0.3">
      <c r="A18" s="21" t="s">
        <v>53</v>
      </c>
      <c r="B18" s="93" t="s">
        <v>554</v>
      </c>
      <c r="C18" s="24">
        <f>0.02*1.92*107.7*180</f>
        <v>744.42239999999993</v>
      </c>
    </row>
    <row r="19" spans="1:7" ht="37.5" customHeight="1" thickBot="1" x14ac:dyDescent="0.3">
      <c r="A19" s="21" t="s">
        <v>52</v>
      </c>
      <c r="B19" s="93" t="s">
        <v>555</v>
      </c>
      <c r="C19" s="24">
        <f>(0.0318+0.0042+0.0426+0.0924+0.0317+0.0053)*180</f>
        <v>37.44</v>
      </c>
      <c r="G19" s="28"/>
    </row>
    <row r="20" spans="1:7" ht="16.5" thickBot="1" x14ac:dyDescent="0.3">
      <c r="A20" s="21"/>
      <c r="B20" s="22" t="s">
        <v>10</v>
      </c>
      <c r="C20" s="26">
        <f>SUM(C12:C19)</f>
        <v>2648.0204799999997</v>
      </c>
    </row>
    <row r="21" spans="1:7" ht="16.5" thickBot="1" x14ac:dyDescent="0.3">
      <c r="A21" s="21"/>
      <c r="B21" s="29" t="s">
        <v>11</v>
      </c>
      <c r="C21" s="25">
        <f>C20+C10</f>
        <v>7191.0004799999988</v>
      </c>
      <c r="E21" s="28"/>
    </row>
    <row r="22" spans="1:7" ht="16.5" thickBot="1" x14ac:dyDescent="0.3">
      <c r="C22" s="28"/>
    </row>
    <row r="23" spans="1:7" ht="16.5" thickBot="1" x14ac:dyDescent="0.3">
      <c r="A23" s="234" t="s">
        <v>13</v>
      </c>
      <c r="B23" s="235"/>
      <c r="C23" s="30">
        <v>180</v>
      </c>
    </row>
    <row r="24" spans="1:7" ht="20.25" customHeight="1" thickBot="1" x14ac:dyDescent="0.3">
      <c r="A24" s="234" t="s">
        <v>59</v>
      </c>
      <c r="B24" s="235"/>
      <c r="C24" s="31">
        <f>C21/C23</f>
        <v>39.950002666666663</v>
      </c>
    </row>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76" fitToHeight="0" orientation="landscape" r:id="rId1"/>
  <headerFooter differentFirst="1">
    <oddFooter>&amp;C&amp;P</oddFooter>
    <firstFooter>&amp;L&amp;10VManotp_130617_VTMECmaks&amp;C&amp;P</firstFooter>
  </headerFooter>
  <colBreaks count="1" manualBreakCount="1">
    <brk id="3" min="2" max="2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28"/>
  <sheetViews>
    <sheetView view="pageBreakPreview" topLeftCell="A4" zoomScale="80" zoomScaleNormal="80" zoomScaleSheetLayoutView="80" workbookViewId="0">
      <selection activeCell="E21" sqref="E21"/>
    </sheetView>
  </sheetViews>
  <sheetFormatPr defaultColWidth="8.85546875" defaultRowHeight="15.75" x14ac:dyDescent="0.25"/>
  <cols>
    <col min="1" max="1" width="13" style="18" customWidth="1"/>
    <col min="2" max="2" width="126.85546875" style="18" customWidth="1"/>
    <col min="3" max="3" width="22.42578125" style="18" customWidth="1"/>
    <col min="4" max="4" width="24.57031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168</v>
      </c>
      <c r="B4" s="234"/>
      <c r="C4" s="234"/>
    </row>
    <row r="5" spans="1:7" ht="16.5" thickBot="1" x14ac:dyDescent="0.3">
      <c r="A5" s="234" t="s">
        <v>229</v>
      </c>
      <c r="B5" s="234"/>
      <c r="C5" s="234"/>
    </row>
    <row r="6" spans="1:7" ht="86.25" customHeight="1" thickBot="1" x14ac:dyDescent="0.3">
      <c r="A6" s="19" t="s">
        <v>0</v>
      </c>
      <c r="B6" s="20" t="s">
        <v>1</v>
      </c>
      <c r="C6" s="20" t="s">
        <v>2</v>
      </c>
    </row>
    <row r="7" spans="1:7" ht="16.5" thickBot="1" x14ac:dyDescent="0.3">
      <c r="A7" s="21"/>
      <c r="B7" s="22" t="s">
        <v>3</v>
      </c>
      <c r="C7" s="23"/>
    </row>
    <row r="8" spans="1:7" ht="21" customHeight="1" thickBot="1" x14ac:dyDescent="0.3">
      <c r="A8" s="21" t="s">
        <v>243</v>
      </c>
      <c r="B8" s="93" t="s">
        <v>359</v>
      </c>
      <c r="C8" s="24">
        <f>(4.9334+10.2293)*7</f>
        <v>106.13890000000001</v>
      </c>
    </row>
    <row r="9" spans="1:7" ht="16.5" thickBot="1" x14ac:dyDescent="0.3">
      <c r="A9" s="21" t="s">
        <v>244</v>
      </c>
      <c r="B9" s="12" t="s">
        <v>241</v>
      </c>
      <c r="C9" s="24">
        <f>C8*0.2409</f>
        <v>25.568861010000003</v>
      </c>
    </row>
    <row r="10" spans="1:7" ht="16.5" thickBot="1" x14ac:dyDescent="0.3">
      <c r="A10" s="21"/>
      <c r="B10" s="22" t="s">
        <v>4</v>
      </c>
      <c r="C10" s="25">
        <f>SUM(C8:C9)</f>
        <v>131.70776101000001</v>
      </c>
    </row>
    <row r="11" spans="1:7" ht="16.5" thickBot="1" x14ac:dyDescent="0.3">
      <c r="A11" s="21"/>
      <c r="B11" s="22" t="s">
        <v>5</v>
      </c>
      <c r="C11" s="26"/>
      <c r="E11" s="27"/>
    </row>
    <row r="12" spans="1:7" s="34" customFormat="1" ht="33.75" customHeight="1" thickBot="1" x14ac:dyDescent="0.3">
      <c r="A12" s="21" t="s">
        <v>6</v>
      </c>
      <c r="B12" s="93" t="s">
        <v>358</v>
      </c>
      <c r="C12" s="24">
        <f>1.1309*7</f>
        <v>7.9162999999999997</v>
      </c>
    </row>
    <row r="13" spans="1:7" ht="33.75" customHeight="1" thickBot="1" x14ac:dyDescent="0.3">
      <c r="A13" s="21" t="s">
        <v>7</v>
      </c>
      <c r="B13" s="93" t="s">
        <v>357</v>
      </c>
      <c r="C13" s="24">
        <f>0.3231*7</f>
        <v>2.2616999999999998</v>
      </c>
    </row>
    <row r="14" spans="1:7" ht="32.25" thickBot="1" x14ac:dyDescent="0.3">
      <c r="A14" s="21" t="s">
        <v>8</v>
      </c>
      <c r="B14" s="12" t="s">
        <v>356</v>
      </c>
      <c r="C14" s="24">
        <f>0.013*7</f>
        <v>9.0999999999999998E-2</v>
      </c>
      <c r="G14" s="28"/>
    </row>
    <row r="15" spans="1:7" ht="34.5" customHeight="1" thickBot="1" x14ac:dyDescent="0.3">
      <c r="A15" s="21" t="s">
        <v>49</v>
      </c>
      <c r="B15" s="127" t="s">
        <v>355</v>
      </c>
      <c r="C15" s="9">
        <f>0.0074*7</f>
        <v>5.1799999999999999E-2</v>
      </c>
    </row>
    <row r="16" spans="1:7" ht="32.25" thickBot="1" x14ac:dyDescent="0.3">
      <c r="A16" s="21" t="s">
        <v>51</v>
      </c>
      <c r="B16" s="7" t="s">
        <v>354</v>
      </c>
      <c r="C16" s="17">
        <f>0.003*7</f>
        <v>2.1000000000000001E-2</v>
      </c>
    </row>
    <row r="17" spans="1:5" ht="32.25" thickBot="1" x14ac:dyDescent="0.3">
      <c r="A17" s="33" t="s">
        <v>50</v>
      </c>
      <c r="B17" s="7" t="s">
        <v>793</v>
      </c>
      <c r="C17" s="170">
        <v>50.65</v>
      </c>
    </row>
    <row r="18" spans="1:5" ht="48" thickBot="1" x14ac:dyDescent="0.3">
      <c r="A18" s="21" t="s">
        <v>53</v>
      </c>
      <c r="B18" s="12" t="s">
        <v>353</v>
      </c>
      <c r="C18" s="24">
        <f>3.231*7</f>
        <v>22.616999999999997</v>
      </c>
    </row>
    <row r="19" spans="1:5" ht="36" customHeight="1" thickBot="1" x14ac:dyDescent="0.3">
      <c r="A19" s="21" t="s">
        <v>52</v>
      </c>
      <c r="B19" s="95" t="s">
        <v>792</v>
      </c>
      <c r="C19" s="17">
        <f>0.1303*7</f>
        <v>0.91210000000000002</v>
      </c>
    </row>
    <row r="20" spans="1:5" ht="21" customHeight="1" thickBot="1" x14ac:dyDescent="0.3">
      <c r="A20" s="21"/>
      <c r="B20" s="22" t="s">
        <v>10</v>
      </c>
      <c r="C20" s="26">
        <f>SUM(C12:C19)</f>
        <v>84.520899999999997</v>
      </c>
    </row>
    <row r="21" spans="1:5" ht="16.5" thickBot="1" x14ac:dyDescent="0.3">
      <c r="A21" s="21"/>
      <c r="B21" s="29" t="s">
        <v>11</v>
      </c>
      <c r="C21" s="25">
        <f>C20+C10</f>
        <v>216.22866101</v>
      </c>
      <c r="E21" s="28"/>
    </row>
    <row r="22" spans="1:5" ht="16.5" thickBot="1" x14ac:dyDescent="0.3">
      <c r="C22" s="28"/>
    </row>
    <row r="23" spans="1:5" ht="16.5" thickBot="1" x14ac:dyDescent="0.3">
      <c r="A23" s="234" t="s">
        <v>13</v>
      </c>
      <c r="B23" s="235"/>
      <c r="C23" s="30">
        <v>7</v>
      </c>
    </row>
    <row r="24" spans="1:5" ht="16.5" thickBot="1" x14ac:dyDescent="0.3">
      <c r="A24" s="234" t="s">
        <v>59</v>
      </c>
      <c r="B24" s="235"/>
      <c r="C24" s="31">
        <f>C21/C23</f>
        <v>30.889808715714285</v>
      </c>
    </row>
    <row r="27" spans="1:5" ht="16.5" customHeight="1" x14ac:dyDescent="0.25"/>
    <row r="28" spans="1:5"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80" fitToHeight="0" orientation="landscape" r:id="rId1"/>
  <headerFooter differentFirst="1">
    <oddFooter>&amp;C&amp;P</oddFooter>
    <firstFooter>&amp;L&amp;10VManotp_130617_VTMECmaks&amp;C&amp;P</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G30"/>
  <sheetViews>
    <sheetView view="pageBreakPreview" topLeftCell="A2" zoomScale="80" zoomScaleNormal="80" zoomScaleSheetLayoutView="80" workbookViewId="0">
      <selection activeCell="B24" sqref="B24"/>
    </sheetView>
  </sheetViews>
  <sheetFormatPr defaultColWidth="8.85546875" defaultRowHeight="15.75" x14ac:dyDescent="0.25"/>
  <cols>
    <col min="1" max="1" width="14.7109375" style="18" customWidth="1"/>
    <col min="2" max="2" width="137.140625" style="18" customWidth="1"/>
    <col min="3" max="3" width="19.8554687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167</v>
      </c>
      <c r="B4" s="234"/>
      <c r="C4" s="234"/>
    </row>
    <row r="5" spans="1:7" ht="16.5" thickBot="1" x14ac:dyDescent="0.3">
      <c r="A5" s="234" t="s">
        <v>229</v>
      </c>
      <c r="B5" s="234"/>
      <c r="C5" s="234"/>
    </row>
    <row r="6" spans="1:7" ht="90" customHeight="1" thickBot="1" x14ac:dyDescent="0.3">
      <c r="A6" s="19" t="s">
        <v>0</v>
      </c>
      <c r="B6" s="20" t="s">
        <v>1</v>
      </c>
      <c r="C6" s="20" t="s">
        <v>2</v>
      </c>
    </row>
    <row r="7" spans="1:7" ht="16.5" thickBot="1" x14ac:dyDescent="0.3">
      <c r="A7" s="21"/>
      <c r="B7" s="22" t="s">
        <v>3</v>
      </c>
      <c r="C7" s="23"/>
    </row>
    <row r="8" spans="1:7" ht="16.5" customHeight="1" thickBot="1" x14ac:dyDescent="0.3">
      <c r="A8" s="21" t="s">
        <v>243</v>
      </c>
      <c r="B8" s="93" t="s">
        <v>365</v>
      </c>
      <c r="C8" s="24">
        <f>(49.0288+110.9205+119.2842+10.918+1.8504+4.298)*1</f>
        <v>296.29989999999998</v>
      </c>
    </row>
    <row r="9" spans="1:7" ht="16.5" thickBot="1" x14ac:dyDescent="0.3">
      <c r="A9" s="21" t="s">
        <v>244</v>
      </c>
      <c r="B9" s="12" t="s">
        <v>241</v>
      </c>
      <c r="C9" s="24">
        <f>C8*0.2409</f>
        <v>71.378645910000003</v>
      </c>
    </row>
    <row r="10" spans="1:7" ht="16.5" thickBot="1" x14ac:dyDescent="0.3">
      <c r="A10" s="21"/>
      <c r="B10" s="22" t="s">
        <v>4</v>
      </c>
      <c r="C10" s="25">
        <f>SUM(C8:C9)</f>
        <v>367.67854590999997</v>
      </c>
    </row>
    <row r="11" spans="1:7" ht="16.5" thickBot="1" x14ac:dyDescent="0.3">
      <c r="A11" s="21"/>
      <c r="B11" s="22" t="s">
        <v>5</v>
      </c>
      <c r="C11" s="26"/>
      <c r="E11" s="27"/>
    </row>
    <row r="12" spans="1:7" s="34" customFormat="1" ht="32.25" thickBot="1" x14ac:dyDescent="0.3">
      <c r="A12" s="21" t="s">
        <v>6</v>
      </c>
      <c r="B12" s="93" t="s">
        <v>364</v>
      </c>
      <c r="C12" s="24">
        <f>4795/940</f>
        <v>5.1010638297872344</v>
      </c>
    </row>
    <row r="13" spans="1:7" s="34" customFormat="1" ht="32.25" thickBot="1" x14ac:dyDescent="0.3">
      <c r="A13" s="21" t="s">
        <v>7</v>
      </c>
      <c r="B13" s="93" t="s">
        <v>363</v>
      </c>
      <c r="C13" s="24">
        <f>1108.63/940</f>
        <v>1.1793936170212767</v>
      </c>
    </row>
    <row r="14" spans="1:7" ht="32.25" thickBot="1" x14ac:dyDescent="0.3">
      <c r="A14" s="21" t="s">
        <v>8</v>
      </c>
      <c r="B14" s="93" t="s">
        <v>362</v>
      </c>
      <c r="C14" s="24">
        <f>(0.009+0.004)*20</f>
        <v>0.26</v>
      </c>
    </row>
    <row r="15" spans="1:7" ht="33.75" customHeight="1" thickBot="1" x14ac:dyDescent="0.3">
      <c r="A15" s="21" t="s">
        <v>49</v>
      </c>
      <c r="B15" s="94" t="s">
        <v>361</v>
      </c>
      <c r="C15" s="9">
        <f>1.6661/190</f>
        <v>8.7689473684210515E-3</v>
      </c>
      <c r="G15" s="28"/>
    </row>
    <row r="16" spans="1:7" ht="34.5" customHeight="1" thickBot="1" x14ac:dyDescent="0.3">
      <c r="A16" s="21" t="s">
        <v>51</v>
      </c>
      <c r="B16" s="95" t="s">
        <v>360</v>
      </c>
      <c r="C16" s="17">
        <f>(2.94+3.9669+3.0331+0.4081)/190</f>
        <v>5.4463684210526317E-2</v>
      </c>
    </row>
    <row r="17" spans="1:3" ht="18" customHeight="1" thickBot="1" x14ac:dyDescent="0.3">
      <c r="A17" s="33" t="s">
        <v>50</v>
      </c>
      <c r="B17" s="93" t="s">
        <v>797</v>
      </c>
      <c r="C17" s="24">
        <f>(0.081+0.33+0.0258+0.698+0.106+0.0828+0.4962+0.6503+0.0951+0.06+0.026+0.9+0.0306+0.156)</f>
        <v>3.7378</v>
      </c>
    </row>
    <row r="18" spans="1:3" ht="16.5" thickBot="1" x14ac:dyDescent="0.3">
      <c r="A18" s="33" t="s">
        <v>9</v>
      </c>
      <c r="B18" s="37" t="s">
        <v>796</v>
      </c>
      <c r="C18" s="24">
        <f>0.0273+0.0573+0.139</f>
        <v>0.22360000000000002</v>
      </c>
    </row>
    <row r="19" spans="1:3" ht="32.25" thickBot="1" x14ac:dyDescent="0.3">
      <c r="A19" s="21" t="s">
        <v>53</v>
      </c>
      <c r="B19" s="12" t="s">
        <v>795</v>
      </c>
      <c r="C19" s="24">
        <f>139008.78/11284</f>
        <v>12.319104927330734</v>
      </c>
    </row>
    <row r="20" spans="1:3" ht="33" customHeight="1" thickBot="1" x14ac:dyDescent="0.3">
      <c r="A20" s="21" t="s">
        <v>52</v>
      </c>
      <c r="B20" s="167" t="s">
        <v>794</v>
      </c>
      <c r="C20" s="17">
        <f>0.564+0.0112+0.009+0.0468+0.33+0.1674+0.0228+0.0116+0.0021</f>
        <v>1.1648999999999998</v>
      </c>
    </row>
    <row r="21" spans="1:3" ht="16.5" thickBot="1" x14ac:dyDescent="0.3">
      <c r="A21" s="21"/>
      <c r="B21" s="22" t="s">
        <v>10</v>
      </c>
      <c r="C21" s="26">
        <f>SUM(C12:C20)</f>
        <v>24.04909500571819</v>
      </c>
    </row>
    <row r="22" spans="1:3" ht="16.5" thickBot="1" x14ac:dyDescent="0.3">
      <c r="A22" s="21"/>
      <c r="B22" s="29" t="s">
        <v>11</v>
      </c>
      <c r="C22" s="25">
        <f>C21+C10</f>
        <v>391.72764091571815</v>
      </c>
    </row>
    <row r="23" spans="1:3" x14ac:dyDescent="0.25">
      <c r="C23" s="28"/>
    </row>
    <row r="24" spans="1:3" ht="16.5" thickBot="1" x14ac:dyDescent="0.3">
      <c r="C24" s="28"/>
    </row>
    <row r="25" spans="1:3" ht="16.5" thickBot="1" x14ac:dyDescent="0.3">
      <c r="A25" s="234" t="s">
        <v>13</v>
      </c>
      <c r="B25" s="235"/>
      <c r="C25" s="30">
        <v>1</v>
      </c>
    </row>
    <row r="26" spans="1:3" ht="16.5" thickBot="1" x14ac:dyDescent="0.3">
      <c r="A26" s="234" t="s">
        <v>59</v>
      </c>
      <c r="B26" s="235"/>
      <c r="C26" s="31">
        <f>C22/C25</f>
        <v>391.72764091571815</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79" fitToHeight="0" orientation="landscape" r:id="rId1"/>
  <headerFooter differentFirst="1">
    <oddFooter>&amp;C&amp;P</oddFooter>
    <firstFooter>&amp;L&amp;10VManotp_130617_VTMECmaks&amp;C&amp;P</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30"/>
  <sheetViews>
    <sheetView view="pageBreakPreview" zoomScale="60" zoomScaleNormal="80" workbookViewId="0">
      <selection activeCell="B23" sqref="B23"/>
    </sheetView>
  </sheetViews>
  <sheetFormatPr defaultColWidth="8.85546875" defaultRowHeight="15.75" x14ac:dyDescent="0.25"/>
  <cols>
    <col min="1" max="1" width="15.140625" style="18" customWidth="1"/>
    <col min="2" max="2" width="118.85546875" style="18" customWidth="1"/>
    <col min="3" max="3" width="23.14062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169</v>
      </c>
      <c r="B4" s="234"/>
      <c r="C4" s="234"/>
    </row>
    <row r="5" spans="1:7" ht="16.5" thickBot="1" x14ac:dyDescent="0.3">
      <c r="A5" s="234" t="s">
        <v>229</v>
      </c>
      <c r="B5" s="234"/>
      <c r="C5" s="234"/>
    </row>
    <row r="6" spans="1:7" ht="86.25" customHeight="1" thickBot="1" x14ac:dyDescent="0.3">
      <c r="A6" s="19" t="s">
        <v>0</v>
      </c>
      <c r="B6" s="20" t="s">
        <v>1</v>
      </c>
      <c r="C6" s="20" t="s">
        <v>2</v>
      </c>
    </row>
    <row r="7" spans="1:7" ht="16.5" thickBot="1" x14ac:dyDescent="0.3">
      <c r="A7" s="21"/>
      <c r="B7" s="22" t="s">
        <v>3</v>
      </c>
      <c r="C7" s="23"/>
    </row>
    <row r="8" spans="1:7" ht="18.75" customHeight="1" thickBot="1" x14ac:dyDescent="0.3">
      <c r="A8" s="21" t="s">
        <v>243</v>
      </c>
      <c r="B8" s="93" t="s">
        <v>374</v>
      </c>
      <c r="C8" s="24">
        <f>(88.3596+35.2224+10.9028)*1</f>
        <v>134.48480000000001</v>
      </c>
    </row>
    <row r="9" spans="1:7" ht="16.5" thickBot="1" x14ac:dyDescent="0.3">
      <c r="A9" s="21" t="s">
        <v>244</v>
      </c>
      <c r="B9" s="93" t="s">
        <v>241</v>
      </c>
      <c r="C9" s="24">
        <f>C8*0.2409</f>
        <v>32.397388320000005</v>
      </c>
    </row>
    <row r="10" spans="1:7" ht="16.5" thickBot="1" x14ac:dyDescent="0.3">
      <c r="A10" s="21"/>
      <c r="B10" s="121" t="s">
        <v>4</v>
      </c>
      <c r="C10" s="25">
        <f>SUM(C8:C9)</f>
        <v>166.88218832000001</v>
      </c>
    </row>
    <row r="11" spans="1:7" ht="16.5" thickBot="1" x14ac:dyDescent="0.3">
      <c r="A11" s="21"/>
      <c r="B11" s="121" t="s">
        <v>5</v>
      </c>
      <c r="C11" s="26"/>
      <c r="E11" s="27"/>
    </row>
    <row r="12" spans="1:7" s="34" customFormat="1" ht="16.5" thickBot="1" x14ac:dyDescent="0.3">
      <c r="A12" s="21" t="s">
        <v>6</v>
      </c>
      <c r="B12" s="93" t="s">
        <v>373</v>
      </c>
      <c r="C12" s="24">
        <f>0.007*9*98.2</f>
        <v>6.1866000000000003</v>
      </c>
    </row>
    <row r="13" spans="1:7" s="34" customFormat="1" ht="18.75" customHeight="1" thickBot="1" x14ac:dyDescent="0.3">
      <c r="A13" s="21" t="s">
        <v>7</v>
      </c>
      <c r="B13" s="93" t="s">
        <v>372</v>
      </c>
      <c r="C13" s="24">
        <f>0.002*9*98.2</f>
        <v>1.7676000000000003</v>
      </c>
    </row>
    <row r="14" spans="1:7" ht="32.25" thickBot="1" x14ac:dyDescent="0.3">
      <c r="A14" s="21" t="s">
        <v>8</v>
      </c>
      <c r="B14" s="93" t="s">
        <v>371</v>
      </c>
      <c r="C14" s="24">
        <f>(0.009+0.004)*4</f>
        <v>5.1999999999999998E-2</v>
      </c>
    </row>
    <row r="15" spans="1:7" ht="32.25" thickBot="1" x14ac:dyDescent="0.3">
      <c r="A15" s="21" t="s">
        <v>49</v>
      </c>
      <c r="B15" s="201" t="s">
        <v>370</v>
      </c>
      <c r="C15" s="38">
        <f>0.3767/122</f>
        <v>3.0877049180327867E-3</v>
      </c>
      <c r="G15" s="28"/>
    </row>
    <row r="16" spans="1:7" ht="36" customHeight="1" thickBot="1" x14ac:dyDescent="0.3">
      <c r="A16" s="21" t="s">
        <v>51</v>
      </c>
      <c r="B16" s="95" t="s">
        <v>369</v>
      </c>
      <c r="C16" s="17">
        <f>(2.1+2.1665+2.1665+0.2915)/122</f>
        <v>5.5118852459016397E-2</v>
      </c>
    </row>
    <row r="17" spans="1:3" ht="34.5" customHeight="1" thickBot="1" x14ac:dyDescent="0.3">
      <c r="A17" s="33" t="s">
        <v>50</v>
      </c>
      <c r="B17" s="95" t="s">
        <v>368</v>
      </c>
      <c r="C17" s="24">
        <f>0.081+0.066+0.0515+0.9+0.0636+0.0207+0.021+0.3121+0.019+0.0179+0.3872+0.1+1.4036+0.033+0.0201+0.0408+0.0151+0.1354+0.1904+1.5</f>
        <v>5.3783999999999992</v>
      </c>
    </row>
    <row r="18" spans="1:3" ht="34.5" customHeight="1" thickBot="1" x14ac:dyDescent="0.3">
      <c r="A18" s="33" t="s">
        <v>9</v>
      </c>
      <c r="B18" s="135" t="s">
        <v>367</v>
      </c>
      <c r="C18" s="24">
        <f>0.0164+0.0343</f>
        <v>5.0699999999999995E-2</v>
      </c>
    </row>
    <row r="19" spans="1:3" ht="30.75" customHeight="1" thickBot="1" x14ac:dyDescent="0.3">
      <c r="A19" s="21" t="s">
        <v>53</v>
      </c>
      <c r="B19" s="93" t="s">
        <v>366</v>
      </c>
      <c r="C19" s="24">
        <f>0.02*9*98.2</f>
        <v>17.675999999999998</v>
      </c>
    </row>
    <row r="20" spans="1:3" ht="33.75" customHeight="1" thickBot="1" x14ac:dyDescent="0.3">
      <c r="A20" s="21" t="s">
        <v>52</v>
      </c>
      <c r="B20" s="95" t="s">
        <v>798</v>
      </c>
      <c r="C20" s="17">
        <f>0.0309+0.0666+0.5934+0.0084+0.0067+0.0021+0.00056</f>
        <v>0.70866000000000007</v>
      </c>
    </row>
    <row r="21" spans="1:3" ht="16.5" thickBot="1" x14ac:dyDescent="0.3">
      <c r="A21" s="21"/>
      <c r="B21" s="22" t="s">
        <v>10</v>
      </c>
      <c r="C21" s="26">
        <f>SUM(C12:C20)</f>
        <v>31.87816655737705</v>
      </c>
    </row>
    <row r="22" spans="1:3" ht="16.5" thickBot="1" x14ac:dyDescent="0.3">
      <c r="A22" s="21"/>
      <c r="B22" s="29" t="s">
        <v>11</v>
      </c>
      <c r="C22" s="25">
        <f>C21+C10</f>
        <v>198.76035487737707</v>
      </c>
    </row>
    <row r="23" spans="1:3" x14ac:dyDescent="0.25">
      <c r="C23" s="28"/>
    </row>
    <row r="24" spans="1:3" ht="16.5" thickBot="1" x14ac:dyDescent="0.3">
      <c r="C24" s="28"/>
    </row>
    <row r="25" spans="1:3" ht="16.5" thickBot="1" x14ac:dyDescent="0.3">
      <c r="A25" s="234" t="s">
        <v>13</v>
      </c>
      <c r="B25" s="235"/>
      <c r="C25" s="30">
        <v>1</v>
      </c>
    </row>
    <row r="26" spans="1:3" ht="16.5" thickBot="1" x14ac:dyDescent="0.3">
      <c r="A26" s="234" t="s">
        <v>59</v>
      </c>
      <c r="B26" s="235"/>
      <c r="C26" s="31">
        <f>C22/C25</f>
        <v>198.76035487737707</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83" fitToHeight="0" orientation="landscape" r:id="rId1"/>
  <headerFooter differentFirst="1">
    <oddFooter>&amp;C&amp;P</oddFooter>
    <firstFooter>&amp;L&amp;10VManotp_130617_VTMECmaks&amp;C&amp;P</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G29"/>
  <sheetViews>
    <sheetView view="pageBreakPreview" topLeftCell="A4" zoomScale="60" zoomScaleNormal="80" workbookViewId="0">
      <selection activeCell="B8" sqref="B8"/>
    </sheetView>
  </sheetViews>
  <sheetFormatPr defaultColWidth="8.85546875" defaultRowHeight="15.75" x14ac:dyDescent="0.25"/>
  <cols>
    <col min="1" max="1" width="15.28515625" style="18" customWidth="1"/>
    <col min="2" max="2" width="129.42578125" style="18" customWidth="1"/>
    <col min="3" max="3" width="22.140625" style="18" customWidth="1"/>
    <col min="4" max="4" width="37"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170</v>
      </c>
      <c r="B4" s="234"/>
      <c r="C4" s="234"/>
    </row>
    <row r="5" spans="1:7" ht="16.5" thickBot="1" x14ac:dyDescent="0.3">
      <c r="A5" s="234" t="s">
        <v>229</v>
      </c>
      <c r="B5" s="234"/>
      <c r="C5" s="234"/>
    </row>
    <row r="6" spans="1:7" ht="86.25" customHeight="1" thickBot="1" x14ac:dyDescent="0.3">
      <c r="A6" s="19" t="s">
        <v>0</v>
      </c>
      <c r="B6" s="20" t="s">
        <v>1</v>
      </c>
      <c r="C6" s="20" t="s">
        <v>2</v>
      </c>
    </row>
    <row r="7" spans="1:7" ht="16.5" thickBot="1" x14ac:dyDescent="0.3">
      <c r="A7" s="21"/>
      <c r="B7" s="22" t="s">
        <v>3</v>
      </c>
      <c r="C7" s="23"/>
    </row>
    <row r="8" spans="1:7" ht="32.25" thickBot="1" x14ac:dyDescent="0.3">
      <c r="A8" s="21" t="s">
        <v>243</v>
      </c>
      <c r="B8" s="93" t="s">
        <v>380</v>
      </c>
      <c r="C8" s="24">
        <f>(4.9334+10.2293)*1</f>
        <v>15.162700000000001</v>
      </c>
    </row>
    <row r="9" spans="1:7" ht="16.5" thickBot="1" x14ac:dyDescent="0.3">
      <c r="A9" s="21" t="s">
        <v>244</v>
      </c>
      <c r="B9" s="93" t="s">
        <v>241</v>
      </c>
      <c r="C9" s="24">
        <f>ROUND(C8*0.2409,2)</f>
        <v>3.65</v>
      </c>
    </row>
    <row r="10" spans="1:7" ht="16.5" thickBot="1" x14ac:dyDescent="0.3">
      <c r="A10" s="21"/>
      <c r="B10" s="121" t="s">
        <v>4</v>
      </c>
      <c r="C10" s="25">
        <f>SUM(C8:C9)</f>
        <v>18.8127</v>
      </c>
    </row>
    <row r="11" spans="1:7" ht="16.5" thickBot="1" x14ac:dyDescent="0.3">
      <c r="A11" s="21"/>
      <c r="B11" s="121" t="s">
        <v>5</v>
      </c>
      <c r="C11" s="26"/>
      <c r="E11" s="27"/>
    </row>
    <row r="12" spans="1:7" s="34" customFormat="1" ht="32.25" thickBot="1" x14ac:dyDescent="0.3">
      <c r="A12" s="21" t="s">
        <v>6</v>
      </c>
      <c r="B12" s="93" t="s">
        <v>801</v>
      </c>
      <c r="C12" s="24">
        <f>0.007*1.5*107.7</f>
        <v>1.1308500000000001</v>
      </c>
    </row>
    <row r="13" spans="1:7" ht="32.25" thickBot="1" x14ac:dyDescent="0.3">
      <c r="A13" s="21" t="s">
        <v>7</v>
      </c>
      <c r="B13" s="93" t="s">
        <v>379</v>
      </c>
      <c r="C13" s="24">
        <f>0.002*1.5*107.7</f>
        <v>0.3231</v>
      </c>
    </row>
    <row r="14" spans="1:7" ht="32.25" thickBot="1" x14ac:dyDescent="0.3">
      <c r="A14" s="21" t="s">
        <v>8</v>
      </c>
      <c r="B14" s="93" t="s">
        <v>378</v>
      </c>
      <c r="C14" s="24">
        <f>0.009+0.004</f>
        <v>1.2999999999999999E-2</v>
      </c>
      <c r="G14" s="28"/>
    </row>
    <row r="15" spans="1:7" ht="35.25" customHeight="1" thickBot="1" x14ac:dyDescent="0.3">
      <c r="A15" s="21" t="s">
        <v>49</v>
      </c>
      <c r="B15" s="127" t="s">
        <v>377</v>
      </c>
      <c r="C15" s="38">
        <f>2.25/305</f>
        <v>7.3770491803278691E-3</v>
      </c>
    </row>
    <row r="16" spans="1:7" ht="36" customHeight="1" thickBot="1" x14ac:dyDescent="0.3">
      <c r="A16" s="21" t="s">
        <v>51</v>
      </c>
      <c r="B16" s="95" t="s">
        <v>376</v>
      </c>
      <c r="C16" s="39">
        <v>3.0000000000000001E-3</v>
      </c>
    </row>
    <row r="17" spans="1:3" ht="51" customHeight="1" thickBot="1" x14ac:dyDescent="0.3">
      <c r="A17" s="33" t="s">
        <v>50</v>
      </c>
      <c r="B17" s="95" t="s">
        <v>375</v>
      </c>
      <c r="C17" s="24">
        <f>0.05+0.04+0.01+7.14</f>
        <v>7.2399999999999993</v>
      </c>
    </row>
    <row r="18" spans="1:3" ht="17.25" customHeight="1" thickBot="1" x14ac:dyDescent="0.3">
      <c r="A18" s="21" t="s">
        <v>53</v>
      </c>
      <c r="B18" s="93" t="s">
        <v>800</v>
      </c>
      <c r="C18" s="24">
        <f>0.02*1.5*107.7</f>
        <v>3.2309999999999999</v>
      </c>
    </row>
    <row r="19" spans="1:3" ht="36.75" customHeight="1" thickBot="1" x14ac:dyDescent="0.3">
      <c r="A19" s="21" t="s">
        <v>52</v>
      </c>
      <c r="B19" s="95" t="s">
        <v>799</v>
      </c>
      <c r="C19" s="17">
        <f>0.3947*0.33</f>
        <v>0.13025100000000001</v>
      </c>
    </row>
    <row r="20" spans="1:3" ht="17.25" customHeight="1" thickBot="1" x14ac:dyDescent="0.3">
      <c r="A20" s="21"/>
      <c r="B20" s="22" t="s">
        <v>10</v>
      </c>
      <c r="C20" s="26">
        <f>SUM(C12:C19)</f>
        <v>12.078578049180326</v>
      </c>
    </row>
    <row r="21" spans="1:3" ht="16.5" thickBot="1" x14ac:dyDescent="0.3">
      <c r="A21" s="21"/>
      <c r="B21" s="29" t="s">
        <v>11</v>
      </c>
      <c r="C21" s="25">
        <f>C20+C10</f>
        <v>30.891278049180325</v>
      </c>
    </row>
    <row r="22" spans="1:3" x14ac:dyDescent="0.25">
      <c r="C22" s="28"/>
    </row>
    <row r="23" spans="1:3" ht="16.5" thickBot="1" x14ac:dyDescent="0.3">
      <c r="C23" s="28"/>
    </row>
    <row r="24" spans="1:3" ht="16.5" thickBot="1" x14ac:dyDescent="0.3">
      <c r="A24" s="234" t="s">
        <v>13</v>
      </c>
      <c r="B24" s="235"/>
      <c r="C24" s="30">
        <v>1</v>
      </c>
    </row>
    <row r="25" spans="1:3" ht="16.5" thickBot="1" x14ac:dyDescent="0.3">
      <c r="A25" s="234" t="s">
        <v>59</v>
      </c>
      <c r="B25" s="235"/>
      <c r="C25" s="31">
        <f>C21/C24</f>
        <v>30.891278049180325</v>
      </c>
    </row>
    <row r="28" spans="1:3" ht="16.5" customHeight="1" x14ac:dyDescent="0.25"/>
    <row r="29" spans="1:3"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28"/>
  <sheetViews>
    <sheetView view="pageBreakPreview" zoomScale="60" zoomScaleNormal="80" workbookViewId="0">
      <selection activeCell="C9" sqref="C9"/>
    </sheetView>
  </sheetViews>
  <sheetFormatPr defaultColWidth="8.85546875" defaultRowHeight="15.75" x14ac:dyDescent="0.25"/>
  <cols>
    <col min="1" max="1" width="17.140625" style="18" customWidth="1"/>
    <col min="2" max="2" width="112.7109375" style="18" customWidth="1"/>
    <col min="3" max="3" width="23.42578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161</v>
      </c>
      <c r="B4" s="234"/>
      <c r="C4" s="234"/>
    </row>
    <row r="5" spans="1:7" ht="16.5" thickBot="1" x14ac:dyDescent="0.3">
      <c r="A5" s="234" t="s">
        <v>229</v>
      </c>
      <c r="B5" s="234"/>
      <c r="C5" s="234"/>
    </row>
    <row r="6" spans="1:7" ht="88.5" customHeight="1" thickBot="1" x14ac:dyDescent="0.3">
      <c r="A6" s="19" t="s">
        <v>0</v>
      </c>
      <c r="B6" s="20" t="s">
        <v>1</v>
      </c>
      <c r="C6" s="20" t="s">
        <v>2</v>
      </c>
    </row>
    <row r="7" spans="1:7" ht="16.5" thickBot="1" x14ac:dyDescent="0.3">
      <c r="A7" s="66"/>
      <c r="B7" s="22" t="s">
        <v>3</v>
      </c>
      <c r="C7" s="23"/>
    </row>
    <row r="8" spans="1:7" ht="16.5" customHeight="1" thickBot="1" x14ac:dyDescent="0.3">
      <c r="A8" s="66" t="s">
        <v>243</v>
      </c>
      <c r="B8" s="146" t="s">
        <v>388</v>
      </c>
      <c r="C8" s="17">
        <f>(1.2518+2.0952+12.3245+24.649+12.3245+2.0952+0.7307+3.6817+6.1623)*1</f>
        <v>65.314899999999994</v>
      </c>
    </row>
    <row r="9" spans="1:7" ht="16.5" thickBot="1" x14ac:dyDescent="0.3">
      <c r="A9" s="66" t="s">
        <v>244</v>
      </c>
      <c r="B9" s="12" t="s">
        <v>241</v>
      </c>
      <c r="C9" s="71">
        <f>ROUND(C8*0.2409,2)</f>
        <v>15.73</v>
      </c>
    </row>
    <row r="10" spans="1:7" ht="16.5" thickBot="1" x14ac:dyDescent="0.3">
      <c r="A10" s="66"/>
      <c r="B10" s="22" t="s">
        <v>4</v>
      </c>
      <c r="C10" s="25">
        <f>SUM(C8:C9)</f>
        <v>81.044899999999998</v>
      </c>
      <c r="E10" s="27"/>
    </row>
    <row r="11" spans="1:7" ht="16.5" thickBot="1" x14ac:dyDescent="0.3">
      <c r="A11" s="66"/>
      <c r="B11" s="22" t="s">
        <v>5</v>
      </c>
      <c r="C11" s="16"/>
      <c r="D11" s="32"/>
    </row>
    <row r="12" spans="1:7" ht="32.25" thickBot="1" x14ac:dyDescent="0.3">
      <c r="A12" s="66" t="s">
        <v>6</v>
      </c>
      <c r="B12" s="93" t="s">
        <v>387</v>
      </c>
      <c r="C12" s="71">
        <f>2.0516*1</f>
        <v>2.0516000000000001</v>
      </c>
      <c r="D12" s="28"/>
    </row>
    <row r="13" spans="1:7" ht="32.25" thickBot="1" x14ac:dyDescent="0.3">
      <c r="A13" s="66" t="s">
        <v>7</v>
      </c>
      <c r="B13" s="93" t="s">
        <v>386</v>
      </c>
      <c r="C13" s="71">
        <f>0.1673*1</f>
        <v>0.1673</v>
      </c>
      <c r="G13" s="28"/>
    </row>
    <row r="14" spans="1:7" ht="32.25" thickBot="1" x14ac:dyDescent="0.3">
      <c r="A14" s="66" t="s">
        <v>8</v>
      </c>
      <c r="B14" s="93" t="s">
        <v>385</v>
      </c>
      <c r="C14" s="71">
        <f>0.039*1</f>
        <v>3.9E-2</v>
      </c>
    </row>
    <row r="15" spans="1:7" ht="33" customHeight="1" thickBot="1" x14ac:dyDescent="0.3">
      <c r="A15" s="66" t="s">
        <v>51</v>
      </c>
      <c r="B15" s="93" t="s">
        <v>384</v>
      </c>
      <c r="C15" s="71">
        <f>0.0066*1</f>
        <v>6.6E-3</v>
      </c>
    </row>
    <row r="16" spans="1:7" ht="32.25" thickBot="1" x14ac:dyDescent="0.3">
      <c r="A16" s="66" t="s">
        <v>50</v>
      </c>
      <c r="B16" s="93" t="s">
        <v>383</v>
      </c>
      <c r="C16" s="71">
        <f>0.162+0.16</f>
        <v>0.32200000000000001</v>
      </c>
    </row>
    <row r="17" spans="1:3" ht="32.25" thickBot="1" x14ac:dyDescent="0.3">
      <c r="A17" s="66" t="s">
        <v>53</v>
      </c>
      <c r="B17" s="93" t="s">
        <v>382</v>
      </c>
      <c r="C17" s="71">
        <f>5.8617*1</f>
        <v>5.8616999999999999</v>
      </c>
    </row>
    <row r="18" spans="1:3" ht="35.25" customHeight="1" thickBot="1" x14ac:dyDescent="0.3">
      <c r="A18" s="66" t="s">
        <v>52</v>
      </c>
      <c r="B18" s="93" t="s">
        <v>381</v>
      </c>
      <c r="C18" s="17">
        <f>1.2004+0.0237+0.0158+0.0387+0.0148</f>
        <v>1.2933999999999999</v>
      </c>
    </row>
    <row r="19" spans="1:3" ht="16.5" thickBot="1" x14ac:dyDescent="0.3">
      <c r="A19" s="66"/>
      <c r="B19" s="22" t="s">
        <v>10</v>
      </c>
      <c r="C19" s="26">
        <f>ROUND(SUM(C12:C18),2)</f>
        <v>9.74</v>
      </c>
    </row>
    <row r="20" spans="1:3" ht="16.5" thickBot="1" x14ac:dyDescent="0.3">
      <c r="A20" s="66"/>
      <c r="B20" s="29" t="s">
        <v>11</v>
      </c>
      <c r="C20" s="25">
        <f>C19+C10</f>
        <v>90.784899999999993</v>
      </c>
    </row>
    <row r="21" spans="1:3" x14ac:dyDescent="0.25">
      <c r="C21" s="28"/>
    </row>
    <row r="22" spans="1:3" ht="16.5" thickBot="1" x14ac:dyDescent="0.3">
      <c r="C22" s="28"/>
    </row>
    <row r="23" spans="1:3" ht="16.5" thickBot="1" x14ac:dyDescent="0.3">
      <c r="A23" s="234" t="s">
        <v>13</v>
      </c>
      <c r="B23" s="235"/>
      <c r="C23" s="30">
        <v>1</v>
      </c>
    </row>
    <row r="24" spans="1:3" ht="16.5" thickBot="1" x14ac:dyDescent="0.3">
      <c r="A24" s="234" t="s">
        <v>59</v>
      </c>
      <c r="B24" s="235"/>
      <c r="C24" s="31">
        <f>C20/C23</f>
        <v>90.784899999999993</v>
      </c>
    </row>
    <row r="27" spans="1:3" ht="16.5" customHeight="1" x14ac:dyDescent="0.25"/>
    <row r="28" spans="1:3"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85" fitToHeight="0" orientation="landscape" r:id="rId1"/>
  <headerFooter differentFirst="1">
    <oddFooter>&amp;C&amp;P</oddFooter>
    <firstFooter>&amp;L&amp;10VManotp_130617_VTMECmaks&amp;C&amp;P</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27"/>
  <sheetViews>
    <sheetView view="pageBreakPreview" topLeftCell="A4" zoomScale="60" zoomScaleNormal="80" workbookViewId="0">
      <selection activeCell="K16" sqref="K16"/>
    </sheetView>
  </sheetViews>
  <sheetFormatPr defaultColWidth="8.85546875" defaultRowHeight="15.75" x14ac:dyDescent="0.25"/>
  <cols>
    <col min="1" max="1" width="15.5703125" style="18" customWidth="1"/>
    <col min="2" max="2" width="111.42578125" style="18" customWidth="1"/>
    <col min="3" max="3" width="25.285156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162</v>
      </c>
      <c r="B4" s="234"/>
      <c r="C4" s="234"/>
    </row>
    <row r="5" spans="1:7" ht="16.5" thickBot="1" x14ac:dyDescent="0.3">
      <c r="A5" s="234" t="s">
        <v>229</v>
      </c>
      <c r="B5" s="234"/>
      <c r="C5" s="234"/>
    </row>
    <row r="6" spans="1:7" ht="84.75" customHeight="1" thickBot="1" x14ac:dyDescent="0.3">
      <c r="A6" s="19" t="s">
        <v>0</v>
      </c>
      <c r="B6" s="20" t="s">
        <v>1</v>
      </c>
      <c r="C6" s="20" t="s">
        <v>2</v>
      </c>
    </row>
    <row r="7" spans="1:7" ht="16.5" thickBot="1" x14ac:dyDescent="0.3">
      <c r="A7" s="66"/>
      <c r="B7" s="22" t="s">
        <v>3</v>
      </c>
      <c r="C7" s="23"/>
    </row>
    <row r="8" spans="1:7" ht="16.5" customHeight="1" thickBot="1" x14ac:dyDescent="0.3">
      <c r="A8" s="66" t="s">
        <v>243</v>
      </c>
      <c r="B8" s="93" t="s">
        <v>393</v>
      </c>
      <c r="C8" s="17">
        <f>(1.2518+6.1623+2.0952+12.3245+2.0952+0.7307+3.6817+6.1623)*1</f>
        <v>34.503700000000002</v>
      </c>
    </row>
    <row r="9" spans="1:7" ht="16.5" thickBot="1" x14ac:dyDescent="0.3">
      <c r="A9" s="66" t="s">
        <v>244</v>
      </c>
      <c r="B9" s="93" t="s">
        <v>241</v>
      </c>
      <c r="C9" s="71">
        <f>ROUND(C8*0.2409,2)</f>
        <v>8.31</v>
      </c>
    </row>
    <row r="10" spans="1:7" ht="16.5" thickBot="1" x14ac:dyDescent="0.3">
      <c r="A10" s="66"/>
      <c r="B10" s="121" t="s">
        <v>4</v>
      </c>
      <c r="C10" s="25">
        <f>SUM(C8:C9)</f>
        <v>42.813700000000004</v>
      </c>
      <c r="E10" s="27"/>
    </row>
    <row r="11" spans="1:7" ht="16.5" thickBot="1" x14ac:dyDescent="0.3">
      <c r="A11" s="66"/>
      <c r="B11" s="121" t="s">
        <v>5</v>
      </c>
      <c r="C11" s="16"/>
      <c r="D11" s="32"/>
    </row>
    <row r="12" spans="1:7" ht="16.5" thickBot="1" x14ac:dyDescent="0.3">
      <c r="A12" s="66" t="s">
        <v>6</v>
      </c>
      <c r="B12" s="93" t="s">
        <v>392</v>
      </c>
      <c r="C12" s="71">
        <f>1.0278*1</f>
        <v>1.0278</v>
      </c>
      <c r="D12" s="28"/>
    </row>
    <row r="13" spans="1:7" ht="16.5" thickBot="1" x14ac:dyDescent="0.3">
      <c r="A13" s="66" t="s">
        <v>7</v>
      </c>
      <c r="B13" s="93" t="s">
        <v>391</v>
      </c>
      <c r="C13" s="71">
        <f>0.2937*1</f>
        <v>0.29370000000000002</v>
      </c>
      <c r="G13" s="28"/>
    </row>
    <row r="14" spans="1:7" ht="32.25" thickBot="1" x14ac:dyDescent="0.3">
      <c r="A14" s="66" t="s">
        <v>8</v>
      </c>
      <c r="B14" s="93" t="s">
        <v>385</v>
      </c>
      <c r="C14" s="71">
        <f>0.039*1</f>
        <v>3.9E-2</v>
      </c>
    </row>
    <row r="15" spans="1:7" ht="32.25" thickBot="1" x14ac:dyDescent="0.3">
      <c r="A15" s="66" t="s">
        <v>51</v>
      </c>
      <c r="B15" s="93" t="s">
        <v>384</v>
      </c>
      <c r="C15" s="71">
        <f>0.0066*1</f>
        <v>6.6E-3</v>
      </c>
    </row>
    <row r="16" spans="1:7" ht="32.25" thickBot="1" x14ac:dyDescent="0.3">
      <c r="A16" s="66" t="s">
        <v>50</v>
      </c>
      <c r="B16" s="93" t="s">
        <v>390</v>
      </c>
      <c r="C16" s="71">
        <f>0.054+0.0956+1.0404</f>
        <v>1.19</v>
      </c>
    </row>
    <row r="17" spans="1:3" ht="32.25" thickBot="1" x14ac:dyDescent="0.3">
      <c r="A17" s="66" t="s">
        <v>53</v>
      </c>
      <c r="B17" s="93" t="s">
        <v>389</v>
      </c>
      <c r="C17" s="71">
        <f>2.9367*1</f>
        <v>2.9367000000000001</v>
      </c>
    </row>
    <row r="18" spans="1:3" ht="37.5" customHeight="1" thickBot="1" x14ac:dyDescent="0.3">
      <c r="A18" s="66" t="s">
        <v>52</v>
      </c>
      <c r="B18" s="93" t="s">
        <v>381</v>
      </c>
      <c r="C18" s="17">
        <f>1.2004+0.0237+0.0158+0.0387+0.0148</f>
        <v>1.2933999999999999</v>
      </c>
    </row>
    <row r="19" spans="1:3" ht="16.5" thickBot="1" x14ac:dyDescent="0.3">
      <c r="A19" s="66"/>
      <c r="B19" s="22" t="s">
        <v>10</v>
      </c>
      <c r="C19" s="26">
        <f>SUM(C12:C18)</f>
        <v>6.7872000000000003</v>
      </c>
    </row>
    <row r="20" spans="1:3" ht="16.5" thickBot="1" x14ac:dyDescent="0.3">
      <c r="A20" s="66"/>
      <c r="B20" s="29" t="s">
        <v>11</v>
      </c>
      <c r="C20" s="25">
        <f>C19+C10</f>
        <v>49.600900000000003</v>
      </c>
    </row>
    <row r="21" spans="1:3" ht="16.5" thickBot="1" x14ac:dyDescent="0.3">
      <c r="C21" s="28"/>
    </row>
    <row r="22" spans="1:3" ht="16.5" thickBot="1" x14ac:dyDescent="0.3">
      <c r="A22" s="234" t="s">
        <v>13</v>
      </c>
      <c r="B22" s="235"/>
      <c r="C22" s="30">
        <v>1</v>
      </c>
    </row>
    <row r="23" spans="1:3" ht="16.5" thickBot="1" x14ac:dyDescent="0.3">
      <c r="A23" s="234" t="s">
        <v>59</v>
      </c>
      <c r="B23" s="235"/>
      <c r="C23" s="31">
        <f>C20/C22</f>
        <v>49.600900000000003</v>
      </c>
    </row>
    <row r="26" spans="1:3" ht="16.5" customHeight="1" x14ac:dyDescent="0.25"/>
    <row r="27" spans="1:3" ht="16.5" customHeight="1" x14ac:dyDescent="0.25"/>
  </sheetData>
  <mergeCells count="6">
    <mergeCell ref="A23:B23"/>
    <mergeCell ref="A1:C1"/>
    <mergeCell ref="A3:C3"/>
    <mergeCell ref="A4:C4"/>
    <mergeCell ref="A5:C5"/>
    <mergeCell ref="A22:B22"/>
  </mergeCells>
  <pageMargins left="0.70866141732283472" right="0.70866141732283472" top="0.74803149606299213" bottom="0.74803149606299213" header="0.31496062992125984" footer="0.31496062992125984"/>
  <pageSetup paperSize="9" scale="86" fitToHeight="0" orientation="landscape" r:id="rId1"/>
  <headerFooter differentFirst="1">
    <oddFooter>&amp;C&amp;P</oddFooter>
    <firstFooter>&amp;L&amp;10VManotp_130617_VTMECmaks&amp;C&amp;P</firstFooter>
  </headerFooter>
  <colBreaks count="1" manualBreakCount="1">
    <brk id="3"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29"/>
  <sheetViews>
    <sheetView view="pageBreakPreview" topLeftCell="A4" zoomScale="60" zoomScaleNormal="70" workbookViewId="0">
      <selection activeCell="D14" sqref="D14"/>
    </sheetView>
  </sheetViews>
  <sheetFormatPr defaultColWidth="8.85546875" defaultRowHeight="15.75" x14ac:dyDescent="0.25"/>
  <cols>
    <col min="1" max="1" width="15.5703125" style="18" customWidth="1"/>
    <col min="2" max="2" width="123.5703125" style="18" customWidth="1"/>
    <col min="3" max="3" width="23.140625" style="18" customWidth="1"/>
    <col min="4" max="4" width="107.855468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166</v>
      </c>
      <c r="B4" s="234"/>
      <c r="C4" s="234"/>
    </row>
    <row r="5" spans="1:7" ht="16.5" thickBot="1" x14ac:dyDescent="0.3">
      <c r="A5" s="234" t="s">
        <v>229</v>
      </c>
      <c r="B5" s="234"/>
      <c r="C5" s="234"/>
    </row>
    <row r="6" spans="1:7" ht="96" customHeight="1" thickBot="1" x14ac:dyDescent="0.3">
      <c r="A6" s="19" t="s">
        <v>0</v>
      </c>
      <c r="B6" s="20" t="s">
        <v>1</v>
      </c>
      <c r="C6" s="20" t="s">
        <v>2</v>
      </c>
    </row>
    <row r="7" spans="1:7" ht="16.5" thickBot="1" x14ac:dyDescent="0.3">
      <c r="A7" s="66"/>
      <c r="B7" s="22" t="s">
        <v>3</v>
      </c>
      <c r="C7" s="23"/>
    </row>
    <row r="8" spans="1:7" ht="33" customHeight="1" thickBot="1" x14ac:dyDescent="0.3">
      <c r="A8" s="66" t="s">
        <v>243</v>
      </c>
      <c r="B8" s="93" t="s">
        <v>402</v>
      </c>
      <c r="C8" s="71">
        <f>(2.43+0.5891+0.3347+0.7363+1.799)*1</f>
        <v>5.8890999999999991</v>
      </c>
    </row>
    <row r="9" spans="1:7" ht="16.5" thickBot="1" x14ac:dyDescent="0.3">
      <c r="A9" s="66" t="s">
        <v>244</v>
      </c>
      <c r="B9" s="12" t="s">
        <v>241</v>
      </c>
      <c r="C9" s="71">
        <f>C8*0.2409</f>
        <v>1.4186841899999998</v>
      </c>
    </row>
    <row r="10" spans="1:7" ht="16.5" thickBot="1" x14ac:dyDescent="0.3">
      <c r="A10" s="66"/>
      <c r="B10" s="22" t="s">
        <v>4</v>
      </c>
      <c r="C10" s="25">
        <f>SUM(C8:C9)</f>
        <v>7.3077841899999987</v>
      </c>
    </row>
    <row r="11" spans="1:7" ht="16.5" thickBot="1" x14ac:dyDescent="0.3">
      <c r="A11" s="66"/>
      <c r="B11" s="22" t="s">
        <v>5</v>
      </c>
      <c r="C11" s="26"/>
      <c r="E11" s="27"/>
    </row>
    <row r="12" spans="1:7" s="34" customFormat="1" ht="35.25" thickBot="1" x14ac:dyDescent="0.3">
      <c r="A12" s="66" t="s">
        <v>6</v>
      </c>
      <c r="B12" s="12" t="s">
        <v>401</v>
      </c>
      <c r="C12" s="71">
        <f>0.313*1</f>
        <v>0.313</v>
      </c>
    </row>
    <row r="13" spans="1:7" ht="35.25" thickBot="1" x14ac:dyDescent="0.3">
      <c r="A13" s="66" t="s">
        <v>7</v>
      </c>
      <c r="B13" s="12" t="s">
        <v>400</v>
      </c>
      <c r="C13" s="71">
        <f>0.0894*1</f>
        <v>8.9399999999999993E-2</v>
      </c>
    </row>
    <row r="14" spans="1:7" ht="31.5" customHeight="1" thickBot="1" x14ac:dyDescent="0.3">
      <c r="A14" s="66" t="s">
        <v>8</v>
      </c>
      <c r="B14" s="93" t="s">
        <v>399</v>
      </c>
      <c r="C14" s="71">
        <f>0.026*1</f>
        <v>2.5999999999999999E-2</v>
      </c>
      <c r="G14" s="28"/>
    </row>
    <row r="15" spans="1:7" ht="35.25" customHeight="1" thickBot="1" x14ac:dyDescent="0.3">
      <c r="A15" s="66" t="s">
        <v>49</v>
      </c>
      <c r="B15" s="94" t="s">
        <v>398</v>
      </c>
      <c r="C15" s="35">
        <f>0.0001*1</f>
        <v>1E-4</v>
      </c>
    </row>
    <row r="16" spans="1:7" ht="33" customHeight="1" thickBot="1" x14ac:dyDescent="0.3">
      <c r="A16" s="66" t="s">
        <v>51</v>
      </c>
      <c r="B16" s="93" t="s">
        <v>397</v>
      </c>
      <c r="C16" s="78">
        <f>0.0016*1</f>
        <v>1.6000000000000001E-3</v>
      </c>
    </row>
    <row r="17" spans="1:3" ht="16.5" thickBot="1" x14ac:dyDescent="0.3">
      <c r="A17" s="67" t="s">
        <v>50</v>
      </c>
      <c r="B17" s="93" t="s">
        <v>396</v>
      </c>
      <c r="C17" s="73">
        <f>0.4068+0.0001</f>
        <v>0.40689999999999998</v>
      </c>
    </row>
    <row r="18" spans="1:3" ht="35.25" thickBot="1" x14ac:dyDescent="0.3">
      <c r="A18" s="66" t="s">
        <v>53</v>
      </c>
      <c r="B18" s="12" t="s">
        <v>395</v>
      </c>
      <c r="C18" s="71">
        <f>0.8944*1</f>
        <v>0.89439999999999997</v>
      </c>
    </row>
    <row r="19" spans="1:3" ht="32.25" thickBot="1" x14ac:dyDescent="0.3">
      <c r="A19" s="66" t="s">
        <v>52</v>
      </c>
      <c r="B19" s="12" t="s">
        <v>394</v>
      </c>
      <c r="C19" s="71">
        <f>0.0755*1</f>
        <v>7.5499999999999998E-2</v>
      </c>
    </row>
    <row r="20" spans="1:3" ht="16.5" thickBot="1" x14ac:dyDescent="0.3">
      <c r="A20" s="66"/>
      <c r="B20" s="22" t="s">
        <v>10</v>
      </c>
      <c r="C20" s="26">
        <f>ROUND(SUM(C12:C19),2)</f>
        <v>1.81</v>
      </c>
    </row>
    <row r="21" spans="1:3" ht="16.5" thickBot="1" x14ac:dyDescent="0.3">
      <c r="A21" s="66"/>
      <c r="B21" s="29" t="s">
        <v>11</v>
      </c>
      <c r="C21" s="25">
        <f>C20+C10</f>
        <v>9.1177841899999983</v>
      </c>
    </row>
    <row r="22" spans="1:3" x14ac:dyDescent="0.25">
      <c r="C22" s="28"/>
    </row>
    <row r="23" spans="1:3" ht="16.5" thickBot="1" x14ac:dyDescent="0.3">
      <c r="C23" s="28"/>
    </row>
    <row r="24" spans="1:3" ht="16.5" thickBot="1" x14ac:dyDescent="0.3">
      <c r="A24" s="234" t="s">
        <v>13</v>
      </c>
      <c r="B24" s="235"/>
      <c r="C24" s="30">
        <v>1</v>
      </c>
    </row>
    <row r="25" spans="1:3" ht="16.5" thickBot="1" x14ac:dyDescent="0.3">
      <c r="A25" s="234" t="s">
        <v>59</v>
      </c>
      <c r="B25" s="235"/>
      <c r="C25" s="31">
        <f>C21/C24</f>
        <v>9.1177841899999983</v>
      </c>
    </row>
    <row r="28" spans="1:3" ht="16.5" customHeight="1" x14ac:dyDescent="0.25"/>
    <row r="29" spans="1:3"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80" fitToHeight="0" orientation="landscape" r:id="rId1"/>
  <headerFooter differentFirst="1">
    <oddFooter>&amp;C&amp;P</oddFooter>
    <firstFooter>&amp;L&amp;10VManotp_130617_VTMECmaks&amp;C&amp;P</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G29"/>
  <sheetViews>
    <sheetView view="pageBreakPreview" topLeftCell="A2" zoomScale="60" zoomScaleNormal="80" workbookViewId="0">
      <selection activeCell="B15" sqref="B15"/>
    </sheetView>
  </sheetViews>
  <sheetFormatPr defaultColWidth="8.85546875" defaultRowHeight="15.75" x14ac:dyDescent="0.25"/>
  <cols>
    <col min="1" max="1" width="18.140625" style="18" customWidth="1"/>
    <col min="2" max="2" width="115.42578125" style="18" customWidth="1"/>
    <col min="3" max="3" width="26"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174</v>
      </c>
      <c r="B4" s="234"/>
      <c r="C4" s="234"/>
    </row>
    <row r="5" spans="1:7" ht="16.5" thickBot="1" x14ac:dyDescent="0.3">
      <c r="A5" s="234" t="s">
        <v>229</v>
      </c>
      <c r="B5" s="234"/>
      <c r="C5" s="234"/>
    </row>
    <row r="6" spans="1:7" ht="69.75" customHeight="1" thickBot="1" x14ac:dyDescent="0.3">
      <c r="A6" s="19" t="s">
        <v>0</v>
      </c>
      <c r="B6" s="20" t="s">
        <v>1</v>
      </c>
      <c r="C6" s="20" t="s">
        <v>2</v>
      </c>
    </row>
    <row r="7" spans="1:7" ht="16.5" thickBot="1" x14ac:dyDescent="0.3">
      <c r="A7" s="21"/>
      <c r="B7" s="22" t="s">
        <v>3</v>
      </c>
      <c r="C7" s="23"/>
    </row>
    <row r="8" spans="1:7" ht="18.75" customHeight="1" thickBot="1" x14ac:dyDescent="0.3">
      <c r="A8" s="21" t="s">
        <v>243</v>
      </c>
      <c r="B8" s="93" t="s">
        <v>410</v>
      </c>
      <c r="C8" s="17">
        <f>(6.6269+1.5714+2.975)*1</f>
        <v>11.173299999999999</v>
      </c>
    </row>
    <row r="9" spans="1:7" ht="16.5" thickBot="1" x14ac:dyDescent="0.3">
      <c r="A9" s="21" t="s">
        <v>244</v>
      </c>
      <c r="B9" s="93" t="s">
        <v>241</v>
      </c>
      <c r="C9" s="24">
        <f>C8*0.2409</f>
        <v>2.69164797</v>
      </c>
    </row>
    <row r="10" spans="1:7" ht="16.5" thickBot="1" x14ac:dyDescent="0.3">
      <c r="A10" s="21"/>
      <c r="B10" s="121" t="s">
        <v>4</v>
      </c>
      <c r="C10" s="25">
        <f>SUM(C8:C9)</f>
        <v>13.864947969999999</v>
      </c>
    </row>
    <row r="11" spans="1:7" ht="16.5" thickBot="1" x14ac:dyDescent="0.3">
      <c r="A11" s="21"/>
      <c r="B11" s="121" t="s">
        <v>5</v>
      </c>
      <c r="C11" s="16"/>
      <c r="E11" s="27"/>
    </row>
    <row r="12" spans="1:7" ht="35.25" customHeight="1" thickBot="1" x14ac:dyDescent="0.3">
      <c r="A12" s="21" t="s">
        <v>6</v>
      </c>
      <c r="B12" s="93" t="s">
        <v>409</v>
      </c>
      <c r="C12" s="24">
        <f>0.4018*1</f>
        <v>0.40179999999999999</v>
      </c>
      <c r="D12" s="32"/>
    </row>
    <row r="13" spans="1:7" ht="34.5" customHeight="1" thickBot="1" x14ac:dyDescent="0.3">
      <c r="A13" s="21" t="s">
        <v>7</v>
      </c>
      <c r="B13" s="93" t="s">
        <v>408</v>
      </c>
      <c r="C13" s="24">
        <f>0.1148+0.1025</f>
        <v>0.21729999999999999</v>
      </c>
      <c r="D13" s="28"/>
    </row>
    <row r="14" spans="1:7" ht="33.75" customHeight="1" thickBot="1" x14ac:dyDescent="0.3">
      <c r="A14" s="21" t="s">
        <v>8</v>
      </c>
      <c r="B14" s="93" t="s">
        <v>407</v>
      </c>
      <c r="C14" s="24">
        <f>0.26+0.0394+0.0406</f>
        <v>0.33999999999999997</v>
      </c>
      <c r="G14" s="28"/>
    </row>
    <row r="15" spans="1:7" ht="34.5" customHeight="1" thickBot="1" x14ac:dyDescent="0.3">
      <c r="A15" s="21" t="s">
        <v>49</v>
      </c>
      <c r="B15" s="94" t="s">
        <v>406</v>
      </c>
      <c r="C15" s="26">
        <f>0.0317*1</f>
        <v>3.1699999999999999E-2</v>
      </c>
    </row>
    <row r="16" spans="1:7" ht="18" customHeight="1" thickBot="1" x14ac:dyDescent="0.3">
      <c r="A16" s="21" t="s">
        <v>110</v>
      </c>
      <c r="B16" s="93" t="s">
        <v>405</v>
      </c>
      <c r="C16" s="24">
        <f>0.131*1.2</f>
        <v>0.15720000000000001</v>
      </c>
    </row>
    <row r="17" spans="1:3" ht="32.25" customHeight="1" thickBot="1" x14ac:dyDescent="0.3">
      <c r="A17" s="21" t="s">
        <v>111</v>
      </c>
      <c r="B17" s="93" t="s">
        <v>404</v>
      </c>
      <c r="C17" s="24">
        <f>0.0931*0.33</f>
        <v>3.0723000000000004E-2</v>
      </c>
    </row>
    <row r="18" spans="1:3" ht="35.25" customHeight="1" thickBot="1" x14ac:dyDescent="0.3">
      <c r="A18" s="21" t="s">
        <v>53</v>
      </c>
      <c r="B18" s="93" t="s">
        <v>802</v>
      </c>
      <c r="C18" s="24">
        <v>1.1499999999999999</v>
      </c>
    </row>
    <row r="19" spans="1:3" ht="33.75" customHeight="1" thickBot="1" x14ac:dyDescent="0.3">
      <c r="A19" s="21" t="s">
        <v>52</v>
      </c>
      <c r="B19" s="93" t="s">
        <v>403</v>
      </c>
      <c r="C19" s="17">
        <f>0.0079+0.0033+0.0012+0.008+0.3106</f>
        <v>0.33099999999999996</v>
      </c>
    </row>
    <row r="20" spans="1:3" ht="19.5" customHeight="1" thickBot="1" x14ac:dyDescent="0.3">
      <c r="A20" s="21"/>
      <c r="B20" s="22" t="s">
        <v>10</v>
      </c>
      <c r="C20" s="26">
        <f>SUM(C12:C19)</f>
        <v>2.6597230000000001</v>
      </c>
    </row>
    <row r="21" spans="1:3" ht="16.5" thickBot="1" x14ac:dyDescent="0.3">
      <c r="A21" s="21"/>
      <c r="B21" s="29" t="s">
        <v>11</v>
      </c>
      <c r="C21" s="25">
        <f>C20+C10</f>
        <v>16.524670969999999</v>
      </c>
    </row>
    <row r="22" spans="1:3" x14ac:dyDescent="0.25">
      <c r="C22" s="28"/>
    </row>
    <row r="23" spans="1:3" ht="16.5" thickBot="1" x14ac:dyDescent="0.3">
      <c r="C23" s="28"/>
    </row>
    <row r="24" spans="1:3" ht="16.5" thickBot="1" x14ac:dyDescent="0.3">
      <c r="A24" s="234" t="s">
        <v>13</v>
      </c>
      <c r="B24" s="235"/>
      <c r="C24" s="30">
        <v>1</v>
      </c>
    </row>
    <row r="25" spans="1:3" ht="16.5" thickBot="1" x14ac:dyDescent="0.3">
      <c r="A25" s="234" t="s">
        <v>59</v>
      </c>
      <c r="B25" s="235"/>
      <c r="C25" s="31">
        <f>C21/C24</f>
        <v>16.524670969999999</v>
      </c>
    </row>
    <row r="28" spans="1:3" ht="16.5" customHeight="1" x14ac:dyDescent="0.25"/>
    <row r="29" spans="1:3"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82" fitToHeight="0" orientation="landscape" r:id="rId1"/>
  <headerFooter differentFirst="1">
    <oddFooter>&amp;C&amp;P</oddFooter>
    <firstFooter>&amp;L&amp;10VManotp_130617_VTMECmaks&amp;C&amp;P</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G25"/>
  <sheetViews>
    <sheetView view="pageBreakPreview" zoomScale="60" zoomScaleNormal="70" workbookViewId="0">
      <selection activeCell="B6" sqref="B6"/>
    </sheetView>
  </sheetViews>
  <sheetFormatPr defaultColWidth="8.85546875" defaultRowHeight="15.75" x14ac:dyDescent="0.25"/>
  <cols>
    <col min="1" max="1" width="18" style="18" customWidth="1"/>
    <col min="2" max="2" width="136" style="18" customWidth="1"/>
    <col min="3" max="3" width="23.5703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237</v>
      </c>
      <c r="B4" s="234"/>
      <c r="C4" s="234"/>
    </row>
    <row r="5" spans="1:7" ht="16.5" thickBot="1" x14ac:dyDescent="0.3">
      <c r="A5" s="234" t="s">
        <v>229</v>
      </c>
      <c r="B5" s="234"/>
      <c r="C5" s="234"/>
    </row>
    <row r="6" spans="1:7" ht="82.5" customHeight="1" thickBot="1" x14ac:dyDescent="0.3">
      <c r="A6" s="19" t="s">
        <v>0</v>
      </c>
      <c r="B6" s="20" t="s">
        <v>1</v>
      </c>
      <c r="C6" s="20" t="s">
        <v>2</v>
      </c>
    </row>
    <row r="7" spans="1:7" ht="16.5" thickBot="1" x14ac:dyDescent="0.3">
      <c r="A7" s="21"/>
      <c r="B7" s="22" t="s">
        <v>3</v>
      </c>
      <c r="C7" s="23"/>
    </row>
    <row r="8" spans="1:7" ht="18.75" customHeight="1" thickBot="1" x14ac:dyDescent="0.3">
      <c r="A8" s="21" t="s">
        <v>243</v>
      </c>
      <c r="B8" s="93" t="s">
        <v>415</v>
      </c>
      <c r="C8" s="17">
        <f>(44.6284+8.3678)*5</f>
        <v>264.98099999999999</v>
      </c>
    </row>
    <row r="9" spans="1:7" ht="16.5" thickBot="1" x14ac:dyDescent="0.3">
      <c r="A9" s="21" t="s">
        <v>244</v>
      </c>
      <c r="B9" s="93" t="s">
        <v>241</v>
      </c>
      <c r="C9" s="24">
        <f>C8*0.2409</f>
        <v>63.833922899999997</v>
      </c>
      <c r="D9" s="28"/>
    </row>
    <row r="10" spans="1:7" ht="16.5" thickBot="1" x14ac:dyDescent="0.3">
      <c r="A10" s="21"/>
      <c r="B10" s="121" t="s">
        <v>4</v>
      </c>
      <c r="C10" s="25">
        <f>SUM(C8:C9)</f>
        <v>328.8149229</v>
      </c>
      <c r="G10" s="28"/>
    </row>
    <row r="11" spans="1:7" ht="16.5" thickBot="1" x14ac:dyDescent="0.3">
      <c r="A11" s="21"/>
      <c r="B11" s="121" t="s">
        <v>5</v>
      </c>
      <c r="C11" s="16"/>
    </row>
    <row r="12" spans="1:7" ht="32.25" thickBot="1" x14ac:dyDescent="0.3">
      <c r="A12" s="21" t="s">
        <v>6</v>
      </c>
      <c r="B12" s="93" t="s">
        <v>413</v>
      </c>
      <c r="C12" s="24">
        <f>2.4173*5</f>
        <v>12.086500000000001</v>
      </c>
    </row>
    <row r="13" spans="1:7" ht="32.25" thickBot="1" x14ac:dyDescent="0.3">
      <c r="A13" s="21" t="s">
        <v>7</v>
      </c>
      <c r="B13" s="93" t="s">
        <v>414</v>
      </c>
      <c r="C13" s="24">
        <f>0.6907*5</f>
        <v>3.4535</v>
      </c>
    </row>
    <row r="14" spans="1:7" ht="32.25" thickBot="1" x14ac:dyDescent="0.3">
      <c r="A14" s="21" t="s">
        <v>53</v>
      </c>
      <c r="B14" s="93" t="s">
        <v>412</v>
      </c>
      <c r="C14" s="24">
        <f>6.9065*5</f>
        <v>34.532499999999999</v>
      </c>
    </row>
    <row r="15" spans="1:7" ht="32.25" thickBot="1" x14ac:dyDescent="0.3">
      <c r="A15" s="21" t="s">
        <v>52</v>
      </c>
      <c r="B15" s="93" t="s">
        <v>411</v>
      </c>
      <c r="C15" s="17">
        <f>(0.0228+0.0116+0.0122+0.0242)*5</f>
        <v>0.35399999999999998</v>
      </c>
    </row>
    <row r="16" spans="1:7" ht="32.450000000000003" customHeight="1" thickBot="1" x14ac:dyDescent="0.3">
      <c r="A16" s="21"/>
      <c r="B16" s="22" t="s">
        <v>10</v>
      </c>
      <c r="C16" s="26">
        <f>SUM(C12:C15)</f>
        <v>50.426499999999997</v>
      </c>
    </row>
    <row r="17" spans="1:3" ht="16.5" thickBot="1" x14ac:dyDescent="0.3">
      <c r="A17" s="21"/>
      <c r="B17" s="29" t="s">
        <v>11</v>
      </c>
      <c r="C17" s="25">
        <f>C16+C10</f>
        <v>379.24142289999998</v>
      </c>
    </row>
    <row r="18" spans="1:3" x14ac:dyDescent="0.25">
      <c r="C18" s="28"/>
    </row>
    <row r="19" spans="1:3" ht="16.5" thickBot="1" x14ac:dyDescent="0.3">
      <c r="C19" s="28"/>
    </row>
    <row r="20" spans="1:3" ht="16.5" thickBot="1" x14ac:dyDescent="0.3">
      <c r="A20" s="234" t="s">
        <v>13</v>
      </c>
      <c r="B20" s="235"/>
      <c r="C20" s="30">
        <v>5</v>
      </c>
    </row>
    <row r="21" spans="1:3" ht="16.5" thickBot="1" x14ac:dyDescent="0.3">
      <c r="A21" s="234" t="s">
        <v>59</v>
      </c>
      <c r="B21" s="235"/>
      <c r="C21" s="31">
        <f>C17/C20</f>
        <v>75.848284579999998</v>
      </c>
    </row>
    <row r="24" spans="1:3" ht="16.5" customHeight="1" x14ac:dyDescent="0.25"/>
    <row r="25" spans="1:3" ht="16.5" customHeight="1" x14ac:dyDescent="0.25"/>
  </sheetData>
  <mergeCells count="6">
    <mergeCell ref="A21:B21"/>
    <mergeCell ref="A1:C1"/>
    <mergeCell ref="A3:C3"/>
    <mergeCell ref="A4:C4"/>
    <mergeCell ref="A5:C5"/>
    <mergeCell ref="A20:B20"/>
  </mergeCells>
  <pageMargins left="0.70866141732283472" right="0.70866141732283472" top="0.74803149606299213" bottom="0.74803149606299213" header="0.31496062992125984" footer="0.31496062992125984"/>
  <pageSetup paperSize="9" scale="76" fitToHeight="0" orientation="landscape" r:id="rId1"/>
  <headerFooter differentFirst="1">
    <oddFooter>&amp;C&amp;P</oddFooter>
    <firstFooter>&amp;L&amp;10VManotp_130617_VTMECmaks&amp;C&amp;P</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G27"/>
  <sheetViews>
    <sheetView view="pageBreakPreview" topLeftCell="A6" zoomScale="60" zoomScaleNormal="70" workbookViewId="0">
      <selection activeCell="E15" sqref="E15"/>
    </sheetView>
  </sheetViews>
  <sheetFormatPr defaultColWidth="8.85546875" defaultRowHeight="15.75" x14ac:dyDescent="0.25"/>
  <cols>
    <col min="1" max="1" width="16.28515625" style="18" customWidth="1"/>
    <col min="2" max="2" width="133.140625" style="18" customWidth="1"/>
    <col min="3" max="3" width="24.5703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210</v>
      </c>
      <c r="B4" s="234"/>
      <c r="C4" s="234"/>
      <c r="D4" s="28"/>
    </row>
    <row r="5" spans="1:7" ht="16.5" thickBot="1" x14ac:dyDescent="0.3">
      <c r="A5" s="234" t="s">
        <v>229</v>
      </c>
      <c r="B5" s="234"/>
      <c r="C5" s="234"/>
      <c r="D5" s="28"/>
    </row>
    <row r="6" spans="1:7" ht="88.5" customHeight="1" thickBot="1" x14ac:dyDescent="0.3">
      <c r="A6" s="19" t="s">
        <v>0</v>
      </c>
      <c r="B6" s="20" t="s">
        <v>1</v>
      </c>
      <c r="C6" s="20" t="s">
        <v>2</v>
      </c>
      <c r="D6" s="28"/>
    </row>
    <row r="7" spans="1:7" ht="16.5" thickBot="1" x14ac:dyDescent="0.3">
      <c r="A7" s="21"/>
      <c r="B7" s="22" t="s">
        <v>3</v>
      </c>
      <c r="C7" s="23"/>
      <c r="D7" s="28"/>
    </row>
    <row r="8" spans="1:7" ht="36.75" customHeight="1" thickBot="1" x14ac:dyDescent="0.3">
      <c r="A8" s="21" t="s">
        <v>243</v>
      </c>
      <c r="B8" s="93" t="s">
        <v>422</v>
      </c>
      <c r="C8" s="17">
        <f>ROUND((6.1286+18.3858+6.1286+12.2572+3.0643)*50,2)</f>
        <v>2298.23</v>
      </c>
      <c r="D8" s="28"/>
    </row>
    <row r="9" spans="1:7" ht="16.5" thickBot="1" x14ac:dyDescent="0.3">
      <c r="A9" s="21" t="s">
        <v>244</v>
      </c>
      <c r="B9" s="12" t="s">
        <v>241</v>
      </c>
      <c r="C9" s="24">
        <f>ROUND(C8*0.2409,2)</f>
        <v>553.64</v>
      </c>
      <c r="D9" s="28"/>
    </row>
    <row r="10" spans="1:7" ht="16.5" thickBot="1" x14ac:dyDescent="0.3">
      <c r="A10" s="21"/>
      <c r="B10" s="22" t="s">
        <v>4</v>
      </c>
      <c r="C10" s="25">
        <f>SUM(C8:C9)</f>
        <v>2851.87</v>
      </c>
      <c r="D10" s="28"/>
    </row>
    <row r="11" spans="1:7" ht="16.5" thickBot="1" x14ac:dyDescent="0.3">
      <c r="A11" s="21"/>
      <c r="B11" s="22" t="s">
        <v>5</v>
      </c>
      <c r="C11" s="16"/>
      <c r="D11" s="28"/>
    </row>
    <row r="12" spans="1:7" ht="19.5" customHeight="1" thickBot="1" x14ac:dyDescent="0.3">
      <c r="A12" s="21" t="s">
        <v>6</v>
      </c>
      <c r="B12" s="93" t="s">
        <v>421</v>
      </c>
      <c r="C12" s="71">
        <f>2.0029*50</f>
        <v>100.145</v>
      </c>
      <c r="D12" s="28"/>
      <c r="G12" s="28"/>
    </row>
    <row r="13" spans="1:7" ht="18.75" customHeight="1" thickBot="1" x14ac:dyDescent="0.3">
      <c r="A13" s="21" t="s">
        <v>7</v>
      </c>
      <c r="B13" s="93" t="s">
        <v>420</v>
      </c>
      <c r="C13" s="24">
        <f>0.5723*50</f>
        <v>28.615000000000002</v>
      </c>
      <c r="D13" s="28"/>
    </row>
    <row r="14" spans="1:7" ht="18.75" customHeight="1" thickBot="1" x14ac:dyDescent="0.3">
      <c r="A14" s="21" t="s">
        <v>51</v>
      </c>
      <c r="B14" s="93" t="s">
        <v>418</v>
      </c>
      <c r="C14" s="24">
        <f>0.012*50</f>
        <v>0.6</v>
      </c>
      <c r="D14" s="28"/>
    </row>
    <row r="15" spans="1:7" ht="19.5" customHeight="1" thickBot="1" x14ac:dyDescent="0.3">
      <c r="A15" s="3" t="s">
        <v>50</v>
      </c>
      <c r="B15" s="93" t="s">
        <v>416</v>
      </c>
      <c r="C15" s="170">
        <v>36</v>
      </c>
      <c r="D15" s="28"/>
    </row>
    <row r="16" spans="1:7" ht="15.75" customHeight="1" thickBot="1" x14ac:dyDescent="0.3">
      <c r="A16" s="21" t="s">
        <v>53</v>
      </c>
      <c r="B16" s="93" t="s">
        <v>417</v>
      </c>
      <c r="C16" s="24">
        <f>5.7225*50</f>
        <v>286.125</v>
      </c>
    </row>
    <row r="17" spans="1:3" ht="34.5" customHeight="1" thickBot="1" x14ac:dyDescent="0.3">
      <c r="A17" s="21" t="s">
        <v>52</v>
      </c>
      <c r="B17" s="93" t="s">
        <v>419</v>
      </c>
      <c r="C17" s="17">
        <f>0.0329*50</f>
        <v>1.645</v>
      </c>
    </row>
    <row r="18" spans="1:3" ht="16.5" thickBot="1" x14ac:dyDescent="0.3">
      <c r="A18" s="21"/>
      <c r="B18" s="22" t="s">
        <v>10</v>
      </c>
      <c r="C18" s="26">
        <f>SUM(C12:C17)</f>
        <v>453.13</v>
      </c>
    </row>
    <row r="19" spans="1:3" ht="16.5" thickBot="1" x14ac:dyDescent="0.3">
      <c r="A19" s="21"/>
      <c r="B19" s="29" t="s">
        <v>11</v>
      </c>
      <c r="C19" s="25">
        <f>C18+C10</f>
        <v>3305</v>
      </c>
    </row>
    <row r="20" spans="1:3" x14ac:dyDescent="0.25">
      <c r="C20" s="28"/>
    </row>
    <row r="21" spans="1:3" ht="16.5" thickBot="1" x14ac:dyDescent="0.3">
      <c r="C21" s="28"/>
    </row>
    <row r="22" spans="1:3" ht="16.5" thickBot="1" x14ac:dyDescent="0.3">
      <c r="A22" s="234" t="s">
        <v>13</v>
      </c>
      <c r="B22" s="235"/>
      <c r="C22" s="30">
        <v>50</v>
      </c>
    </row>
    <row r="23" spans="1:3" ht="16.5" thickBot="1" x14ac:dyDescent="0.3">
      <c r="A23" s="234" t="s">
        <v>59</v>
      </c>
      <c r="B23" s="235"/>
      <c r="C23" s="31">
        <f>C19/C22</f>
        <v>66.099999999999994</v>
      </c>
    </row>
    <row r="26" spans="1:3" ht="16.5" customHeight="1" x14ac:dyDescent="0.25"/>
    <row r="27" spans="1:3" ht="16.5" customHeight="1" x14ac:dyDescent="0.25"/>
  </sheetData>
  <mergeCells count="6">
    <mergeCell ref="A23:B23"/>
    <mergeCell ref="A1:C1"/>
    <mergeCell ref="A3:C3"/>
    <mergeCell ref="A4:C4"/>
    <mergeCell ref="A5:C5"/>
    <mergeCell ref="A22:B22"/>
  </mergeCells>
  <pageMargins left="0.70866141732283472" right="0.70866141732283472" top="0.74803149606299213" bottom="0.74803149606299213" header="0.31496062992125984" footer="0.31496062992125984"/>
  <pageSetup paperSize="9" scale="76" fitToHeight="0" orientation="landscape" r:id="rId1"/>
  <headerFooter differentFirst="1">
    <oddFooter>&amp;C&amp;P</oddFooter>
    <firstFooter>&amp;L&amp;10VManotp_130617_VTMECmaks&amp;C&amp;P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4"/>
  <sheetViews>
    <sheetView view="pageBreakPreview" topLeftCell="A5" zoomScale="60" zoomScaleNormal="80" workbookViewId="0">
      <selection activeCell="B40" sqref="B40"/>
    </sheetView>
  </sheetViews>
  <sheetFormatPr defaultColWidth="8.85546875" defaultRowHeight="15.75" x14ac:dyDescent="0.25"/>
  <cols>
    <col min="1" max="1" width="15" style="18" customWidth="1"/>
    <col min="2" max="2" width="141" style="18" customWidth="1"/>
    <col min="3" max="3" width="22.42578125" style="18" customWidth="1"/>
    <col min="4" max="4" width="22" style="18" customWidth="1"/>
    <col min="5" max="16384" width="8.85546875" style="18"/>
  </cols>
  <sheetData>
    <row r="1" spans="1:5" x14ac:dyDescent="0.25">
      <c r="A1" s="222" t="s">
        <v>228</v>
      </c>
      <c r="B1" s="222"/>
      <c r="C1" s="222"/>
    </row>
    <row r="3" spans="1:5" x14ac:dyDescent="0.25">
      <c r="A3" s="234" t="s">
        <v>56</v>
      </c>
      <c r="B3" s="234"/>
      <c r="C3" s="234"/>
    </row>
    <row r="4" spans="1:5" ht="22.5" customHeight="1" x14ac:dyDescent="0.25">
      <c r="A4" s="234" t="s">
        <v>63</v>
      </c>
      <c r="B4" s="234"/>
      <c r="C4" s="234"/>
    </row>
    <row r="5" spans="1:5" ht="17.25" customHeight="1" thickBot="1" x14ac:dyDescent="0.3">
      <c r="A5" s="234" t="s">
        <v>229</v>
      </c>
      <c r="B5" s="234"/>
      <c r="C5" s="234"/>
    </row>
    <row r="6" spans="1:5" ht="80.25" customHeight="1" thickBot="1" x14ac:dyDescent="0.3">
      <c r="A6" s="19" t="s">
        <v>0</v>
      </c>
      <c r="B6" s="20" t="s">
        <v>1</v>
      </c>
      <c r="C6" s="20" t="s">
        <v>2</v>
      </c>
    </row>
    <row r="7" spans="1:5" ht="16.5" thickBot="1" x14ac:dyDescent="0.3">
      <c r="A7" s="21"/>
      <c r="B7" s="22" t="s">
        <v>3</v>
      </c>
      <c r="C7" s="23"/>
    </row>
    <row r="8" spans="1:5" ht="19.5" customHeight="1" thickBot="1" x14ac:dyDescent="0.3">
      <c r="A8" s="21" t="s">
        <v>243</v>
      </c>
      <c r="B8" s="93" t="s">
        <v>558</v>
      </c>
      <c r="C8" s="24">
        <f>(1.2518+2.43+3.6817+12.3245+3.0811)*180</f>
        <v>4098.4380000000001</v>
      </c>
    </row>
    <row r="9" spans="1:5" ht="16.5" thickBot="1" x14ac:dyDescent="0.3">
      <c r="A9" s="21" t="s">
        <v>244</v>
      </c>
      <c r="B9" s="12" t="s">
        <v>241</v>
      </c>
      <c r="C9" s="24">
        <f>C8*0.2409</f>
        <v>987.31371420000005</v>
      </c>
    </row>
    <row r="10" spans="1:5" ht="16.5" thickBot="1" x14ac:dyDescent="0.3">
      <c r="A10" s="21"/>
      <c r="B10" s="22" t="s">
        <v>4</v>
      </c>
      <c r="C10" s="25">
        <f>ROUND(SUM(C8:C9),2)</f>
        <v>5085.75</v>
      </c>
    </row>
    <row r="11" spans="1:5" ht="16.5" thickBot="1" x14ac:dyDescent="0.3">
      <c r="A11" s="21"/>
      <c r="B11" s="22" t="s">
        <v>5</v>
      </c>
      <c r="C11" s="26"/>
    </row>
    <row r="12" spans="1:5" ht="36" customHeight="1" thickBot="1" x14ac:dyDescent="0.3">
      <c r="A12" s="21" t="s">
        <v>6</v>
      </c>
      <c r="B12" s="93" t="s">
        <v>559</v>
      </c>
      <c r="C12" s="24">
        <f>0.007*2.25*107.7*180</f>
        <v>305.3295</v>
      </c>
    </row>
    <row r="13" spans="1:5" ht="39.75" customHeight="1" thickBot="1" x14ac:dyDescent="0.3">
      <c r="A13" s="21" t="s">
        <v>7</v>
      </c>
      <c r="B13" s="93" t="s">
        <v>565</v>
      </c>
      <c r="C13" s="24">
        <f>0.002*2.25*107.7*180</f>
        <v>87.237000000000009</v>
      </c>
    </row>
    <row r="14" spans="1:5" ht="34.5" customHeight="1" thickBot="1" x14ac:dyDescent="0.3">
      <c r="A14" s="21" t="s">
        <v>8</v>
      </c>
      <c r="B14" s="93" t="s">
        <v>560</v>
      </c>
      <c r="C14" s="24">
        <f>0.013*180</f>
        <v>2.34</v>
      </c>
    </row>
    <row r="15" spans="1:5" ht="68.25" customHeight="1" thickBot="1" x14ac:dyDescent="0.3">
      <c r="A15" s="21" t="s">
        <v>49</v>
      </c>
      <c r="B15" s="94" t="s">
        <v>561</v>
      </c>
      <c r="C15" s="26">
        <f>(7.26*180)+(0.0216*180)</f>
        <v>1310.6879999999999</v>
      </c>
    </row>
    <row r="16" spans="1:5" ht="33" customHeight="1" thickBot="1" x14ac:dyDescent="0.3">
      <c r="A16" s="21" t="s">
        <v>51</v>
      </c>
      <c r="B16" s="12" t="s">
        <v>562</v>
      </c>
      <c r="C16" s="24">
        <f>0.003*180</f>
        <v>0.54</v>
      </c>
      <c r="E16" s="27"/>
    </row>
    <row r="17" spans="1:7" ht="36.75" customHeight="1" thickBot="1" x14ac:dyDescent="0.3">
      <c r="A17" s="21" t="s">
        <v>50</v>
      </c>
      <c r="B17" s="93" t="s">
        <v>563</v>
      </c>
      <c r="C17" s="170">
        <v>382.11</v>
      </c>
    </row>
    <row r="18" spans="1:7" ht="25.5" customHeight="1" thickBot="1" x14ac:dyDescent="0.3">
      <c r="A18" s="21" t="s">
        <v>53</v>
      </c>
      <c r="B18" s="101" t="s">
        <v>564</v>
      </c>
      <c r="C18" s="24">
        <f>0.02*2.25*107.7*180</f>
        <v>872.37</v>
      </c>
    </row>
    <row r="19" spans="1:7" ht="33" customHeight="1" thickBot="1" x14ac:dyDescent="0.3">
      <c r="A19" s="21" t="s">
        <v>52</v>
      </c>
      <c r="B19" s="93" t="s">
        <v>547</v>
      </c>
      <c r="C19" s="24">
        <f>(0.0318+0.0042+0.0426+0.0924+0.0317+0.0053)*180</f>
        <v>37.44</v>
      </c>
      <c r="G19" s="28"/>
    </row>
    <row r="20" spans="1:7" ht="16.5" thickBot="1" x14ac:dyDescent="0.3">
      <c r="A20" s="21"/>
      <c r="B20" s="22" t="s">
        <v>10</v>
      </c>
      <c r="C20" s="26">
        <f>SUM(C12:C19)</f>
        <v>2998.0544999999997</v>
      </c>
    </row>
    <row r="21" spans="1:7" ht="16.5" thickBot="1" x14ac:dyDescent="0.3">
      <c r="A21" s="21"/>
      <c r="B21" s="29" t="s">
        <v>11</v>
      </c>
      <c r="C21" s="25">
        <f>C20+C10</f>
        <v>8083.8045000000002</v>
      </c>
      <c r="E21" s="28"/>
    </row>
    <row r="22" spans="1:7" ht="16.5" thickBot="1" x14ac:dyDescent="0.3">
      <c r="C22" s="28"/>
    </row>
    <row r="23" spans="1:7" ht="16.5" thickBot="1" x14ac:dyDescent="0.3">
      <c r="A23" s="234" t="s">
        <v>13</v>
      </c>
      <c r="B23" s="235"/>
      <c r="C23" s="30">
        <v>180</v>
      </c>
    </row>
    <row r="24" spans="1:7" ht="22.5" customHeight="1" thickBot="1" x14ac:dyDescent="0.3">
      <c r="A24" s="234" t="s">
        <v>59</v>
      </c>
      <c r="B24" s="235"/>
      <c r="C24" s="31">
        <f>C21/C23</f>
        <v>44.910025000000005</v>
      </c>
    </row>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G27"/>
  <sheetViews>
    <sheetView view="pageBreakPreview" topLeftCell="A6" zoomScale="60" zoomScaleNormal="100" workbookViewId="0">
      <selection activeCell="B18" sqref="B18"/>
    </sheetView>
  </sheetViews>
  <sheetFormatPr defaultColWidth="8.85546875" defaultRowHeight="15.75" x14ac:dyDescent="0.25"/>
  <cols>
    <col min="1" max="1" width="14.28515625" style="18" customWidth="1"/>
    <col min="2" max="2" width="110.85546875" style="18" customWidth="1"/>
    <col min="3" max="3" width="22.42578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175</v>
      </c>
      <c r="B4" s="234"/>
      <c r="C4" s="234"/>
    </row>
    <row r="5" spans="1:7" ht="16.5" thickBot="1" x14ac:dyDescent="0.3">
      <c r="A5" s="234" t="s">
        <v>229</v>
      </c>
      <c r="B5" s="234"/>
      <c r="C5" s="234"/>
    </row>
    <row r="6" spans="1:7" ht="90" customHeight="1" thickBot="1" x14ac:dyDescent="0.3">
      <c r="A6" s="19" t="s">
        <v>0</v>
      </c>
      <c r="B6" s="20" t="s">
        <v>1</v>
      </c>
      <c r="C6" s="20" t="s">
        <v>2</v>
      </c>
    </row>
    <row r="7" spans="1:7" ht="16.5" thickBot="1" x14ac:dyDescent="0.3">
      <c r="A7" s="21"/>
      <c r="B7" s="22" t="s">
        <v>3</v>
      </c>
      <c r="C7" s="23"/>
    </row>
    <row r="8" spans="1:7" ht="17.25" customHeight="1" thickBot="1" x14ac:dyDescent="0.3">
      <c r="A8" s="21" t="s">
        <v>243</v>
      </c>
      <c r="B8" s="93" t="s">
        <v>429</v>
      </c>
      <c r="C8" s="17">
        <f>12.2572*1</f>
        <v>12.257199999999999</v>
      </c>
    </row>
    <row r="9" spans="1:7" ht="16.5" thickBot="1" x14ac:dyDescent="0.3">
      <c r="A9" s="21" t="s">
        <v>244</v>
      </c>
      <c r="B9" s="93" t="s">
        <v>241</v>
      </c>
      <c r="C9" s="24">
        <f>C8*0.2409</f>
        <v>2.9527594799999997</v>
      </c>
    </row>
    <row r="10" spans="1:7" ht="16.5" thickBot="1" x14ac:dyDescent="0.3">
      <c r="A10" s="21"/>
      <c r="B10" s="121" t="s">
        <v>4</v>
      </c>
      <c r="C10" s="25">
        <f>SUM(C8:C9)</f>
        <v>15.209959479999998</v>
      </c>
    </row>
    <row r="11" spans="1:7" ht="16.5" thickBot="1" x14ac:dyDescent="0.3">
      <c r="A11" s="21"/>
      <c r="B11" s="121" t="s">
        <v>5</v>
      </c>
      <c r="C11" s="16"/>
      <c r="D11" s="28"/>
    </row>
    <row r="12" spans="1:7" ht="15.75" customHeight="1" thickBot="1" x14ac:dyDescent="0.3">
      <c r="A12" s="21" t="s">
        <v>6</v>
      </c>
      <c r="B12" s="93" t="s">
        <v>428</v>
      </c>
      <c r="C12" s="24">
        <f>0.007*2*38.15</f>
        <v>0.53410000000000002</v>
      </c>
      <c r="G12" s="28"/>
    </row>
    <row r="13" spans="1:7" ht="16.5" thickBot="1" x14ac:dyDescent="0.3">
      <c r="A13" s="21" t="s">
        <v>7</v>
      </c>
      <c r="B13" s="93" t="s">
        <v>427</v>
      </c>
      <c r="C13" s="24">
        <f>0.002*2*38.15</f>
        <v>0.15259999999999999</v>
      </c>
    </row>
    <row r="14" spans="1:7" ht="18.75" customHeight="1" thickBot="1" x14ac:dyDescent="0.3">
      <c r="A14" s="21" t="s">
        <v>51</v>
      </c>
      <c r="B14" s="93" t="s">
        <v>426</v>
      </c>
      <c r="C14" s="24">
        <f>(0.42+0.5667+0.4333+0.0583)/122</f>
        <v>1.2117213114754099E-2</v>
      </c>
    </row>
    <row r="15" spans="1:7" ht="36.75" customHeight="1" thickBot="1" x14ac:dyDescent="0.3">
      <c r="A15" s="3" t="s">
        <v>50</v>
      </c>
      <c r="B15" s="93" t="s">
        <v>425</v>
      </c>
      <c r="C15" s="24">
        <f>0.2139+0.053</f>
        <v>0.26690000000000003</v>
      </c>
    </row>
    <row r="16" spans="1:7" ht="16.5" thickBot="1" x14ac:dyDescent="0.3">
      <c r="A16" s="21" t="s">
        <v>53</v>
      </c>
      <c r="B16" s="93" t="s">
        <v>424</v>
      </c>
      <c r="C16" s="24">
        <f>0.02*2*38.15</f>
        <v>1.526</v>
      </c>
    </row>
    <row r="17" spans="1:3" ht="49.5" customHeight="1" thickBot="1" x14ac:dyDescent="0.3">
      <c r="A17" s="21" t="s">
        <v>52</v>
      </c>
      <c r="B17" s="93" t="s">
        <v>423</v>
      </c>
      <c r="C17" s="17">
        <f>0.0047*2</f>
        <v>9.4000000000000004E-3</v>
      </c>
    </row>
    <row r="18" spans="1:3" ht="21.75" customHeight="1" thickBot="1" x14ac:dyDescent="0.3">
      <c r="A18" s="21"/>
      <c r="B18" s="22" t="s">
        <v>10</v>
      </c>
      <c r="C18" s="26">
        <f>SUM(C12:C17)</f>
        <v>2.5011172131147541</v>
      </c>
    </row>
    <row r="19" spans="1:3" ht="16.5" thickBot="1" x14ac:dyDescent="0.3">
      <c r="A19" s="21"/>
      <c r="B19" s="29" t="s">
        <v>11</v>
      </c>
      <c r="C19" s="25">
        <f>C18+C10</f>
        <v>17.711076693114752</v>
      </c>
    </row>
    <row r="20" spans="1:3" x14ac:dyDescent="0.25">
      <c r="C20" s="28"/>
    </row>
    <row r="21" spans="1:3" ht="16.5" thickBot="1" x14ac:dyDescent="0.3">
      <c r="C21" s="28"/>
    </row>
    <row r="22" spans="1:3" ht="16.5" thickBot="1" x14ac:dyDescent="0.3">
      <c r="A22" s="234" t="s">
        <v>13</v>
      </c>
      <c r="B22" s="235"/>
      <c r="C22" s="30">
        <v>1</v>
      </c>
    </row>
    <row r="23" spans="1:3" ht="16.5" thickBot="1" x14ac:dyDescent="0.3">
      <c r="A23" s="234" t="s">
        <v>59</v>
      </c>
      <c r="B23" s="235"/>
      <c r="C23" s="31">
        <f>C19/C22</f>
        <v>17.711076693114752</v>
      </c>
    </row>
    <row r="26" spans="1:3" ht="16.5" customHeight="1" x14ac:dyDescent="0.25"/>
    <row r="27" spans="1:3" ht="16.5" customHeight="1" x14ac:dyDescent="0.25"/>
  </sheetData>
  <mergeCells count="6">
    <mergeCell ref="A23:B23"/>
    <mergeCell ref="A1:C1"/>
    <mergeCell ref="A3:C3"/>
    <mergeCell ref="A4:C4"/>
    <mergeCell ref="A5:C5"/>
    <mergeCell ref="A22:B22"/>
  </mergeCells>
  <pageMargins left="0.70866141732283472" right="0.70866141732283472" top="0.74803149606299213" bottom="0.74803149606299213" header="0.31496062992125984" footer="0.31496062992125984"/>
  <pageSetup paperSize="9" scale="88" fitToHeight="0" orientation="landscape" r:id="rId1"/>
  <headerFooter differentFirst="1">
    <oddFooter>&amp;C&amp;P</oddFooter>
    <firstFooter>&amp;L&amp;10VManotp_130617_VTMECmaks&amp;C&amp;P</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27"/>
  <sheetViews>
    <sheetView view="pageBreakPreview" zoomScale="60" zoomScaleNormal="80" workbookViewId="0">
      <selection activeCell="G8" sqref="G8"/>
    </sheetView>
  </sheetViews>
  <sheetFormatPr defaultColWidth="8.85546875" defaultRowHeight="15.75" x14ac:dyDescent="0.25"/>
  <cols>
    <col min="1" max="1" width="16.85546875" style="18" customWidth="1"/>
    <col min="2" max="2" width="111.85546875" style="18" customWidth="1"/>
    <col min="3" max="3" width="23.42578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176</v>
      </c>
      <c r="B4" s="234"/>
      <c r="C4" s="234"/>
    </row>
    <row r="5" spans="1:7" ht="16.5" thickBot="1" x14ac:dyDescent="0.3">
      <c r="A5" s="234" t="s">
        <v>229</v>
      </c>
      <c r="B5" s="234"/>
      <c r="C5" s="234"/>
    </row>
    <row r="6" spans="1:7" ht="83.25" customHeight="1" thickBot="1" x14ac:dyDescent="0.3">
      <c r="A6" s="19" t="s">
        <v>0</v>
      </c>
      <c r="B6" s="20" t="s">
        <v>1</v>
      </c>
      <c r="C6" s="20" t="s">
        <v>2</v>
      </c>
    </row>
    <row r="7" spans="1:7" ht="16.5" thickBot="1" x14ac:dyDescent="0.3">
      <c r="A7" s="21"/>
      <c r="B7" s="22" t="s">
        <v>3</v>
      </c>
      <c r="C7" s="23"/>
    </row>
    <row r="8" spans="1:7" ht="16.5" customHeight="1" thickBot="1" x14ac:dyDescent="0.3">
      <c r="A8" s="21" t="s">
        <v>243</v>
      </c>
      <c r="B8" s="93" t="s">
        <v>436</v>
      </c>
      <c r="C8" s="17">
        <f>(6.1286+18.3858)*1</f>
        <v>24.514399999999998</v>
      </c>
    </row>
    <row r="9" spans="1:7" ht="16.5" thickBot="1" x14ac:dyDescent="0.3">
      <c r="A9" s="21" t="s">
        <v>244</v>
      </c>
      <c r="B9" s="93" t="s">
        <v>241</v>
      </c>
      <c r="C9" s="24">
        <f>C8*0.2409</f>
        <v>5.9055189599999993</v>
      </c>
    </row>
    <row r="10" spans="1:7" ht="16.5" thickBot="1" x14ac:dyDescent="0.3">
      <c r="A10" s="21"/>
      <c r="B10" s="121" t="s">
        <v>4</v>
      </c>
      <c r="C10" s="25">
        <f>SUM(C8:C9)</f>
        <v>30.419918959999997</v>
      </c>
    </row>
    <row r="11" spans="1:7" ht="16.5" thickBot="1" x14ac:dyDescent="0.3">
      <c r="A11" s="21"/>
      <c r="B11" s="121" t="s">
        <v>5</v>
      </c>
      <c r="C11" s="16"/>
      <c r="D11" s="28"/>
    </row>
    <row r="12" spans="1:7" ht="16.5" thickBot="1" x14ac:dyDescent="0.3">
      <c r="A12" s="21" t="s">
        <v>6</v>
      </c>
      <c r="B12" s="93" t="s">
        <v>435</v>
      </c>
      <c r="C12" s="24">
        <f>0.007*4*38.15</f>
        <v>1.0682</v>
      </c>
      <c r="G12" s="28"/>
    </row>
    <row r="13" spans="1:7" ht="16.5" thickBot="1" x14ac:dyDescent="0.3">
      <c r="A13" s="21" t="s">
        <v>7</v>
      </c>
      <c r="B13" s="93" t="s">
        <v>434</v>
      </c>
      <c r="C13" s="24">
        <f>0.002*4*38.15</f>
        <v>0.30519999999999997</v>
      </c>
    </row>
    <row r="14" spans="1:7" ht="16.5" thickBot="1" x14ac:dyDescent="0.3">
      <c r="A14" s="21" t="s">
        <v>51</v>
      </c>
      <c r="B14" s="93" t="s">
        <v>433</v>
      </c>
      <c r="C14" s="24">
        <f>(0.42+0.5667+0.4333+0.0583)/122</f>
        <v>1.2117213114754099E-2</v>
      </c>
    </row>
    <row r="15" spans="1:7" ht="16.5" thickBot="1" x14ac:dyDescent="0.3">
      <c r="A15" s="3" t="s">
        <v>50</v>
      </c>
      <c r="B15" s="93" t="s">
        <v>432</v>
      </c>
      <c r="C15" s="24">
        <f>0.2827+0.1557+0.053</f>
        <v>0.4914</v>
      </c>
    </row>
    <row r="16" spans="1:7" ht="16.5" thickBot="1" x14ac:dyDescent="0.3">
      <c r="A16" s="21" t="s">
        <v>53</v>
      </c>
      <c r="B16" s="93" t="s">
        <v>431</v>
      </c>
      <c r="C16" s="24">
        <f>0.02*4*38.15</f>
        <v>3.052</v>
      </c>
    </row>
    <row r="17" spans="1:3" ht="34.5" customHeight="1" thickBot="1" x14ac:dyDescent="0.3">
      <c r="A17" s="21" t="s">
        <v>52</v>
      </c>
      <c r="B17" s="93" t="s">
        <v>430</v>
      </c>
      <c r="C17" s="17">
        <f>0.0047+0.0141</f>
        <v>1.8800000000000001E-2</v>
      </c>
    </row>
    <row r="18" spans="1:3" ht="16.5" thickBot="1" x14ac:dyDescent="0.3">
      <c r="A18" s="21"/>
      <c r="B18" s="22" t="s">
        <v>10</v>
      </c>
      <c r="C18" s="26">
        <f>SUM(C12:C17)</f>
        <v>4.9477172131147542</v>
      </c>
    </row>
    <row r="19" spans="1:3" ht="16.5" thickBot="1" x14ac:dyDescent="0.3">
      <c r="A19" s="21"/>
      <c r="B19" s="29" t="s">
        <v>11</v>
      </c>
      <c r="C19" s="25">
        <f>C18+C10</f>
        <v>35.367636173114754</v>
      </c>
    </row>
    <row r="20" spans="1:3" x14ac:dyDescent="0.25">
      <c r="C20" s="28"/>
    </row>
    <row r="21" spans="1:3" ht="16.5" thickBot="1" x14ac:dyDescent="0.3">
      <c r="C21" s="28"/>
    </row>
    <row r="22" spans="1:3" ht="16.5" thickBot="1" x14ac:dyDescent="0.3">
      <c r="A22" s="234" t="s">
        <v>13</v>
      </c>
      <c r="B22" s="235"/>
      <c r="C22" s="30">
        <v>1</v>
      </c>
    </row>
    <row r="23" spans="1:3" ht="16.5" thickBot="1" x14ac:dyDescent="0.3">
      <c r="A23" s="234" t="s">
        <v>59</v>
      </c>
      <c r="B23" s="235"/>
      <c r="C23" s="31">
        <f>C19/C22</f>
        <v>35.367636173114754</v>
      </c>
    </row>
    <row r="26" spans="1:3" ht="16.5" customHeight="1" x14ac:dyDescent="0.25"/>
    <row r="27" spans="1:3" ht="16.5" customHeight="1" x14ac:dyDescent="0.25"/>
  </sheetData>
  <mergeCells count="6">
    <mergeCell ref="A23:B23"/>
    <mergeCell ref="A1:C1"/>
    <mergeCell ref="A3:C3"/>
    <mergeCell ref="A4:C4"/>
    <mergeCell ref="A5:C5"/>
    <mergeCell ref="A22:B22"/>
  </mergeCells>
  <pageMargins left="0.70866141732283472" right="0.70866141732283472" top="0.74803149606299213" bottom="0.74803149606299213" header="0.31496062992125984" footer="0.31496062992125984"/>
  <pageSetup paperSize="9" scale="86" fitToHeight="0" orientation="landscape" r:id="rId1"/>
  <headerFooter differentFirst="1">
    <oddFooter>&amp;C&amp;P</oddFooter>
    <firstFooter>&amp;L&amp;10VManotp_130617_VTMECmaks&amp;C&amp;P</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G26"/>
  <sheetViews>
    <sheetView view="pageBreakPreview" zoomScale="70" zoomScaleNormal="80" zoomScaleSheetLayoutView="70" workbookViewId="0">
      <selection activeCell="I29" sqref="I29"/>
    </sheetView>
  </sheetViews>
  <sheetFormatPr defaultColWidth="8.85546875" defaultRowHeight="15.75" x14ac:dyDescent="0.25"/>
  <cols>
    <col min="1" max="1" width="15.5703125" style="18" customWidth="1"/>
    <col min="2" max="2" width="112.5703125" style="18" customWidth="1"/>
    <col min="3" max="3" width="26.285156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177</v>
      </c>
      <c r="B4" s="234"/>
      <c r="C4" s="234"/>
    </row>
    <row r="5" spans="1:7" ht="16.5" thickBot="1" x14ac:dyDescent="0.3">
      <c r="A5" s="234" t="s">
        <v>229</v>
      </c>
      <c r="B5" s="234"/>
      <c r="C5" s="234"/>
    </row>
    <row r="6" spans="1:7" ht="75.75" customHeight="1" thickBot="1" x14ac:dyDescent="0.3">
      <c r="A6" s="19" t="s">
        <v>0</v>
      </c>
      <c r="B6" s="20" t="s">
        <v>1</v>
      </c>
      <c r="C6" s="20" t="s">
        <v>2</v>
      </c>
    </row>
    <row r="7" spans="1:7" ht="16.5" thickBot="1" x14ac:dyDescent="0.3">
      <c r="A7" s="21"/>
      <c r="B7" s="22" t="s">
        <v>3</v>
      </c>
      <c r="C7" s="23"/>
    </row>
    <row r="8" spans="1:7" ht="16.5" thickBot="1" x14ac:dyDescent="0.3">
      <c r="A8" s="21" t="s">
        <v>243</v>
      </c>
      <c r="B8" s="93" t="s">
        <v>443</v>
      </c>
      <c r="C8" s="17">
        <f>6.1286*1</f>
        <v>6.1285999999999996</v>
      </c>
    </row>
    <row r="9" spans="1:7" ht="16.5" thickBot="1" x14ac:dyDescent="0.3">
      <c r="A9" s="21" t="s">
        <v>244</v>
      </c>
      <c r="B9" s="93" t="s">
        <v>241</v>
      </c>
      <c r="C9" s="24">
        <f>ROUND(C8*0.2409,2)</f>
        <v>1.48</v>
      </c>
    </row>
    <row r="10" spans="1:7" ht="16.5" thickBot="1" x14ac:dyDescent="0.3">
      <c r="A10" s="21"/>
      <c r="B10" s="121" t="s">
        <v>4</v>
      </c>
      <c r="C10" s="25">
        <f>SUM(C8:C9)</f>
        <v>7.6085999999999991</v>
      </c>
    </row>
    <row r="11" spans="1:7" ht="16.5" thickBot="1" x14ac:dyDescent="0.3">
      <c r="A11" s="21"/>
      <c r="B11" s="121" t="s">
        <v>5</v>
      </c>
      <c r="C11" s="16"/>
      <c r="D11" s="28"/>
    </row>
    <row r="12" spans="1:7" ht="16.5" thickBot="1" x14ac:dyDescent="0.3">
      <c r="A12" s="21" t="s">
        <v>6</v>
      </c>
      <c r="B12" s="93" t="s">
        <v>442</v>
      </c>
      <c r="C12" s="24">
        <f>0.007*1*38.15</f>
        <v>0.26705000000000001</v>
      </c>
      <c r="G12" s="28"/>
    </row>
    <row r="13" spans="1:7" ht="16.5" thickBot="1" x14ac:dyDescent="0.3">
      <c r="A13" s="21" t="s">
        <v>7</v>
      </c>
      <c r="B13" s="93" t="s">
        <v>441</v>
      </c>
      <c r="C13" s="24">
        <f>0.002*1*38.15</f>
        <v>7.6299999999999993E-2</v>
      </c>
    </row>
    <row r="14" spans="1:7" ht="15" customHeight="1" thickBot="1" x14ac:dyDescent="0.3">
      <c r="A14" s="21" t="s">
        <v>51</v>
      </c>
      <c r="B14" s="93" t="s">
        <v>440</v>
      </c>
      <c r="C14" s="24">
        <f>(0.42+0.5667+0.4333+0.0583)/122</f>
        <v>1.2117213114754099E-2</v>
      </c>
    </row>
    <row r="15" spans="1:7" ht="16.5" thickBot="1" x14ac:dyDescent="0.3">
      <c r="A15" s="3" t="s">
        <v>50</v>
      </c>
      <c r="B15" s="93" t="s">
        <v>439</v>
      </c>
      <c r="C15" s="24">
        <f>0.053+0.015</f>
        <v>6.8000000000000005E-2</v>
      </c>
    </row>
    <row r="16" spans="1:7" ht="17.25" customHeight="1" thickBot="1" x14ac:dyDescent="0.3">
      <c r="A16" s="21" t="s">
        <v>53</v>
      </c>
      <c r="B16" s="93" t="s">
        <v>438</v>
      </c>
      <c r="C16" s="24">
        <f>0.02*1*38.15</f>
        <v>0.76300000000000001</v>
      </c>
    </row>
    <row r="17" spans="1:3" ht="16.5" thickBot="1" x14ac:dyDescent="0.3">
      <c r="A17" s="21" t="s">
        <v>52</v>
      </c>
      <c r="B17" s="93" t="s">
        <v>437</v>
      </c>
      <c r="C17" s="39">
        <f>0.0047*1</f>
        <v>4.7000000000000002E-3</v>
      </c>
    </row>
    <row r="18" spans="1:3" ht="21" customHeight="1" thickBot="1" x14ac:dyDescent="0.3">
      <c r="A18" s="21"/>
      <c r="B18" s="22" t="s">
        <v>10</v>
      </c>
      <c r="C18" s="26">
        <f>SUM(C12:C17)</f>
        <v>1.1911672131147542</v>
      </c>
    </row>
    <row r="19" spans="1:3" ht="16.5" thickBot="1" x14ac:dyDescent="0.3">
      <c r="A19" s="21"/>
      <c r="B19" s="29" t="s">
        <v>11</v>
      </c>
      <c r="C19" s="25">
        <f>C18+C10</f>
        <v>8.7997672131147535</v>
      </c>
    </row>
    <row r="20" spans="1:3" ht="16.5" thickBot="1" x14ac:dyDescent="0.3">
      <c r="C20" s="28"/>
    </row>
    <row r="21" spans="1:3" ht="16.5" thickBot="1" x14ac:dyDescent="0.3">
      <c r="A21" s="234" t="s">
        <v>13</v>
      </c>
      <c r="B21" s="235"/>
      <c r="C21" s="30">
        <v>1</v>
      </c>
    </row>
    <row r="22" spans="1:3" ht="16.5" thickBot="1" x14ac:dyDescent="0.3">
      <c r="A22" s="234" t="s">
        <v>59</v>
      </c>
      <c r="B22" s="235"/>
      <c r="C22" s="31">
        <f>C19/C21</f>
        <v>8.7997672131147535</v>
      </c>
    </row>
    <row r="25" spans="1:3" ht="16.5" customHeight="1" x14ac:dyDescent="0.25"/>
    <row r="26" spans="1:3" ht="16.5" customHeight="1" x14ac:dyDescent="0.25"/>
  </sheetData>
  <mergeCells count="6">
    <mergeCell ref="A22:B22"/>
    <mergeCell ref="A1:C1"/>
    <mergeCell ref="A3:C3"/>
    <mergeCell ref="A4:C4"/>
    <mergeCell ref="A5:C5"/>
    <mergeCell ref="A21:B21"/>
  </mergeCells>
  <pageMargins left="0.70866141732283472" right="0.70866141732283472" top="0.74803149606299213" bottom="0.74803149606299213" header="0.31496062992125984" footer="0.31496062992125984"/>
  <pageSetup paperSize="9" scale="84" fitToHeight="0" orientation="landscape" r:id="rId1"/>
  <headerFooter differentFirst="1">
    <oddFooter>&amp;C&amp;P</oddFooter>
    <firstFooter>&amp;L&amp;10VManotp_130617_VTMECmaks&amp;C&amp;P</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G27"/>
  <sheetViews>
    <sheetView view="pageBreakPreview" zoomScale="70" zoomScaleNormal="80" zoomScaleSheetLayoutView="70" workbookViewId="0">
      <selection activeCell="B16" sqref="B16"/>
    </sheetView>
  </sheetViews>
  <sheetFormatPr defaultColWidth="8.85546875" defaultRowHeight="15.75" x14ac:dyDescent="0.25"/>
  <cols>
    <col min="1" max="1" width="16.28515625" style="18" customWidth="1"/>
    <col min="2" max="2" width="112.140625" style="18" customWidth="1"/>
    <col min="3" max="3" width="23.42578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173</v>
      </c>
      <c r="B4" s="234"/>
      <c r="C4" s="234"/>
    </row>
    <row r="5" spans="1:7" ht="16.5" thickBot="1" x14ac:dyDescent="0.3">
      <c r="A5" s="234" t="s">
        <v>229</v>
      </c>
      <c r="B5" s="234"/>
      <c r="C5" s="234"/>
    </row>
    <row r="6" spans="1:7" ht="90" customHeight="1" thickBot="1" x14ac:dyDescent="0.3">
      <c r="A6" s="19" t="s">
        <v>0</v>
      </c>
      <c r="B6" s="20" t="s">
        <v>1</v>
      </c>
      <c r="C6" s="20" t="s">
        <v>2</v>
      </c>
    </row>
    <row r="7" spans="1:7" ht="16.5" thickBot="1" x14ac:dyDescent="0.3">
      <c r="A7" s="21"/>
      <c r="B7" s="22" t="s">
        <v>3</v>
      </c>
      <c r="C7" s="23"/>
    </row>
    <row r="8" spans="1:7" ht="15.75" customHeight="1" thickBot="1" x14ac:dyDescent="0.3">
      <c r="A8" s="21" t="s">
        <v>243</v>
      </c>
      <c r="B8" s="93" t="s">
        <v>450</v>
      </c>
      <c r="C8" s="17">
        <f>(2.0224+1.0419+1.0419)*31</f>
        <v>127.29220000000001</v>
      </c>
    </row>
    <row r="9" spans="1:7" ht="16.5" thickBot="1" x14ac:dyDescent="0.3">
      <c r="A9" s="21" t="s">
        <v>244</v>
      </c>
      <c r="B9" s="93" t="s">
        <v>241</v>
      </c>
      <c r="C9" s="24">
        <f>ROUND(C8*0.2409,2)</f>
        <v>30.66</v>
      </c>
    </row>
    <row r="10" spans="1:7" ht="16.5" thickBot="1" x14ac:dyDescent="0.3">
      <c r="A10" s="21"/>
      <c r="B10" s="121" t="s">
        <v>4</v>
      </c>
      <c r="C10" s="25">
        <f>SUM(C8:C9)</f>
        <v>157.9522</v>
      </c>
    </row>
    <row r="11" spans="1:7" ht="16.5" thickBot="1" x14ac:dyDescent="0.3">
      <c r="A11" s="21"/>
      <c r="B11" s="121" t="s">
        <v>5</v>
      </c>
      <c r="C11" s="16"/>
      <c r="D11" s="28"/>
    </row>
    <row r="12" spans="1:7" ht="18" customHeight="1" thickBot="1" x14ac:dyDescent="0.3">
      <c r="A12" s="21" t="s">
        <v>6</v>
      </c>
      <c r="B12" s="93" t="s">
        <v>449</v>
      </c>
      <c r="C12" s="170">
        <f>0.1789*31</f>
        <v>5.5459000000000005</v>
      </c>
      <c r="G12" s="28"/>
    </row>
    <row r="13" spans="1:7" ht="16.5" thickBot="1" x14ac:dyDescent="0.3">
      <c r="A13" s="21" t="s">
        <v>7</v>
      </c>
      <c r="B13" s="93" t="s">
        <v>448</v>
      </c>
      <c r="C13" s="170">
        <f>0.0511*31</f>
        <v>1.5841000000000001</v>
      </c>
    </row>
    <row r="14" spans="1:7" ht="16.5" thickBot="1" x14ac:dyDescent="0.3">
      <c r="A14" s="21" t="s">
        <v>51</v>
      </c>
      <c r="B14" s="93" t="s">
        <v>447</v>
      </c>
      <c r="C14" s="170">
        <f>0.012*31</f>
        <v>0.372</v>
      </c>
    </row>
    <row r="15" spans="1:7" ht="21" customHeight="1" thickBot="1" x14ac:dyDescent="0.3">
      <c r="A15" s="3" t="s">
        <v>50</v>
      </c>
      <c r="B15" s="93" t="s">
        <v>446</v>
      </c>
      <c r="C15" s="170">
        <f>0.717*31</f>
        <v>22.227</v>
      </c>
    </row>
    <row r="16" spans="1:7" ht="16.5" thickBot="1" x14ac:dyDescent="0.3">
      <c r="A16" s="21" t="s">
        <v>53</v>
      </c>
      <c r="B16" s="93" t="s">
        <v>445</v>
      </c>
      <c r="C16" s="170">
        <f>0.5112*31</f>
        <v>15.847199999999999</v>
      </c>
    </row>
    <row r="17" spans="1:3" ht="32.25" thickBot="1" x14ac:dyDescent="0.3">
      <c r="A17" s="21" t="s">
        <v>52</v>
      </c>
      <c r="B17" s="93" t="s">
        <v>444</v>
      </c>
      <c r="C17" s="17">
        <f>0.0031*31</f>
        <v>9.6099999999999991E-2</v>
      </c>
    </row>
    <row r="18" spans="1:3" ht="17.25" customHeight="1" thickBot="1" x14ac:dyDescent="0.3">
      <c r="A18" s="21"/>
      <c r="B18" s="22" t="s">
        <v>10</v>
      </c>
      <c r="C18" s="26">
        <f>SUM(C12:C17)</f>
        <v>45.6723</v>
      </c>
    </row>
    <row r="19" spans="1:3" ht="16.5" thickBot="1" x14ac:dyDescent="0.3">
      <c r="A19" s="21"/>
      <c r="B19" s="29" t="s">
        <v>11</v>
      </c>
      <c r="C19" s="25">
        <f>C18+C10</f>
        <v>203.62450000000001</v>
      </c>
    </row>
    <row r="20" spans="1:3" x14ac:dyDescent="0.25">
      <c r="C20" s="28"/>
    </row>
    <row r="21" spans="1:3" ht="16.5" thickBot="1" x14ac:dyDescent="0.3">
      <c r="C21" s="28"/>
    </row>
    <row r="22" spans="1:3" ht="16.5" thickBot="1" x14ac:dyDescent="0.3">
      <c r="A22" s="234" t="s">
        <v>13</v>
      </c>
      <c r="B22" s="235"/>
      <c r="C22" s="30">
        <v>31</v>
      </c>
    </row>
    <row r="23" spans="1:3" ht="16.5" thickBot="1" x14ac:dyDescent="0.3">
      <c r="A23" s="234" t="s">
        <v>59</v>
      </c>
      <c r="B23" s="235"/>
      <c r="C23" s="31">
        <f>C19/C22</f>
        <v>6.5685322580645167</v>
      </c>
    </row>
    <row r="26" spans="1:3" ht="16.5" customHeight="1" x14ac:dyDescent="0.25"/>
    <row r="27" spans="1:3" ht="16.5" customHeight="1" x14ac:dyDescent="0.25"/>
  </sheetData>
  <mergeCells count="6">
    <mergeCell ref="A23:B23"/>
    <mergeCell ref="A1:C1"/>
    <mergeCell ref="A3:C3"/>
    <mergeCell ref="A4:C4"/>
    <mergeCell ref="A5:C5"/>
    <mergeCell ref="A22:B22"/>
  </mergeCells>
  <pageMargins left="0.70866141732283472" right="0.70866141732283472" top="0.74803149606299213" bottom="0.74803149606299213" header="0.31496062992125984" footer="0.31496062992125984"/>
  <pageSetup paperSize="9" scale="86" fitToHeight="0" orientation="landscape" r:id="rId1"/>
  <headerFooter differentFirst="1">
    <oddFooter>&amp;C&amp;P</oddFooter>
    <firstFooter>&amp;L&amp;10VManotp_130617_VTMECmaks&amp;C&amp;P</first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G26"/>
  <sheetViews>
    <sheetView view="pageBreakPreview" zoomScale="70" zoomScaleNormal="80" zoomScaleSheetLayoutView="70" workbookViewId="0">
      <selection activeCell="B12" sqref="B12"/>
    </sheetView>
  </sheetViews>
  <sheetFormatPr defaultColWidth="8.85546875" defaultRowHeight="15.75" x14ac:dyDescent="0.25"/>
  <cols>
    <col min="1" max="1" width="14.7109375" style="18" customWidth="1"/>
    <col min="2" max="2" width="137.28515625" style="18" customWidth="1"/>
    <col min="3" max="3" width="24.1406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178</v>
      </c>
      <c r="B4" s="234"/>
      <c r="C4" s="234"/>
    </row>
    <row r="5" spans="1:7" ht="16.5" thickBot="1" x14ac:dyDescent="0.3">
      <c r="A5" s="234" t="s">
        <v>229</v>
      </c>
      <c r="B5" s="234"/>
      <c r="C5" s="234"/>
    </row>
    <row r="6" spans="1:7" ht="90" customHeight="1" thickBot="1" x14ac:dyDescent="0.3">
      <c r="A6" s="19" t="s">
        <v>0</v>
      </c>
      <c r="B6" s="20" t="s">
        <v>1</v>
      </c>
      <c r="C6" s="20" t="s">
        <v>2</v>
      </c>
    </row>
    <row r="7" spans="1:7" ht="16.5" thickBot="1" x14ac:dyDescent="0.3">
      <c r="A7" s="45"/>
      <c r="B7" s="22" t="s">
        <v>3</v>
      </c>
      <c r="C7" s="23"/>
    </row>
    <row r="8" spans="1:7" ht="16.5" thickBot="1" x14ac:dyDescent="0.3">
      <c r="A8" s="45" t="s">
        <v>243</v>
      </c>
      <c r="B8" s="93" t="s">
        <v>455</v>
      </c>
      <c r="C8" s="17">
        <f>1.0419*6</f>
        <v>6.2514000000000003</v>
      </c>
    </row>
    <row r="9" spans="1:7" ht="16.5" thickBot="1" x14ac:dyDescent="0.3">
      <c r="A9" s="45" t="s">
        <v>244</v>
      </c>
      <c r="B9" s="93" t="s">
        <v>241</v>
      </c>
      <c r="C9" s="24">
        <f>C8*0.2409</f>
        <v>1.50596226</v>
      </c>
    </row>
    <row r="10" spans="1:7" ht="16.5" thickBot="1" x14ac:dyDescent="0.3">
      <c r="A10" s="45"/>
      <c r="B10" s="121" t="s">
        <v>4</v>
      </c>
      <c r="C10" s="25">
        <f>ROUND(SUM(C8:C9),2)</f>
        <v>7.76</v>
      </c>
    </row>
    <row r="11" spans="1:7" ht="16.5" thickBot="1" x14ac:dyDescent="0.3">
      <c r="A11" s="45"/>
      <c r="B11" s="121" t="s">
        <v>5</v>
      </c>
      <c r="C11" s="16"/>
      <c r="D11" s="28"/>
    </row>
    <row r="12" spans="1:7" ht="16.5" thickBot="1" x14ac:dyDescent="0.3">
      <c r="A12" s="45" t="s">
        <v>6</v>
      </c>
      <c r="B12" s="93" t="s">
        <v>454</v>
      </c>
      <c r="C12" s="170">
        <f>(0.0015*24*27.13)*6</f>
        <v>5.8600800000000008</v>
      </c>
      <c r="G12" s="28"/>
    </row>
    <row r="13" spans="1:7" ht="16.5" thickBot="1" x14ac:dyDescent="0.3">
      <c r="A13" s="45" t="s">
        <v>7</v>
      </c>
      <c r="B13" s="93" t="s">
        <v>456</v>
      </c>
      <c r="C13" s="170">
        <f>0.0004*24*27.13*6</f>
        <v>1.5626880000000001</v>
      </c>
    </row>
    <row r="14" spans="1:7" ht="16.5" thickBot="1" x14ac:dyDescent="0.3">
      <c r="A14" s="45" t="s">
        <v>51</v>
      </c>
      <c r="B14" s="93" t="s">
        <v>453</v>
      </c>
      <c r="C14" s="78">
        <f>0.42/122*6</f>
        <v>2.0655737704918031E-2</v>
      </c>
    </row>
    <row r="15" spans="1:7" ht="16.5" thickBot="1" x14ac:dyDescent="0.3">
      <c r="A15" s="3" t="s">
        <v>50</v>
      </c>
      <c r="B15" s="93" t="s">
        <v>452</v>
      </c>
      <c r="C15" s="24">
        <f>0.05*6</f>
        <v>0.30000000000000004</v>
      </c>
    </row>
    <row r="16" spans="1:7" ht="16.5" thickBot="1" x14ac:dyDescent="0.3">
      <c r="A16" s="45" t="s">
        <v>53</v>
      </c>
      <c r="B16" s="93" t="s">
        <v>457</v>
      </c>
      <c r="C16" s="170">
        <f>0.0037*24*27.13*6</f>
        <v>14.454864000000001</v>
      </c>
    </row>
    <row r="17" spans="1:3" ht="32.25" thickBot="1" x14ac:dyDescent="0.3">
      <c r="A17" s="45" t="s">
        <v>52</v>
      </c>
      <c r="B17" s="93" t="s">
        <v>451</v>
      </c>
      <c r="C17" s="17">
        <f>(8.016+0.0204)*6</f>
        <v>48.218400000000003</v>
      </c>
    </row>
    <row r="18" spans="1:3" ht="18.75" customHeight="1" thickBot="1" x14ac:dyDescent="0.3">
      <c r="A18" s="45"/>
      <c r="B18" s="22" t="s">
        <v>10</v>
      </c>
      <c r="C18" s="26">
        <f>ROUND(SUM(C12:C17),2)</f>
        <v>70.42</v>
      </c>
    </row>
    <row r="19" spans="1:3" ht="16.5" thickBot="1" x14ac:dyDescent="0.3">
      <c r="A19" s="45"/>
      <c r="B19" s="29" t="s">
        <v>11</v>
      </c>
      <c r="C19" s="25">
        <f>C18+C10</f>
        <v>78.180000000000007</v>
      </c>
    </row>
    <row r="20" spans="1:3" ht="11.45" customHeight="1" thickBot="1" x14ac:dyDescent="0.3">
      <c r="C20" s="28"/>
    </row>
    <row r="21" spans="1:3" ht="16.5" thickBot="1" x14ac:dyDescent="0.3">
      <c r="A21" s="234" t="s">
        <v>13</v>
      </c>
      <c r="B21" s="235"/>
      <c r="C21" s="30">
        <v>6</v>
      </c>
    </row>
    <row r="22" spans="1:3" ht="16.5" thickBot="1" x14ac:dyDescent="0.3">
      <c r="A22" s="234" t="s">
        <v>59</v>
      </c>
      <c r="B22" s="235"/>
      <c r="C22" s="31">
        <f>C19/C21</f>
        <v>13.030000000000001</v>
      </c>
    </row>
    <row r="25" spans="1:3" ht="16.5" customHeight="1" x14ac:dyDescent="0.25"/>
    <row r="26" spans="1:3" ht="16.5" customHeight="1" x14ac:dyDescent="0.25"/>
  </sheetData>
  <mergeCells count="6">
    <mergeCell ref="A22:B22"/>
    <mergeCell ref="A1:C1"/>
    <mergeCell ref="A3:C3"/>
    <mergeCell ref="A4:C4"/>
    <mergeCell ref="A5:C5"/>
    <mergeCell ref="A21:B21"/>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G27"/>
  <sheetViews>
    <sheetView view="pageBreakPreview" zoomScale="80" zoomScaleNormal="90" zoomScaleSheetLayoutView="80" workbookViewId="0">
      <selection activeCell="E19" sqref="E19"/>
    </sheetView>
  </sheetViews>
  <sheetFormatPr defaultColWidth="8.85546875" defaultRowHeight="15.75" x14ac:dyDescent="0.25"/>
  <cols>
    <col min="1" max="1" width="15" style="18" customWidth="1"/>
    <col min="2" max="2" width="107.5703125" style="18" customWidth="1"/>
    <col min="3" max="3" width="25.710937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179</v>
      </c>
      <c r="B4" s="234"/>
      <c r="C4" s="234"/>
    </row>
    <row r="5" spans="1:7" ht="16.5" thickBot="1" x14ac:dyDescent="0.3">
      <c r="A5" s="234" t="s">
        <v>229</v>
      </c>
      <c r="B5" s="234"/>
      <c r="C5" s="234"/>
    </row>
    <row r="6" spans="1:7" ht="66" customHeight="1" thickBot="1" x14ac:dyDescent="0.3">
      <c r="A6" s="19" t="s">
        <v>0</v>
      </c>
      <c r="B6" s="20" t="s">
        <v>1</v>
      </c>
      <c r="C6" s="20" t="s">
        <v>2</v>
      </c>
    </row>
    <row r="7" spans="1:7" ht="16.5" thickBot="1" x14ac:dyDescent="0.3">
      <c r="A7" s="45"/>
      <c r="B7" s="22" t="s">
        <v>3</v>
      </c>
      <c r="C7" s="23"/>
    </row>
    <row r="8" spans="1:7" ht="16.5" thickBot="1" x14ac:dyDescent="0.3">
      <c r="A8" s="45" t="s">
        <v>243</v>
      </c>
      <c r="B8" s="93" t="s">
        <v>463</v>
      </c>
      <c r="C8" s="17">
        <f>1.0419*75</f>
        <v>78.142499999999998</v>
      </c>
    </row>
    <row r="9" spans="1:7" ht="16.5" thickBot="1" x14ac:dyDescent="0.3">
      <c r="A9" s="45" t="s">
        <v>244</v>
      </c>
      <c r="B9" s="93" t="s">
        <v>242</v>
      </c>
      <c r="C9" s="24">
        <f>ROUND(C8*0.2409,2)</f>
        <v>18.82</v>
      </c>
    </row>
    <row r="10" spans="1:7" ht="16.5" thickBot="1" x14ac:dyDescent="0.3">
      <c r="A10" s="45"/>
      <c r="B10" s="121" t="s">
        <v>4</v>
      </c>
      <c r="C10" s="25">
        <f>SUM(C8:C9)</f>
        <v>96.962500000000006</v>
      </c>
    </row>
    <row r="11" spans="1:7" ht="16.5" thickBot="1" x14ac:dyDescent="0.3">
      <c r="A11" s="45"/>
      <c r="B11" s="121" t="s">
        <v>5</v>
      </c>
      <c r="C11" s="16"/>
      <c r="D11" s="28"/>
    </row>
    <row r="12" spans="1:7" ht="16.5" thickBot="1" x14ac:dyDescent="0.3">
      <c r="A12" s="45" t="s">
        <v>6</v>
      </c>
      <c r="B12" s="93" t="s">
        <v>462</v>
      </c>
      <c r="C12" s="170">
        <f>0.0015*24*27.13*75</f>
        <v>73.251000000000005</v>
      </c>
      <c r="G12" s="28"/>
    </row>
    <row r="13" spans="1:7" ht="16.5" thickBot="1" x14ac:dyDescent="0.3">
      <c r="A13" s="45" t="s">
        <v>7</v>
      </c>
      <c r="B13" s="93" t="s">
        <v>461</v>
      </c>
      <c r="C13" s="170">
        <f>0.0004*24*27.13*75</f>
        <v>19.5336</v>
      </c>
    </row>
    <row r="14" spans="1:7" ht="16.5" thickBot="1" x14ac:dyDescent="0.3">
      <c r="A14" s="45" t="s">
        <v>51</v>
      </c>
      <c r="B14" s="93" t="s">
        <v>460</v>
      </c>
      <c r="C14" s="170">
        <f>0.42/122*75</f>
        <v>0.25819672131147542</v>
      </c>
    </row>
    <row r="15" spans="1:7" ht="16.5" thickBot="1" x14ac:dyDescent="0.3">
      <c r="A15" s="3" t="s">
        <v>50</v>
      </c>
      <c r="B15" s="93" t="s">
        <v>803</v>
      </c>
      <c r="C15" s="24">
        <f>0.05*75</f>
        <v>3.75</v>
      </c>
    </row>
    <row r="16" spans="1:7" ht="17.25" customHeight="1" thickBot="1" x14ac:dyDescent="0.3">
      <c r="A16" s="45" t="s">
        <v>53</v>
      </c>
      <c r="B16" s="93" t="s">
        <v>459</v>
      </c>
      <c r="C16" s="170">
        <f>0.0037*24*27.13*75</f>
        <v>180.6858</v>
      </c>
    </row>
    <row r="17" spans="1:5" ht="32.25" thickBot="1" x14ac:dyDescent="0.3">
      <c r="A17" s="45" t="s">
        <v>52</v>
      </c>
      <c r="B17" s="93" t="s">
        <v>458</v>
      </c>
      <c r="C17" s="17">
        <v>602.80999999999995</v>
      </c>
    </row>
    <row r="18" spans="1:5" ht="16.5" thickBot="1" x14ac:dyDescent="0.3">
      <c r="A18" s="45"/>
      <c r="B18" s="22" t="s">
        <v>10</v>
      </c>
      <c r="C18" s="26">
        <f>SUM(C12:C17)</f>
        <v>880.28859672131148</v>
      </c>
    </row>
    <row r="19" spans="1:5" ht="16.5" thickBot="1" x14ac:dyDescent="0.3">
      <c r="A19" s="45"/>
      <c r="B19" s="29" t="s">
        <v>11</v>
      </c>
      <c r="C19" s="25">
        <f>C18+C10</f>
        <v>977.25109672131146</v>
      </c>
      <c r="E19" s="28"/>
    </row>
    <row r="20" spans="1:5" x14ac:dyDescent="0.25">
      <c r="C20" s="28"/>
    </row>
    <row r="21" spans="1:5" ht="16.5" thickBot="1" x14ac:dyDescent="0.3">
      <c r="C21" s="28"/>
    </row>
    <row r="22" spans="1:5" ht="16.5" thickBot="1" x14ac:dyDescent="0.3">
      <c r="A22" s="234" t="s">
        <v>13</v>
      </c>
      <c r="B22" s="235"/>
      <c r="C22" s="30">
        <v>75</v>
      </c>
    </row>
    <row r="23" spans="1:5" ht="16.5" thickBot="1" x14ac:dyDescent="0.3">
      <c r="A23" s="234" t="s">
        <v>59</v>
      </c>
      <c r="B23" s="235"/>
      <c r="C23" s="31">
        <f>C19/C22</f>
        <v>13.030014622950819</v>
      </c>
    </row>
    <row r="26" spans="1:5" ht="16.5" customHeight="1" x14ac:dyDescent="0.25"/>
    <row r="27" spans="1:5" ht="16.5" customHeight="1" x14ac:dyDescent="0.25"/>
  </sheetData>
  <mergeCells count="6">
    <mergeCell ref="A23:B23"/>
    <mergeCell ref="A1:C1"/>
    <mergeCell ref="A3:C3"/>
    <mergeCell ref="A4:C4"/>
    <mergeCell ref="A5:C5"/>
    <mergeCell ref="A22:B22"/>
  </mergeCells>
  <pageMargins left="0.70866141732283472" right="0.70866141732283472" top="0.74803149606299213" bottom="0.74803149606299213" header="0.31496062992125984" footer="0.31496062992125984"/>
  <pageSetup paperSize="9" scale="88" fitToHeight="0" orientation="landscape" r:id="rId1"/>
  <headerFooter differentFirst="1">
    <oddFooter>&amp;C&amp;P</oddFooter>
    <firstFooter>&amp;L&amp;10VManotp_130617_VTMECmaks&amp;C&amp;P</first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G30"/>
  <sheetViews>
    <sheetView view="pageBreakPreview" zoomScale="60" zoomScaleNormal="90" workbookViewId="0">
      <selection activeCell="E22" sqref="E22"/>
    </sheetView>
  </sheetViews>
  <sheetFormatPr defaultColWidth="8.85546875" defaultRowHeight="15.75" x14ac:dyDescent="0.25"/>
  <cols>
    <col min="1" max="1" width="14.85546875" style="18" customWidth="1"/>
    <col min="2" max="2" width="105.7109375" style="18" customWidth="1"/>
    <col min="3" max="3" width="24.285156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198</v>
      </c>
      <c r="B4" s="234"/>
      <c r="C4" s="234"/>
    </row>
    <row r="5" spans="1:7" ht="16.5" thickBot="1" x14ac:dyDescent="0.3">
      <c r="A5" s="234" t="s">
        <v>229</v>
      </c>
      <c r="B5" s="234"/>
      <c r="C5" s="234"/>
    </row>
    <row r="6" spans="1:7" ht="84.75" customHeight="1" thickBot="1" x14ac:dyDescent="0.3">
      <c r="A6" s="19" t="s">
        <v>0</v>
      </c>
      <c r="B6" s="20" t="s">
        <v>1</v>
      </c>
      <c r="C6" s="20" t="s">
        <v>2</v>
      </c>
    </row>
    <row r="7" spans="1:7" ht="16.5" thickBot="1" x14ac:dyDescent="0.3">
      <c r="A7" s="21"/>
      <c r="B7" s="22" t="s">
        <v>3</v>
      </c>
      <c r="C7" s="23"/>
    </row>
    <row r="8" spans="1:7" ht="17.25" customHeight="1" thickBot="1" x14ac:dyDescent="0.3">
      <c r="A8" s="21" t="s">
        <v>243</v>
      </c>
      <c r="B8" s="93" t="s">
        <v>472</v>
      </c>
      <c r="C8" s="24">
        <f>(24.649+16.5673)*35</f>
        <v>1442.5705</v>
      </c>
    </row>
    <row r="9" spans="1:7" ht="16.5" thickBot="1" x14ac:dyDescent="0.3">
      <c r="A9" s="21" t="s">
        <v>244</v>
      </c>
      <c r="B9" s="93" t="s">
        <v>241</v>
      </c>
      <c r="C9" s="24">
        <f>C8*0.2409</f>
        <v>347.51523345000004</v>
      </c>
    </row>
    <row r="10" spans="1:7" ht="16.5" thickBot="1" x14ac:dyDescent="0.3">
      <c r="A10" s="21"/>
      <c r="B10" s="121" t="s">
        <v>4</v>
      </c>
      <c r="C10" s="25">
        <f>SUM(C8:C9)</f>
        <v>1790.0857334500001</v>
      </c>
    </row>
    <row r="11" spans="1:7" ht="16.5" thickBot="1" x14ac:dyDescent="0.3">
      <c r="A11" s="21"/>
      <c r="B11" s="121" t="s">
        <v>5</v>
      </c>
      <c r="C11" s="16"/>
    </row>
    <row r="12" spans="1:7" ht="32.25" thickBot="1" x14ac:dyDescent="0.3">
      <c r="A12" s="21" t="s">
        <v>6</v>
      </c>
      <c r="B12" s="93" t="s">
        <v>471</v>
      </c>
      <c r="C12" s="24">
        <f>13.1693*35</f>
        <v>460.9255</v>
      </c>
    </row>
    <row r="13" spans="1:7" ht="32.25" thickBot="1" x14ac:dyDescent="0.3">
      <c r="A13" s="21" t="s">
        <v>7</v>
      </c>
      <c r="B13" s="93" t="s">
        <v>470</v>
      </c>
      <c r="C13" s="24">
        <f>8.667*35</f>
        <v>303.34499999999997</v>
      </c>
    </row>
    <row r="14" spans="1:7" ht="21" customHeight="1" thickBot="1" x14ac:dyDescent="0.3">
      <c r="A14" s="21" t="s">
        <v>8</v>
      </c>
      <c r="B14" s="93" t="s">
        <v>469</v>
      </c>
      <c r="C14" s="24">
        <f>0.13*35</f>
        <v>4.55</v>
      </c>
      <c r="D14" s="28"/>
    </row>
    <row r="15" spans="1:7" ht="17.25" customHeight="1" thickBot="1" x14ac:dyDescent="0.3">
      <c r="A15" s="21" t="s">
        <v>49</v>
      </c>
      <c r="B15" s="94" t="s">
        <v>467</v>
      </c>
      <c r="C15" s="26">
        <f>0.0032*35</f>
        <v>0.112</v>
      </c>
      <c r="G15" s="28"/>
    </row>
    <row r="16" spans="1:7" ht="33" customHeight="1" thickBot="1" x14ac:dyDescent="0.3">
      <c r="A16" s="21" t="s">
        <v>51</v>
      </c>
      <c r="B16" s="202" t="s">
        <v>466</v>
      </c>
      <c r="C16" s="24">
        <f>0.0036*35</f>
        <v>0.126</v>
      </c>
    </row>
    <row r="17" spans="1:5" ht="16.5" thickBot="1" x14ac:dyDescent="0.3">
      <c r="A17" s="33" t="s">
        <v>50</v>
      </c>
      <c r="B17" s="93" t="s">
        <v>465</v>
      </c>
      <c r="C17" s="24">
        <f>0.1446*35</f>
        <v>5.0609999999999999</v>
      </c>
    </row>
    <row r="18" spans="1:5" ht="16.5" customHeight="1" thickBot="1" x14ac:dyDescent="0.3">
      <c r="A18" s="33" t="s">
        <v>9</v>
      </c>
      <c r="B18" s="93" t="s">
        <v>468</v>
      </c>
      <c r="C18" s="24">
        <f>0.0027*35</f>
        <v>9.4500000000000001E-2</v>
      </c>
    </row>
    <row r="19" spans="1:5" ht="18" customHeight="1" thickBot="1" x14ac:dyDescent="0.3">
      <c r="A19" s="21" t="s">
        <v>53</v>
      </c>
      <c r="B19" s="93" t="s">
        <v>464</v>
      </c>
      <c r="C19" s="24">
        <f>8.6945*35</f>
        <v>304.3075</v>
      </c>
    </row>
    <row r="20" spans="1:5" ht="19.5" customHeight="1" thickBot="1" x14ac:dyDescent="0.3">
      <c r="A20" s="21" t="s">
        <v>52</v>
      </c>
      <c r="B20" s="93" t="s">
        <v>804</v>
      </c>
      <c r="C20" s="170">
        <v>1.39</v>
      </c>
    </row>
    <row r="21" spans="1:5" ht="16.5" thickBot="1" x14ac:dyDescent="0.3">
      <c r="A21" s="21"/>
      <c r="B21" s="22" t="s">
        <v>10</v>
      </c>
      <c r="C21" s="26">
        <f>SUM(C12:C20)</f>
        <v>1079.9114999999999</v>
      </c>
    </row>
    <row r="22" spans="1:5" ht="16.5" thickBot="1" x14ac:dyDescent="0.3">
      <c r="A22" s="21"/>
      <c r="B22" s="29" t="s">
        <v>11</v>
      </c>
      <c r="C22" s="25">
        <f>C21+C10</f>
        <v>2869.9972334499998</v>
      </c>
      <c r="E22" s="28"/>
    </row>
    <row r="23" spans="1:5" x14ac:dyDescent="0.25">
      <c r="C23" s="28"/>
    </row>
    <row r="24" spans="1:5" ht="16.5" thickBot="1" x14ac:dyDescent="0.3">
      <c r="C24" s="28"/>
    </row>
    <row r="25" spans="1:5" ht="16.5" thickBot="1" x14ac:dyDescent="0.3">
      <c r="A25" s="234" t="s">
        <v>13</v>
      </c>
      <c r="B25" s="235"/>
      <c r="C25" s="30">
        <v>35</v>
      </c>
    </row>
    <row r="26" spans="1:5" ht="16.5" thickBot="1" x14ac:dyDescent="0.3">
      <c r="A26" s="234" t="s">
        <v>59</v>
      </c>
      <c r="B26" s="235"/>
      <c r="C26" s="31">
        <f>C22/C25</f>
        <v>81.999920955714288</v>
      </c>
    </row>
    <row r="29" spans="1:5" ht="16.5" customHeight="1" x14ac:dyDescent="0.25"/>
    <row r="30" spans="1:5"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90" fitToHeight="0" orientation="landscape" r:id="rId1"/>
  <headerFooter differentFirst="1">
    <oddFooter>&amp;C&amp;P</oddFooter>
    <firstFooter>&amp;L&amp;10VManotp_130617_VTMECmaks&amp;C&amp;P</first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G30"/>
  <sheetViews>
    <sheetView view="pageBreakPreview" zoomScale="60" zoomScaleNormal="90" workbookViewId="0">
      <selection activeCell="I25" sqref="I25"/>
    </sheetView>
  </sheetViews>
  <sheetFormatPr defaultColWidth="8.85546875" defaultRowHeight="15.75" x14ac:dyDescent="0.25"/>
  <cols>
    <col min="1" max="1" width="15.7109375" style="18" customWidth="1"/>
    <col min="2" max="2" width="134.7109375" style="18" customWidth="1"/>
    <col min="3" max="3" width="23"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199</v>
      </c>
      <c r="B4" s="234"/>
      <c r="C4" s="234"/>
    </row>
    <row r="5" spans="1:7" ht="16.5" thickBot="1" x14ac:dyDescent="0.3">
      <c r="A5" s="234" t="s">
        <v>229</v>
      </c>
      <c r="B5" s="234"/>
      <c r="C5" s="234"/>
    </row>
    <row r="6" spans="1:7" ht="78" customHeight="1" thickBot="1" x14ac:dyDescent="0.3">
      <c r="A6" s="19" t="s">
        <v>0</v>
      </c>
      <c r="B6" s="20" t="s">
        <v>1</v>
      </c>
      <c r="C6" s="20" t="s">
        <v>2</v>
      </c>
    </row>
    <row r="7" spans="1:7" ht="16.5" thickBot="1" x14ac:dyDescent="0.3">
      <c r="A7" s="151"/>
      <c r="B7" s="22" t="s">
        <v>3</v>
      </c>
      <c r="C7" s="23"/>
    </row>
    <row r="8" spans="1:7" ht="15.75" customHeight="1" thickBot="1" x14ac:dyDescent="0.3">
      <c r="A8" s="151" t="s">
        <v>243</v>
      </c>
      <c r="B8" s="93" t="s">
        <v>481</v>
      </c>
      <c r="C8" s="150">
        <f>(49.298+29.8211)*15</f>
        <v>1186.7865000000002</v>
      </c>
    </row>
    <row r="9" spans="1:7" ht="16.5" thickBot="1" x14ac:dyDescent="0.3">
      <c r="A9" s="151" t="s">
        <v>244</v>
      </c>
      <c r="B9" s="93" t="s">
        <v>241</v>
      </c>
      <c r="C9" s="150">
        <f>ROUND(C8*0.2409,2)</f>
        <v>285.89999999999998</v>
      </c>
    </row>
    <row r="10" spans="1:7" ht="16.5" thickBot="1" x14ac:dyDescent="0.3">
      <c r="A10" s="151"/>
      <c r="B10" s="121" t="s">
        <v>4</v>
      </c>
      <c r="C10" s="25">
        <f>SUM(C8:C9)</f>
        <v>1472.6865000000003</v>
      </c>
    </row>
    <row r="11" spans="1:7" ht="16.5" thickBot="1" x14ac:dyDescent="0.3">
      <c r="A11" s="151"/>
      <c r="B11" s="121" t="s">
        <v>5</v>
      </c>
      <c r="C11" s="16"/>
    </row>
    <row r="12" spans="1:7" ht="32.25" thickBot="1" x14ac:dyDescent="0.3">
      <c r="A12" s="151" t="s">
        <v>6</v>
      </c>
      <c r="B12" s="93" t="s">
        <v>480</v>
      </c>
      <c r="C12" s="150">
        <f>2.9265*8.5*15</f>
        <v>373.12874999999997</v>
      </c>
    </row>
    <row r="13" spans="1:7" ht="16.5" thickBot="1" x14ac:dyDescent="0.3">
      <c r="A13" s="151" t="s">
        <v>7</v>
      </c>
      <c r="B13" s="93" t="s">
        <v>479</v>
      </c>
      <c r="C13" s="150">
        <f>1.926*8.5*15</f>
        <v>245.56499999999997</v>
      </c>
    </row>
    <row r="14" spans="1:7" ht="16.5" thickBot="1" x14ac:dyDescent="0.3">
      <c r="A14" s="151" t="s">
        <v>8</v>
      </c>
      <c r="B14" s="93" t="s">
        <v>478</v>
      </c>
      <c r="C14" s="150">
        <f>((0.009+0.004)*5)*2*15</f>
        <v>1.9500000000000002</v>
      </c>
      <c r="D14" s="28"/>
    </row>
    <row r="15" spans="1:7" ht="16.5" thickBot="1" x14ac:dyDescent="0.3">
      <c r="A15" s="151" t="s">
        <v>49</v>
      </c>
      <c r="B15" s="94" t="s">
        <v>477</v>
      </c>
      <c r="C15" s="150">
        <f>1.125/354*15</f>
        <v>4.7669491525423734E-2</v>
      </c>
      <c r="G15" s="28"/>
    </row>
    <row r="16" spans="1:7" ht="32.25" thickBot="1" x14ac:dyDescent="0.3">
      <c r="A16" s="151" t="s">
        <v>51</v>
      </c>
      <c r="B16" s="93" t="s">
        <v>476</v>
      </c>
      <c r="C16" s="150">
        <f>1.26/354*15</f>
        <v>5.3389830508474574E-2</v>
      </c>
    </row>
    <row r="17" spans="1:3" ht="16.5" thickBot="1" x14ac:dyDescent="0.3">
      <c r="A17" s="152" t="s">
        <v>50</v>
      </c>
      <c r="B17" s="93" t="s">
        <v>475</v>
      </c>
      <c r="C17" s="150">
        <f>(0.08+0.06)*15</f>
        <v>2.1</v>
      </c>
    </row>
    <row r="18" spans="1:3" ht="16.5" thickBot="1" x14ac:dyDescent="0.3">
      <c r="A18" s="152" t="s">
        <v>9</v>
      </c>
      <c r="B18" s="93" t="s">
        <v>474</v>
      </c>
      <c r="C18" s="150">
        <f>0.9473/354*15</f>
        <v>4.0139830508474576E-2</v>
      </c>
    </row>
    <row r="19" spans="1:3" ht="16.5" thickBot="1" x14ac:dyDescent="0.3">
      <c r="A19" s="151" t="s">
        <v>53</v>
      </c>
      <c r="B19" s="93" t="s">
        <v>482</v>
      </c>
      <c r="C19" s="170">
        <v>246.09</v>
      </c>
    </row>
    <row r="20" spans="1:3" ht="36" customHeight="1" thickBot="1" x14ac:dyDescent="0.3">
      <c r="A20" s="151" t="s">
        <v>52</v>
      </c>
      <c r="B20" s="93" t="s">
        <v>473</v>
      </c>
      <c r="C20" s="150">
        <f>(0.0012+0.044+0.0328+0.0013)*15</f>
        <v>1.1895</v>
      </c>
    </row>
    <row r="21" spans="1:3" ht="16.5" thickBot="1" x14ac:dyDescent="0.3">
      <c r="A21" s="151"/>
      <c r="B21" s="22" t="s">
        <v>10</v>
      </c>
      <c r="C21" s="26">
        <f>SUM(C12:C20)</f>
        <v>870.16444915254226</v>
      </c>
    </row>
    <row r="22" spans="1:3" ht="16.5" thickBot="1" x14ac:dyDescent="0.3">
      <c r="A22" s="151"/>
      <c r="B22" s="29" t="s">
        <v>11</v>
      </c>
      <c r="C22" s="25">
        <f>C21+C10</f>
        <v>2342.8509491525424</v>
      </c>
    </row>
    <row r="23" spans="1:3" x14ac:dyDescent="0.25">
      <c r="C23" s="28"/>
    </row>
    <row r="24" spans="1:3" ht="16.5" thickBot="1" x14ac:dyDescent="0.3">
      <c r="C24" s="28"/>
    </row>
    <row r="25" spans="1:3" ht="16.5" thickBot="1" x14ac:dyDescent="0.3">
      <c r="A25" s="234" t="s">
        <v>13</v>
      </c>
      <c r="B25" s="235"/>
      <c r="C25" s="30">
        <v>15</v>
      </c>
    </row>
    <row r="26" spans="1:3" ht="16.5" thickBot="1" x14ac:dyDescent="0.3">
      <c r="A26" s="234" t="s">
        <v>59</v>
      </c>
      <c r="B26" s="235"/>
      <c r="C26" s="31">
        <f>C22/C25</f>
        <v>156.19006327683616</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G30"/>
  <sheetViews>
    <sheetView view="pageBreakPreview" zoomScale="60" zoomScaleNormal="90" workbookViewId="0">
      <selection activeCell="E19" sqref="E19"/>
    </sheetView>
  </sheetViews>
  <sheetFormatPr defaultColWidth="8.85546875" defaultRowHeight="15.75" x14ac:dyDescent="0.25"/>
  <cols>
    <col min="1" max="1" width="16.85546875" style="18" customWidth="1"/>
    <col min="2" max="2" width="135.140625" style="18" customWidth="1"/>
    <col min="3" max="3" width="23.8554687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200</v>
      </c>
      <c r="B4" s="234"/>
      <c r="C4" s="234"/>
    </row>
    <row r="5" spans="1:7" ht="16.5" thickBot="1" x14ac:dyDescent="0.3">
      <c r="A5" s="234" t="s">
        <v>229</v>
      </c>
      <c r="B5" s="234"/>
      <c r="C5" s="234"/>
    </row>
    <row r="6" spans="1:7" ht="82.5" customHeight="1" thickBot="1" x14ac:dyDescent="0.3">
      <c r="A6" s="19" t="s">
        <v>0</v>
      </c>
      <c r="B6" s="20" t="s">
        <v>1</v>
      </c>
      <c r="C6" s="20" t="s">
        <v>2</v>
      </c>
    </row>
    <row r="7" spans="1:7" ht="16.5" thickBot="1" x14ac:dyDescent="0.3">
      <c r="A7" s="21"/>
      <c r="B7" s="22" t="s">
        <v>3</v>
      </c>
      <c r="C7" s="23"/>
    </row>
    <row r="8" spans="1:7" ht="32.25" thickBot="1" x14ac:dyDescent="0.3">
      <c r="A8" s="21" t="s">
        <v>243</v>
      </c>
      <c r="B8" s="93" t="s">
        <v>491</v>
      </c>
      <c r="C8" s="24">
        <f>(36.9735+23.1942)*8</f>
        <v>481.34159999999997</v>
      </c>
    </row>
    <row r="9" spans="1:7" ht="16.5" thickBot="1" x14ac:dyDescent="0.3">
      <c r="A9" s="21" t="s">
        <v>244</v>
      </c>
      <c r="B9" s="93" t="s">
        <v>242</v>
      </c>
      <c r="C9" s="24">
        <f>C8*0.2409</f>
        <v>115.95519143999999</v>
      </c>
    </row>
    <row r="10" spans="1:7" ht="16.5" thickBot="1" x14ac:dyDescent="0.3">
      <c r="A10" s="21"/>
      <c r="B10" s="121" t="s">
        <v>4</v>
      </c>
      <c r="C10" s="25">
        <f>SUM(C8:C9)</f>
        <v>597.29679143999999</v>
      </c>
    </row>
    <row r="11" spans="1:7" ht="16.5" thickBot="1" x14ac:dyDescent="0.3">
      <c r="A11" s="21"/>
      <c r="B11" s="121" t="s">
        <v>5</v>
      </c>
      <c r="C11" s="16"/>
    </row>
    <row r="12" spans="1:7" ht="16.5" thickBot="1" x14ac:dyDescent="0.3">
      <c r="A12" s="21" t="s">
        <v>6</v>
      </c>
      <c r="B12" s="93" t="s">
        <v>490</v>
      </c>
      <c r="C12" s="24">
        <f>2.9265*6.5*8</f>
        <v>152.178</v>
      </c>
    </row>
    <row r="13" spans="1:7" ht="16.5" thickBot="1" x14ac:dyDescent="0.3">
      <c r="A13" s="21" t="s">
        <v>7</v>
      </c>
      <c r="B13" s="93" t="s">
        <v>489</v>
      </c>
      <c r="C13" s="24">
        <f>1.926*6.5*8</f>
        <v>100.152</v>
      </c>
    </row>
    <row r="14" spans="1:7" ht="16.5" thickBot="1" x14ac:dyDescent="0.3">
      <c r="A14" s="21" t="s">
        <v>8</v>
      </c>
      <c r="B14" s="93" t="s">
        <v>488</v>
      </c>
      <c r="C14" s="24">
        <f>((0.009+0.004)*5)*2*8</f>
        <v>1.04</v>
      </c>
      <c r="D14" s="28"/>
    </row>
    <row r="15" spans="1:7" ht="16.5" thickBot="1" x14ac:dyDescent="0.3">
      <c r="A15" s="21" t="s">
        <v>49</v>
      </c>
      <c r="B15" s="94" t="s">
        <v>486</v>
      </c>
      <c r="C15" s="122">
        <f>1.125/354*8</f>
        <v>2.5423728813559324E-2</v>
      </c>
      <c r="G15" s="28"/>
    </row>
    <row r="16" spans="1:7" ht="32.25" thickBot="1" x14ac:dyDescent="0.3">
      <c r="A16" s="21" t="s">
        <v>51</v>
      </c>
      <c r="B16" s="93" t="s">
        <v>487</v>
      </c>
      <c r="C16" s="78">
        <f>1.26/354*8</f>
        <v>2.8474576271186439E-2</v>
      </c>
    </row>
    <row r="17" spans="1:5" ht="16.5" thickBot="1" x14ac:dyDescent="0.3">
      <c r="A17" s="33" t="s">
        <v>50</v>
      </c>
      <c r="B17" s="93" t="s">
        <v>492</v>
      </c>
      <c r="C17" s="24">
        <f>0.027*3*8</f>
        <v>0.64800000000000002</v>
      </c>
    </row>
    <row r="18" spans="1:5" ht="17.25" customHeight="1" thickBot="1" x14ac:dyDescent="0.3">
      <c r="A18" s="33" t="s">
        <v>9</v>
      </c>
      <c r="B18" s="93" t="s">
        <v>484</v>
      </c>
      <c r="C18" s="78">
        <f>0.9473/354*8</f>
        <v>2.1407909604519774E-2</v>
      </c>
    </row>
    <row r="19" spans="1:5" ht="16.5" thickBot="1" x14ac:dyDescent="0.3">
      <c r="A19" s="21" t="s">
        <v>53</v>
      </c>
      <c r="B19" s="93" t="s">
        <v>485</v>
      </c>
      <c r="C19" s="170">
        <v>100.45</v>
      </c>
    </row>
    <row r="20" spans="1:5" ht="33.75" customHeight="1" thickBot="1" x14ac:dyDescent="0.3">
      <c r="A20" s="21" t="s">
        <v>52</v>
      </c>
      <c r="B20" s="93" t="s">
        <v>483</v>
      </c>
      <c r="C20" s="24">
        <f>(0.0012+0.033+0.0246+0.0013)*8</f>
        <v>0.48080000000000006</v>
      </c>
    </row>
    <row r="21" spans="1:5" ht="16.5" thickBot="1" x14ac:dyDescent="0.3">
      <c r="A21" s="21"/>
      <c r="B21" s="22" t="s">
        <v>10</v>
      </c>
      <c r="C21" s="26">
        <f>SUM(C12:C20)</f>
        <v>355.02410621468925</v>
      </c>
    </row>
    <row r="22" spans="1:5" ht="16.5" thickBot="1" x14ac:dyDescent="0.3">
      <c r="A22" s="21"/>
      <c r="B22" s="29" t="s">
        <v>11</v>
      </c>
      <c r="C22" s="25">
        <f>C21+C10</f>
        <v>952.32089765468925</v>
      </c>
      <c r="E22" s="28"/>
    </row>
    <row r="23" spans="1:5" x14ac:dyDescent="0.25">
      <c r="C23" s="28"/>
    </row>
    <row r="24" spans="1:5" ht="16.5" thickBot="1" x14ac:dyDescent="0.3">
      <c r="C24" s="28"/>
    </row>
    <row r="25" spans="1:5" ht="16.5" thickBot="1" x14ac:dyDescent="0.3">
      <c r="A25" s="234" t="s">
        <v>13</v>
      </c>
      <c r="B25" s="235"/>
      <c r="C25" s="30">
        <v>8</v>
      </c>
    </row>
    <row r="26" spans="1:5" ht="16.5" thickBot="1" x14ac:dyDescent="0.3">
      <c r="A26" s="234" t="s">
        <v>59</v>
      </c>
      <c r="B26" s="235"/>
      <c r="C26" s="31">
        <f>C22/C25</f>
        <v>119.04011220683616</v>
      </c>
    </row>
    <row r="29" spans="1:5" ht="16.5" customHeight="1" x14ac:dyDescent="0.25"/>
    <row r="30" spans="1:5"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76" fitToHeight="0" orientation="landscape" r:id="rId1"/>
  <headerFooter differentFirst="1">
    <oddFooter>&amp;C&amp;P</oddFooter>
    <firstFooter>&amp;L&amp;10VManotp_130617_VTMECmaks&amp;C&amp;P</first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G30"/>
  <sheetViews>
    <sheetView view="pageBreakPreview" zoomScale="60" zoomScaleNormal="80" workbookViewId="0">
      <selection activeCell="H8" sqref="H8"/>
    </sheetView>
  </sheetViews>
  <sheetFormatPr defaultColWidth="8.85546875" defaultRowHeight="15.75" x14ac:dyDescent="0.25"/>
  <cols>
    <col min="1" max="1" width="13.28515625" style="18" customWidth="1"/>
    <col min="2" max="2" width="135.42578125" style="18" customWidth="1"/>
    <col min="3" max="3" width="25.285156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81" t="s">
        <v>201</v>
      </c>
      <c r="B4" s="234"/>
      <c r="C4" s="234"/>
    </row>
    <row r="5" spans="1:7" ht="16.5" thickBot="1" x14ac:dyDescent="0.3">
      <c r="A5" s="234" t="s">
        <v>229</v>
      </c>
      <c r="B5" s="234"/>
      <c r="C5" s="234"/>
    </row>
    <row r="6" spans="1:7" ht="77.25" customHeight="1" thickBot="1" x14ac:dyDescent="0.3">
      <c r="A6" s="19" t="s">
        <v>0</v>
      </c>
      <c r="B6" s="20" t="s">
        <v>1</v>
      </c>
      <c r="C6" s="20" t="s">
        <v>2</v>
      </c>
    </row>
    <row r="7" spans="1:7" ht="16.5" thickBot="1" x14ac:dyDescent="0.3">
      <c r="A7" s="64"/>
      <c r="B7" s="22" t="s">
        <v>3</v>
      </c>
      <c r="C7" s="23"/>
    </row>
    <row r="8" spans="1:7" ht="35.25" customHeight="1" thickBot="1" x14ac:dyDescent="0.3">
      <c r="A8" s="64" t="s">
        <v>243</v>
      </c>
      <c r="B8" s="93" t="s">
        <v>502</v>
      </c>
      <c r="C8" s="24">
        <f>(24.649+16.5673)*1</f>
        <v>41.216300000000004</v>
      </c>
    </row>
    <row r="9" spans="1:7" ht="16.5" thickBot="1" x14ac:dyDescent="0.3">
      <c r="A9" s="64" t="s">
        <v>244</v>
      </c>
      <c r="B9" s="93" t="s">
        <v>241</v>
      </c>
      <c r="C9" s="24">
        <f>C8*0.2409</f>
        <v>9.9290066700000015</v>
      </c>
    </row>
    <row r="10" spans="1:7" ht="16.5" thickBot="1" x14ac:dyDescent="0.3">
      <c r="A10" s="64"/>
      <c r="B10" s="121" t="s">
        <v>4</v>
      </c>
      <c r="C10" s="25">
        <f>SUM(C8:C9)</f>
        <v>51.145306670000004</v>
      </c>
    </row>
    <row r="11" spans="1:7" ht="16.5" thickBot="1" x14ac:dyDescent="0.3">
      <c r="A11" s="64"/>
      <c r="B11" s="121" t="s">
        <v>5</v>
      </c>
      <c r="C11" s="16"/>
    </row>
    <row r="12" spans="1:7" ht="18.75" customHeight="1" thickBot="1" x14ac:dyDescent="0.3">
      <c r="A12" s="64" t="s">
        <v>6</v>
      </c>
      <c r="B12" s="93" t="s">
        <v>501</v>
      </c>
      <c r="C12" s="24">
        <f>2.9265*4.5</f>
        <v>13.16925</v>
      </c>
    </row>
    <row r="13" spans="1:7" ht="16.5" thickBot="1" x14ac:dyDescent="0.3">
      <c r="A13" s="64" t="s">
        <v>7</v>
      </c>
      <c r="B13" s="93" t="s">
        <v>500</v>
      </c>
      <c r="C13" s="24">
        <f>1.926*4.5</f>
        <v>8.6669999999999998</v>
      </c>
    </row>
    <row r="14" spans="1:7" ht="16.5" thickBot="1" x14ac:dyDescent="0.3">
      <c r="A14" s="64" t="s">
        <v>8</v>
      </c>
      <c r="B14" s="93" t="s">
        <v>499</v>
      </c>
      <c r="C14" s="24">
        <f>((0.009+0.004)*5)*2</f>
        <v>0.13</v>
      </c>
      <c r="D14" s="28"/>
    </row>
    <row r="15" spans="1:7" ht="16.5" thickBot="1" x14ac:dyDescent="0.3">
      <c r="A15" s="64" t="s">
        <v>49</v>
      </c>
      <c r="B15" s="94" t="s">
        <v>498</v>
      </c>
      <c r="C15" s="122">
        <f>1.125/354</f>
        <v>3.1779661016949155E-3</v>
      </c>
      <c r="G15" s="28"/>
    </row>
    <row r="16" spans="1:7" ht="33.75" customHeight="1" thickBot="1" x14ac:dyDescent="0.3">
      <c r="A16" s="64" t="s">
        <v>51</v>
      </c>
      <c r="B16" s="93" t="s">
        <v>497</v>
      </c>
      <c r="C16" s="78">
        <f>1.26/354</f>
        <v>3.5593220338983049E-3</v>
      </c>
    </row>
    <row r="17" spans="1:3" ht="16.5" thickBot="1" x14ac:dyDescent="0.3">
      <c r="A17" s="65" t="s">
        <v>50</v>
      </c>
      <c r="B17" s="93" t="s">
        <v>496</v>
      </c>
      <c r="C17" s="24">
        <f>0.08+0.06</f>
        <v>0.14000000000000001</v>
      </c>
    </row>
    <row r="18" spans="1:3" ht="16.5" thickBot="1" x14ac:dyDescent="0.3">
      <c r="A18" s="65" t="s">
        <v>9</v>
      </c>
      <c r="B18" s="93" t="s">
        <v>495</v>
      </c>
      <c r="C18" s="78">
        <f>0.9473/354</f>
        <v>2.6759887005649717E-3</v>
      </c>
    </row>
    <row r="19" spans="1:3" ht="32.25" thickBot="1" x14ac:dyDescent="0.3">
      <c r="A19" s="64" t="s">
        <v>53</v>
      </c>
      <c r="B19" s="93" t="s">
        <v>494</v>
      </c>
      <c r="C19" s="24">
        <f>1.9321*4.5</f>
        <v>8.6944499999999998</v>
      </c>
    </row>
    <row r="20" spans="1:3" ht="36" customHeight="1" thickBot="1" x14ac:dyDescent="0.3">
      <c r="A20" s="64" t="s">
        <v>52</v>
      </c>
      <c r="B20" s="93" t="s">
        <v>493</v>
      </c>
      <c r="C20" s="24">
        <f>0.0012+0.022+0.0164+0.0013</f>
        <v>4.0899999999999999E-2</v>
      </c>
    </row>
    <row r="21" spans="1:3" ht="16.5" thickBot="1" x14ac:dyDescent="0.3">
      <c r="A21" s="64"/>
      <c r="B21" s="22" t="s">
        <v>10</v>
      </c>
      <c r="C21" s="26">
        <f>SUM(C12:C20)</f>
        <v>30.851013276836159</v>
      </c>
    </row>
    <row r="22" spans="1:3" ht="16.5" thickBot="1" x14ac:dyDescent="0.3">
      <c r="A22" s="64"/>
      <c r="B22" s="29" t="s">
        <v>11</v>
      </c>
      <c r="C22" s="25">
        <f>C21+C10</f>
        <v>81.996319946836167</v>
      </c>
    </row>
    <row r="23" spans="1:3" x14ac:dyDescent="0.25">
      <c r="C23" s="28"/>
    </row>
    <row r="24" spans="1:3" ht="16.5" thickBot="1" x14ac:dyDescent="0.3">
      <c r="C24" s="28"/>
    </row>
    <row r="25" spans="1:3" ht="16.5" thickBot="1" x14ac:dyDescent="0.3">
      <c r="A25" s="234" t="s">
        <v>13</v>
      </c>
      <c r="B25" s="235"/>
      <c r="C25" s="30">
        <v>1</v>
      </c>
    </row>
    <row r="26" spans="1:3" ht="16.5" thickBot="1" x14ac:dyDescent="0.3">
      <c r="A26" s="234" t="s">
        <v>59</v>
      </c>
      <c r="B26" s="235"/>
      <c r="C26" s="31">
        <f>C22/C25</f>
        <v>81.996319946836167</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4"/>
  <sheetViews>
    <sheetView view="pageBreakPreview" zoomScale="60" zoomScaleNormal="60" workbookViewId="0">
      <selection activeCell="E15" sqref="E15"/>
    </sheetView>
  </sheetViews>
  <sheetFormatPr defaultColWidth="8.85546875" defaultRowHeight="15.75" x14ac:dyDescent="0.25"/>
  <cols>
    <col min="1" max="1" width="15.5703125" style="18" customWidth="1"/>
    <col min="2" max="2" width="136.28515625" style="18" customWidth="1"/>
    <col min="3" max="3" width="22.85546875" style="18" customWidth="1"/>
    <col min="4" max="4" width="26.1406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125</v>
      </c>
      <c r="B4" s="234"/>
      <c r="C4" s="234"/>
    </row>
    <row r="5" spans="1:7" ht="16.5" thickBot="1" x14ac:dyDescent="0.3">
      <c r="A5" s="234" t="s">
        <v>229</v>
      </c>
      <c r="B5" s="234"/>
      <c r="C5" s="234"/>
    </row>
    <row r="6" spans="1:7" ht="86.25" customHeight="1" thickBot="1" x14ac:dyDescent="0.3">
      <c r="A6" s="19" t="s">
        <v>0</v>
      </c>
      <c r="B6" s="20" t="s">
        <v>1</v>
      </c>
      <c r="C6" s="20" t="s">
        <v>2</v>
      </c>
    </row>
    <row r="7" spans="1:7" ht="16.5" thickBot="1" x14ac:dyDescent="0.3">
      <c r="A7" s="21"/>
      <c r="B7" s="22" t="s">
        <v>3</v>
      </c>
      <c r="C7" s="23"/>
    </row>
    <row r="8" spans="1:7" ht="18.75" customHeight="1" thickBot="1" x14ac:dyDescent="0.3">
      <c r="A8" s="21" t="s">
        <v>243</v>
      </c>
      <c r="B8" s="103" t="s">
        <v>566</v>
      </c>
      <c r="C8" s="24">
        <f>(1.2518+3.6817+12.3245+3.0811)*100</f>
        <v>2033.9100000000003</v>
      </c>
    </row>
    <row r="9" spans="1:7" ht="22.5" customHeight="1" thickBot="1" x14ac:dyDescent="0.3">
      <c r="A9" s="21" t="s">
        <v>244</v>
      </c>
      <c r="B9" s="12" t="s">
        <v>241</v>
      </c>
      <c r="C9" s="24">
        <f>C8*0.2409</f>
        <v>489.96891900000008</v>
      </c>
    </row>
    <row r="10" spans="1:7" ht="16.5" thickBot="1" x14ac:dyDescent="0.3">
      <c r="A10" s="21"/>
      <c r="B10" s="22" t="s">
        <v>4</v>
      </c>
      <c r="C10" s="25">
        <f>SUM(C8:C9)</f>
        <v>2523.8789190000002</v>
      </c>
    </row>
    <row r="11" spans="1:7" ht="16.5" thickBot="1" x14ac:dyDescent="0.3">
      <c r="A11" s="21"/>
      <c r="B11" s="22" t="s">
        <v>5</v>
      </c>
      <c r="C11" s="26"/>
      <c r="E11" s="27"/>
    </row>
    <row r="12" spans="1:7" ht="33.75" customHeight="1" thickBot="1" x14ac:dyDescent="0.3">
      <c r="A12" s="21" t="s">
        <v>6</v>
      </c>
      <c r="B12" s="93" t="s">
        <v>567</v>
      </c>
      <c r="C12" s="24">
        <f>0.007*1.92*107.7*100</f>
        <v>144.74880000000002</v>
      </c>
    </row>
    <row r="13" spans="1:7" ht="33.75" customHeight="1" thickBot="1" x14ac:dyDescent="0.3">
      <c r="A13" s="21" t="s">
        <v>7</v>
      </c>
      <c r="B13" s="93" t="s">
        <v>568</v>
      </c>
      <c r="C13" s="24">
        <v>41.36</v>
      </c>
    </row>
    <row r="14" spans="1:7" ht="35.25" customHeight="1" thickBot="1" x14ac:dyDescent="0.3">
      <c r="A14" s="21" t="s">
        <v>8</v>
      </c>
      <c r="B14" s="93" t="s">
        <v>569</v>
      </c>
      <c r="C14" s="24">
        <f>0.013*100</f>
        <v>1.3</v>
      </c>
      <c r="G14" s="28"/>
    </row>
    <row r="15" spans="1:7" ht="71.25" customHeight="1" thickBot="1" x14ac:dyDescent="0.3">
      <c r="A15" s="21" t="s">
        <v>49</v>
      </c>
      <c r="B15" s="94" t="s">
        <v>570</v>
      </c>
      <c r="C15" s="170">
        <f>(7.26*100)+(0.0216*100)</f>
        <v>728.16</v>
      </c>
    </row>
    <row r="16" spans="1:7" ht="33.75" customHeight="1" thickBot="1" x14ac:dyDescent="0.3">
      <c r="A16" s="21" t="s">
        <v>51</v>
      </c>
      <c r="B16" s="93" t="s">
        <v>571</v>
      </c>
      <c r="C16" s="24">
        <f>0.003*100</f>
        <v>0.3</v>
      </c>
    </row>
    <row r="17" spans="1:5" ht="36.75" customHeight="1" thickBot="1" x14ac:dyDescent="0.3">
      <c r="A17" s="21" t="s">
        <v>50</v>
      </c>
      <c r="B17" s="93" t="s">
        <v>572</v>
      </c>
      <c r="C17" s="24">
        <v>88.88</v>
      </c>
    </row>
    <row r="18" spans="1:5" ht="32.25" thickBot="1" x14ac:dyDescent="0.3">
      <c r="A18" s="21" t="s">
        <v>53</v>
      </c>
      <c r="B18" s="12" t="s">
        <v>573</v>
      </c>
      <c r="C18" s="24">
        <f>0.02*1.92*107.7*100</f>
        <v>413.56799999999998</v>
      </c>
    </row>
    <row r="19" spans="1:5" ht="37.5" customHeight="1" thickBot="1" x14ac:dyDescent="0.3">
      <c r="A19" s="21" t="s">
        <v>52</v>
      </c>
      <c r="B19" s="93" t="s">
        <v>574</v>
      </c>
      <c r="C19" s="24">
        <f>(0.0318+0.0042+0.0426+0.0924+0.0317+0.0053)*100</f>
        <v>20.8</v>
      </c>
    </row>
    <row r="20" spans="1:5" ht="18" customHeight="1" thickBot="1" x14ac:dyDescent="0.3">
      <c r="A20" s="21"/>
      <c r="B20" s="22" t="s">
        <v>10</v>
      </c>
      <c r="C20" s="26">
        <f>SUM(C12:C19)</f>
        <v>1439.1168</v>
      </c>
    </row>
    <row r="21" spans="1:5" ht="16.5" thickBot="1" x14ac:dyDescent="0.3">
      <c r="A21" s="21"/>
      <c r="B21" s="29" t="s">
        <v>11</v>
      </c>
      <c r="C21" s="25">
        <f>C20+C10</f>
        <v>3962.9957190000005</v>
      </c>
      <c r="E21" s="28"/>
    </row>
    <row r="22" spans="1:5" ht="16.5" thickBot="1" x14ac:dyDescent="0.3">
      <c r="C22" s="28"/>
    </row>
    <row r="23" spans="1:5" ht="16.5" thickBot="1" x14ac:dyDescent="0.3">
      <c r="A23" s="234" t="s">
        <v>13</v>
      </c>
      <c r="B23" s="235"/>
      <c r="C23" s="30">
        <v>100</v>
      </c>
    </row>
    <row r="24" spans="1:5" ht="16.5" thickBot="1" x14ac:dyDescent="0.3">
      <c r="A24" s="234" t="s">
        <v>59</v>
      </c>
      <c r="B24" s="235"/>
      <c r="C24" s="31">
        <f>C21/C23</f>
        <v>39.629957190000006</v>
      </c>
    </row>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G30"/>
  <sheetViews>
    <sheetView view="pageBreakPreview" zoomScale="60" zoomScaleNormal="90" workbookViewId="0">
      <selection activeCell="D25" sqref="D25"/>
    </sheetView>
  </sheetViews>
  <sheetFormatPr defaultColWidth="8.85546875" defaultRowHeight="15.75" x14ac:dyDescent="0.25"/>
  <cols>
    <col min="1" max="1" width="15.7109375" style="18" customWidth="1"/>
    <col min="2" max="2" width="105.28515625" style="18" customWidth="1"/>
    <col min="3" max="3" width="23"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199</v>
      </c>
      <c r="B4" s="234"/>
      <c r="C4" s="234"/>
    </row>
    <row r="5" spans="1:7" ht="16.5" thickBot="1" x14ac:dyDescent="0.3">
      <c r="A5" s="234" t="s">
        <v>229</v>
      </c>
      <c r="B5" s="234"/>
      <c r="C5" s="234"/>
    </row>
    <row r="6" spans="1:7" ht="78" customHeight="1" thickBot="1" x14ac:dyDescent="0.3">
      <c r="A6" s="19" t="s">
        <v>0</v>
      </c>
      <c r="B6" s="20" t="s">
        <v>1</v>
      </c>
      <c r="C6" s="20" t="s">
        <v>2</v>
      </c>
    </row>
    <row r="7" spans="1:7" ht="16.5" thickBot="1" x14ac:dyDescent="0.3">
      <c r="A7" s="21"/>
      <c r="B7" s="22" t="s">
        <v>3</v>
      </c>
      <c r="C7" s="23"/>
    </row>
    <row r="8" spans="1:7" ht="16.5" customHeight="1" thickBot="1" x14ac:dyDescent="0.3">
      <c r="A8" s="21" t="s">
        <v>243</v>
      </c>
      <c r="B8" s="93" t="s">
        <v>512</v>
      </c>
      <c r="C8" s="24">
        <f>(29.8211+49.298)*1</f>
        <v>79.119100000000003</v>
      </c>
    </row>
    <row r="9" spans="1:7" ht="16.5" thickBot="1" x14ac:dyDescent="0.3">
      <c r="A9" s="21" t="s">
        <v>244</v>
      </c>
      <c r="B9" s="93" t="s">
        <v>241</v>
      </c>
      <c r="C9" s="24">
        <f>C8*0.2409</f>
        <v>19.059791190000002</v>
      </c>
    </row>
    <row r="10" spans="1:7" ht="16.5" thickBot="1" x14ac:dyDescent="0.3">
      <c r="A10" s="21"/>
      <c r="B10" s="121" t="s">
        <v>4</v>
      </c>
      <c r="C10" s="25">
        <f>SUM(C8:C9)</f>
        <v>98.178891190000002</v>
      </c>
    </row>
    <row r="11" spans="1:7" ht="16.5" thickBot="1" x14ac:dyDescent="0.3">
      <c r="A11" s="21"/>
      <c r="B11" s="121" t="s">
        <v>5</v>
      </c>
      <c r="C11" s="16"/>
    </row>
    <row r="12" spans="1:7" ht="32.25" thickBot="1" x14ac:dyDescent="0.3">
      <c r="A12" s="21" t="s">
        <v>6</v>
      </c>
      <c r="B12" s="93" t="s">
        <v>511</v>
      </c>
      <c r="C12" s="24">
        <f>2.9265*8.5</f>
        <v>24.875249999999998</v>
      </c>
    </row>
    <row r="13" spans="1:7" ht="16.5" thickBot="1" x14ac:dyDescent="0.3">
      <c r="A13" s="21" t="s">
        <v>7</v>
      </c>
      <c r="B13" s="93" t="s">
        <v>510</v>
      </c>
      <c r="C13" s="24">
        <f>1.926*8.5</f>
        <v>16.370999999999999</v>
      </c>
    </row>
    <row r="14" spans="1:7" ht="16.5" thickBot="1" x14ac:dyDescent="0.3">
      <c r="A14" s="21" t="s">
        <v>8</v>
      </c>
      <c r="B14" s="93" t="s">
        <v>509</v>
      </c>
      <c r="C14" s="24">
        <f>((0.009+0.004)*5)*2</f>
        <v>0.13</v>
      </c>
      <c r="D14" s="28"/>
    </row>
    <row r="15" spans="1:7" ht="16.5" thickBot="1" x14ac:dyDescent="0.3">
      <c r="A15" s="21" t="s">
        <v>49</v>
      </c>
      <c r="B15" s="94" t="s">
        <v>508</v>
      </c>
      <c r="C15" s="122">
        <f>1.125/354</f>
        <v>3.1779661016949155E-3</v>
      </c>
      <c r="G15" s="28"/>
    </row>
    <row r="16" spans="1:7" ht="32.25" thickBot="1" x14ac:dyDescent="0.3">
      <c r="A16" s="21" t="s">
        <v>51</v>
      </c>
      <c r="B16" s="93" t="s">
        <v>507</v>
      </c>
      <c r="C16" s="78">
        <f>1.26/354</f>
        <v>3.5593220338983049E-3</v>
      </c>
    </row>
    <row r="17" spans="1:3" ht="16.5" thickBot="1" x14ac:dyDescent="0.3">
      <c r="A17" s="33" t="s">
        <v>50</v>
      </c>
      <c r="B17" s="93" t="s">
        <v>506</v>
      </c>
      <c r="C17" s="24">
        <f>0.08+0.06</f>
        <v>0.14000000000000001</v>
      </c>
    </row>
    <row r="18" spans="1:3" ht="16.5" thickBot="1" x14ac:dyDescent="0.3">
      <c r="A18" s="33" t="s">
        <v>9</v>
      </c>
      <c r="B18" s="93" t="s">
        <v>505</v>
      </c>
      <c r="C18" s="78">
        <f>0.9473/354</f>
        <v>2.6759887005649717E-3</v>
      </c>
    </row>
    <row r="19" spans="1:3" ht="16.5" thickBot="1" x14ac:dyDescent="0.3">
      <c r="A19" s="21" t="s">
        <v>53</v>
      </c>
      <c r="B19" s="93" t="s">
        <v>504</v>
      </c>
      <c r="C19" s="24">
        <f>1.93*8.5</f>
        <v>16.405000000000001</v>
      </c>
    </row>
    <row r="20" spans="1:3" ht="34.5" customHeight="1" thickBot="1" x14ac:dyDescent="0.3">
      <c r="A20" s="21" t="s">
        <v>52</v>
      </c>
      <c r="B20" s="93" t="s">
        <v>503</v>
      </c>
      <c r="C20" s="24">
        <f>0.0012+0.044+0.0328+0.0013</f>
        <v>7.9299999999999995E-2</v>
      </c>
    </row>
    <row r="21" spans="1:3" ht="16.5" thickBot="1" x14ac:dyDescent="0.3">
      <c r="A21" s="21"/>
      <c r="B21" s="22" t="s">
        <v>10</v>
      </c>
      <c r="C21" s="26">
        <f>SUM(C12:C20)</f>
        <v>58.009963276836167</v>
      </c>
    </row>
    <row r="22" spans="1:3" ht="16.5" thickBot="1" x14ac:dyDescent="0.3">
      <c r="A22" s="21"/>
      <c r="B22" s="29" t="s">
        <v>11</v>
      </c>
      <c r="C22" s="25">
        <f>C21+C10</f>
        <v>156.18885446683618</v>
      </c>
    </row>
    <row r="23" spans="1:3" x14ac:dyDescent="0.25">
      <c r="C23" s="28"/>
    </row>
    <row r="24" spans="1:3" ht="16.5" thickBot="1" x14ac:dyDescent="0.3">
      <c r="C24" s="28"/>
    </row>
    <row r="25" spans="1:3" ht="16.5" thickBot="1" x14ac:dyDescent="0.3">
      <c r="A25" s="234" t="s">
        <v>13</v>
      </c>
      <c r="B25" s="235"/>
      <c r="C25" s="30">
        <v>1</v>
      </c>
    </row>
    <row r="26" spans="1:3" ht="16.5" thickBot="1" x14ac:dyDescent="0.3">
      <c r="A26" s="234" t="s">
        <v>59</v>
      </c>
      <c r="B26" s="235"/>
      <c r="C26" s="31">
        <f>C22/C25</f>
        <v>156.18885446683618</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91" fitToHeight="0" orientation="landscape" r:id="rId1"/>
  <headerFooter differentFirst="1">
    <oddFooter>&amp;C&amp;P</oddFooter>
    <firstFooter>&amp;L&amp;10VManotp_130617_VTMECmaks&amp;C&amp;P</first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G30"/>
  <sheetViews>
    <sheetView view="pageBreakPreview" zoomScale="60" zoomScaleNormal="80" workbookViewId="0">
      <selection activeCell="B23" sqref="B23"/>
    </sheetView>
  </sheetViews>
  <sheetFormatPr defaultColWidth="8.85546875" defaultRowHeight="15.75" x14ac:dyDescent="0.25"/>
  <cols>
    <col min="1" max="1" width="14.7109375" style="18" customWidth="1"/>
    <col min="2" max="2" width="111.85546875" style="18" customWidth="1"/>
    <col min="3" max="3" width="25.42578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200</v>
      </c>
      <c r="B4" s="234"/>
      <c r="C4" s="234"/>
    </row>
    <row r="5" spans="1:7" ht="16.5" thickBot="1" x14ac:dyDescent="0.3">
      <c r="A5" s="234" t="s">
        <v>229</v>
      </c>
      <c r="B5" s="234"/>
      <c r="C5" s="234"/>
    </row>
    <row r="6" spans="1:7" ht="73.5" customHeight="1" thickBot="1" x14ac:dyDescent="0.3">
      <c r="A6" s="19" t="s">
        <v>0</v>
      </c>
      <c r="B6" s="20" t="s">
        <v>1</v>
      </c>
      <c r="C6" s="20" t="s">
        <v>2</v>
      </c>
    </row>
    <row r="7" spans="1:7" ht="16.5" thickBot="1" x14ac:dyDescent="0.3">
      <c r="A7" s="64"/>
      <c r="B7" s="22" t="s">
        <v>3</v>
      </c>
      <c r="C7" s="23"/>
    </row>
    <row r="8" spans="1:7" ht="33" customHeight="1" thickBot="1" x14ac:dyDescent="0.3">
      <c r="A8" s="64" t="s">
        <v>243</v>
      </c>
      <c r="B8" s="93" t="s">
        <v>521</v>
      </c>
      <c r="C8" s="24">
        <f>(36.9735+23.1942)*1</f>
        <v>60.167699999999996</v>
      </c>
    </row>
    <row r="9" spans="1:7" ht="16.5" thickBot="1" x14ac:dyDescent="0.3">
      <c r="A9" s="64" t="s">
        <v>244</v>
      </c>
      <c r="B9" s="93" t="s">
        <v>241</v>
      </c>
      <c r="C9" s="24">
        <f>C8*0.2409</f>
        <v>14.494398929999999</v>
      </c>
    </row>
    <row r="10" spans="1:7" ht="16.5" thickBot="1" x14ac:dyDescent="0.3">
      <c r="A10" s="64"/>
      <c r="B10" s="121" t="s">
        <v>4</v>
      </c>
      <c r="C10" s="25">
        <f>SUM(C8:C9)</f>
        <v>74.662098929999999</v>
      </c>
    </row>
    <row r="11" spans="1:7" ht="16.5" thickBot="1" x14ac:dyDescent="0.3">
      <c r="A11" s="64"/>
      <c r="B11" s="121" t="s">
        <v>5</v>
      </c>
      <c r="C11" s="16"/>
    </row>
    <row r="12" spans="1:7" ht="16.5" thickBot="1" x14ac:dyDescent="0.3">
      <c r="A12" s="64" t="s">
        <v>6</v>
      </c>
      <c r="B12" s="93" t="s">
        <v>518</v>
      </c>
      <c r="C12" s="24">
        <f>2.9265*6.5</f>
        <v>19.02225</v>
      </c>
    </row>
    <row r="13" spans="1:7" ht="16.5" thickBot="1" x14ac:dyDescent="0.3">
      <c r="A13" s="64" t="s">
        <v>7</v>
      </c>
      <c r="B13" s="93" t="s">
        <v>517</v>
      </c>
      <c r="C13" s="24">
        <f>1.926*6.5</f>
        <v>12.519</v>
      </c>
    </row>
    <row r="14" spans="1:7" ht="16.5" thickBot="1" x14ac:dyDescent="0.3">
      <c r="A14" s="141" t="s">
        <v>8</v>
      </c>
      <c r="B14" s="93" t="s">
        <v>516</v>
      </c>
      <c r="C14" s="24">
        <f>((0.009+0.004)*5)*2</f>
        <v>0.13</v>
      </c>
      <c r="D14" s="28"/>
    </row>
    <row r="15" spans="1:7" ht="16.5" thickBot="1" x14ac:dyDescent="0.3">
      <c r="A15" s="141" t="s">
        <v>49</v>
      </c>
      <c r="B15" s="94" t="s">
        <v>515</v>
      </c>
      <c r="C15" s="122">
        <f>1.125/354</f>
        <v>3.1779661016949155E-3</v>
      </c>
      <c r="G15" s="28"/>
    </row>
    <row r="16" spans="1:7" ht="16.5" thickBot="1" x14ac:dyDescent="0.3">
      <c r="A16" s="141" t="s">
        <v>51</v>
      </c>
      <c r="B16" s="93" t="s">
        <v>519</v>
      </c>
      <c r="C16" s="78">
        <f>1.26/354</f>
        <v>3.5593220338983049E-3</v>
      </c>
    </row>
    <row r="17" spans="1:3" ht="16.5" thickBot="1" x14ac:dyDescent="0.3">
      <c r="A17" s="141" t="s">
        <v>50</v>
      </c>
      <c r="B17" s="93" t="s">
        <v>805</v>
      </c>
      <c r="C17" s="24">
        <f>0.027*3</f>
        <v>8.1000000000000003E-2</v>
      </c>
    </row>
    <row r="18" spans="1:3" ht="16.5" thickBot="1" x14ac:dyDescent="0.3">
      <c r="A18" s="141" t="s">
        <v>9</v>
      </c>
      <c r="B18" s="93" t="s">
        <v>514</v>
      </c>
      <c r="C18" s="78">
        <f>0.9473/354</f>
        <v>2.6759887005649717E-3</v>
      </c>
    </row>
    <row r="19" spans="1:3" ht="16.5" thickBot="1" x14ac:dyDescent="0.3">
      <c r="A19" s="141" t="s">
        <v>53</v>
      </c>
      <c r="B19" s="93" t="s">
        <v>513</v>
      </c>
      <c r="C19" s="24">
        <f>1.9321*6.5</f>
        <v>12.55865</v>
      </c>
    </row>
    <row r="20" spans="1:3" ht="16.5" thickBot="1" x14ac:dyDescent="0.3">
      <c r="A20" s="141" t="s">
        <v>52</v>
      </c>
      <c r="B20" s="93" t="s">
        <v>520</v>
      </c>
      <c r="C20" s="24">
        <f>0.0012+0.033+0.0246+0.0013</f>
        <v>6.0100000000000008E-2</v>
      </c>
    </row>
    <row r="21" spans="1:3" ht="16.5" thickBot="1" x14ac:dyDescent="0.3">
      <c r="A21" s="64"/>
      <c r="B21" s="22" t="s">
        <v>10</v>
      </c>
      <c r="C21" s="26">
        <f>SUM(C12:C20)</f>
        <v>44.380413276836158</v>
      </c>
    </row>
    <row r="22" spans="1:3" ht="16.5" thickBot="1" x14ac:dyDescent="0.3">
      <c r="A22" s="64"/>
      <c r="B22" s="29" t="s">
        <v>11</v>
      </c>
      <c r="C22" s="25">
        <f>C21+C10</f>
        <v>119.04251220683616</v>
      </c>
    </row>
    <row r="23" spans="1:3" x14ac:dyDescent="0.25">
      <c r="C23" s="28"/>
    </row>
    <row r="24" spans="1:3" ht="16.5" thickBot="1" x14ac:dyDescent="0.3">
      <c r="C24" s="28"/>
    </row>
    <row r="25" spans="1:3" ht="16.5" thickBot="1" x14ac:dyDescent="0.3">
      <c r="A25" s="234" t="s">
        <v>13</v>
      </c>
      <c r="B25" s="235"/>
      <c r="C25" s="30">
        <v>1</v>
      </c>
    </row>
    <row r="26" spans="1:3" ht="16.5" thickBot="1" x14ac:dyDescent="0.3">
      <c r="A26" s="234" t="s">
        <v>59</v>
      </c>
      <c r="B26" s="235"/>
      <c r="C26" s="31">
        <f>C22/C25</f>
        <v>119.04251220683616</v>
      </c>
    </row>
    <row r="29" spans="1:3" ht="16.5" customHeight="1" x14ac:dyDescent="0.25"/>
    <row r="30" spans="1:3" ht="16.5" customHeight="1" x14ac:dyDescent="0.25"/>
  </sheetData>
  <mergeCells count="6">
    <mergeCell ref="A26:B26"/>
    <mergeCell ref="A1:C1"/>
    <mergeCell ref="A3:C3"/>
    <mergeCell ref="A4:C4"/>
    <mergeCell ref="A5:C5"/>
    <mergeCell ref="A25:B25"/>
  </mergeCells>
  <pageMargins left="0.70866141732283472" right="0.70866141732283472" top="0.74803149606299213" bottom="0.74803149606299213" header="0.31496062992125984" footer="0.31496062992125984"/>
  <pageSetup paperSize="9" scale="86" fitToHeight="0" orientation="landscape" r:id="rId1"/>
  <headerFooter differentFirst="1">
    <oddFooter>&amp;C&amp;P</oddFooter>
    <firstFooter>&amp;L&amp;10VManotp_130617_VTMECmaks&amp;C&amp;P</first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G28"/>
  <sheetViews>
    <sheetView view="pageBreakPreview" zoomScale="60" zoomScaleNormal="90" workbookViewId="0">
      <selection activeCell="D20" sqref="D20"/>
    </sheetView>
  </sheetViews>
  <sheetFormatPr defaultColWidth="8.85546875" defaultRowHeight="15.75" x14ac:dyDescent="0.25"/>
  <cols>
    <col min="1" max="1" width="13.7109375" style="18" customWidth="1"/>
    <col min="2" max="2" width="135.5703125" style="18" customWidth="1"/>
    <col min="3" max="3" width="22.5703125" style="18" customWidth="1"/>
    <col min="4" max="4" width="20.7109375" style="18" customWidth="1"/>
    <col min="5" max="16384" width="8.85546875" style="18"/>
  </cols>
  <sheetData>
    <row r="1" spans="1:7" x14ac:dyDescent="0.25">
      <c r="A1" s="222" t="s">
        <v>228</v>
      </c>
      <c r="B1" s="222"/>
      <c r="C1" s="222"/>
    </row>
    <row r="3" spans="1:7" x14ac:dyDescent="0.25">
      <c r="A3" s="234" t="s">
        <v>56</v>
      </c>
      <c r="B3" s="234"/>
      <c r="C3" s="234"/>
    </row>
    <row r="4" spans="1:7" ht="32.450000000000003" customHeight="1" x14ac:dyDescent="0.25">
      <c r="A4" s="234" t="s">
        <v>208</v>
      </c>
      <c r="B4" s="234"/>
      <c r="C4" s="234"/>
    </row>
    <row r="5" spans="1:7" ht="16.5" thickBot="1" x14ac:dyDescent="0.3">
      <c r="A5" s="234" t="s">
        <v>229</v>
      </c>
      <c r="B5" s="234"/>
      <c r="C5" s="234"/>
    </row>
    <row r="6" spans="1:7" ht="63.75" thickBot="1" x14ac:dyDescent="0.3">
      <c r="A6" s="19" t="s">
        <v>0</v>
      </c>
      <c r="B6" s="20" t="s">
        <v>1</v>
      </c>
      <c r="C6" s="20" t="s">
        <v>2</v>
      </c>
    </row>
    <row r="7" spans="1:7" ht="16.5" thickBot="1" x14ac:dyDescent="0.3">
      <c r="A7" s="82"/>
      <c r="B7" s="22" t="s">
        <v>3</v>
      </c>
      <c r="C7" s="23"/>
    </row>
    <row r="8" spans="1:7" ht="19.5" customHeight="1" thickBot="1" x14ac:dyDescent="0.3">
      <c r="A8" s="82" t="s">
        <v>243</v>
      </c>
      <c r="B8" s="93" t="s">
        <v>527</v>
      </c>
      <c r="C8" s="80">
        <f>(211.3344+159.0456)*8</f>
        <v>2963.04</v>
      </c>
    </row>
    <row r="9" spans="1:7" ht="16.5" thickBot="1" x14ac:dyDescent="0.3">
      <c r="A9" s="82" t="s">
        <v>244</v>
      </c>
      <c r="B9" s="93" t="s">
        <v>242</v>
      </c>
      <c r="C9" s="80">
        <f>C8*0.2409</f>
        <v>713.796336</v>
      </c>
    </row>
    <row r="10" spans="1:7" ht="16.5" thickBot="1" x14ac:dyDescent="0.3">
      <c r="A10" s="82"/>
      <c r="B10" s="121" t="s">
        <v>4</v>
      </c>
      <c r="C10" s="25">
        <f>SUM(C8:C9)</f>
        <v>3676.8363359999998</v>
      </c>
    </row>
    <row r="11" spans="1:7" ht="16.5" thickBot="1" x14ac:dyDescent="0.3">
      <c r="A11" s="82"/>
      <c r="B11" s="121" t="s">
        <v>5</v>
      </c>
      <c r="C11" s="16"/>
    </row>
    <row r="12" spans="1:7" ht="32.25" thickBot="1" x14ac:dyDescent="0.3">
      <c r="A12" s="82" t="s">
        <v>6</v>
      </c>
      <c r="B12" s="93" t="s">
        <v>526</v>
      </c>
      <c r="C12" s="80">
        <f>10.7016*8</f>
        <v>85.612799999999993</v>
      </c>
      <c r="D12" s="28"/>
    </row>
    <row r="13" spans="1:7" ht="32.25" customHeight="1" thickBot="1" x14ac:dyDescent="0.3">
      <c r="A13" s="82" t="s">
        <v>7</v>
      </c>
      <c r="B13" s="93" t="s">
        <v>525</v>
      </c>
      <c r="C13" s="80">
        <f>3.0576*8</f>
        <v>24.460799999999999</v>
      </c>
      <c r="G13" s="28"/>
    </row>
    <row r="14" spans="1:7" ht="16.5" thickBot="1" x14ac:dyDescent="0.3">
      <c r="A14" s="82" t="s">
        <v>8</v>
      </c>
      <c r="B14" s="93" t="s">
        <v>524</v>
      </c>
      <c r="C14" s="80">
        <f>0.78*8</f>
        <v>6.24</v>
      </c>
    </row>
    <row r="15" spans="1:7" ht="16.5" thickBot="1" x14ac:dyDescent="0.3">
      <c r="A15" s="82" t="s">
        <v>49</v>
      </c>
      <c r="B15" s="94" t="s">
        <v>523</v>
      </c>
      <c r="C15" s="26">
        <f>0.125*8</f>
        <v>1</v>
      </c>
    </row>
    <row r="16" spans="1:7" ht="16.5" customHeight="1" thickBot="1" x14ac:dyDescent="0.3">
      <c r="A16" s="81" t="s">
        <v>9</v>
      </c>
      <c r="B16" s="93" t="s">
        <v>522</v>
      </c>
      <c r="C16" s="80">
        <f>0.1053*8</f>
        <v>0.84240000000000004</v>
      </c>
    </row>
    <row r="17" spans="1:3" ht="16.5" thickBot="1" x14ac:dyDescent="0.3">
      <c r="A17" s="82" t="s">
        <v>53</v>
      </c>
      <c r="B17" s="93" t="s">
        <v>528</v>
      </c>
      <c r="C17" s="80">
        <f>30.576*8</f>
        <v>244.608</v>
      </c>
    </row>
    <row r="18" spans="1:3" ht="16.5" thickBot="1" x14ac:dyDescent="0.3">
      <c r="A18" s="82" t="s">
        <v>52</v>
      </c>
      <c r="B18" s="93" t="s">
        <v>529</v>
      </c>
      <c r="C18" s="170">
        <v>3.28</v>
      </c>
    </row>
    <row r="19" spans="1:3" ht="16.5" thickBot="1" x14ac:dyDescent="0.3">
      <c r="A19" s="82"/>
      <c r="B19" s="22" t="s">
        <v>10</v>
      </c>
      <c r="C19" s="26">
        <f>SUM(C12:C18)</f>
        <v>366.04399999999998</v>
      </c>
    </row>
    <row r="20" spans="1:3" ht="16.5" thickBot="1" x14ac:dyDescent="0.3">
      <c r="A20" s="82"/>
      <c r="B20" s="29" t="s">
        <v>11</v>
      </c>
      <c r="C20" s="25">
        <f>C19+C10</f>
        <v>4042.8803359999997</v>
      </c>
    </row>
    <row r="21" spans="1:3" x14ac:dyDescent="0.25">
      <c r="C21" s="28"/>
    </row>
    <row r="22" spans="1:3" ht="16.5" thickBot="1" x14ac:dyDescent="0.3">
      <c r="C22" s="28"/>
    </row>
    <row r="23" spans="1:3" ht="16.5" thickBot="1" x14ac:dyDescent="0.3">
      <c r="A23" s="234" t="s">
        <v>13</v>
      </c>
      <c r="B23" s="235"/>
      <c r="C23" s="30">
        <v>8</v>
      </c>
    </row>
    <row r="24" spans="1:3" ht="16.5" thickBot="1" x14ac:dyDescent="0.3">
      <c r="A24" s="234" t="s">
        <v>59</v>
      </c>
      <c r="B24" s="235"/>
      <c r="C24" s="31">
        <f>C20/C23</f>
        <v>505.36004199999996</v>
      </c>
    </row>
    <row r="27" spans="1:3" ht="16.5" customHeight="1" x14ac:dyDescent="0.25"/>
    <row r="28" spans="1:3" ht="16.5" customHeight="1" x14ac:dyDescent="0.25"/>
  </sheetData>
  <mergeCells count="6">
    <mergeCell ref="A24:B24"/>
    <mergeCell ref="A3:C3"/>
    <mergeCell ref="A1:C1"/>
    <mergeCell ref="A4:C4"/>
    <mergeCell ref="A5:C5"/>
    <mergeCell ref="A23:B23"/>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C22"/>
  <sheetViews>
    <sheetView view="pageBreakPreview" zoomScale="60" zoomScaleNormal="100" workbookViewId="0">
      <selection activeCell="F17" sqref="F17"/>
    </sheetView>
  </sheetViews>
  <sheetFormatPr defaultColWidth="8.85546875" defaultRowHeight="15.75" x14ac:dyDescent="0.25"/>
  <cols>
    <col min="1" max="1" width="17.28515625" style="18" customWidth="1"/>
    <col min="2" max="2" width="101.140625" style="18" customWidth="1"/>
    <col min="3" max="3" width="21.7109375" style="18" customWidth="1"/>
    <col min="4" max="4" width="20.7109375" style="18" customWidth="1"/>
    <col min="5" max="16384" width="8.85546875" style="18"/>
  </cols>
  <sheetData>
    <row r="1" spans="1:3" x14ac:dyDescent="0.25">
      <c r="A1" s="222" t="s">
        <v>228</v>
      </c>
      <c r="B1" s="222"/>
      <c r="C1" s="222"/>
    </row>
    <row r="3" spans="1:3" x14ac:dyDescent="0.25">
      <c r="A3" s="234" t="s">
        <v>56</v>
      </c>
      <c r="B3" s="234"/>
      <c r="C3" s="234"/>
    </row>
    <row r="4" spans="1:3" ht="31.5" customHeight="1" x14ac:dyDescent="0.25">
      <c r="A4" s="234" t="s">
        <v>235</v>
      </c>
      <c r="B4" s="234"/>
      <c r="C4" s="234"/>
    </row>
    <row r="5" spans="1:3" ht="16.5" thickBot="1" x14ac:dyDescent="0.3">
      <c r="A5" s="234" t="s">
        <v>229</v>
      </c>
      <c r="B5" s="234"/>
      <c r="C5" s="234"/>
    </row>
    <row r="6" spans="1:3" ht="79.5" thickBot="1" x14ac:dyDescent="0.3">
      <c r="A6" s="19" t="s">
        <v>0</v>
      </c>
      <c r="B6" s="20" t="s">
        <v>1</v>
      </c>
      <c r="C6" s="20" t="s">
        <v>2</v>
      </c>
    </row>
    <row r="7" spans="1:3" ht="16.5" thickBot="1" x14ac:dyDescent="0.3">
      <c r="A7" s="21"/>
      <c r="B7" s="22" t="s">
        <v>3</v>
      </c>
      <c r="C7" s="23"/>
    </row>
    <row r="8" spans="1:3" ht="17.25" customHeight="1" thickBot="1" x14ac:dyDescent="0.3">
      <c r="A8" s="21" t="s">
        <v>243</v>
      </c>
      <c r="B8" s="93" t="s">
        <v>122</v>
      </c>
      <c r="C8" s="24">
        <v>10</v>
      </c>
    </row>
    <row r="9" spans="1:3" ht="32.25" thickBot="1" x14ac:dyDescent="0.3">
      <c r="A9" s="21" t="s">
        <v>244</v>
      </c>
      <c r="B9" s="12" t="s">
        <v>241</v>
      </c>
      <c r="C9" s="24">
        <f>C8*0.2409</f>
        <v>2.4089999999999998</v>
      </c>
    </row>
    <row r="10" spans="1:3" ht="16.5" thickBot="1" x14ac:dyDescent="0.3">
      <c r="A10" s="21"/>
      <c r="B10" s="22" t="s">
        <v>4</v>
      </c>
      <c r="C10" s="25">
        <f>SUM(C8:C9)</f>
        <v>12.408999999999999</v>
      </c>
    </row>
    <row r="11" spans="1:3" ht="16.5" thickBot="1" x14ac:dyDescent="0.3">
      <c r="A11" s="21"/>
      <c r="B11" s="22" t="s">
        <v>5</v>
      </c>
      <c r="C11" s="16"/>
    </row>
    <row r="12" spans="1:3" ht="16.5" thickBot="1" x14ac:dyDescent="0.3">
      <c r="A12" s="21"/>
      <c r="B12" s="12"/>
      <c r="C12" s="24"/>
    </row>
    <row r="13" spans="1:3" ht="16.5" thickBot="1" x14ac:dyDescent="0.3">
      <c r="A13" s="21"/>
      <c r="B13" s="22" t="s">
        <v>10</v>
      </c>
      <c r="C13" s="26">
        <f>SUM(C12:C12)</f>
        <v>0</v>
      </c>
    </row>
    <row r="14" spans="1:3" ht="16.5" thickBot="1" x14ac:dyDescent="0.3">
      <c r="A14" s="21"/>
      <c r="B14" s="29" t="s">
        <v>11</v>
      </c>
      <c r="C14" s="25">
        <f>C13+C10</f>
        <v>12.408999999999999</v>
      </c>
    </row>
    <row r="15" spans="1:3" x14ac:dyDescent="0.25">
      <c r="C15" s="28"/>
    </row>
    <row r="16" spans="1:3" ht="16.5" thickBot="1" x14ac:dyDescent="0.3">
      <c r="C16" s="28"/>
    </row>
    <row r="17" spans="1:3" ht="16.5" thickBot="1" x14ac:dyDescent="0.3">
      <c r="A17" s="234" t="s">
        <v>13</v>
      </c>
      <c r="B17" s="235"/>
      <c r="C17" s="30">
        <v>1</v>
      </c>
    </row>
    <row r="18" spans="1:3" ht="16.5" thickBot="1" x14ac:dyDescent="0.3">
      <c r="A18" s="234" t="s">
        <v>59</v>
      </c>
      <c r="B18" s="235"/>
      <c r="C18" s="31">
        <f>C14/C17</f>
        <v>12.408999999999999</v>
      </c>
    </row>
    <row r="21" spans="1:3" ht="16.5" customHeight="1" x14ac:dyDescent="0.25"/>
    <row r="22" spans="1:3" ht="16.5" customHeight="1" x14ac:dyDescent="0.25"/>
  </sheetData>
  <mergeCells count="6">
    <mergeCell ref="A18:B18"/>
    <mergeCell ref="A1:C1"/>
    <mergeCell ref="A3:C3"/>
    <mergeCell ref="A4:C4"/>
    <mergeCell ref="A5:C5"/>
    <mergeCell ref="A17:B17"/>
  </mergeCells>
  <pageMargins left="0.70866141732283472" right="0.70866141732283472" top="0.74803149606299213" bottom="0.74803149606299213" header="0.31496062992125984" footer="0.31496062992125984"/>
  <pageSetup paperSize="9" scale="93" fitToHeight="0" orientation="landscape" r:id="rId1"/>
  <headerFooter differentFirst="1">
    <oddFooter>&amp;C&amp;P</oddFooter>
    <firstFooter>&amp;L&amp;10VManotp_130617_VTMECmaks&amp;C&amp;P</first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F32"/>
  <sheetViews>
    <sheetView view="pageBreakPreview" zoomScale="80" zoomScaleNormal="100" zoomScaleSheetLayoutView="80" workbookViewId="0">
      <selection activeCell="D18" sqref="D18"/>
    </sheetView>
  </sheetViews>
  <sheetFormatPr defaultColWidth="8.85546875" defaultRowHeight="15.75" x14ac:dyDescent="0.25"/>
  <cols>
    <col min="1" max="1" width="15" style="18" customWidth="1"/>
    <col min="2" max="2" width="101" style="18" customWidth="1"/>
    <col min="3" max="3" width="20.42578125" style="18" customWidth="1"/>
    <col min="4" max="4" width="20.7109375" style="18" customWidth="1"/>
    <col min="5" max="16384" width="8.85546875" style="18"/>
  </cols>
  <sheetData>
    <row r="1" spans="1:3" x14ac:dyDescent="0.25">
      <c r="A1" s="222" t="s">
        <v>228</v>
      </c>
      <c r="B1" s="222"/>
      <c r="C1" s="222"/>
    </row>
    <row r="3" spans="1:3" x14ac:dyDescent="0.25">
      <c r="A3" s="234" t="s">
        <v>56</v>
      </c>
      <c r="B3" s="234"/>
      <c r="C3" s="234"/>
    </row>
    <row r="4" spans="1:3" ht="30.75" customHeight="1" x14ac:dyDescent="0.25">
      <c r="A4" s="282" t="s">
        <v>236</v>
      </c>
      <c r="B4" s="282"/>
      <c r="C4" s="282"/>
    </row>
    <row r="5" spans="1:3" ht="16.5" thickBot="1" x14ac:dyDescent="0.3">
      <c r="A5" s="234" t="s">
        <v>229</v>
      </c>
      <c r="B5" s="234"/>
      <c r="C5" s="234"/>
    </row>
    <row r="6" spans="1:3" ht="87.75" customHeight="1" thickBot="1" x14ac:dyDescent="0.3">
      <c r="A6" s="19" t="s">
        <v>0</v>
      </c>
      <c r="B6" s="20" t="s">
        <v>1</v>
      </c>
      <c r="C6" s="20" t="s">
        <v>2</v>
      </c>
    </row>
    <row r="7" spans="1:3" ht="16.5" thickBot="1" x14ac:dyDescent="0.3">
      <c r="A7" s="21"/>
      <c r="B7" s="22" t="s">
        <v>3</v>
      </c>
      <c r="C7" s="23"/>
    </row>
    <row r="8" spans="1:3" ht="15.75" customHeight="1" thickBot="1" x14ac:dyDescent="0.3">
      <c r="A8" s="21" t="s">
        <v>243</v>
      </c>
      <c r="B8" s="93" t="s">
        <v>123</v>
      </c>
      <c r="C8" s="24">
        <v>15</v>
      </c>
    </row>
    <row r="9" spans="1:3" ht="27.95" customHeight="1" thickBot="1" x14ac:dyDescent="0.3">
      <c r="A9" s="21" t="s">
        <v>244</v>
      </c>
      <c r="B9" s="12" t="s">
        <v>241</v>
      </c>
      <c r="C9" s="24">
        <f>C8*0.2409</f>
        <v>3.6135000000000002</v>
      </c>
    </row>
    <row r="10" spans="1:3" ht="16.5" thickBot="1" x14ac:dyDescent="0.3">
      <c r="A10" s="21"/>
      <c r="B10" s="22" t="s">
        <v>4</v>
      </c>
      <c r="C10" s="25">
        <f>SUM(C8:C9)</f>
        <v>18.613500000000002</v>
      </c>
    </row>
    <row r="11" spans="1:3" ht="16.5" thickBot="1" x14ac:dyDescent="0.3">
      <c r="A11" s="21"/>
      <c r="B11" s="22" t="s">
        <v>5</v>
      </c>
      <c r="C11" s="16"/>
    </row>
    <row r="12" spans="1:3" ht="16.5" thickBot="1" x14ac:dyDescent="0.3">
      <c r="A12" s="21"/>
      <c r="B12" s="93"/>
      <c r="C12" s="24"/>
    </row>
    <row r="13" spans="1:3" ht="16.5" thickBot="1" x14ac:dyDescent="0.3">
      <c r="A13" s="21"/>
      <c r="B13" s="22" t="s">
        <v>10</v>
      </c>
      <c r="C13" s="26">
        <f>SUM(C12:C12)</f>
        <v>0</v>
      </c>
    </row>
    <row r="14" spans="1:3" ht="16.5" thickBot="1" x14ac:dyDescent="0.3">
      <c r="A14" s="21"/>
      <c r="B14" s="29" t="s">
        <v>11</v>
      </c>
      <c r="C14" s="25">
        <f>C13+C10</f>
        <v>18.613500000000002</v>
      </c>
    </row>
    <row r="15" spans="1:3" ht="16.5" thickBot="1" x14ac:dyDescent="0.3">
      <c r="C15" s="28"/>
    </row>
    <row r="16" spans="1:3" ht="16.5" thickBot="1" x14ac:dyDescent="0.3">
      <c r="A16" s="234" t="s">
        <v>13</v>
      </c>
      <c r="B16" s="235"/>
      <c r="C16" s="30">
        <v>1</v>
      </c>
    </row>
    <row r="17" spans="1:6" ht="16.5" thickBot="1" x14ac:dyDescent="0.3">
      <c r="A17" s="234" t="s">
        <v>59</v>
      </c>
      <c r="B17" s="235"/>
      <c r="C17" s="31">
        <f>C14/C16</f>
        <v>18.613500000000002</v>
      </c>
    </row>
    <row r="18" spans="1:6" x14ac:dyDescent="0.25">
      <c r="A18" s="75"/>
      <c r="B18" s="75"/>
    </row>
    <row r="19" spans="1:6" x14ac:dyDescent="0.25">
      <c r="A19" s="75" t="s">
        <v>223</v>
      </c>
      <c r="B19" s="75"/>
      <c r="C19" s="105" t="s">
        <v>224</v>
      </c>
    </row>
    <row r="20" spans="1:6" ht="16.5" customHeight="1" x14ac:dyDescent="0.25">
      <c r="A20" s="107"/>
      <c r="B20" s="108"/>
      <c r="C20" s="106"/>
    </row>
    <row r="21" spans="1:6" ht="16.5" customHeight="1" x14ac:dyDescent="0.25">
      <c r="A21" s="107" t="s">
        <v>267</v>
      </c>
      <c r="B21" s="171"/>
      <c r="C21" s="110" t="s">
        <v>268</v>
      </c>
    </row>
    <row r="22" spans="1:6" x14ac:dyDescent="0.25">
      <c r="A22" s="111"/>
      <c r="B22" s="111"/>
      <c r="C22" s="111"/>
    </row>
    <row r="23" spans="1:6" x14ac:dyDescent="0.25">
      <c r="A23" s="221" t="s">
        <v>530</v>
      </c>
      <c r="B23" s="221"/>
      <c r="C23" s="111"/>
    </row>
    <row r="24" spans="1:6" x14ac:dyDescent="0.25">
      <c r="A24" s="165" t="s">
        <v>227</v>
      </c>
      <c r="B24" s="113"/>
      <c r="C24" s="114"/>
    </row>
    <row r="25" spans="1:6" x14ac:dyDescent="0.25">
      <c r="A25" s="115" t="s">
        <v>225</v>
      </c>
      <c r="B25" s="111"/>
      <c r="C25" s="116"/>
      <c r="D25" s="75"/>
      <c r="E25" s="105"/>
      <c r="F25" s="105"/>
    </row>
    <row r="26" spans="1:6" x14ac:dyDescent="0.25">
      <c r="A26" s="112" t="s">
        <v>226</v>
      </c>
      <c r="B26" s="112"/>
      <c r="C26" s="116"/>
      <c r="D26" s="107"/>
      <c r="E26" s="107"/>
      <c r="F26" s="106"/>
    </row>
    <row r="27" spans="1:6" x14ac:dyDescent="0.25">
      <c r="D27" s="107"/>
      <c r="E27" s="110"/>
      <c r="F27" s="110"/>
    </row>
    <row r="28" spans="1:6" x14ac:dyDescent="0.25">
      <c r="D28" s="111"/>
      <c r="E28" s="111"/>
      <c r="F28" s="106"/>
    </row>
    <row r="29" spans="1:6" x14ac:dyDescent="0.25">
      <c r="D29" s="111"/>
      <c r="E29" s="111"/>
      <c r="F29" s="106"/>
    </row>
    <row r="30" spans="1:6" x14ac:dyDescent="0.25">
      <c r="D30" s="111"/>
      <c r="E30" s="111"/>
      <c r="F30" s="106"/>
    </row>
    <row r="31" spans="1:6" x14ac:dyDescent="0.25">
      <c r="D31" s="116"/>
      <c r="E31" s="111"/>
      <c r="F31" s="106"/>
    </row>
    <row r="32" spans="1:6" x14ac:dyDescent="0.25">
      <c r="D32" s="116"/>
      <c r="E32" s="111"/>
      <c r="F32" s="106"/>
    </row>
  </sheetData>
  <mergeCells count="7">
    <mergeCell ref="A23:B23"/>
    <mergeCell ref="A1:C1"/>
    <mergeCell ref="A3:C3"/>
    <mergeCell ref="A4:C4"/>
    <mergeCell ref="A5:C5"/>
    <mergeCell ref="A16:B16"/>
    <mergeCell ref="A17:B17"/>
  </mergeCells>
  <hyperlinks>
    <hyperlink ref="A26" r:id="rId1" display="mailto:lasma.zandberga@vm.gov.lv" xr:uid="{00000000-0004-0000-4000-000000000000}"/>
    <hyperlink ref="A24" r:id="rId2" xr:uid="{00000000-0004-0000-4000-000001000000}"/>
  </hyperlinks>
  <pageMargins left="0.70866141732283472" right="0.70866141732283472" top="0.74803149606299213" bottom="0.74803149606299213" header="0.31496062992125984" footer="0.31496062992125984"/>
  <pageSetup paperSize="9" scale="96" fitToHeight="0" orientation="landscape" r:id="rId3"/>
  <headerFooter differentFirst="1">
    <oddFooter>&amp;C&amp;P</oddFooter>
    <firstFooter>&amp;L&amp;10VManotp_130617_VTMECmaks&amp;C&amp;P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26"/>
  <sheetViews>
    <sheetView view="pageBreakPreview" topLeftCell="A4" zoomScale="60" zoomScaleNormal="80" workbookViewId="0">
      <selection activeCell="E18" sqref="E18"/>
    </sheetView>
  </sheetViews>
  <sheetFormatPr defaultColWidth="8.85546875" defaultRowHeight="15.75" x14ac:dyDescent="0.25"/>
  <cols>
    <col min="1" max="1" width="14.28515625" style="18" customWidth="1"/>
    <col min="2" max="2" width="135.5703125" style="18" customWidth="1"/>
    <col min="3" max="3" width="25.5703125" style="18" customWidth="1"/>
    <col min="4" max="4" width="20.85546875" style="18" customWidth="1"/>
    <col min="5" max="16384" width="8.85546875" style="18"/>
  </cols>
  <sheetData>
    <row r="1" spans="1:7" x14ac:dyDescent="0.25">
      <c r="A1" s="236"/>
      <c r="B1" s="236"/>
      <c r="C1" s="236"/>
    </row>
    <row r="2" spans="1:7" x14ac:dyDescent="0.25">
      <c r="A2" s="222" t="s">
        <v>228</v>
      </c>
      <c r="B2" s="222"/>
      <c r="C2" s="222"/>
    </row>
    <row r="3" spans="1:7" x14ac:dyDescent="0.25">
      <c r="A3" s="237"/>
      <c r="B3" s="237"/>
      <c r="C3" s="237"/>
    </row>
    <row r="4" spans="1:7" x14ac:dyDescent="0.25">
      <c r="A4" s="234" t="s">
        <v>56</v>
      </c>
      <c r="B4" s="234"/>
      <c r="C4" s="234"/>
    </row>
    <row r="5" spans="1:7" x14ac:dyDescent="0.25">
      <c r="A5" s="234" t="s">
        <v>66</v>
      </c>
      <c r="B5" s="234"/>
      <c r="C5" s="234"/>
    </row>
    <row r="6" spans="1:7" ht="16.5" thickBot="1" x14ac:dyDescent="0.3">
      <c r="A6" s="234" t="s">
        <v>229</v>
      </c>
      <c r="B6" s="234"/>
      <c r="C6" s="234"/>
    </row>
    <row r="7" spans="1:7" ht="63.75" thickBot="1" x14ac:dyDescent="0.3">
      <c r="A7" s="19" t="s">
        <v>0</v>
      </c>
      <c r="B7" s="20" t="s">
        <v>1</v>
      </c>
      <c r="C7" s="20" t="s">
        <v>2</v>
      </c>
    </row>
    <row r="8" spans="1:7" ht="16.5" thickBot="1" x14ac:dyDescent="0.3">
      <c r="A8" s="21"/>
      <c r="B8" s="22" t="s">
        <v>3</v>
      </c>
      <c r="C8" s="23"/>
    </row>
    <row r="9" spans="1:7" ht="18.75" customHeight="1" thickBot="1" x14ac:dyDescent="0.3">
      <c r="A9" s="21" t="s">
        <v>243</v>
      </c>
      <c r="B9" s="93" t="s">
        <v>575</v>
      </c>
      <c r="C9" s="24">
        <f>(1.2518+3.6817+12.3245+3.0811)*100</f>
        <v>2033.9100000000003</v>
      </c>
    </row>
    <row r="10" spans="1:7" ht="16.5" thickBot="1" x14ac:dyDescent="0.3">
      <c r="A10" s="21" t="s">
        <v>244</v>
      </c>
      <c r="B10" s="93" t="s">
        <v>241</v>
      </c>
      <c r="C10" s="24">
        <f>C9*0.2409</f>
        <v>489.96891900000008</v>
      </c>
    </row>
    <row r="11" spans="1:7" ht="16.5" thickBot="1" x14ac:dyDescent="0.3">
      <c r="A11" s="21"/>
      <c r="B11" s="121" t="s">
        <v>4</v>
      </c>
      <c r="C11" s="25">
        <f>SUM(C9:C10)</f>
        <v>2523.8789190000002</v>
      </c>
    </row>
    <row r="12" spans="1:7" ht="16.5" thickBot="1" x14ac:dyDescent="0.3">
      <c r="A12" s="21"/>
      <c r="B12" s="121" t="s">
        <v>5</v>
      </c>
      <c r="C12" s="16"/>
      <c r="E12" s="27"/>
    </row>
    <row r="13" spans="1:7" ht="32.25" thickBot="1" x14ac:dyDescent="0.3">
      <c r="A13" s="21" t="s">
        <v>6</v>
      </c>
      <c r="B13" s="93" t="s">
        <v>567</v>
      </c>
      <c r="C13" s="24">
        <f>0.007*1.92*107.7*100</f>
        <v>144.74880000000002</v>
      </c>
      <c r="D13" s="32"/>
    </row>
    <row r="14" spans="1:7" ht="32.25" thickBot="1" x14ac:dyDescent="0.3">
      <c r="A14" s="21" t="s">
        <v>7</v>
      </c>
      <c r="B14" s="93" t="s">
        <v>576</v>
      </c>
      <c r="C14" s="24">
        <f>0.002*1.92*107.7*100</f>
        <v>41.356800000000007</v>
      </c>
    </row>
    <row r="15" spans="1:7" ht="32.25" thickBot="1" x14ac:dyDescent="0.3">
      <c r="A15" s="21" t="s">
        <v>8</v>
      </c>
      <c r="B15" s="93" t="s">
        <v>569</v>
      </c>
      <c r="C15" s="24">
        <f>0.013*100</f>
        <v>1.3</v>
      </c>
      <c r="G15" s="28"/>
    </row>
    <row r="16" spans="1:7" ht="66.75" customHeight="1" thickBot="1" x14ac:dyDescent="0.3">
      <c r="A16" s="21" t="s">
        <v>49</v>
      </c>
      <c r="B16" s="94" t="s">
        <v>577</v>
      </c>
      <c r="C16" s="26">
        <f>(7.26*100)+(0.0216*100)</f>
        <v>728.16</v>
      </c>
    </row>
    <row r="17" spans="1:5" ht="34.5" customHeight="1" thickBot="1" x14ac:dyDescent="0.3">
      <c r="A17" s="21" t="s">
        <v>51</v>
      </c>
      <c r="B17" s="93" t="s">
        <v>571</v>
      </c>
      <c r="C17" s="24">
        <f>0.003*100</f>
        <v>0.3</v>
      </c>
    </row>
    <row r="18" spans="1:5" ht="33.75" customHeight="1" thickBot="1" x14ac:dyDescent="0.3">
      <c r="A18" s="21" t="s">
        <v>50</v>
      </c>
      <c r="B18" s="93" t="s">
        <v>578</v>
      </c>
      <c r="C18" s="170">
        <v>225.07</v>
      </c>
    </row>
    <row r="19" spans="1:5" ht="34.5" customHeight="1" thickBot="1" x14ac:dyDescent="0.3">
      <c r="A19" s="21" t="s">
        <v>53</v>
      </c>
      <c r="B19" s="93" t="s">
        <v>579</v>
      </c>
      <c r="C19" s="24">
        <f>0.02*1.92*107.7*100</f>
        <v>413.56799999999998</v>
      </c>
    </row>
    <row r="20" spans="1:5" ht="33" customHeight="1" thickBot="1" x14ac:dyDescent="0.3">
      <c r="A20" s="21" t="s">
        <v>52</v>
      </c>
      <c r="B20" s="93" t="s">
        <v>580</v>
      </c>
      <c r="C20" s="24">
        <f>(0.0042+0.0426+0.0924+0.0317+0.0053)*100</f>
        <v>17.62</v>
      </c>
    </row>
    <row r="21" spans="1:5" ht="18" customHeight="1" thickBot="1" x14ac:dyDescent="0.3">
      <c r="A21" s="21"/>
      <c r="B21" s="22" t="s">
        <v>10</v>
      </c>
      <c r="C21" s="26">
        <f>SUM(C13:C20)</f>
        <v>1572.1235999999999</v>
      </c>
    </row>
    <row r="22" spans="1:5" ht="16.5" thickBot="1" x14ac:dyDescent="0.3">
      <c r="A22" s="21"/>
      <c r="B22" s="29" t="s">
        <v>11</v>
      </c>
      <c r="C22" s="25">
        <f>C21+C11</f>
        <v>4096.0025189999997</v>
      </c>
      <c r="E22" s="28"/>
    </row>
    <row r="23" spans="1:5" x14ac:dyDescent="0.25">
      <c r="C23" s="28"/>
    </row>
    <row r="24" spans="1:5" ht="16.5" thickBot="1" x14ac:dyDescent="0.3">
      <c r="C24" s="28"/>
    </row>
    <row r="25" spans="1:5" ht="16.5" thickBot="1" x14ac:dyDescent="0.3">
      <c r="A25" s="234" t="s">
        <v>13</v>
      </c>
      <c r="B25" s="235"/>
      <c r="C25" s="30">
        <v>100</v>
      </c>
    </row>
    <row r="26" spans="1:5" ht="16.5" thickBot="1" x14ac:dyDescent="0.3">
      <c r="A26" s="234" t="s">
        <v>59</v>
      </c>
      <c r="B26" s="235"/>
      <c r="C26" s="31">
        <f>C22/C25</f>
        <v>40.960025189999996</v>
      </c>
    </row>
  </sheetData>
  <mergeCells count="8">
    <mergeCell ref="A6:C6"/>
    <mergeCell ref="A25:B25"/>
    <mergeCell ref="A26:B26"/>
    <mergeCell ref="A1:C1"/>
    <mergeCell ref="A2:C2"/>
    <mergeCell ref="A3:C3"/>
    <mergeCell ref="A4:C4"/>
    <mergeCell ref="A5:C5"/>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8"/>
  <sheetViews>
    <sheetView view="pageBreakPreview" topLeftCell="A4" zoomScale="60" zoomScaleNormal="80" workbookViewId="0">
      <selection activeCell="E17" sqref="E17"/>
    </sheetView>
  </sheetViews>
  <sheetFormatPr defaultColWidth="8.85546875" defaultRowHeight="15.75" x14ac:dyDescent="0.25"/>
  <cols>
    <col min="1" max="1" width="16.42578125" style="18" customWidth="1"/>
    <col min="2" max="2" width="116.7109375" style="18" customWidth="1"/>
    <col min="3" max="3" width="22.7109375" style="18" customWidth="1"/>
    <col min="4" max="4" width="19.570312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67</v>
      </c>
      <c r="B4" s="234"/>
      <c r="C4" s="234"/>
    </row>
    <row r="5" spans="1:7" ht="16.5" thickBot="1" x14ac:dyDescent="0.3">
      <c r="A5" s="234" t="s">
        <v>229</v>
      </c>
      <c r="B5" s="234"/>
      <c r="C5" s="234"/>
    </row>
    <row r="6" spans="1:7" ht="84.75" customHeight="1" thickBot="1" x14ac:dyDescent="0.3">
      <c r="A6" s="19" t="s">
        <v>0</v>
      </c>
      <c r="B6" s="20" t="s">
        <v>1</v>
      </c>
      <c r="C6" s="20" t="s">
        <v>2</v>
      </c>
    </row>
    <row r="7" spans="1:7" ht="16.5" thickBot="1" x14ac:dyDescent="0.3">
      <c r="A7" s="21"/>
      <c r="B7" s="22" t="s">
        <v>3</v>
      </c>
      <c r="C7" s="23"/>
    </row>
    <row r="8" spans="1:7" ht="18" customHeight="1" thickBot="1" x14ac:dyDescent="0.3">
      <c r="A8" s="21" t="s">
        <v>243</v>
      </c>
      <c r="B8" s="93" t="s">
        <v>581</v>
      </c>
      <c r="C8" s="24">
        <f>(1.2518+2.43+3.6817+12.3245+3.0811)*390</f>
        <v>8879.9490000000005</v>
      </c>
    </row>
    <row r="9" spans="1:7" ht="16.5" thickBot="1" x14ac:dyDescent="0.3">
      <c r="A9" s="21" t="s">
        <v>244</v>
      </c>
      <c r="B9" s="12" t="s">
        <v>241</v>
      </c>
      <c r="C9" s="24">
        <f>C8*0.2409</f>
        <v>2139.1797141000002</v>
      </c>
    </row>
    <row r="10" spans="1:7" ht="16.5" thickBot="1" x14ac:dyDescent="0.3">
      <c r="A10" s="21"/>
      <c r="B10" s="22" t="s">
        <v>4</v>
      </c>
      <c r="C10" s="25">
        <f>SUM(C8:C9)</f>
        <v>11019.128714100001</v>
      </c>
    </row>
    <row r="11" spans="1:7" ht="16.5" thickBot="1" x14ac:dyDescent="0.3">
      <c r="A11" s="21"/>
      <c r="B11" s="22" t="s">
        <v>5</v>
      </c>
      <c r="C11" s="16"/>
      <c r="E11" s="27"/>
    </row>
    <row r="12" spans="1:7" ht="32.25" thickBot="1" x14ac:dyDescent="0.3">
      <c r="A12" s="21" t="s">
        <v>6</v>
      </c>
      <c r="B12" s="12" t="s">
        <v>582</v>
      </c>
      <c r="C12" s="24">
        <f>0.007*2.25*107.7*390</f>
        <v>661.54724999999996</v>
      </c>
      <c r="D12" s="32"/>
    </row>
    <row r="13" spans="1:7" ht="32.25" thickBot="1" x14ac:dyDescent="0.3">
      <c r="A13" s="21" t="s">
        <v>7</v>
      </c>
      <c r="B13" s="12" t="s">
        <v>583</v>
      </c>
      <c r="C13" s="24">
        <f>0.002*2.25*107.7*390</f>
        <v>189.01350000000002</v>
      </c>
    </row>
    <row r="14" spans="1:7" ht="32.25" thickBot="1" x14ac:dyDescent="0.3">
      <c r="A14" s="21" t="s">
        <v>8</v>
      </c>
      <c r="B14" s="12" t="s">
        <v>584</v>
      </c>
      <c r="C14" s="24">
        <f>0.013*390</f>
        <v>5.0699999999999994</v>
      </c>
      <c r="G14" s="28"/>
    </row>
    <row r="15" spans="1:7" ht="36.75" customHeight="1" thickBot="1" x14ac:dyDescent="0.3">
      <c r="A15" s="21" t="s">
        <v>49</v>
      </c>
      <c r="B15" s="94" t="s">
        <v>585</v>
      </c>
      <c r="C15" s="26">
        <f>(7.26*390)+(0.0216*390)</f>
        <v>2839.8240000000001</v>
      </c>
    </row>
    <row r="16" spans="1:7" ht="32.25" thickBot="1" x14ac:dyDescent="0.3">
      <c r="A16" s="21" t="s">
        <v>51</v>
      </c>
      <c r="B16" s="93" t="s">
        <v>586</v>
      </c>
      <c r="C16" s="24">
        <f>0.003*390</f>
        <v>1.17</v>
      </c>
    </row>
    <row r="17" spans="1:5" ht="32.25" thickBot="1" x14ac:dyDescent="0.3">
      <c r="A17" s="21" t="s">
        <v>50</v>
      </c>
      <c r="B17" s="93" t="s">
        <v>587</v>
      </c>
      <c r="C17" s="170">
        <v>699.19</v>
      </c>
    </row>
    <row r="18" spans="1:5" ht="32.25" thickBot="1" x14ac:dyDescent="0.3">
      <c r="A18" s="21" t="s">
        <v>53</v>
      </c>
      <c r="B18" s="93" t="s">
        <v>588</v>
      </c>
      <c r="C18" s="24">
        <f>(0.02*2.25*107.7)*390</f>
        <v>1890.135</v>
      </c>
    </row>
    <row r="19" spans="1:5" ht="32.25" thickBot="1" x14ac:dyDescent="0.3">
      <c r="A19" s="21" t="s">
        <v>52</v>
      </c>
      <c r="B19" s="12" t="s">
        <v>589</v>
      </c>
      <c r="C19" s="24">
        <f>(0.0318+0.0042+0.0426+0.0924+0.0317+0.0053)*390</f>
        <v>81.11999999999999</v>
      </c>
    </row>
    <row r="20" spans="1:5" ht="17.25" customHeight="1" thickBot="1" x14ac:dyDescent="0.3">
      <c r="A20" s="21"/>
      <c r="B20" s="22" t="s">
        <v>10</v>
      </c>
      <c r="C20" s="26">
        <f>SUM(C12:C19)</f>
        <v>6367.0697499999997</v>
      </c>
    </row>
    <row r="21" spans="1:5" ht="16.5" thickBot="1" x14ac:dyDescent="0.3">
      <c r="A21" s="21"/>
      <c r="B21" s="29" t="s">
        <v>11</v>
      </c>
      <c r="C21" s="25">
        <f>C20+C10</f>
        <v>17386.198464100002</v>
      </c>
      <c r="E21" s="28"/>
    </row>
    <row r="22" spans="1:5" ht="16.5" thickBot="1" x14ac:dyDescent="0.3">
      <c r="C22" s="28"/>
    </row>
    <row r="23" spans="1:5" ht="16.5" thickBot="1" x14ac:dyDescent="0.3">
      <c r="A23" s="234" t="s">
        <v>13</v>
      </c>
      <c r="B23" s="235"/>
      <c r="C23" s="30">
        <v>390</v>
      </c>
    </row>
    <row r="24" spans="1:5" ht="16.5" thickBot="1" x14ac:dyDescent="0.3">
      <c r="A24" s="234" t="s">
        <v>59</v>
      </c>
      <c r="B24" s="235"/>
      <c r="C24" s="31">
        <f>C21/C23</f>
        <v>44.579996061794873</v>
      </c>
    </row>
    <row r="27" spans="1:5" ht="16.5" customHeight="1" x14ac:dyDescent="0.25"/>
    <row r="28" spans="1:5" ht="16.5" customHeight="1" x14ac:dyDescent="0.25"/>
  </sheetData>
  <mergeCells count="6">
    <mergeCell ref="A24:B24"/>
    <mergeCell ref="A1:C1"/>
    <mergeCell ref="A3:C3"/>
    <mergeCell ref="A4:C4"/>
    <mergeCell ref="A5:C5"/>
    <mergeCell ref="A23:B23"/>
  </mergeCells>
  <pageMargins left="0.70866141732283472" right="0.70866141732283472" top="0.74803149606299213" bottom="0.74803149606299213" header="0.31496062992125984" footer="0.31496062992125984"/>
  <pageSetup paperSize="9" scale="84" fitToHeight="0" orientation="landscape" r:id="rId1"/>
  <headerFooter differentFirst="1">
    <oddFooter>&amp;C&amp;P</oddFooter>
    <firstFooter>&amp;L&amp;10VManotp_130617_VTMECmaks&amp;C&amp;P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29"/>
  <sheetViews>
    <sheetView view="pageBreakPreview" topLeftCell="A4" zoomScale="60" zoomScaleNormal="70" workbookViewId="0">
      <selection activeCell="I25" sqref="I25"/>
    </sheetView>
  </sheetViews>
  <sheetFormatPr defaultColWidth="8.85546875" defaultRowHeight="15.75" x14ac:dyDescent="0.25"/>
  <cols>
    <col min="1" max="1" width="15.42578125" style="18" customWidth="1"/>
    <col min="2" max="2" width="139.5703125" style="18" customWidth="1"/>
    <col min="3" max="3" width="22" style="18" customWidth="1"/>
    <col min="4" max="4" width="23.7109375" style="18" customWidth="1"/>
    <col min="5" max="16384" width="8.85546875" style="18"/>
  </cols>
  <sheetData>
    <row r="1" spans="1:7" x14ac:dyDescent="0.25">
      <c r="A1" s="222" t="s">
        <v>228</v>
      </c>
      <c r="B1" s="222"/>
      <c r="C1" s="222"/>
    </row>
    <row r="3" spans="1:7" x14ac:dyDescent="0.25">
      <c r="A3" s="234" t="s">
        <v>56</v>
      </c>
      <c r="B3" s="234"/>
      <c r="C3" s="234"/>
    </row>
    <row r="4" spans="1:7" x14ac:dyDescent="0.25">
      <c r="A4" s="234" t="s">
        <v>68</v>
      </c>
      <c r="B4" s="234"/>
      <c r="C4" s="234"/>
    </row>
    <row r="5" spans="1:7" ht="16.5" thickBot="1" x14ac:dyDescent="0.3">
      <c r="A5" s="234" t="s">
        <v>229</v>
      </c>
      <c r="B5" s="234"/>
      <c r="C5" s="234"/>
    </row>
    <row r="6" spans="1:7" ht="87" customHeight="1" thickBot="1" x14ac:dyDescent="0.3">
      <c r="A6" s="19" t="s">
        <v>0</v>
      </c>
      <c r="B6" s="20" t="s">
        <v>1</v>
      </c>
      <c r="C6" s="20" t="s">
        <v>2</v>
      </c>
    </row>
    <row r="7" spans="1:7" ht="16.5" thickBot="1" x14ac:dyDescent="0.3">
      <c r="A7" s="21"/>
      <c r="B7" s="22" t="s">
        <v>3</v>
      </c>
      <c r="C7" s="23"/>
    </row>
    <row r="8" spans="1:7" ht="19.5" customHeight="1" thickBot="1" x14ac:dyDescent="0.3">
      <c r="A8" s="21" t="s">
        <v>243</v>
      </c>
      <c r="B8" s="98" t="s">
        <v>590</v>
      </c>
      <c r="C8" s="24">
        <f>(1.2518+3.6817+12.3245+3.0811)*110</f>
        <v>2237.3010000000004</v>
      </c>
    </row>
    <row r="9" spans="1:7" ht="16.5" thickBot="1" x14ac:dyDescent="0.3">
      <c r="A9" s="21" t="s">
        <v>244</v>
      </c>
      <c r="B9" s="12" t="s">
        <v>241</v>
      </c>
      <c r="C9" s="24">
        <f>C8*0.2409</f>
        <v>538.96581090000006</v>
      </c>
    </row>
    <row r="10" spans="1:7" ht="16.5" thickBot="1" x14ac:dyDescent="0.3">
      <c r="A10" s="21"/>
      <c r="B10" s="22" t="s">
        <v>4</v>
      </c>
      <c r="C10" s="25">
        <f>SUM(C8:C9)</f>
        <v>2776.2668109000006</v>
      </c>
    </row>
    <row r="11" spans="1:7" ht="16.5" thickBot="1" x14ac:dyDescent="0.3">
      <c r="A11" s="21"/>
      <c r="B11" s="22" t="s">
        <v>5</v>
      </c>
      <c r="C11" s="16"/>
      <c r="E11" s="27"/>
    </row>
    <row r="12" spans="1:7" ht="32.25" thickBot="1" x14ac:dyDescent="0.3">
      <c r="A12" s="21" t="s">
        <v>6</v>
      </c>
      <c r="B12" s="12" t="s">
        <v>591</v>
      </c>
      <c r="C12" s="24">
        <f>0.007*1.92*107.7*110</f>
        <v>159.22368</v>
      </c>
      <c r="D12" s="32"/>
    </row>
    <row r="13" spans="1:7" ht="32.25" thickBot="1" x14ac:dyDescent="0.3">
      <c r="A13" s="21" t="s">
        <v>7</v>
      </c>
      <c r="B13" s="12" t="s">
        <v>592</v>
      </c>
      <c r="C13" s="24">
        <f>0.002*1.92*107.7*110</f>
        <v>45.492480000000008</v>
      </c>
    </row>
    <row r="14" spans="1:7" ht="32.25" thickBot="1" x14ac:dyDescent="0.3">
      <c r="A14" s="21" t="s">
        <v>8</v>
      </c>
      <c r="B14" s="12" t="s">
        <v>593</v>
      </c>
      <c r="C14" s="24">
        <f>0.013*110</f>
        <v>1.43</v>
      </c>
      <c r="G14" s="28"/>
    </row>
    <row r="15" spans="1:7" ht="37.5" customHeight="1" thickBot="1" x14ac:dyDescent="0.3">
      <c r="A15" s="21" t="s">
        <v>49</v>
      </c>
      <c r="B15" s="94" t="s">
        <v>598</v>
      </c>
      <c r="C15" s="26">
        <f>(7.26*110)+(0.0216*110)</f>
        <v>800.976</v>
      </c>
    </row>
    <row r="16" spans="1:7" ht="32.25" thickBot="1" x14ac:dyDescent="0.3">
      <c r="A16" s="21" t="s">
        <v>51</v>
      </c>
      <c r="B16" s="12" t="s">
        <v>594</v>
      </c>
      <c r="C16" s="24">
        <f>0.003*110</f>
        <v>0.33</v>
      </c>
    </row>
    <row r="17" spans="1:13" ht="36" customHeight="1" thickBot="1" x14ac:dyDescent="0.3">
      <c r="A17" s="21" t="s">
        <v>50</v>
      </c>
      <c r="B17" s="93" t="s">
        <v>595</v>
      </c>
      <c r="C17" s="170">
        <v>256.37</v>
      </c>
    </row>
    <row r="18" spans="1:13" ht="35.25" customHeight="1" thickBot="1" x14ac:dyDescent="0.3">
      <c r="A18" s="21" t="s">
        <v>53</v>
      </c>
      <c r="B18" s="93" t="s">
        <v>596</v>
      </c>
      <c r="C18" s="24">
        <f>0.02*1.92*107.7*110</f>
        <v>454.9248</v>
      </c>
    </row>
    <row r="19" spans="1:13" ht="32.25" thickBot="1" x14ac:dyDescent="0.3">
      <c r="A19" s="21" t="s">
        <v>52</v>
      </c>
      <c r="B19" s="12" t="s">
        <v>597</v>
      </c>
      <c r="C19" s="24">
        <f>(0.0042+0.0426+0.0924+0.0317+0.0053)*110</f>
        <v>19.381999999999998</v>
      </c>
    </row>
    <row r="20" spans="1:13" ht="18.75" customHeight="1" thickBot="1" x14ac:dyDescent="0.3">
      <c r="A20" s="21"/>
      <c r="B20" s="97" t="s">
        <v>10</v>
      </c>
      <c r="C20" s="26">
        <f>SUM(C12:C19)</f>
        <v>1738.1289600000002</v>
      </c>
    </row>
    <row r="21" spans="1:13" ht="16.5" thickBot="1" x14ac:dyDescent="0.3">
      <c r="A21" s="21"/>
      <c r="B21" s="29" t="s">
        <v>11</v>
      </c>
      <c r="C21" s="25">
        <f>C20+C10</f>
        <v>4514.3957709000006</v>
      </c>
      <c r="E21" s="28"/>
    </row>
    <row r="22" spans="1:13" x14ac:dyDescent="0.25">
      <c r="C22" s="28"/>
    </row>
    <row r="23" spans="1:13" ht="16.5" thickBot="1" x14ac:dyDescent="0.3">
      <c r="C23" s="28"/>
    </row>
    <row r="24" spans="1:13" ht="16.5" thickBot="1" x14ac:dyDescent="0.3">
      <c r="A24" s="234" t="s">
        <v>13</v>
      </c>
      <c r="B24" s="235"/>
      <c r="C24" s="30">
        <v>110</v>
      </c>
      <c r="M24" s="27"/>
    </row>
    <row r="25" spans="1:13" ht="16.5" thickBot="1" x14ac:dyDescent="0.3">
      <c r="A25" s="234" t="s">
        <v>59</v>
      </c>
      <c r="B25" s="235"/>
      <c r="C25" s="31">
        <f>C21/C24</f>
        <v>41.039961553636367</v>
      </c>
    </row>
    <row r="28" spans="1:13" ht="16.5" customHeight="1" x14ac:dyDescent="0.25"/>
    <row r="29" spans="1:13" ht="16.5" customHeight="1" x14ac:dyDescent="0.25"/>
  </sheetData>
  <mergeCells count="6">
    <mergeCell ref="A25:B25"/>
    <mergeCell ref="A1:C1"/>
    <mergeCell ref="A3:C3"/>
    <mergeCell ref="A4:C4"/>
    <mergeCell ref="A5:C5"/>
    <mergeCell ref="A24:B24"/>
  </mergeCells>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&amp;L&amp;10VManotp_130617_VTMECmaks&amp;C&amp;P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49</vt:i4>
      </vt:variant>
    </vt:vector>
  </HeadingPairs>
  <TitlesOfParts>
    <vt:vector size="113" baseType="lpstr">
      <vt:lpstr>Saraksts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2.9.</vt:lpstr>
      <vt:lpstr>3.1.</vt:lpstr>
      <vt:lpstr>3.2.</vt:lpstr>
      <vt:lpstr>3.3.</vt:lpstr>
      <vt:lpstr>4.1.</vt:lpstr>
      <vt:lpstr>4.2.</vt:lpstr>
      <vt:lpstr>5.</vt:lpstr>
      <vt:lpstr>6.1.</vt:lpstr>
      <vt:lpstr>6.2.</vt:lpstr>
      <vt:lpstr>6.3.</vt:lpstr>
      <vt:lpstr>7.1.</vt:lpstr>
      <vt:lpstr>7.2.</vt:lpstr>
      <vt:lpstr>7.3.</vt:lpstr>
      <vt:lpstr>7.4.</vt:lpstr>
      <vt:lpstr>7.5.</vt:lpstr>
      <vt:lpstr>7.6.</vt:lpstr>
      <vt:lpstr>8.</vt:lpstr>
      <vt:lpstr>9.</vt:lpstr>
      <vt:lpstr>10.</vt:lpstr>
      <vt:lpstr>11.</vt:lpstr>
      <vt:lpstr>12.</vt:lpstr>
      <vt:lpstr>13.</vt:lpstr>
      <vt:lpstr>14.</vt:lpstr>
      <vt:lpstr>15.</vt:lpstr>
      <vt:lpstr>16.</vt:lpstr>
      <vt:lpstr>17.1.</vt:lpstr>
      <vt:lpstr>17.2</vt:lpstr>
      <vt:lpstr>17.3.</vt:lpstr>
      <vt:lpstr>18.1.</vt:lpstr>
      <vt:lpstr>18.2.</vt:lpstr>
      <vt:lpstr>18.3.</vt:lpstr>
      <vt:lpstr>19</vt:lpstr>
      <vt:lpstr>20</vt:lpstr>
      <vt:lpstr>21</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'1.3.'!Print_Area</vt:lpstr>
      <vt:lpstr>'1.4.'!Print_Area</vt:lpstr>
      <vt:lpstr>'1.5.'!Print_Area</vt:lpstr>
      <vt:lpstr>'1.6.'!Print_Area</vt:lpstr>
      <vt:lpstr>'1.7.'!Print_Area</vt:lpstr>
      <vt:lpstr>'1.8.'!Print_Area</vt:lpstr>
      <vt:lpstr>'1.9.'!Print_Area</vt:lpstr>
      <vt:lpstr>'10.'!Print_Area</vt:lpstr>
      <vt:lpstr>'16.'!Print_Area</vt:lpstr>
      <vt:lpstr>'17.1.'!Print_Area</vt:lpstr>
      <vt:lpstr>'17.3.'!Print_Area</vt:lpstr>
      <vt:lpstr>'19'!Print_Area</vt:lpstr>
      <vt:lpstr>'2.1.'!Print_Area</vt:lpstr>
      <vt:lpstr>'2.2.'!Print_Area</vt:lpstr>
      <vt:lpstr>'2.3.'!Print_Area</vt:lpstr>
      <vt:lpstr>'2.4.'!Print_Area</vt:lpstr>
      <vt:lpstr>'2.5.'!Print_Area</vt:lpstr>
      <vt:lpstr>'2.6.'!Print_Area</vt:lpstr>
      <vt:lpstr>'2.7.'!Print_Area</vt:lpstr>
      <vt:lpstr>'2.8.'!Print_Area</vt:lpstr>
      <vt:lpstr>'2.9.'!Print_Area</vt:lpstr>
      <vt:lpstr>'3.1.'!Print_Area</vt:lpstr>
      <vt:lpstr>'3.3.'!Print_Area</vt:lpstr>
      <vt:lpstr>'4.1.'!Print_Area</vt:lpstr>
      <vt:lpstr>'5.'!Print_Area</vt:lpstr>
      <vt:lpstr>'6.1.'!Print_Area</vt:lpstr>
      <vt:lpstr>'6.2.'!Print_Area</vt:lpstr>
      <vt:lpstr>'6.3.'!Print_Area</vt:lpstr>
      <vt:lpstr>'7.1.'!Print_Area</vt:lpstr>
      <vt:lpstr>'7.2.'!Print_Area</vt:lpstr>
      <vt:lpstr>'7.3.'!Print_Area</vt:lpstr>
      <vt:lpstr>'7.4.'!Print_Area</vt:lpstr>
      <vt:lpstr>'7.5.'!Print_Area</vt:lpstr>
      <vt:lpstr>'7.6.'!Print_Area</vt:lpstr>
      <vt:lpstr>'8.'!Print_Area</vt:lpstr>
      <vt:lpstr>Saraksts!Print_Area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MK noteikumu projekta "Valsts tiesu medicīnas ekspertīzes centra maksas pakalpojumu cenrādis" sākotnējās ietekmes novērtējuma ziņojumam (anotācijai)</dc:title>
  <dc:subject>pielikums anotācijai</dc:subject>
  <dc:creator>Evija Casnoita, Lāsma Zandberga</dc:creator>
  <dc:description>Zandberga, 67876041_x000d_
lasma.zandberga@vm.gov.lv_x000d_
Časnoita, 67539031_x000d_
Evija.Časnoita@vtmec.gov.lv</dc:description>
  <cp:lastModifiedBy>Lāsma Zandberga</cp:lastModifiedBy>
  <cp:lastPrinted>2018-10-02T13:24:24Z</cp:lastPrinted>
  <dcterms:created xsi:type="dcterms:W3CDTF">2016-08-29T10:15:46Z</dcterms:created>
  <dcterms:modified xsi:type="dcterms:W3CDTF">2018-10-02T13:24:31Z</dcterms:modified>
</cp:coreProperties>
</file>