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85" windowWidth="14805" windowHeight="6030"/>
  </bookViews>
  <sheets>
    <sheet name="Kopsavilkums" sheetId="1" r:id="rId1"/>
  </sheets>
  <definedNames>
    <definedName name="_xlnm.Print_Titles" localSheetId="0">Kopsavilkums!$10:$12</definedName>
  </definedNames>
  <calcPr calcId="152511"/>
</workbook>
</file>

<file path=xl/calcChain.xml><?xml version="1.0" encoding="utf-8"?>
<calcChain xmlns="http://schemas.openxmlformats.org/spreadsheetml/2006/main">
  <c r="G219" i="1" l="1"/>
  <c r="J245" i="1" l="1"/>
  <c r="I245" i="1"/>
  <c r="H245" i="1"/>
  <c r="E245" i="1"/>
  <c r="J238" i="1" l="1"/>
  <c r="I238" i="1"/>
  <c r="H238" i="1"/>
  <c r="E238" i="1"/>
  <c r="J237" i="1"/>
  <c r="I237" i="1"/>
  <c r="H237" i="1"/>
  <c r="E237" i="1"/>
  <c r="J236" i="1"/>
  <c r="I236" i="1"/>
  <c r="H236" i="1"/>
  <c r="E236" i="1"/>
  <c r="J235" i="1"/>
  <c r="I235" i="1"/>
  <c r="H235" i="1"/>
  <c r="E235" i="1"/>
  <c r="J234" i="1"/>
  <c r="I234" i="1"/>
  <c r="H234" i="1"/>
  <c r="E234" i="1"/>
  <c r="J233" i="1"/>
  <c r="I233" i="1"/>
  <c r="H233" i="1"/>
  <c r="E233" i="1"/>
  <c r="E232" i="1"/>
  <c r="H232" i="1"/>
  <c r="I232" i="1"/>
  <c r="J232" i="1"/>
  <c r="E231" i="1"/>
  <c r="H231" i="1"/>
  <c r="I231" i="1"/>
  <c r="J231" i="1"/>
  <c r="I347" i="1"/>
  <c r="J347" i="1"/>
  <c r="H347" i="1"/>
  <c r="J291" i="1"/>
  <c r="I291" i="1"/>
  <c r="H291" i="1"/>
  <c r="J290" i="1"/>
  <c r="I290" i="1"/>
  <c r="H290" i="1"/>
  <c r="J301" i="1"/>
  <c r="I301" i="1"/>
  <c r="H301" i="1"/>
  <c r="J300" i="1"/>
  <c r="I300" i="1"/>
  <c r="H300" i="1"/>
  <c r="J299" i="1"/>
  <c r="I299" i="1"/>
  <c r="H299" i="1"/>
  <c r="J298" i="1"/>
  <c r="I298" i="1"/>
  <c r="H298" i="1"/>
  <c r="J297" i="1"/>
  <c r="I297" i="1"/>
  <c r="H297" i="1"/>
  <c r="J296" i="1"/>
  <c r="I296" i="1"/>
  <c r="H296" i="1"/>
  <c r="J294" i="1"/>
  <c r="I294" i="1"/>
  <c r="H294" i="1"/>
  <c r="J293" i="1"/>
  <c r="I293" i="1"/>
  <c r="H293" i="1"/>
  <c r="J292" i="1"/>
  <c r="I292" i="1"/>
  <c r="H292" i="1"/>
  <c r="G47" i="1" l="1"/>
  <c r="G49" i="1"/>
  <c r="G217" i="1"/>
  <c r="G218" i="1"/>
  <c r="G215" i="1"/>
  <c r="G214" i="1"/>
  <c r="G212" i="1"/>
  <c r="G209" i="1"/>
  <c r="G208" i="1"/>
  <c r="G142" i="1"/>
  <c r="G120" i="1"/>
  <c r="G119" i="1"/>
  <c r="G114" i="1"/>
  <c r="G107" i="1"/>
  <c r="G104" i="1"/>
  <c r="G101" i="1"/>
  <c r="G96" i="1"/>
  <c r="G95" i="1"/>
  <c r="G60" i="1"/>
  <c r="G58" i="1"/>
  <c r="G55" i="1"/>
  <c r="G54" i="1"/>
  <c r="G50" i="1"/>
  <c r="E184" i="1"/>
  <c r="E185" i="1"/>
  <c r="E186" i="1"/>
  <c r="E187" i="1"/>
  <c r="E188" i="1"/>
  <c r="E189" i="1"/>
  <c r="E190" i="1"/>
  <c r="E191" i="1"/>
  <c r="J31" i="1" l="1"/>
  <c r="I31" i="1"/>
  <c r="H31" i="1"/>
  <c r="E31" i="1"/>
  <c r="J18" i="1" l="1"/>
  <c r="I18" i="1"/>
  <c r="H18" i="1"/>
  <c r="J15" i="1"/>
  <c r="I15" i="1"/>
  <c r="H15" i="1"/>
  <c r="H346" i="1" l="1"/>
  <c r="J346" i="1"/>
  <c r="I346" i="1"/>
  <c r="E346" i="1"/>
  <c r="H345" i="1"/>
  <c r="I345" i="1"/>
  <c r="J345" i="1"/>
  <c r="E319" i="1"/>
  <c r="E318" i="1"/>
  <c r="H318" i="1"/>
  <c r="I318" i="1"/>
  <c r="J318" i="1"/>
  <c r="E321" i="1" l="1"/>
  <c r="I338" i="1"/>
  <c r="I320" i="1"/>
  <c r="I321" i="1"/>
  <c r="I322" i="1"/>
  <c r="I323" i="1"/>
  <c r="I324" i="1"/>
  <c r="I325" i="1"/>
  <c r="J321" i="1"/>
  <c r="H321" i="1"/>
  <c r="J319" i="1"/>
  <c r="I319" i="1"/>
  <c r="H319" i="1"/>
  <c r="I317" i="1"/>
  <c r="J313" i="1"/>
  <c r="I313" i="1"/>
  <c r="H375" i="1" l="1"/>
  <c r="J375" i="1"/>
  <c r="I375" i="1"/>
  <c r="E375" i="1"/>
  <c r="E373" i="1" l="1"/>
  <c r="E374" i="1"/>
  <c r="H374" i="1"/>
  <c r="J374" i="1"/>
  <c r="I374" i="1"/>
  <c r="J373" i="1"/>
  <c r="I373" i="1"/>
  <c r="H373" i="1"/>
  <c r="F77" i="1" l="1"/>
  <c r="F76" i="1"/>
  <c r="F75" i="1"/>
  <c r="F73" i="1"/>
  <c r="F72" i="1"/>
  <c r="F71" i="1"/>
  <c r="F70" i="1"/>
  <c r="F69" i="1"/>
  <c r="F68" i="1"/>
  <c r="F67" i="1"/>
  <c r="F64" i="1"/>
  <c r="J283" i="1"/>
  <c r="I283" i="1"/>
  <c r="H283" i="1"/>
  <c r="J282" i="1"/>
  <c r="I282" i="1"/>
  <c r="H282" i="1"/>
  <c r="J281" i="1"/>
  <c r="I281" i="1"/>
  <c r="H281" i="1"/>
  <c r="J280" i="1"/>
  <c r="I280" i="1"/>
  <c r="H280" i="1"/>
  <c r="J279" i="1"/>
  <c r="I279" i="1"/>
  <c r="H279" i="1"/>
  <c r="J278" i="1" l="1"/>
  <c r="I278" i="1"/>
  <c r="H278" i="1"/>
  <c r="E278" i="1"/>
  <c r="J277" i="1"/>
  <c r="I277" i="1"/>
  <c r="H277" i="1"/>
  <c r="E27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0" i="1" l="1"/>
  <c r="I160" i="1"/>
  <c r="H160" i="1"/>
  <c r="J158" i="1"/>
  <c r="I158" i="1"/>
  <c r="H158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1" i="1"/>
  <c r="I101" i="1"/>
  <c r="H101" i="1"/>
  <c r="J93" i="1"/>
  <c r="I93" i="1"/>
  <c r="H93" i="1"/>
  <c r="E372" i="1"/>
  <c r="E371" i="1"/>
  <c r="E370" i="1"/>
  <c r="E369" i="1"/>
  <c r="E360" i="1"/>
  <c r="E352" i="1"/>
  <c r="E351" i="1"/>
  <c r="E350" i="1"/>
  <c r="E348" i="1"/>
  <c r="E343" i="1"/>
  <c r="E342" i="1"/>
  <c r="E338" i="1"/>
  <c r="E337" i="1"/>
  <c r="E336" i="1"/>
  <c r="E334" i="1"/>
  <c r="E333" i="1"/>
  <c r="E332" i="1"/>
  <c r="E330" i="1"/>
  <c r="E329" i="1"/>
  <c r="E328" i="1"/>
  <c r="E327" i="1"/>
  <c r="E326" i="1"/>
  <c r="E325" i="1"/>
  <c r="E324" i="1"/>
  <c r="E323" i="1"/>
  <c r="E322" i="1"/>
  <c r="E320" i="1"/>
  <c r="E317" i="1"/>
  <c r="E315" i="1"/>
  <c r="E314" i="1"/>
  <c r="E313" i="1"/>
  <c r="E310" i="1"/>
  <c r="E309" i="1"/>
  <c r="E307" i="1"/>
  <c r="E306" i="1"/>
  <c r="E305" i="1"/>
  <c r="E303" i="1"/>
  <c r="E302" i="1"/>
  <c r="E301" i="1"/>
  <c r="E300" i="1"/>
  <c r="E299" i="1"/>
  <c r="E298" i="1"/>
  <c r="E297" i="1"/>
  <c r="E296" i="1"/>
  <c r="E294" i="1"/>
  <c r="E293" i="1"/>
  <c r="E292" i="1"/>
  <c r="E289" i="1"/>
  <c r="E288" i="1"/>
  <c r="E287" i="1"/>
  <c r="E286" i="1"/>
  <c r="E283" i="1"/>
  <c r="E282" i="1"/>
  <c r="E281" i="1"/>
  <c r="E275" i="1"/>
  <c r="E274" i="1"/>
  <c r="E273" i="1"/>
  <c r="E272" i="1"/>
  <c r="E270" i="1"/>
  <c r="E269" i="1"/>
  <c r="E268" i="1"/>
  <c r="E265" i="1"/>
  <c r="E264" i="1"/>
  <c r="E263" i="1"/>
  <c r="E261" i="1"/>
  <c r="E260" i="1"/>
  <c r="E259" i="1"/>
  <c r="E256" i="1"/>
  <c r="E255" i="1"/>
  <c r="E254" i="1"/>
  <c r="E253" i="1"/>
  <c r="E252" i="1"/>
  <c r="E251" i="1"/>
  <c r="E250" i="1"/>
  <c r="E249" i="1"/>
  <c r="E248" i="1"/>
  <c r="E244" i="1"/>
  <c r="E243" i="1"/>
  <c r="E242" i="1"/>
  <c r="E241" i="1"/>
  <c r="E240" i="1"/>
  <c r="E239" i="1"/>
  <c r="E230" i="1"/>
  <c r="E228" i="1"/>
  <c r="E227" i="1"/>
  <c r="E226" i="1"/>
  <c r="E225" i="1"/>
  <c r="E224" i="1"/>
  <c r="E223" i="1"/>
  <c r="E222" i="1"/>
  <c r="E221" i="1"/>
  <c r="E219" i="1"/>
  <c r="E218" i="1"/>
  <c r="E217" i="1"/>
  <c r="E215" i="1"/>
  <c r="E214" i="1"/>
  <c r="E212" i="1"/>
  <c r="E211" i="1"/>
  <c r="E210" i="1"/>
  <c r="E209" i="1"/>
  <c r="E208" i="1"/>
  <c r="E206" i="1"/>
  <c r="E205" i="1"/>
  <c r="E202" i="1"/>
  <c r="E201" i="1"/>
  <c r="E200" i="1"/>
  <c r="E199" i="1"/>
  <c r="E198" i="1"/>
  <c r="E197" i="1"/>
  <c r="E196" i="1"/>
  <c r="E195" i="1"/>
  <c r="E194" i="1"/>
  <c r="E193" i="1"/>
  <c r="E192" i="1"/>
  <c r="E182" i="1"/>
  <c r="E181" i="1"/>
  <c r="E180" i="1"/>
  <c r="E179" i="1"/>
  <c r="E178" i="1"/>
  <c r="E177" i="1"/>
  <c r="E176" i="1"/>
  <c r="E175" i="1"/>
  <c r="E174" i="1"/>
  <c r="E173" i="1"/>
  <c r="E171" i="1"/>
  <c r="E170" i="1"/>
  <c r="E169" i="1"/>
  <c r="E168" i="1"/>
  <c r="E162" i="1"/>
  <c r="E161" i="1"/>
  <c r="E159" i="1"/>
  <c r="E157" i="1"/>
  <c r="E156" i="1"/>
  <c r="E155" i="1"/>
  <c r="E153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8" i="1"/>
  <c r="E137" i="1"/>
  <c r="E135" i="1"/>
  <c r="E134" i="1"/>
  <c r="E133" i="1"/>
  <c r="E131" i="1"/>
  <c r="E130" i="1"/>
  <c r="E129" i="1"/>
  <c r="E128" i="1"/>
  <c r="E126" i="1"/>
  <c r="E125" i="1"/>
  <c r="E124" i="1"/>
  <c r="E122" i="1"/>
  <c r="E121" i="1"/>
  <c r="E120" i="1"/>
  <c r="E119" i="1"/>
  <c r="E117" i="1"/>
  <c r="E116" i="1"/>
  <c r="E114" i="1"/>
  <c r="E113" i="1"/>
  <c r="E108" i="1"/>
  <c r="E107" i="1"/>
  <c r="E105" i="1"/>
  <c r="E104" i="1"/>
  <c r="E102" i="1"/>
  <c r="E100" i="1"/>
  <c r="E99" i="1"/>
  <c r="E98" i="1"/>
  <c r="E97" i="1"/>
  <c r="E96" i="1"/>
  <c r="E95" i="1"/>
  <c r="E92" i="1"/>
  <c r="E91" i="1"/>
  <c r="E90" i="1"/>
  <c r="E88" i="1"/>
  <c r="E87" i="1"/>
  <c r="C84" i="1"/>
  <c r="E84" i="1" s="1"/>
  <c r="C83" i="1"/>
  <c r="E83" i="1" s="1"/>
  <c r="C82" i="1"/>
  <c r="E82" i="1" s="1"/>
  <c r="C81" i="1"/>
  <c r="E81" i="1" s="1"/>
  <c r="C80" i="1"/>
  <c r="E80" i="1" s="1"/>
  <c r="C79" i="1"/>
  <c r="E79" i="1" s="1"/>
  <c r="C78" i="1"/>
  <c r="E78" i="1" s="1"/>
  <c r="C77" i="1"/>
  <c r="E77" i="1" s="1"/>
  <c r="C76" i="1"/>
  <c r="E76" i="1" s="1"/>
  <c r="C75" i="1"/>
  <c r="E75" i="1" s="1"/>
  <c r="C73" i="1"/>
  <c r="E73" i="1" s="1"/>
  <c r="C72" i="1"/>
  <c r="E72" i="1" s="1"/>
  <c r="C71" i="1"/>
  <c r="E71" i="1" s="1"/>
  <c r="C70" i="1"/>
  <c r="E70" i="1" s="1"/>
  <c r="C69" i="1"/>
  <c r="E69" i="1" s="1"/>
  <c r="C68" i="1"/>
  <c r="E68" i="1" s="1"/>
  <c r="C67" i="1"/>
  <c r="E67" i="1" s="1"/>
  <c r="C66" i="1"/>
  <c r="E66" i="1" s="1"/>
  <c r="C65" i="1"/>
  <c r="E65" i="1" s="1"/>
  <c r="C64" i="1"/>
  <c r="E64" i="1" s="1"/>
  <c r="C61" i="1"/>
  <c r="E61" i="1" s="1"/>
  <c r="E60" i="1"/>
  <c r="C58" i="1"/>
  <c r="E58" i="1" s="1"/>
  <c r="C57" i="1"/>
  <c r="E57" i="1" s="1"/>
  <c r="C56" i="1"/>
  <c r="E56" i="1" s="1"/>
  <c r="C55" i="1"/>
  <c r="E55" i="1" s="1"/>
  <c r="C54" i="1"/>
  <c r="E54" i="1" s="1"/>
  <c r="C52" i="1"/>
  <c r="E52" i="1" s="1"/>
  <c r="C51" i="1"/>
  <c r="E51" i="1" s="1"/>
  <c r="C50" i="1"/>
  <c r="E50" i="1" s="1"/>
  <c r="C49" i="1"/>
  <c r="E49" i="1" s="1"/>
  <c r="C48" i="1"/>
  <c r="E48" i="1" s="1"/>
  <c r="C47" i="1"/>
  <c r="E47" i="1" s="1"/>
  <c r="C45" i="1"/>
  <c r="E45" i="1" s="1"/>
  <c r="E41" i="1"/>
  <c r="E40" i="1"/>
  <c r="E39" i="1"/>
  <c r="E37" i="1"/>
  <c r="E36" i="1"/>
  <c r="E35" i="1"/>
  <c r="E32" i="1"/>
  <c r="E30" i="1"/>
  <c r="E29" i="1"/>
  <c r="E28" i="1"/>
  <c r="E27" i="1"/>
  <c r="E26" i="1"/>
  <c r="E23" i="1"/>
  <c r="E22" i="1"/>
  <c r="E20" i="1"/>
  <c r="E19" i="1"/>
  <c r="E17" i="1"/>
  <c r="E16" i="1"/>
  <c r="E14" i="1"/>
  <c r="E378" i="1" l="1"/>
  <c r="E358" i="1" s="1"/>
  <c r="E25" i="1"/>
  <c r="E203" i="1"/>
  <c r="E246" i="1"/>
  <c r="E295" i="1"/>
  <c r="E183" i="1"/>
  <c r="E33" i="1"/>
  <c r="E85" i="1"/>
  <c r="E284" i="1"/>
  <c r="E13" i="1"/>
  <c r="E311" i="1"/>
  <c r="E42" i="1"/>
  <c r="J274" i="1"/>
  <c r="I274" i="1"/>
  <c r="H274" i="1"/>
  <c r="J273" i="1"/>
  <c r="I273" i="1"/>
  <c r="H273" i="1"/>
  <c r="J272" i="1"/>
  <c r="I272" i="1"/>
  <c r="H272" i="1"/>
  <c r="E357" i="1" l="1"/>
  <c r="E359" i="1" s="1"/>
  <c r="H22" i="1"/>
  <c r="I22" i="1"/>
  <c r="J22" i="1"/>
  <c r="H23" i="1"/>
  <c r="I23" i="1"/>
  <c r="J23" i="1"/>
  <c r="H338" i="1" l="1"/>
  <c r="J338" i="1"/>
  <c r="H337" i="1"/>
  <c r="J337" i="1"/>
  <c r="I337" i="1"/>
  <c r="J336" i="1"/>
  <c r="I336" i="1"/>
  <c r="H336" i="1"/>
  <c r="J334" i="1"/>
  <c r="I334" i="1"/>
  <c r="J376" i="1" l="1"/>
  <c r="J352" i="1"/>
  <c r="J369" i="1"/>
  <c r="I376" i="1"/>
  <c r="I352" i="1" l="1"/>
  <c r="H352" i="1"/>
  <c r="J351" i="1"/>
  <c r="I351" i="1"/>
  <c r="H351" i="1"/>
  <c r="J350" i="1"/>
  <c r="I350" i="1"/>
  <c r="H350" i="1"/>
  <c r="J348" i="1"/>
  <c r="I348" i="1"/>
  <c r="H348" i="1"/>
  <c r="J343" i="1"/>
  <c r="I343" i="1"/>
  <c r="H343" i="1"/>
  <c r="J342" i="1"/>
  <c r="I342" i="1"/>
  <c r="H342" i="1"/>
  <c r="H334" i="1"/>
  <c r="J333" i="1"/>
  <c r="I333" i="1"/>
  <c r="H333" i="1"/>
  <c r="J332" i="1"/>
  <c r="I332" i="1"/>
  <c r="H332" i="1"/>
  <c r="J330" i="1"/>
  <c r="I330" i="1"/>
  <c r="H330" i="1"/>
  <c r="J329" i="1"/>
  <c r="I329" i="1"/>
  <c r="H329" i="1"/>
  <c r="J328" i="1"/>
  <c r="I328" i="1"/>
  <c r="H328" i="1"/>
  <c r="J327" i="1"/>
  <c r="I327" i="1"/>
  <c r="H327" i="1"/>
  <c r="J326" i="1"/>
  <c r="I326" i="1"/>
  <c r="H326" i="1"/>
  <c r="J325" i="1"/>
  <c r="H325" i="1"/>
  <c r="J324" i="1"/>
  <c r="H324" i="1"/>
  <c r="J323" i="1"/>
  <c r="H323" i="1"/>
  <c r="J322" i="1"/>
  <c r="H322" i="1"/>
  <c r="J320" i="1"/>
  <c r="H320" i="1"/>
  <c r="J317" i="1"/>
  <c r="H317" i="1"/>
  <c r="J315" i="1"/>
  <c r="I315" i="1"/>
  <c r="H315" i="1"/>
  <c r="J314" i="1"/>
  <c r="I314" i="1"/>
  <c r="H314" i="1"/>
  <c r="H313" i="1"/>
  <c r="J310" i="1"/>
  <c r="I310" i="1"/>
  <c r="H310" i="1"/>
  <c r="J309" i="1"/>
  <c r="I309" i="1"/>
  <c r="H309" i="1"/>
  <c r="J307" i="1"/>
  <c r="I307" i="1"/>
  <c r="H307" i="1"/>
  <c r="J306" i="1"/>
  <c r="I306" i="1"/>
  <c r="H306" i="1"/>
  <c r="J305" i="1"/>
  <c r="I305" i="1"/>
  <c r="H305" i="1"/>
  <c r="J303" i="1"/>
  <c r="I303" i="1"/>
  <c r="H303" i="1"/>
  <c r="J302" i="1"/>
  <c r="I302" i="1"/>
  <c r="H302" i="1"/>
  <c r="H295" i="1" s="1"/>
  <c r="J289" i="1"/>
  <c r="I289" i="1"/>
  <c r="H289" i="1"/>
  <c r="J288" i="1"/>
  <c r="I288" i="1"/>
  <c r="H288" i="1"/>
  <c r="J287" i="1"/>
  <c r="I287" i="1"/>
  <c r="H287" i="1"/>
  <c r="J286" i="1"/>
  <c r="I286" i="1"/>
  <c r="H286" i="1"/>
  <c r="J275" i="1"/>
  <c r="I275" i="1"/>
  <c r="H275" i="1"/>
  <c r="J270" i="1"/>
  <c r="I270" i="1"/>
  <c r="H270" i="1"/>
  <c r="J269" i="1"/>
  <c r="I269" i="1"/>
  <c r="H269" i="1"/>
  <c r="J268" i="1"/>
  <c r="I268" i="1"/>
  <c r="H268" i="1"/>
  <c r="J265" i="1"/>
  <c r="I265" i="1"/>
  <c r="H265" i="1"/>
  <c r="J264" i="1"/>
  <c r="I264" i="1"/>
  <c r="H264" i="1"/>
  <c r="J263" i="1"/>
  <c r="I263" i="1"/>
  <c r="H263" i="1"/>
  <c r="J261" i="1"/>
  <c r="I261" i="1"/>
  <c r="H261" i="1"/>
  <c r="J260" i="1"/>
  <c r="I260" i="1"/>
  <c r="H260" i="1"/>
  <c r="J259" i="1"/>
  <c r="I259" i="1"/>
  <c r="H259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0" i="1"/>
  <c r="I230" i="1"/>
  <c r="H230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19" i="1"/>
  <c r="I219" i="1"/>
  <c r="H219" i="1"/>
  <c r="J218" i="1"/>
  <c r="I218" i="1"/>
  <c r="H218" i="1"/>
  <c r="J217" i="1"/>
  <c r="I217" i="1"/>
  <c r="H217" i="1"/>
  <c r="J215" i="1"/>
  <c r="I215" i="1"/>
  <c r="H215" i="1"/>
  <c r="J214" i="1"/>
  <c r="I214" i="1"/>
  <c r="H214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6" i="1"/>
  <c r="I206" i="1"/>
  <c r="H206" i="1"/>
  <c r="J205" i="1"/>
  <c r="I205" i="1"/>
  <c r="H205" i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3" i="1"/>
  <c r="I173" i="1"/>
  <c r="H173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2" i="1"/>
  <c r="I162" i="1"/>
  <c r="H162" i="1"/>
  <c r="J161" i="1"/>
  <c r="I161" i="1"/>
  <c r="H161" i="1"/>
  <c r="J159" i="1"/>
  <c r="I159" i="1"/>
  <c r="H159" i="1"/>
  <c r="J157" i="1"/>
  <c r="I157" i="1"/>
  <c r="H157" i="1"/>
  <c r="J156" i="1"/>
  <c r="I156" i="1"/>
  <c r="H156" i="1"/>
  <c r="J155" i="1"/>
  <c r="I155" i="1"/>
  <c r="H155" i="1"/>
  <c r="J153" i="1"/>
  <c r="I153" i="1"/>
  <c r="H153" i="1"/>
  <c r="J152" i="1"/>
  <c r="I152" i="1"/>
  <c r="H152" i="1"/>
  <c r="J151" i="1"/>
  <c r="I151" i="1"/>
  <c r="H151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8" i="1"/>
  <c r="I138" i="1"/>
  <c r="H138" i="1"/>
  <c r="J137" i="1"/>
  <c r="I137" i="1"/>
  <c r="H137" i="1"/>
  <c r="J135" i="1"/>
  <c r="I135" i="1"/>
  <c r="H135" i="1"/>
  <c r="J134" i="1"/>
  <c r="I134" i="1"/>
  <c r="H134" i="1"/>
  <c r="J133" i="1"/>
  <c r="I133" i="1"/>
  <c r="H133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6" i="1"/>
  <c r="I126" i="1"/>
  <c r="H126" i="1"/>
  <c r="J125" i="1"/>
  <c r="I125" i="1"/>
  <c r="H125" i="1"/>
  <c r="J124" i="1"/>
  <c r="I124" i="1"/>
  <c r="H124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7" i="1"/>
  <c r="I117" i="1"/>
  <c r="H117" i="1"/>
  <c r="J116" i="1"/>
  <c r="I116" i="1"/>
  <c r="H116" i="1"/>
  <c r="J114" i="1"/>
  <c r="I114" i="1"/>
  <c r="H114" i="1"/>
  <c r="J113" i="1"/>
  <c r="I113" i="1"/>
  <c r="H113" i="1"/>
  <c r="J108" i="1"/>
  <c r="I108" i="1"/>
  <c r="H108" i="1"/>
  <c r="J107" i="1"/>
  <c r="I107" i="1"/>
  <c r="H107" i="1"/>
  <c r="J104" i="1"/>
  <c r="I104" i="1"/>
  <c r="H104" i="1"/>
  <c r="J102" i="1"/>
  <c r="I102" i="1"/>
  <c r="H102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2" i="1"/>
  <c r="I92" i="1"/>
  <c r="H92" i="1"/>
  <c r="J91" i="1"/>
  <c r="I91" i="1"/>
  <c r="H91" i="1"/>
  <c r="J90" i="1"/>
  <c r="I90" i="1"/>
  <c r="H90" i="1"/>
  <c r="J88" i="1"/>
  <c r="I88" i="1"/>
  <c r="H88" i="1"/>
  <c r="J87" i="1"/>
  <c r="I87" i="1"/>
  <c r="H87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1" i="1"/>
  <c r="I61" i="1"/>
  <c r="H61" i="1"/>
  <c r="J60" i="1"/>
  <c r="I60" i="1"/>
  <c r="H60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5" i="1"/>
  <c r="I45" i="1"/>
  <c r="H45" i="1"/>
  <c r="J41" i="1"/>
  <c r="I41" i="1"/>
  <c r="H41" i="1"/>
  <c r="J40" i="1"/>
  <c r="I40" i="1"/>
  <c r="H40" i="1"/>
  <c r="J39" i="1"/>
  <c r="I39" i="1"/>
  <c r="H39" i="1"/>
  <c r="J37" i="1"/>
  <c r="I37" i="1"/>
  <c r="H37" i="1"/>
  <c r="J36" i="1"/>
  <c r="I36" i="1"/>
  <c r="H36" i="1"/>
  <c r="J35" i="1"/>
  <c r="I35" i="1"/>
  <c r="H35" i="1"/>
  <c r="J32" i="1"/>
  <c r="I32" i="1"/>
  <c r="H32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0" i="1"/>
  <c r="I20" i="1"/>
  <c r="H20" i="1"/>
  <c r="J19" i="1"/>
  <c r="I19" i="1"/>
  <c r="H19" i="1"/>
  <c r="J17" i="1"/>
  <c r="I17" i="1"/>
  <c r="H17" i="1"/>
  <c r="J16" i="1"/>
  <c r="I16" i="1"/>
  <c r="H16" i="1"/>
  <c r="H203" i="1" l="1"/>
  <c r="H33" i="1"/>
  <c r="J14" i="1"/>
  <c r="I14" i="1"/>
  <c r="H183" i="1" l="1"/>
  <c r="J372" i="1" l="1"/>
  <c r="J371" i="1"/>
  <c r="J370" i="1"/>
  <c r="I372" i="1"/>
  <c r="I371" i="1"/>
  <c r="I370" i="1"/>
  <c r="I369" i="1" l="1"/>
  <c r="H370" i="1"/>
  <c r="H311" i="1" l="1"/>
  <c r="H284" i="1" l="1"/>
  <c r="H14" i="1"/>
  <c r="H13" i="1" s="1"/>
  <c r="H85" i="1" l="1"/>
  <c r="H25" i="1"/>
  <c r="H372" i="1"/>
  <c r="H369" i="1"/>
  <c r="H246" i="1" l="1"/>
  <c r="H42" i="1"/>
  <c r="H357" i="1" l="1"/>
  <c r="H371" i="1" l="1"/>
  <c r="H378" i="1" s="1"/>
  <c r="H358" i="1" l="1"/>
  <c r="H359" i="1" s="1"/>
</calcChain>
</file>

<file path=xl/sharedStrings.xml><?xml version="1.0" encoding="utf-8"?>
<sst xmlns="http://schemas.openxmlformats.org/spreadsheetml/2006/main" count="694" uniqueCount="641">
  <si>
    <t>Cena ar  PVN (euro)</t>
  </si>
  <si>
    <t xml:space="preserve">Plānotais vienību  skaits </t>
  </si>
  <si>
    <t>1.1.</t>
  </si>
  <si>
    <t>1.2.</t>
  </si>
  <si>
    <t>1.3.</t>
  </si>
  <si>
    <t>2.1.</t>
  </si>
  <si>
    <t>2.2.</t>
  </si>
  <si>
    <t>3.1.</t>
  </si>
  <si>
    <t>3.1.1.</t>
  </si>
  <si>
    <t>3.1.2.</t>
  </si>
  <si>
    <t>3.2.</t>
  </si>
  <si>
    <t>3.2.2.</t>
  </si>
  <si>
    <t>3.2.1.</t>
  </si>
  <si>
    <t>4.1.1.</t>
  </si>
  <si>
    <t>4.1.2.</t>
  </si>
  <si>
    <t>4.2.</t>
  </si>
  <si>
    <t>4.2.1.</t>
  </si>
  <si>
    <t>4.2.2.</t>
  </si>
  <si>
    <t>5.1.</t>
  </si>
  <si>
    <t>5.1.1.</t>
  </si>
  <si>
    <t>5.1.2.</t>
  </si>
  <si>
    <t>5.1.3.</t>
  </si>
  <si>
    <t>5.1.3.1.</t>
  </si>
  <si>
    <t>5.1.3.2.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</si>
  <si>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</si>
  <si>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</si>
  <si>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</si>
  <si>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</si>
  <si>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</si>
  <si>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</si>
  <si>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</si>
  <si>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</si>
  <si>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5.3.</t>
  </si>
  <si>
    <t>5.3.1.</t>
  </si>
  <si>
    <t>5.3.2.</t>
  </si>
  <si>
    <t>5.3.3.</t>
  </si>
  <si>
    <t>5.3.4.</t>
  </si>
  <si>
    <t>5.3.5.</t>
  </si>
  <si>
    <t>5.3.5.1.</t>
  </si>
  <si>
    <t>5.3.5.2.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</si>
  <si>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</si>
  <si>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</si>
  <si>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</si>
  <si>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</si>
  <si>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</si>
  <si>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</si>
  <si>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</si>
  <si>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</si>
  <si>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5.4.8.</t>
  </si>
  <si>
    <t>5.4.9.</t>
  </si>
  <si>
    <t>5.4.10.</t>
  </si>
  <si>
    <t>5.4.10.1.</t>
  </si>
  <si>
    <t>5.4.10.2.</t>
  </si>
  <si>
    <t>5.4.10.3.</t>
  </si>
  <si>
    <t>5.5.</t>
  </si>
  <si>
    <t>5.5.1.</t>
  </si>
  <si>
    <t>5.5.2.</t>
  </si>
  <si>
    <t>5.5.3.</t>
  </si>
  <si>
    <t>5.5.4.</t>
  </si>
  <si>
    <t>5.5.5.</t>
  </si>
  <si>
    <t>5.5.6.</t>
  </si>
  <si>
    <t>5.5.7.</t>
  </si>
  <si>
    <t>5.5.8.</t>
  </si>
  <si>
    <t>5.5.9.</t>
  </si>
  <si>
    <t>5.6.</t>
  </si>
  <si>
    <t>5.6.1.</t>
  </si>
  <si>
    <t>5.6.2.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</si>
  <si>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</si>
  <si>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</si>
  <si>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</si>
  <si>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</si>
  <si>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</si>
  <si>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</si>
  <si>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</si>
  <si>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</si>
  <si>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</si>
  <si>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</si>
  <si>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</si>
  <si>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</si>
  <si>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</si>
  <si>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</si>
  <si>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</si>
  <si>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</si>
  <si>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</si>
  <si>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</si>
  <si>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</si>
  <si>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</si>
  <si>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</si>
  <si>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</si>
  <si>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</si>
  <si>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</si>
  <si>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</si>
  <si>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8.1.</t>
  </si>
  <si>
    <t>8.1.1.</t>
  </si>
  <si>
    <t>8.1.2.</t>
  </si>
  <si>
    <t>8.1.3.</t>
  </si>
  <si>
    <t>8.1.4.</t>
  </si>
  <si>
    <t>8.1.5.</t>
  </si>
  <si>
    <t>8.1.6.</t>
  </si>
  <si>
    <t>8.2.</t>
  </si>
  <si>
    <t>8.2.1.</t>
  </si>
  <si>
    <t>8.2.2.</t>
  </si>
  <si>
    <t>8.3.</t>
  </si>
  <si>
    <t>8.3.1.</t>
  </si>
  <si>
    <t>8.3.2.</t>
  </si>
  <si>
    <t>8.4.</t>
  </si>
  <si>
    <t>8.5.</t>
  </si>
  <si>
    <t>8.5.1.</t>
  </si>
  <si>
    <t>8.5.2.</t>
  </si>
  <si>
    <t>8.6.</t>
  </si>
  <si>
    <t>8.7.</t>
  </si>
  <si>
    <t>8.8.</t>
  </si>
  <si>
    <t>9.1.</t>
  </si>
  <si>
    <t>9.1.1.</t>
  </si>
  <si>
    <t>9.1.2.</t>
  </si>
  <si>
    <t>9.1.3.</t>
  </si>
  <si>
    <t>9.2.</t>
  </si>
  <si>
    <t>9.3.</t>
  </si>
  <si>
    <t>9.4.</t>
  </si>
  <si>
    <t>10.1.</t>
  </si>
  <si>
    <t>10.2.</t>
  </si>
  <si>
    <t>10.3.</t>
  </si>
  <si>
    <t>10.3.1.</t>
  </si>
  <si>
    <t>10.3.2.</t>
  </si>
  <si>
    <t>10.4.</t>
  </si>
  <si>
    <t>10.4.1.</t>
  </si>
  <si>
    <t>10.4.2.</t>
  </si>
  <si>
    <t>10.5.</t>
  </si>
  <si>
    <t>10.6.</t>
  </si>
  <si>
    <t>11.1.</t>
  </si>
  <si>
    <t>11.1.1.</t>
  </si>
  <si>
    <t>11.1.2.</t>
  </si>
  <si>
    <t>11.1.3.</t>
  </si>
  <si>
    <t>11.2.</t>
  </si>
  <si>
    <t>11.3.</t>
  </si>
  <si>
    <t>11.4.</t>
  </si>
  <si>
    <t>11.5.</t>
  </si>
  <si>
    <t>11.6.</t>
  </si>
  <si>
    <t>11.7.</t>
  </si>
  <si>
    <t>11.8.</t>
  </si>
  <si>
    <t>11.8.1.</t>
  </si>
  <si>
    <t>4.1.1.1.</t>
  </si>
  <si>
    <t>4.1.1.2.</t>
  </si>
  <si>
    <t>4.1.1.3.</t>
  </si>
  <si>
    <t>4.1.1.4.</t>
  </si>
  <si>
    <t>4.1.1.5.</t>
  </si>
  <si>
    <t>4.1.1.6.</t>
  </si>
  <si>
    <t>4.1.2.1.</t>
  </si>
  <si>
    <t>4.1.2.2.</t>
  </si>
  <si>
    <t>4.1.2.3.</t>
  </si>
  <si>
    <t>4.1.2.4.</t>
  </si>
  <si>
    <t>4.1.2.5.</t>
  </si>
  <si>
    <t>7.2.1.</t>
  </si>
  <si>
    <t>7.2.2.</t>
  </si>
  <si>
    <t>7.3.1.</t>
  </si>
  <si>
    <t>7.3.2.</t>
  </si>
  <si>
    <t>7.4.1.</t>
  </si>
  <si>
    <t>7.4.2.</t>
  </si>
  <si>
    <t>7.5.1.</t>
  </si>
  <si>
    <t>7.5.2.</t>
  </si>
  <si>
    <t>7.1.1.</t>
  </si>
  <si>
    <t>7.1.2.</t>
  </si>
  <si>
    <t>Izmaiņas
Preciz.pret 2014.esošo</t>
  </si>
  <si>
    <t>Citi pašu ieņēmumi</t>
  </si>
  <si>
    <t>Budžetā</t>
  </si>
  <si>
    <t>Kopā</t>
  </si>
  <si>
    <t>Komunālie maksājumi (par komunālajiem pakalpojumiem iznomātajām telpām)</t>
  </si>
  <si>
    <t>Ieņēmumi ar  PVN (euro)</t>
  </si>
  <si>
    <t>570 stundu programma</t>
  </si>
  <si>
    <t>Ēdināšanas pakalpojumi</t>
  </si>
  <si>
    <t>Rehabilitācijas pakalpojumi</t>
  </si>
  <si>
    <t>4.1.</t>
  </si>
  <si>
    <t xml:space="preserve">Rehabilitācijas kurss Dubultu prospektā 71, Jūrmalā </t>
  </si>
  <si>
    <t>rehabilitācijas kurss bērnam no 2 līdz 14 gadu vecumam (papildu gultasvieta)</t>
  </si>
  <si>
    <t>pavadošās personas rehabilitācija (pavada valsts budžeta klientu)</t>
  </si>
  <si>
    <t>Ārstniecības pakalpojumi</t>
  </si>
  <si>
    <t>Ārstu un speciālistu konsultācijas</t>
  </si>
  <si>
    <t>ārsta konsultācija</t>
  </si>
  <si>
    <t>ārsta konsultācija (atkārtota vizīte)</t>
  </si>
  <si>
    <t>Funkcionālo speciālistu konsultācijas:</t>
  </si>
  <si>
    <t>fizioterapeita konsultācija</t>
  </si>
  <si>
    <t>ergoterapeita konsultācija</t>
  </si>
  <si>
    <t>psihologa konsultācija</t>
  </si>
  <si>
    <t>Hidroterapija</t>
  </si>
  <si>
    <t xml:space="preserve">cirkulārā duša </t>
  </si>
  <si>
    <t>ascendējošā (augšupejošā) duša</t>
  </si>
  <si>
    <t>ārstnieciskā baseina un termoterapijas izmantošana vienai personai</t>
  </si>
  <si>
    <t>ārstnieciskā baseina un termoterapijas izmantošana bērnam no 7 līdz 14 gadu vecumam (vienai personai)</t>
  </si>
  <si>
    <t>Fizikālā terapija</t>
  </si>
  <si>
    <t xml:space="preserve">ārstnieciskās aplikācijas </t>
  </si>
  <si>
    <t>inhalācijas (bez medikamentiem)</t>
  </si>
  <si>
    <t>sāls istaba</t>
  </si>
  <si>
    <t>limfodrenāžas aparātprocedūra</t>
  </si>
  <si>
    <t>Klasiskā masāža</t>
  </si>
  <si>
    <t>kakla un apkakles zonas masāža (2 vienības)</t>
  </si>
  <si>
    <t>muguras (C2-S5) masāža (3,5 vienības)</t>
  </si>
  <si>
    <t>rokas un pleca zonas masāža (2 vienības)</t>
  </si>
  <si>
    <t>kājas un gūžas zonas masāža (2,5 vienības)</t>
  </si>
  <si>
    <t>galvas masāža (1 vienība)</t>
  </si>
  <si>
    <t>visa ķermeņa masāža (6 vienības)</t>
  </si>
  <si>
    <t>grūtnieču masāža</t>
  </si>
  <si>
    <t>vispārējā masāža bērniem</t>
  </si>
  <si>
    <t>6-10 gadiem</t>
  </si>
  <si>
    <t>11-14 gadiem</t>
  </si>
  <si>
    <t>Nodarbības funkcionālā speciālista vadībā</t>
  </si>
  <si>
    <t>ārstnieciskā vingrošana grupā - zālē (vienai personai)</t>
  </si>
  <si>
    <t>fizioterapija individuāli</t>
  </si>
  <si>
    <t>ergoterapija individuāli</t>
  </si>
  <si>
    <t>fizioterapija individuāli ar individuālu vingrojumu kompleksa izstrādi</t>
  </si>
  <si>
    <t>ārstnieciskā vingrošana grupā - baseinā   (vienai personai)</t>
  </si>
  <si>
    <t>slinga terapija</t>
  </si>
  <si>
    <t>fiziskās aktivitātes trenažieru zālē ar dozētu slodzi (ar ārsta norīkojumu)</t>
  </si>
  <si>
    <t>psihologa nodarbība  individuāli</t>
  </si>
  <si>
    <t>intravenozā injekcija</t>
  </si>
  <si>
    <t>intramuskulārā, zemādas injekcija</t>
  </si>
  <si>
    <t>medikamentu ievadīšana vēnā pilienu veidā un pacienta novērošana</t>
  </si>
  <si>
    <t>cukura līmeņa noteikšana ar ekspresdiagnostiku</t>
  </si>
  <si>
    <t>elektrokardiogrammas pieraksts</t>
  </si>
  <si>
    <t>elektrokardiogrammas apraksts</t>
  </si>
  <si>
    <t>Rokas bremze un akselerators transportlīdzeklim ar automātisko ātrumkārbu, stiprinājums pie grīdas (RBA-1)</t>
  </si>
  <si>
    <t>Rokas bremze un akselerators transportlīdzeklim ar automātisko ātrumkārbu, stiprinājums pie stūres (RBA-3)</t>
  </si>
  <si>
    <t>Rokas bremze un akselerators transportlīdzeklim ar mehānisko ātrumkārbu, stiprinājums pie grīdas (RBA-4)</t>
  </si>
  <si>
    <t>Rokas bremze un akselerators transportlīdzeklim ar mehānisko ātrumkārbu, stiprinājums pie stūres (RBA-6)</t>
  </si>
  <si>
    <t>Kreisais akseleratora pedālis transportlīdzeklim ar automātisko ātrumkārbu, stiprinājums pie grīdas (KAP-1)</t>
  </si>
  <si>
    <t>Kreisais akseleratora pedālis transportlīdzeklim ar automātisko ātrumkārbu, stiprinājums pie stūres (KAP-2)</t>
  </si>
  <si>
    <t>Rokas sajūgs ar sviru stūres labajā pusē (RS-1)</t>
  </si>
  <si>
    <t>Rokas sajūgs ar sviru stūres kreisajā pusē (RS-2)</t>
  </si>
  <si>
    <t>Palīgroktura uzstādīšana uz stūres rata (PR)</t>
  </si>
  <si>
    <t>Viesu izmitināšana</t>
  </si>
  <si>
    <t>Papildu vieta vienai personai Dubultu pr.59, Jūrmalā</t>
  </si>
  <si>
    <t>Diētiskā ēdināšana (izglītojamiem un darbiniekiem)</t>
  </si>
  <si>
    <t>brokastis</t>
  </si>
  <si>
    <t>pirmais ēdiens</t>
  </si>
  <si>
    <t>otrais ēdiens</t>
  </si>
  <si>
    <t>dzēriens</t>
  </si>
  <si>
    <t>deserts</t>
  </si>
  <si>
    <t>vakariņas</t>
  </si>
  <si>
    <t>pusdienas</t>
  </si>
  <si>
    <t>Ēdināšana trīs reizes dienā (vienai personai)</t>
  </si>
  <si>
    <t>Kafijas galda klāšana (vienai personai)</t>
  </si>
  <si>
    <t>Konditorejas izstrādājumi</t>
  </si>
  <si>
    <t>Konditorejas izstrādājumi veids Nr.1</t>
  </si>
  <si>
    <t>Konditorejas izstrādājumi veids Nr.2</t>
  </si>
  <si>
    <t>Kafija</t>
  </si>
  <si>
    <t>Tējas (dažādas)</t>
  </si>
  <si>
    <t>Telpu iznomāšana</t>
  </si>
  <si>
    <t>Konferenču zāles noma</t>
  </si>
  <si>
    <t>Slokas ielā 68, Jūrmalā (126,4 kv.m)</t>
  </si>
  <si>
    <t>Slokas iela 61, Jūrmalā  (271,6 kv.m)</t>
  </si>
  <si>
    <t>Dubultu pr.71, Jūrmalā  (183,3 kv.m)</t>
  </si>
  <si>
    <t>Sporta zāles noma Slokas ielā 61, Jūrmalā</t>
  </si>
  <si>
    <t>Fizioterapijas lielās zāles noma Dubultu pr.71, Jūrmalā</t>
  </si>
  <si>
    <t>Autotransports un autotransporta stāvvietas</t>
  </si>
  <si>
    <t xml:space="preserve">Viena vieta automašīnai maksas stāvvietā </t>
  </si>
  <si>
    <t>Viena vieta autobusam maksas stāvvietā</t>
  </si>
  <si>
    <t>Papildus par katru kilometru virs 100 km</t>
  </si>
  <si>
    <t>Vieglās automašīnas (līdz 3,5 t) iznomāšana ar šoferi klientiem nobraukumam līdz 50 km, līdz 2 stundām</t>
  </si>
  <si>
    <t>Papildus par katru kilometru virs 50 km</t>
  </si>
  <si>
    <t>Laiks virs 2 stundām</t>
  </si>
  <si>
    <t>Autovadītāju kursu teorijas apmācība</t>
  </si>
  <si>
    <t>Pārējie maksas pakalpojumi</t>
  </si>
  <si>
    <t>Fitnesa pakalpojumi</t>
  </si>
  <si>
    <t>Aerobika ūdenī grupā (vienai personai)</t>
  </si>
  <si>
    <t>Trenažieru zāles apmeklējums (vienai personai)</t>
  </si>
  <si>
    <t>Aerobika zālē grupā (vienai personai)</t>
  </si>
  <si>
    <t>Klienta veļas žāvēšana</t>
  </si>
  <si>
    <t>Gultas veļas papildu maiņa</t>
  </si>
  <si>
    <t>Pārcelšana no viena numura uz citu numuru pēc klienta vēlēšanās</t>
  </si>
  <si>
    <t>Nozaudētās atslēgas dublikāta izgatavošana vai slēdzamas mantu glabātavas izmantošana</t>
  </si>
  <si>
    <t>Nūjošanas inventāra noma 1.stunda</t>
  </si>
  <si>
    <t>katra nākamā stunda</t>
  </si>
  <si>
    <t>rehabilitācijas kurss (viena vieta divvietīgā divistabu numurā)</t>
  </si>
  <si>
    <t>Maksas pakalpojumi kopā:</t>
  </si>
  <si>
    <t xml:space="preserve">Ministru kabineta noteikumu projekta "Grozījumi Ministru kabineta   </t>
  </si>
  <si>
    <t xml:space="preserve">2013.gada 24.septembra noteikumos Nr.1002 "Sociālās </t>
  </si>
  <si>
    <t xml:space="preserve">integrācijas valstas aģentūras sniegto maksas  pakalpojumu cenrādis"" </t>
  </si>
  <si>
    <t>sākotnējās ietekmes novērtējuma ziņojumam (anotācijai)</t>
  </si>
  <si>
    <t>Maksas pakalpojuma veids/ citu pašu ieņēmumu veids</t>
  </si>
  <si>
    <t xml:space="preserve">Kopsavilkums par Sociālās integrācijas valsts aģentūras maksas pakalpojumiem un citu pašu ieņēmumiem un to izmaiņām </t>
  </si>
  <si>
    <t>Transportlīdzekļu pielāgošana</t>
  </si>
  <si>
    <t>Rokas bremze un akselerators transportlīdzeklim ar automātisko ātrumkārbu, stiprinājums pie grīdas (RBA-2) (personām ar satveršanas problēmām)</t>
  </si>
  <si>
    <t>Rokas bremze un akselerators transportlīdzeklim ar mehānisko ātrumkārbu, stiprinājums pie grīdas (RBA-5) (personām ar satveršanas problēmām)</t>
  </si>
  <si>
    <t>ķermeņa zemūdens masāža</t>
  </si>
  <si>
    <t>ārstnieciskā vanna</t>
  </si>
  <si>
    <t>11.9.1.</t>
  </si>
  <si>
    <t>11.9.</t>
  </si>
  <si>
    <t>Psihologa pakalpojums</t>
  </si>
  <si>
    <t>11.9.2.</t>
  </si>
  <si>
    <t>11.9.3.</t>
  </si>
  <si>
    <t>5.6.3.</t>
  </si>
  <si>
    <t>5.6.4.</t>
  </si>
  <si>
    <t>5.6.5.</t>
  </si>
  <si>
    <t>5.6.6.</t>
  </si>
  <si>
    <t>5.6.7.</t>
  </si>
  <si>
    <t>5.6.8.</t>
  </si>
  <si>
    <t xml:space="preserve"> Dubultu prospektā 71, 2.korpusā, Jūrmalā (vienai vietai vienvietīgā numurā)</t>
  </si>
  <si>
    <t xml:space="preserve"> Dubultu prospektā 71, 2.korpusā, Jūrmalā (ar brokastīm)</t>
  </si>
  <si>
    <t xml:space="preserve"> Dubultu prospektā 71, 2.korpusā, Jūrmalā (ar trīsreizēju ēdināšanu)</t>
  </si>
  <si>
    <t xml:space="preserve">Dubultu prospektā 71, 2.korpus, Jūrmalā (viena vieta divvietīgā numurā)                    </t>
  </si>
  <si>
    <t>Dubultu prospektā 71, 2.korpus, Jūrmalā (ar brokastīm)</t>
  </si>
  <si>
    <t>Dubultu prospektā 71, 2.korpusā, Jūrmalā (ar trīsreizēju ēdināšanu)</t>
  </si>
  <si>
    <t>Dubultu prospektā 71, 1.korpusā, Jūrmalā (viena vieta vienvietīgā numurā)</t>
  </si>
  <si>
    <t>Dubultu prospektā 71, 1.korpusā, Jūrmalā (ar brokastīm)</t>
  </si>
  <si>
    <t>Dubultu prospektā 71, 1.korpusā, Jūrmalā  (ar trīsreizēju ēdināšanu)</t>
  </si>
  <si>
    <t>Dubultu prospektā 71, 1.korpusā, Jūrmalā (ar trīsreizēju ēdināšanu)</t>
  </si>
  <si>
    <t>rehabilitācijas kurss - Dubultu prospekts 71, 2.korpuss, Jūrmala</t>
  </si>
  <si>
    <t>rehabilitācijas kurss - Dubultu prospekts 71, 1.korpuss, Jūrmala</t>
  </si>
  <si>
    <t>Telpu noma karsto, auksto dzērienu un uzkodu tirdzniecības automātu izvietošanai (Iznomātājs "KAFE SERVISS")</t>
  </si>
  <si>
    <t>480 stundu programma</t>
  </si>
  <si>
    <t>N.p.k. maksas pakalpojuma jaunajā cenrādī</t>
  </si>
  <si>
    <t>1.4.</t>
  </si>
  <si>
    <t>640 stundu programma</t>
  </si>
  <si>
    <t>960 stundu programma</t>
  </si>
  <si>
    <t>2.3.</t>
  </si>
  <si>
    <t>2.4.</t>
  </si>
  <si>
    <t>Studiju virzieni pilna laika studijām</t>
  </si>
  <si>
    <t>3.1.3.</t>
  </si>
  <si>
    <t>3.2.3.</t>
  </si>
  <si>
    <t>5.1.4.</t>
  </si>
  <si>
    <t>Ārsta - speciālistu konsultācija</t>
  </si>
  <si>
    <t xml:space="preserve">vēnas punkcija </t>
  </si>
  <si>
    <t xml:space="preserve"> Dubultu prospektā 71, 2. korpusā, Jūrmalā pielāgotā numurā (ar brokastīm)</t>
  </si>
  <si>
    <t>7.2.3.</t>
  </si>
  <si>
    <t>7.2.4.</t>
  </si>
  <si>
    <t xml:space="preserve"> Dubultu prospektā 71, 2. korpusā, Jūrmalā pielāgotā numurā (ar trīsreizēju ēdināšanu)</t>
  </si>
  <si>
    <t>Papildu vieta bērnam no 2 līdz 14 gadu vecumam Dubultu pr.71, 2 korpuss, Jūrmala (ar brokastīm)</t>
  </si>
  <si>
    <t>Papildu vieta bērnam  no 2 līdz 14 gadu vecumam Dubultu pr.71, 2 korpuss, Jūrmala (ar trīsreizēju ēdināšanu)</t>
  </si>
  <si>
    <t>7.5.3.</t>
  </si>
  <si>
    <t>7.5.4.</t>
  </si>
  <si>
    <t>Papildu vieta bērnam  no 2 līdz 14 gadu vecumam Dubultu pr. 71, 1 korpuss,  Jūrmalā (ar brokastīm)</t>
  </si>
  <si>
    <t>Papildu vieta bērnam  no 2 līdz 14 gadu vecumam Dubultu pr.71, 1 korpuss, Jūrmala (ar trīsreizēju ēdināšanu)</t>
  </si>
  <si>
    <t>7.5.5.</t>
  </si>
  <si>
    <t>7.5.6.</t>
  </si>
  <si>
    <t>7.5.7.</t>
  </si>
  <si>
    <t>7.5.8.</t>
  </si>
  <si>
    <t>Papildu vieta vienai personai Dubultu prospektā 71, 2 korpuss, Jūrmalā (ar trīsreizēju ēdināšanu)</t>
  </si>
  <si>
    <t>Papildu vieta vienai personai Dubultu prospektā 71, 2 korpuss, Jūrmalā (ar brokastīm)</t>
  </si>
  <si>
    <t>Papildu vieta vienai personai Dubultu prospektā 71, 1 korpuss, Jūrmalā (ar brokastīm)</t>
  </si>
  <si>
    <t>Papildu vieta vienai personai Dubultu prospektā 71, 1 korpuss, Jūrmalā (ar trīsreizēju ēdināšanu)</t>
  </si>
  <si>
    <t>7.12.</t>
  </si>
  <si>
    <t>7.13.</t>
  </si>
  <si>
    <t>Dubultu prospektā 59, Jūrmalā viena ēka – 20 vietas</t>
  </si>
  <si>
    <t>Dubultu prospektā 59, Jūrmalā viena ēka – 34 vietas</t>
  </si>
  <si>
    <t>8.1.3.1.</t>
  </si>
  <si>
    <t>8.1.3.2.</t>
  </si>
  <si>
    <t>8.1.3.3.</t>
  </si>
  <si>
    <t>Gaļas/zivs ēdiens</t>
  </si>
  <si>
    <t>Piedevas</t>
  </si>
  <si>
    <t>Salāti (2 veidi)</t>
  </si>
  <si>
    <t>11.13.</t>
  </si>
  <si>
    <t>11.10.</t>
  </si>
  <si>
    <t>11.12.</t>
  </si>
  <si>
    <t>Imatrikulācija un kvalifikācijas darba aizstāvēšana</t>
  </si>
  <si>
    <t>7.14.</t>
  </si>
  <si>
    <t>Klienta veļas mazgāšana</t>
  </si>
  <si>
    <t>9.5.</t>
  </si>
  <si>
    <t>Šarko duša</t>
  </si>
  <si>
    <t>Medicīniskās manipulācijas (cenā nav iekļautas medikamentu izmaksas)</t>
  </si>
  <si>
    <t xml:space="preserve">Viesu izmitināšana – papildus vieta Dubultu prospekts 71, Jūrmala </t>
  </si>
  <si>
    <t>Galda minerālūdeņi</t>
  </si>
  <si>
    <t>Viesu izmitināšana Slokas 68, Jūrmala</t>
  </si>
  <si>
    <t>Tirdzniecības vietas noma (26.1m2) Dubultu pr.71, Jūrmalā</t>
  </si>
  <si>
    <t>Atzinums par transportlīdzekļa pielāgojuma kodiem</t>
  </si>
  <si>
    <t>Studiju virzieni nepilna laika studijām</t>
  </si>
  <si>
    <t>1.5.</t>
  </si>
  <si>
    <t>720 stundu programma</t>
  </si>
  <si>
    <t>Telpu noma Dubultu pr.71 (Saskaņā ar MK Nr. 515 noteikumiem " Noteikumi par valsts un pašvaldību mantas iznomāšanas kārtību, nomas maksas noteikšanas metodiku un nomas līguma tipveida nosacījumiem" Iznomātājs SIA "Fabriciusa Sanita")</t>
  </si>
  <si>
    <t>Telpu noma Dubultu pr.71 (Saskaņā ar MK Nr. 515 noteikumiem " Noteikumi par valsts un pašvaldību mantas iznomāšanas kārtību, nomas maksas noteikšanas metodiku un nomas līguma tipveida nosacījumiem" Iznomātājs SIA "Remani")</t>
  </si>
  <si>
    <t>Profesionālās pilnveides izglītības programmas un profesionālās tālākizglītības programmas</t>
  </si>
  <si>
    <t xml:space="preserve">Profesionālās pamatizglītības programmas, arodizglītības programmas un profesionālās vidējās izglītības programmas </t>
  </si>
  <si>
    <t>Datoru lietošana</t>
  </si>
  <si>
    <t>Šūto izstrādājumu ražošanas tehnoloģija</t>
  </si>
  <si>
    <t>2.5.</t>
  </si>
  <si>
    <t>2.6.</t>
  </si>
  <si>
    <t>Elektronika un elektrotehnika</t>
  </si>
  <si>
    <t>Metālapstrāde</t>
  </si>
  <si>
    <t>Pirmā līmeņa profesionālās augstākās izglītības (koledžas izglītības) programmas</t>
  </si>
  <si>
    <t>Studiju virzienu „Ekonomika”, „Vadība, administrēšana un nekustamo īpašumu pārvaldība” studiju programmas</t>
  </si>
  <si>
    <t>Studiju virziena „Informācijas tehnoloģija, datortehnika, elektronika, telekomunikācijas, datorvadība un datorzinātne” studiju programmas</t>
  </si>
  <si>
    <t>Studiju virziena „Viesnīcu un restorānu serviss, tūrisma un atpūtas organizācija” studiju programmas</t>
  </si>
  <si>
    <t>rehabilitācijas kurss pielāgotā numurā</t>
  </si>
  <si>
    <t>rehabilitācijas kurss (viena vieta vienvietīgā numurā)</t>
  </si>
  <si>
    <t>4.1.1.2.1.</t>
  </si>
  <si>
    <t>4.1.1.2.2.</t>
  </si>
  <si>
    <t>viena vieta vienvietīgā pielāgotā numurā</t>
  </si>
  <si>
    <t>viena vieta divvietīgā pielāgotā numurā</t>
  </si>
  <si>
    <t>rehabilitācijas kurss (viena vieta divvietīgā numurā)</t>
  </si>
  <si>
    <t>rehabilitācijas programma "Harmonija" (viena vieta divvietīgā numurā)</t>
  </si>
  <si>
    <t>Citi pakalpojumi</t>
  </si>
  <si>
    <t>piemaksa par uzturēšanos vienvietīgā numurā personai, kura saņem sociālās rehabilitācijas pakalpojumus par valsts budžeta līdzekļiem</t>
  </si>
  <si>
    <t>Veselības veicināšanas programmas</t>
  </si>
  <si>
    <t>4.3.</t>
  </si>
  <si>
    <t>4.3.1.</t>
  </si>
  <si>
    <t>4.3.1.1.</t>
  </si>
  <si>
    <t>4.3.1.2.</t>
  </si>
  <si>
    <t>4.3.1.3.</t>
  </si>
  <si>
    <t>4.3.1.4.</t>
  </si>
  <si>
    <t>4.3.1.5.</t>
  </si>
  <si>
    <t>4.3.1.6.</t>
  </si>
  <si>
    <t>4.3.1.7.</t>
  </si>
  <si>
    <t>4.3.1.8.</t>
  </si>
  <si>
    <t>4.3.1.9.</t>
  </si>
  <si>
    <t>4.3.1.10.</t>
  </si>
  <si>
    <t>Programma “Muguras veselība” (viena vieta vienvietīgā numurā)</t>
  </si>
  <si>
    <t>Programma “Muguras veselība” (viena vieta divvietīgā numurā)</t>
  </si>
  <si>
    <t>Programma “Relaksācija” (viena vieta vienvietīgā numurā)</t>
  </si>
  <si>
    <t>Programma “Relaksācija” (viena vieta divvietīgā numurā)</t>
  </si>
  <si>
    <t>Programma “Vitalitāte” (viena vieta vienvietīgā numurā)</t>
  </si>
  <si>
    <t>Programma “Vitalitāte” (viena vieta divvietīgā numurā)</t>
  </si>
  <si>
    <t>Programma “Restartē darba spējas” (viena vieta vienvietīgā numurā)</t>
  </si>
  <si>
    <t>Programma “Restartē darba spējas” (viena vieta divvietīgā numurā)</t>
  </si>
  <si>
    <t>4.3.2.</t>
  </si>
  <si>
    <t>4.3.2.1.</t>
  </si>
  <si>
    <t>4.3.2.2.</t>
  </si>
  <si>
    <t>4.3.2.3.</t>
  </si>
  <si>
    <t>4.3.2.5.</t>
  </si>
  <si>
    <t>4.3.2.6.</t>
  </si>
  <si>
    <t>4.3.2.7.</t>
  </si>
  <si>
    <t>4.3.2.8.</t>
  </si>
  <si>
    <t>4.3.2.9.</t>
  </si>
  <si>
    <t>4.3.2.10.</t>
  </si>
  <si>
    <t>4.3.2.4.</t>
  </si>
  <si>
    <t>Dubultu prospekts 71, 2. korpuss, Jūrmala</t>
  </si>
  <si>
    <t>Dubultu prospekts 71, 1. korpuss, Jūrmala</t>
  </si>
  <si>
    <t>divām ķermeņa daļām (vēders un kājas vai vēders un rokas)</t>
  </si>
  <si>
    <t>vienai ķermeņa daļai (kājām vai rokām)</t>
  </si>
  <si>
    <t>muguras masāža (2 vienības)</t>
  </si>
  <si>
    <t>5.4.5.1.</t>
  </si>
  <si>
    <t>5.4.5.2.</t>
  </si>
  <si>
    <t>jostas–krustu daļas</t>
  </si>
  <si>
    <t>krūšu daļas</t>
  </si>
  <si>
    <t>personām ar svaru līdz 100kg</t>
  </si>
  <si>
    <t>personām ar svaru virs 100kg</t>
  </si>
  <si>
    <t>5.4.7.1.</t>
  </si>
  <si>
    <t>5.4.7.2.</t>
  </si>
  <si>
    <t>5.4.11.</t>
  </si>
  <si>
    <t>5.4.11.1.</t>
  </si>
  <si>
    <t>5.4.11.2.</t>
  </si>
  <si>
    <t>Pēdu masāža (2 vienības)</t>
  </si>
  <si>
    <t>pēdas un apakšstilba (līdz ceļa locītavai) masāža</t>
  </si>
  <si>
    <t>abu pēdu masāža</t>
  </si>
  <si>
    <t>5.5.10.</t>
  </si>
  <si>
    <t>ergoterapijas nodarbībā grupā līdz 10 cilvēkiem</t>
  </si>
  <si>
    <t>5.5.11.</t>
  </si>
  <si>
    <t>5.5.11.1.</t>
  </si>
  <si>
    <t>5.5.11.2.</t>
  </si>
  <si>
    <t>5.5.11.3.</t>
  </si>
  <si>
    <t>5.5.12.</t>
  </si>
  <si>
    <t>5.5.12.1.</t>
  </si>
  <si>
    <t>5.5.12.2.</t>
  </si>
  <si>
    <t>5.5.12.3.</t>
  </si>
  <si>
    <t>5.5.12.4.</t>
  </si>
  <si>
    <t>5.5.12.5.</t>
  </si>
  <si>
    <t>5.5.12.6.</t>
  </si>
  <si>
    <t xml:space="preserve">Kinezioloģiskā teipošana </t>
  </si>
  <si>
    <t>ar teipu līdz 50cm</t>
  </si>
  <si>
    <t>ar klienta teipu</t>
  </si>
  <si>
    <t>Cross teips</t>
  </si>
  <si>
    <t>Nodarbības funkcionālā speciālista vadībā ar medicīnas ierīcēm</t>
  </si>
  <si>
    <t>nodarbība ar MOTOMED ierīci</t>
  </si>
  <si>
    <t>Fizioterapijas nodarbība ar hidroterapijas trenažieri, individuāli</t>
  </si>
  <si>
    <t>Fizioterapijas nodarbība ar hidroterapijas trenažieri, individuāli+baseins</t>
  </si>
  <si>
    <t>Ergoterapijas individuālā nodarbība ar RehaCom programmu</t>
  </si>
  <si>
    <t>elektrokardiogrammas pieraksts ar aprakstu</t>
  </si>
  <si>
    <t xml:space="preserve">asinsspiediena mērīšana </t>
  </si>
  <si>
    <t>5.6.9.</t>
  </si>
  <si>
    <t>5.6.10.</t>
  </si>
  <si>
    <t>5.6.11.</t>
  </si>
  <si>
    <t>5.6.12.</t>
  </si>
  <si>
    <t>5.6.12.1.</t>
  </si>
  <si>
    <t xml:space="preserve">Intraartikulāra injekcija (1 locītavai), ceļu locītavas blokāde </t>
  </si>
  <si>
    <t>primāri dzīstošas brūces apstrāde </t>
  </si>
  <si>
    <t xml:space="preserve">sekundāri dzīstošas brūces apstrāde </t>
  </si>
  <si>
    <t xml:space="preserve">urīnpūšļa katetrizācija, katetru maiņa, epicistomas katetra maiņa </t>
  </si>
  <si>
    <t>Ieauguša naga ablācija, korekcija</t>
  </si>
  <si>
    <t>Ieauguša naga ablācija, korekcija  (par katru nākamo procedūru)</t>
  </si>
  <si>
    <t>Pedāļu pagarināšana transportlīdzeklim ar mehānisko pārnesumkārbu (PPM)</t>
  </si>
  <si>
    <t>6.15.</t>
  </si>
  <si>
    <t>Pedāļu pagarināšana transportlīdzeklim ar automātisko pārnesumkārbu (PPA)</t>
  </si>
  <si>
    <t>6.16.</t>
  </si>
  <si>
    <t>Ātras noņemšanas vai uzlikšanas iespēja, kreisā akseleratora pedāļa iekārtai transportlīdzeklim ar automātisko ātrumkārbu, stiprinājums pie pedāļu pamatnes vai citā individuāli piemeklētā vietā, ar pamatpedāļa bloķēšanas iespēju (ĀNKAP-1)</t>
  </si>
  <si>
    <t>6.17.</t>
  </si>
  <si>
    <t>Papildkrēsls atvieglotai iekāpšanai ar stiprinājumu individuāli piemeklētā vietā (PK)</t>
  </si>
  <si>
    <t>6.18.</t>
  </si>
  <si>
    <t>Ātras noņemšanas vai uzlikšanas iespēja, pedāļu pagarināšanas iekārtai transportlīdzeklim ar mehānisko ātrumkārbu (ĀNP-1)</t>
  </si>
  <si>
    <t>6.19.</t>
  </si>
  <si>
    <t>Ātras noņemšanas vai uzlikšanas iespēja, pedāļu pagarināšanas iekārtai transportlīdzeklim ar automātisko ātrumkārbu (ĀNP-2)</t>
  </si>
  <si>
    <t>7.2.5.</t>
  </si>
  <si>
    <t>Piemaksa par uzturēšanos vienai personai divvietīgā numurā</t>
  </si>
  <si>
    <t>7.4.3.</t>
  </si>
  <si>
    <t>Ēdināšana trīs reizes dienā sporta, veselības nostiprināšanas, atpūtas un izglītojošām nometnēm vai grupām, kas noslēgušas līgumu par pakalpojuma saņemšanu, un bērniem no 2 līdz 14 gadu vecumam (vienai grupas personai vai vienam bērnam)</t>
  </si>
  <si>
    <t>8.2.1.1.</t>
  </si>
  <si>
    <t>8.2.2.2.</t>
  </si>
  <si>
    <t>8.2.1.2.</t>
  </si>
  <si>
    <t>8.2.1.3.</t>
  </si>
  <si>
    <t>8.2.2.1.</t>
  </si>
  <si>
    <t>8.2.2.3.</t>
  </si>
  <si>
    <t>palielināts kaloriju daudzums</t>
  </si>
  <si>
    <t>Transportlīdzekļa vadītāja kursu teorijas apmācība</t>
  </si>
  <si>
    <t>10.5.1.</t>
  </si>
  <si>
    <t>10.5.2.</t>
  </si>
  <si>
    <t>Teorijas mācību kurss</t>
  </si>
  <si>
    <t>10.5.3.</t>
  </si>
  <si>
    <t>Atkārtots eksāmens teorijā</t>
  </si>
  <si>
    <t>10.6.1.</t>
  </si>
  <si>
    <t xml:space="preserve">Transportlīdzekļa vadītāja kursu praktiskā braukšana </t>
  </si>
  <si>
    <t>Transportlīdzekļa vadītāja kursu praktiskā braukšana (vienas braukšanas mācību stundas ilgums 45 min)</t>
  </si>
  <si>
    <t>10.6.2.</t>
  </si>
  <si>
    <t xml:space="preserve">Atkārtots eksāmens  praktiskajā braukšanā </t>
  </si>
  <si>
    <t xml:space="preserve">Lietvedības pakalpojumi </t>
  </si>
  <si>
    <t>11.2.1.</t>
  </si>
  <si>
    <t>11.2.2.</t>
  </si>
  <si>
    <t>11.2.3.</t>
  </si>
  <si>
    <t>11.2.4.</t>
  </si>
  <si>
    <t>akadēmiskās izziņas izsniegšana</t>
  </si>
  <si>
    <t>11.2.5.</t>
  </si>
  <si>
    <t>11.2.6.</t>
  </si>
  <si>
    <t>izrakstu/lēmumu nosūtīšana pa pastu vēstulē</t>
  </si>
  <si>
    <t>11.2.7.</t>
  </si>
  <si>
    <t>kopēšana vai dokumenta ieskenēšana un nosūtīšana vai drukāšana</t>
  </si>
  <si>
    <t>Citi ar izglītības iegūšanu saistīti pakalpojumi</t>
  </si>
  <si>
    <t>11.10.1.</t>
  </si>
  <si>
    <t>11.10.2.</t>
  </si>
  <si>
    <t>11.10.3.</t>
  </si>
  <si>
    <t>Izglītojamo gatavotie suvenīri</t>
  </si>
  <si>
    <t>11.12.1.</t>
  </si>
  <si>
    <t>Suvenīri, 1.veids (kartiņas, sedziņas, lāpstiņas, karotes paliknīši u.c.)</t>
  </si>
  <si>
    <t>11.12.2.</t>
  </si>
  <si>
    <t>Suvenīri, 2.veids (maisiņi, priekšauti, virtuves dēlīši, rotaļlietas u.c.)</t>
  </si>
  <si>
    <t>Radošās darbnīcas funkcionālo spēju uzlabošanai (ar nodarbībai paredzēto materiālu)</t>
  </si>
  <si>
    <t>aparātprocedūras</t>
  </si>
  <si>
    <t>magnetoterapija, lāzerterapija, diadinamika, amplipulsterapija</t>
  </si>
  <si>
    <t>ultraskaņa, darsonvalizācija</t>
  </si>
  <si>
    <t>5.3.2.1.</t>
  </si>
  <si>
    <t>5.3.2.2.</t>
  </si>
  <si>
    <t>fizikālā terapija (magnetoterapija, lāzerterapija, diadinamika, amplipulsterapija, ultraskaņa, darsonvalizācija</t>
  </si>
  <si>
    <t>Autobusa (astoņas vietas) iznomāšana  ar šoferi vismaz uz četrām stundām (1 stunda)</t>
  </si>
  <si>
    <t>Autobusa (astoņas vietas) iznomāšana  ar šoferi (1 diennakts)</t>
  </si>
  <si>
    <t>11.11.</t>
  </si>
  <si>
    <t>Sociālā rehabilitētāja nodarbība, līdz 10 cilvēkiem</t>
  </si>
  <si>
    <t>segmentārā masāža (1 vienība)</t>
  </si>
  <si>
    <t>fizioterapija individuāli bērnam no 4 līdz 14 gadu vecumam</t>
  </si>
  <si>
    <t>Programma “Organisma attīrīšanas kūre” (viena vieta vienvietīgā numurā)</t>
  </si>
  <si>
    <t>Programma “Organisma attīrīšanas kūre” (viena vieta divvietīgā numurā)</t>
  </si>
  <si>
    <t>6.14.</t>
  </si>
  <si>
    <t>1.6.1.</t>
  </si>
  <si>
    <t>1.6.2.</t>
  </si>
  <si>
    <t>1.6.</t>
  </si>
  <si>
    <t xml:space="preserve"> Tālākizglītības kursi, semināri, lekcijas</t>
  </si>
  <si>
    <t>11.9.4.</t>
  </si>
  <si>
    <t>11.9.4.1.</t>
  </si>
  <si>
    <t>11.9.4.2.</t>
  </si>
  <si>
    <t>11.9.4.3.</t>
  </si>
  <si>
    <t xml:space="preserve">  Vienai personai grupā līdz 24 personām (1 stunda)</t>
  </si>
  <si>
    <t xml:space="preserve">  Vienai personai grupā vairāk par 24 personām (1 stunda)</t>
  </si>
  <si>
    <t>Supervīzija</t>
  </si>
  <si>
    <t xml:space="preserve"> Individuāla</t>
  </si>
  <si>
    <t xml:space="preserve"> Vienai personai grupā  līdz 6 cilvēkiem</t>
  </si>
  <si>
    <t>Vienai personai grupā  līdz 12 cilvēkiem</t>
  </si>
  <si>
    <t xml:space="preserve">Standarta ēdienkarte </t>
  </si>
  <si>
    <t>8.3.1.1.</t>
  </si>
  <si>
    <t>8.3.1.2.</t>
  </si>
  <si>
    <t>8.3.1.3.</t>
  </si>
  <si>
    <t>8.3.2.1.</t>
  </si>
  <si>
    <t>8.3.2.2.</t>
  </si>
  <si>
    <t>8.3.2.3.</t>
  </si>
  <si>
    <t xml:space="preserve">Samazināts kaloriju daudzums </t>
  </si>
  <si>
    <t>2-5 gadiem</t>
  </si>
  <si>
    <t>nūjošana  (vienai personai) grupā līdz 15 cilvēkiem</t>
  </si>
  <si>
    <t>Aģentūras izglītojamo izmitināšana dienesta viesnīcā Dubultu prospektā 59 un Slokas ielā 68, Jūrmalā</t>
  </si>
  <si>
    <t>psihologa nodarbība grupā (līdz 8 cilvēkiem)</t>
  </si>
  <si>
    <t>2019.gads jaunais cenrādis</t>
  </si>
  <si>
    <t>5.1.5.</t>
  </si>
  <si>
    <t>5.3.2.3.</t>
  </si>
  <si>
    <t>5.3.2.4.</t>
  </si>
  <si>
    <t>ārstnieciskā baseina un termoterapijas izmantošana vienai personai + hidroterapijas trenažieris</t>
  </si>
  <si>
    <t>FMS (funkcionālā magnētiskā stimulācija) ar manualo aplikatoru, neaktīva procedūra (bez speciālista)</t>
  </si>
  <si>
    <t>5.3.2.5.</t>
  </si>
  <si>
    <t xml:space="preserve">FMS, magnētiskais krēsls ar vienu magnētiem </t>
  </si>
  <si>
    <t>5.3.2.6.</t>
  </si>
  <si>
    <t xml:space="preserve">FMS, magnētiskais krēsls ar diviem magnētiem </t>
  </si>
  <si>
    <t xml:space="preserve">Nodarbība ar sensoro moduli Armeo (aktīvā procedūra) </t>
  </si>
  <si>
    <t>Nodarbība ar sensoro moduli Armeo  (neaktīvā procedūra)</t>
  </si>
  <si>
    <t>5.5.12.7.</t>
  </si>
  <si>
    <t>5.5.12.8.</t>
  </si>
  <si>
    <t>5.5.13.</t>
  </si>
  <si>
    <t>5.5.14.</t>
  </si>
  <si>
    <t>Skoliozes terapija pēc Šrota metodes</t>
  </si>
  <si>
    <t>8.5.3.</t>
  </si>
  <si>
    <t>8.5.4.</t>
  </si>
  <si>
    <t>Konditorejas izstrādājumi veids Nr.3</t>
  </si>
  <si>
    <t>Konditorejas izstrādājumi veids Nr.4</t>
  </si>
  <si>
    <t>Dubultu prospektā 71, 1.korpusā, Jūrmalā  (viena vieta divvietīgā numurā)</t>
  </si>
  <si>
    <t>Dubultu prospektā 71, 1.korpusā, Jūrmalā  (ar brokastīm)</t>
  </si>
  <si>
    <t xml:space="preserve">2018.gads spēkā esošs cenrādis </t>
  </si>
  <si>
    <t>Uztura speciālista konsultācija</t>
  </si>
  <si>
    <t>Uztura speciālista individuālā  nodarbība (meistarklase)</t>
  </si>
  <si>
    <t>profesionālo izglītību un profesionālo kvalifikāciju apliecinoša dokumenta dublikāta izsniegšana</t>
  </si>
  <si>
    <t>profesionālo izglītību un profesionālo kvalifikāciju apliecinoša dokumenta pielikuma dublikāta izsniegšana</t>
  </si>
  <si>
    <t>medicīniskās dokumentācijas dublikāta izsniegšana</t>
  </si>
  <si>
    <t>iestādes arhivēto dokumentu dublikāta izsniegšana</t>
  </si>
  <si>
    <t>atkārtota zināšanu pārbaude (ieskaite, eksāmens, kursa darbs)</t>
  </si>
  <si>
    <t>Imatrikulācija un kvalifikācijas darba izstrādes un aizstāvēšanas nodrošināšana</t>
  </si>
  <si>
    <t>11.10.3.1.</t>
  </si>
  <si>
    <t>11.10.3.2.</t>
  </si>
  <si>
    <t>11.10.4.</t>
  </si>
  <si>
    <t>Nozaudētas studenta apliecības dublikāta izgatavošana</t>
  </si>
  <si>
    <t>684 stundu programma</t>
  </si>
  <si>
    <t>1040 stundu programma</t>
  </si>
  <si>
    <t xml:space="preserve">Izmaiņas 2019.gada jaunais cenrādis pret  2018.gadā spēkā esošo  cenrādis </t>
  </si>
  <si>
    <t xml:space="preserve">Pagrieziena slēdža (PSL) vai logu tīrītāja slēdža  (LTS) pārnešana uz stūres otru pusi </t>
  </si>
  <si>
    <t>9.2.1.</t>
  </si>
  <si>
    <t>9.2.2.</t>
  </si>
  <si>
    <t>Kabineta vai auditorijas noma  (1 stunda)</t>
  </si>
  <si>
    <t>Kabineta vai auditorijas noma  (1 diena)</t>
  </si>
  <si>
    <t>Imatrikulācija un kvalifikācijas darba nodrošināšana un aizstāvēšana</t>
  </si>
  <si>
    <t xml:space="preserve">Pavadošās personas izmitināšana ar trīsreizēju ēdināšanu  (pavada valsts budžeta klientu) </t>
  </si>
  <si>
    <t>7.6.1.</t>
  </si>
  <si>
    <t>7.6.2.</t>
  </si>
  <si>
    <t>7.7.1.</t>
  </si>
  <si>
    <t>7.7.2.</t>
  </si>
  <si>
    <t>7.8.1.</t>
  </si>
  <si>
    <t>7.8.2.</t>
  </si>
  <si>
    <t>7.15.</t>
  </si>
  <si>
    <t xml:space="preserve"> Dubultu pr.59, Jūrmalā,  2.stāvs</t>
  </si>
  <si>
    <t>Dubultu pr.59, Jūrmalā,  3.stāvs</t>
  </si>
  <si>
    <t xml:space="preserve"> Jūrmalā, Dubultu pr.59, 1.stāvs</t>
  </si>
  <si>
    <t>Dubultu prospektā 59, 1.stāvs, četrvietīgs numurs</t>
  </si>
  <si>
    <t xml:space="preserve"> Dubultu prospektā 59, 1.stāvs, astoņvietīgs numurs</t>
  </si>
  <si>
    <t xml:space="preserve"> Dubultu pr.59,  2.stāvs, četrvietīgs numurs</t>
  </si>
  <si>
    <t xml:space="preserve"> Dubultu pr.59,  2.stāvs, sešvietīgs numurs</t>
  </si>
  <si>
    <t xml:space="preserve"> Dubultu pr.59,  3.stāvs, divvietīgs numurs</t>
  </si>
  <si>
    <t xml:space="preserve"> Dubultu pr.59,  3.stāvs, trīsvietīgs numurs</t>
  </si>
  <si>
    <t>Telpu noma Slokas ielā 61 (Saskaņā ar MK Nr. 515 noteikumiem " Noteikumi par valsts un pašvaldību mantas iznomāšanas kārtību, nomas maksas noteikšanas metodiku un nomas līguma tipveida nosacījumiem" Iznomātājs SIA "Dr.Leopolds")</t>
  </si>
  <si>
    <t>Telpu noma Dubultu pr.71 (Saskaņā ar MK Nr. 515 noteikumiem " Noteikumi par valsts un pašvaldību mantas iznomāšanas kārtību, nomas maksas noteikšanas metodiku un nomas līguma tipveida nosacījumiem" Iznomātājs SIA "VITERRAM")</t>
  </si>
  <si>
    <t>Telpu noma Dubultu pr.71 (Saskaņā ar MK Nr. 515 noteikumiem " Noteikumi par valsts un pašvaldību mantas iznomāšanas kārtību, nomas maksas noteikšanas metodiku un nomas līguma tipveida nosacījumiem" Iznomātājs Eduarda Vendes privātprakse zobārstniecībā )</t>
  </si>
  <si>
    <t>FMS ar manualo aplikatoru, aktīva procedūra (ar speciālista darbu)</t>
  </si>
  <si>
    <t>Uztura speciālista grupu nodarbība (meistarklase) grupā līdz 3 cilvēkiem</t>
  </si>
  <si>
    <t>Datorsistēmas, datubāzes un datortīkli</t>
  </si>
  <si>
    <t xml:space="preserve">atkārtota kursa darba vai kvalifikācijas darba vērtēšana, ja konstatēts autortiesību pārkāpums </t>
  </si>
  <si>
    <t>12.pielikums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</si>
</sst>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4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204"/>
    </font>
    <font>
      <sz val="16"/>
      <name val="Arial"/>
      <family val="2"/>
      <charset val="186"/>
    </font>
    <font>
      <sz val="16"/>
      <name val="Times New Roman"/>
      <family val="1"/>
      <charset val="186"/>
    </font>
    <font>
      <sz val="12"/>
      <name val="Times New Roman"/>
      <family val="1"/>
      <charset val="186"/>
    </font>
    <font>
      <u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" fillId="2" borderId="8" xfId="0" applyFont="1" applyFill="1" applyBorder="1" applyAlignment="1"/>
    <xf numFmtId="0" fontId="4" fillId="4" borderId="8" xfId="0" applyFont="1" applyFill="1" applyBorder="1" applyAlignment="1"/>
    <xf numFmtId="0" fontId="3" fillId="2" borderId="0" xfId="0" applyFont="1" applyFill="1"/>
    <xf numFmtId="0" fontId="4" fillId="4" borderId="3" xfId="0" applyFont="1" applyFill="1" applyBorder="1" applyAlignment="1"/>
    <xf numFmtId="2" fontId="4" fillId="4" borderId="3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>
      <alignment wrapText="1"/>
    </xf>
    <xf numFmtId="0" fontId="3" fillId="4" borderId="3" xfId="0" applyFont="1" applyFill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3" xfId="0" applyFont="1" applyBorder="1" applyAlignment="1"/>
    <xf numFmtId="0" fontId="3" fillId="2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8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2" fontId="4" fillId="4" borderId="3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2" fontId="3" fillId="2" borderId="3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right" wrapText="1"/>
    </xf>
    <xf numFmtId="0" fontId="3" fillId="4" borderId="3" xfId="0" applyFont="1" applyFill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4" fontId="1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2" fontId="3" fillId="4" borderId="3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2" fontId="4" fillId="4" borderId="3" xfId="0" applyNumberFormat="1" applyFont="1" applyFill="1" applyBorder="1" applyAlignment="1">
      <alignment vertical="center"/>
    </xf>
    <xf numFmtId="2" fontId="3" fillId="2" borderId="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/>
    <xf numFmtId="0" fontId="3" fillId="2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8" xfId="0" applyFont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4" borderId="5" xfId="0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14" fontId="3" fillId="2" borderId="2" xfId="0" applyNumberFormat="1" applyFont="1" applyFill="1" applyBorder="1" applyAlignment="1">
      <alignment horizontal="right" wrapText="1"/>
    </xf>
    <xf numFmtId="1" fontId="3" fillId="0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4" fillId="2" borderId="3" xfId="0" applyFont="1" applyFill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13" fillId="0" borderId="0" xfId="0" applyFont="1" applyAlignment="1"/>
    <xf numFmtId="0" fontId="3" fillId="3" borderId="0" xfId="0" applyFont="1" applyFill="1"/>
    <xf numFmtId="0" fontId="3" fillId="0" borderId="0" xfId="0" applyFont="1" applyAlignment="1">
      <alignment horizontal="center"/>
    </xf>
    <xf numFmtId="0" fontId="3" fillId="0" borderId="15" xfId="0" applyFont="1" applyFill="1" applyBorder="1" applyAlignment="1">
      <alignment wrapText="1"/>
    </xf>
    <xf numFmtId="0" fontId="14" fillId="0" borderId="0" xfId="0" applyFont="1"/>
    <xf numFmtId="0" fontId="15" fillId="0" borderId="0" xfId="2" applyFont="1" applyAlignment="1" applyProtection="1"/>
    <xf numFmtId="0" fontId="4" fillId="0" borderId="3" xfId="0" applyFont="1" applyBorder="1" applyAlignment="1"/>
    <xf numFmtId="0" fontId="4" fillId="2" borderId="3" xfId="0" applyFont="1" applyFill="1" applyBorder="1" applyAlignment="1"/>
    <xf numFmtId="2" fontId="4" fillId="2" borderId="3" xfId="0" applyNumberFormat="1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8" xfId="0" applyFont="1" applyBorder="1" applyAlignment="1"/>
    <xf numFmtId="0" fontId="4" fillId="4" borderId="10" xfId="0" applyFont="1" applyFill="1" applyBorder="1" applyAlignment="1"/>
    <xf numFmtId="0" fontId="4" fillId="4" borderId="9" xfId="0" applyFont="1" applyFill="1" applyBorder="1" applyAlignment="1"/>
    <xf numFmtId="2" fontId="3" fillId="0" borderId="3" xfId="0" applyNumberFormat="1" applyFont="1" applyBorder="1" applyAlignment="1">
      <alignment horizontal="center"/>
    </xf>
    <xf numFmtId="2" fontId="3" fillId="0" borderId="0" xfId="0" applyNumberFormat="1" applyFont="1" applyAlignment="1"/>
    <xf numFmtId="2" fontId="3" fillId="0" borderId="0" xfId="0" applyNumberFormat="1" applyFont="1"/>
    <xf numFmtId="2" fontId="13" fillId="0" borderId="0" xfId="0" applyNumberFormat="1" applyFont="1" applyAlignme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2" applyFont="1" applyAlignment="1" applyProtection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0" fontId="4" fillId="2" borderId="4" xfId="0" applyFont="1" applyFill="1" applyBorder="1" applyAlignment="1"/>
    <xf numFmtId="0" fontId="4" fillId="2" borderId="11" xfId="0" applyFont="1" applyFill="1" applyBorder="1" applyAlignment="1"/>
    <xf numFmtId="4" fontId="3" fillId="2" borderId="16" xfId="0" applyNumberFormat="1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justify" wrapText="1"/>
    </xf>
    <xf numFmtId="0" fontId="3" fillId="2" borderId="8" xfId="0" applyFont="1" applyFill="1" applyBorder="1" applyAlignment="1">
      <alignment horizontal="justify" wrapText="1"/>
    </xf>
    <xf numFmtId="4" fontId="4" fillId="2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justify" wrapText="1"/>
    </xf>
    <xf numFmtId="0" fontId="4" fillId="2" borderId="8" xfId="0" applyFont="1" applyFill="1" applyBorder="1" applyAlignment="1">
      <alignment horizontal="justify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1"/>
  <sheetViews>
    <sheetView tabSelected="1" view="pageLayout" zoomScaleNormal="100" workbookViewId="0">
      <selection activeCell="B345" sqref="B345"/>
    </sheetView>
  </sheetViews>
  <sheetFormatPr defaultColWidth="10.28515625" defaultRowHeight="12.75" x14ac:dyDescent="0.2"/>
  <cols>
    <col min="1" max="1" width="10.7109375" style="30" customWidth="1"/>
    <col min="2" max="2" width="62.85546875" style="30" customWidth="1"/>
    <col min="3" max="4" width="10.5703125" style="1" customWidth="1"/>
    <col min="5" max="5" width="12.5703125" style="1" customWidth="1"/>
    <col min="6" max="7" width="10.5703125" style="30" customWidth="1"/>
    <col min="8" max="8" width="12.5703125" style="30" customWidth="1"/>
    <col min="9" max="9" width="10.5703125" style="1" customWidth="1"/>
    <col min="10" max="10" width="8.5703125" style="1" customWidth="1"/>
    <col min="11" max="13" width="10.28515625" style="1" hidden="1" customWidth="1"/>
    <col min="14" max="16384" width="10.28515625" style="1"/>
  </cols>
  <sheetData>
    <row r="1" spans="1:13" ht="15" x14ac:dyDescent="0.25">
      <c r="A1" s="4"/>
      <c r="B1" s="4"/>
      <c r="C1" s="99" t="s">
        <v>640</v>
      </c>
      <c r="D1" s="99"/>
      <c r="E1" s="99"/>
      <c r="F1" s="99"/>
      <c r="G1" s="99"/>
      <c r="H1" s="99"/>
      <c r="I1" s="99"/>
      <c r="J1" s="99"/>
    </row>
    <row r="2" spans="1:13" ht="15" x14ac:dyDescent="0.25">
      <c r="A2" s="4"/>
      <c r="B2" s="99" t="s">
        <v>273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5" x14ac:dyDescent="0.25">
      <c r="A3" s="99" t="s">
        <v>274</v>
      </c>
      <c r="B3" s="99"/>
      <c r="C3" s="99"/>
      <c r="D3" s="99"/>
      <c r="E3" s="99"/>
      <c r="F3" s="99"/>
      <c r="G3" s="99"/>
      <c r="H3" s="99"/>
      <c r="I3" s="99"/>
      <c r="J3" s="99"/>
    </row>
    <row r="4" spans="1:13" ht="15" x14ac:dyDescent="0.25">
      <c r="A4" s="4"/>
      <c r="B4" s="99" t="s">
        <v>275</v>
      </c>
      <c r="C4" s="99"/>
      <c r="D4" s="99"/>
      <c r="E4" s="99"/>
      <c r="F4" s="99"/>
      <c r="G4" s="99"/>
      <c r="H4" s="99"/>
      <c r="I4" s="99"/>
      <c r="J4" s="99"/>
    </row>
    <row r="5" spans="1:13" ht="15" x14ac:dyDescent="0.25">
      <c r="A5" s="4"/>
      <c r="B5" s="4"/>
      <c r="C5" s="4"/>
      <c r="D5" s="4"/>
      <c r="E5" s="35"/>
      <c r="F5" s="99" t="s">
        <v>276</v>
      </c>
      <c r="G5" s="99"/>
      <c r="H5" s="99"/>
      <c r="I5" s="99"/>
      <c r="J5" s="99"/>
    </row>
    <row r="6" spans="1:13" ht="15" hidden="1" x14ac:dyDescent="0.25">
      <c r="A6" s="4"/>
      <c r="B6" s="4"/>
      <c r="C6" s="35"/>
      <c r="D6" s="35"/>
      <c r="E6" s="35"/>
      <c r="F6" s="29"/>
      <c r="G6" s="29"/>
      <c r="H6" s="29"/>
      <c r="I6" s="62"/>
      <c r="J6" s="62"/>
    </row>
    <row r="7" spans="1:13" ht="7.5" customHeight="1" x14ac:dyDescent="0.2">
      <c r="A7" s="1"/>
      <c r="B7" s="1"/>
      <c r="F7" s="1"/>
      <c r="G7" s="1"/>
      <c r="H7" s="1"/>
    </row>
    <row r="8" spans="1:13" ht="17.25" customHeight="1" thickBot="1" x14ac:dyDescent="0.25">
      <c r="A8" s="98" t="s">
        <v>278</v>
      </c>
      <c r="B8" s="98"/>
      <c r="C8" s="98"/>
      <c r="D8" s="98"/>
      <c r="E8" s="98"/>
      <c r="F8" s="98"/>
      <c r="G8" s="98"/>
      <c r="H8" s="98"/>
      <c r="I8" s="98"/>
      <c r="J8" s="98"/>
    </row>
    <row r="9" spans="1:13" s="87" customFormat="1" ht="13.5" hidden="1" thickBot="1" x14ac:dyDescent="0.25"/>
    <row r="10" spans="1:13" s="66" customFormat="1" ht="50.25" customHeight="1" x14ac:dyDescent="0.2">
      <c r="A10" s="88" t="s">
        <v>309</v>
      </c>
      <c r="B10" s="91" t="s">
        <v>277</v>
      </c>
      <c r="C10" s="96" t="s">
        <v>594</v>
      </c>
      <c r="D10" s="96"/>
      <c r="E10" s="96"/>
      <c r="F10" s="96" t="s">
        <v>571</v>
      </c>
      <c r="G10" s="96"/>
      <c r="H10" s="96"/>
      <c r="I10" s="96" t="s">
        <v>609</v>
      </c>
      <c r="J10" s="96"/>
      <c r="K10" s="66" t="s">
        <v>162</v>
      </c>
    </row>
    <row r="11" spans="1:13" s="66" customFormat="1" ht="15" customHeight="1" x14ac:dyDescent="0.2">
      <c r="A11" s="89"/>
      <c r="B11" s="92"/>
      <c r="C11" s="94" t="s">
        <v>0</v>
      </c>
      <c r="D11" s="85" t="s">
        <v>1</v>
      </c>
      <c r="E11" s="94" t="s">
        <v>167</v>
      </c>
      <c r="F11" s="94" t="s">
        <v>0</v>
      </c>
      <c r="G11" s="85" t="s">
        <v>1</v>
      </c>
      <c r="H11" s="94" t="s">
        <v>167</v>
      </c>
      <c r="I11" s="94" t="s">
        <v>0</v>
      </c>
      <c r="J11" s="85" t="s">
        <v>1</v>
      </c>
      <c r="K11" s="66" t="s">
        <v>0</v>
      </c>
      <c r="L11" s="66" t="s">
        <v>1</v>
      </c>
    </row>
    <row r="12" spans="1:13" s="66" customFormat="1" ht="23.25" customHeight="1" x14ac:dyDescent="0.2">
      <c r="A12" s="90"/>
      <c r="B12" s="93"/>
      <c r="C12" s="95"/>
      <c r="D12" s="86"/>
      <c r="E12" s="97"/>
      <c r="F12" s="95"/>
      <c r="G12" s="86"/>
      <c r="H12" s="97"/>
      <c r="I12" s="95"/>
      <c r="J12" s="86"/>
    </row>
    <row r="13" spans="1:13" s="7" customFormat="1" ht="13.5" customHeight="1" x14ac:dyDescent="0.2">
      <c r="A13" s="54">
        <v>1</v>
      </c>
      <c r="B13" s="55" t="s">
        <v>368</v>
      </c>
      <c r="C13" s="36"/>
      <c r="D13" s="37"/>
      <c r="E13" s="38">
        <f>SUM(E14:E23)</f>
        <v>24479.15</v>
      </c>
      <c r="F13" s="36"/>
      <c r="G13" s="37"/>
      <c r="H13" s="38">
        <f>SUM(H14:H23)</f>
        <v>32916.850000000006</v>
      </c>
      <c r="I13" s="36"/>
      <c r="J13" s="56"/>
    </row>
    <row r="14" spans="1:13" x14ac:dyDescent="0.2">
      <c r="A14" s="16" t="s">
        <v>2</v>
      </c>
      <c r="B14" s="13" t="s">
        <v>308</v>
      </c>
      <c r="C14" s="3">
        <v>552.22</v>
      </c>
      <c r="D14" s="2">
        <v>5</v>
      </c>
      <c r="E14" s="3">
        <f t="shared" ref="E14:E20" si="0">C14*D14</f>
        <v>2761.1000000000004</v>
      </c>
      <c r="F14" s="3"/>
      <c r="G14" s="2"/>
      <c r="H14" s="3">
        <f t="shared" ref="H14" si="1">F14*G14</f>
        <v>0</v>
      </c>
      <c r="I14" s="3">
        <f>F14-C14</f>
        <v>-552.22</v>
      </c>
      <c r="J14" s="2">
        <f>G14-D14</f>
        <v>-5</v>
      </c>
    </row>
    <row r="15" spans="1:13" x14ac:dyDescent="0.2">
      <c r="A15" s="16" t="s">
        <v>2</v>
      </c>
      <c r="B15" s="13" t="s">
        <v>607</v>
      </c>
      <c r="C15" s="3"/>
      <c r="D15" s="2"/>
      <c r="E15" s="3"/>
      <c r="F15" s="3">
        <v>884.27</v>
      </c>
      <c r="G15" s="2">
        <v>5</v>
      </c>
      <c r="H15" s="3">
        <f t="shared" ref="H15" si="2">F15*G15</f>
        <v>4421.3500000000004</v>
      </c>
      <c r="I15" s="3">
        <f>F15-C15</f>
        <v>884.27</v>
      </c>
      <c r="J15" s="2">
        <f>G15-D15</f>
        <v>5</v>
      </c>
    </row>
    <row r="16" spans="1:13" x14ac:dyDescent="0.2">
      <c r="A16" s="16" t="s">
        <v>3</v>
      </c>
      <c r="B16" s="13" t="s">
        <v>168</v>
      </c>
      <c r="C16" s="3">
        <v>1073.73</v>
      </c>
      <c r="D16" s="2">
        <v>5</v>
      </c>
      <c r="E16" s="3">
        <f t="shared" si="0"/>
        <v>5368.65</v>
      </c>
      <c r="F16" s="3">
        <v>1177.8399999999999</v>
      </c>
      <c r="G16" s="2">
        <v>5</v>
      </c>
      <c r="H16" s="3">
        <f t="shared" ref="H16:H20" si="3">F16*G16</f>
        <v>5889.2</v>
      </c>
      <c r="I16" s="3">
        <f t="shared" ref="I16:I20" si="4">F16-C16</f>
        <v>104.1099999999999</v>
      </c>
      <c r="J16" s="2">
        <f t="shared" ref="J16:J20" si="5">G16-D16</f>
        <v>0</v>
      </c>
    </row>
    <row r="17" spans="1:10" x14ac:dyDescent="0.2">
      <c r="A17" s="16" t="s">
        <v>4</v>
      </c>
      <c r="B17" s="13" t="s">
        <v>311</v>
      </c>
      <c r="C17" s="3">
        <v>852.34</v>
      </c>
      <c r="D17" s="2">
        <v>5</v>
      </c>
      <c r="E17" s="3">
        <f t="shared" si="0"/>
        <v>4261.7</v>
      </c>
      <c r="F17" s="3"/>
      <c r="G17" s="2"/>
      <c r="H17" s="3">
        <f t="shared" si="3"/>
        <v>0</v>
      </c>
      <c r="I17" s="3">
        <f t="shared" si="4"/>
        <v>-852.34</v>
      </c>
      <c r="J17" s="2">
        <f t="shared" si="5"/>
        <v>-5</v>
      </c>
    </row>
    <row r="18" spans="1:10" x14ac:dyDescent="0.2">
      <c r="A18" s="16" t="s">
        <v>4</v>
      </c>
      <c r="B18" s="13" t="s">
        <v>608</v>
      </c>
      <c r="C18" s="3"/>
      <c r="D18" s="2"/>
      <c r="E18" s="3"/>
      <c r="F18" s="3">
        <v>1888.77</v>
      </c>
      <c r="G18" s="2">
        <v>5</v>
      </c>
      <c r="H18" s="3">
        <f t="shared" ref="H18" si="6">F18*G18</f>
        <v>9443.85</v>
      </c>
      <c r="I18" s="3">
        <f t="shared" ref="I18" si="7">F18-C18</f>
        <v>1888.77</v>
      </c>
      <c r="J18" s="2">
        <f t="shared" ref="J18" si="8">G18-D18</f>
        <v>5</v>
      </c>
    </row>
    <row r="19" spans="1:10" x14ac:dyDescent="0.2">
      <c r="A19" s="16" t="s">
        <v>310</v>
      </c>
      <c r="B19" s="13" t="s">
        <v>312</v>
      </c>
      <c r="C19" s="3">
        <v>1483.22</v>
      </c>
      <c r="D19" s="2">
        <v>5</v>
      </c>
      <c r="E19" s="3">
        <f t="shared" si="0"/>
        <v>7416.1</v>
      </c>
      <c r="F19" s="3">
        <v>1585.65</v>
      </c>
      <c r="G19" s="2">
        <v>5</v>
      </c>
      <c r="H19" s="3">
        <f t="shared" si="3"/>
        <v>7928.25</v>
      </c>
      <c r="I19" s="3">
        <f t="shared" si="4"/>
        <v>102.43000000000006</v>
      </c>
      <c r="J19" s="2">
        <f t="shared" si="5"/>
        <v>0</v>
      </c>
    </row>
    <row r="20" spans="1:10" x14ac:dyDescent="0.2">
      <c r="A20" s="16" t="s">
        <v>364</v>
      </c>
      <c r="B20" s="13" t="s">
        <v>365</v>
      </c>
      <c r="C20" s="3">
        <v>914.32</v>
      </c>
      <c r="D20" s="2">
        <v>5</v>
      </c>
      <c r="E20" s="3">
        <f t="shared" si="0"/>
        <v>4571.6000000000004</v>
      </c>
      <c r="F20" s="3">
        <v>1025.18</v>
      </c>
      <c r="G20" s="2">
        <v>5</v>
      </c>
      <c r="H20" s="3">
        <f t="shared" si="3"/>
        <v>5125.9000000000005</v>
      </c>
      <c r="I20" s="3">
        <f t="shared" si="4"/>
        <v>110.86000000000001</v>
      </c>
      <c r="J20" s="2">
        <f t="shared" si="5"/>
        <v>0</v>
      </c>
    </row>
    <row r="21" spans="1:10" x14ac:dyDescent="0.2">
      <c r="A21" s="16" t="s">
        <v>547</v>
      </c>
      <c r="B21" s="13" t="s">
        <v>548</v>
      </c>
      <c r="C21" s="3"/>
      <c r="D21" s="2"/>
      <c r="E21" s="3"/>
      <c r="F21" s="3"/>
      <c r="G21" s="2"/>
      <c r="H21" s="3"/>
      <c r="I21" s="3"/>
      <c r="J21" s="2"/>
    </row>
    <row r="22" spans="1:10" x14ac:dyDescent="0.2">
      <c r="A22" s="16" t="s">
        <v>545</v>
      </c>
      <c r="B22" s="13" t="s">
        <v>553</v>
      </c>
      <c r="C22" s="3">
        <v>3</v>
      </c>
      <c r="D22" s="2">
        <v>15</v>
      </c>
      <c r="E22" s="3">
        <f t="shared" ref="E22:E23" si="9">C22*D22</f>
        <v>45</v>
      </c>
      <c r="F22" s="3">
        <v>3.27</v>
      </c>
      <c r="G22" s="2">
        <v>15</v>
      </c>
      <c r="H22" s="3">
        <f t="shared" ref="H22:H23" si="10">F22*G22</f>
        <v>49.05</v>
      </c>
      <c r="I22" s="3">
        <f t="shared" ref="I22:I23" si="11">F22-C22</f>
        <v>0.27</v>
      </c>
      <c r="J22" s="2">
        <f t="shared" ref="J22:J23" si="12">G22-D22</f>
        <v>0</v>
      </c>
    </row>
    <row r="23" spans="1:10" x14ac:dyDescent="0.2">
      <c r="A23" s="16" t="s">
        <v>546</v>
      </c>
      <c r="B23" s="13" t="s">
        <v>554</v>
      </c>
      <c r="C23" s="3">
        <v>2.2000000000000002</v>
      </c>
      <c r="D23" s="2">
        <v>25</v>
      </c>
      <c r="E23" s="3">
        <f t="shared" si="9"/>
        <v>55.000000000000007</v>
      </c>
      <c r="F23" s="3">
        <v>2.37</v>
      </c>
      <c r="G23" s="2">
        <v>25</v>
      </c>
      <c r="H23" s="3">
        <f t="shared" si="10"/>
        <v>59.25</v>
      </c>
      <c r="I23" s="3">
        <f t="shared" si="11"/>
        <v>0.16999999999999993</v>
      </c>
      <c r="J23" s="2">
        <f t="shared" si="12"/>
        <v>0</v>
      </c>
    </row>
    <row r="24" spans="1:10" ht="12.75" hidden="1" customHeight="1" x14ac:dyDescent="0.2">
      <c r="A24" s="16"/>
      <c r="B24" s="13"/>
      <c r="C24" s="3"/>
      <c r="D24" s="2"/>
      <c r="E24" s="3"/>
      <c r="F24" s="3"/>
      <c r="G24" s="2"/>
      <c r="H24" s="3"/>
      <c r="I24" s="3"/>
      <c r="J24" s="2"/>
    </row>
    <row r="25" spans="1:10" ht="24" customHeight="1" x14ac:dyDescent="0.2">
      <c r="A25" s="17">
        <v>2</v>
      </c>
      <c r="B25" s="18" t="s">
        <v>369</v>
      </c>
      <c r="C25" s="12"/>
      <c r="D25" s="12"/>
      <c r="E25" s="20">
        <f>SUM(E26:E32)</f>
        <v>13793.529999999999</v>
      </c>
      <c r="F25" s="12"/>
      <c r="G25" s="12"/>
      <c r="H25" s="20">
        <f>SUM(H26:H32)</f>
        <v>12061.579999999998</v>
      </c>
      <c r="I25" s="12"/>
      <c r="J25" s="12"/>
    </row>
    <row r="26" spans="1:10" x14ac:dyDescent="0.2">
      <c r="A26" s="16" t="s">
        <v>5</v>
      </c>
      <c r="B26" s="13" t="s">
        <v>169</v>
      </c>
      <c r="C26" s="3">
        <v>2316.04</v>
      </c>
      <c r="D26" s="2">
        <v>1</v>
      </c>
      <c r="E26" s="3">
        <f t="shared" ref="E26:E32" si="13">C26*D26</f>
        <v>2316.04</v>
      </c>
      <c r="F26" s="3">
        <v>2583.14</v>
      </c>
      <c r="G26" s="2">
        <v>1</v>
      </c>
      <c r="H26" s="3">
        <f t="shared" ref="H26:H32" si="14">F26*G26</f>
        <v>2583.14</v>
      </c>
      <c r="I26" s="3">
        <f t="shared" ref="I26:I32" si="15">F26-C26</f>
        <v>267.09999999999991</v>
      </c>
      <c r="J26" s="2">
        <f t="shared" ref="J26:J32" si="16">G26-D26</f>
        <v>0</v>
      </c>
    </row>
    <row r="27" spans="1:10" x14ac:dyDescent="0.2">
      <c r="A27" s="16" t="s">
        <v>6</v>
      </c>
      <c r="B27" s="13" t="s">
        <v>638</v>
      </c>
      <c r="C27" s="3">
        <v>2094.25</v>
      </c>
      <c r="D27" s="2">
        <v>1</v>
      </c>
      <c r="E27" s="3">
        <f t="shared" si="13"/>
        <v>2094.25</v>
      </c>
      <c r="F27" s="3">
        <v>2222.83</v>
      </c>
      <c r="G27" s="2">
        <v>1</v>
      </c>
      <c r="H27" s="3">
        <f t="shared" si="14"/>
        <v>2222.83</v>
      </c>
      <c r="I27" s="3">
        <f t="shared" si="15"/>
        <v>128.57999999999993</v>
      </c>
      <c r="J27" s="2">
        <f t="shared" si="16"/>
        <v>0</v>
      </c>
    </row>
    <row r="28" spans="1:10" x14ac:dyDescent="0.2">
      <c r="A28" s="16" t="s">
        <v>313</v>
      </c>
      <c r="B28" s="13" t="s">
        <v>370</v>
      </c>
      <c r="C28" s="3">
        <v>2129.4699999999998</v>
      </c>
      <c r="D28" s="2">
        <v>1</v>
      </c>
      <c r="E28" s="3">
        <f t="shared" si="13"/>
        <v>2129.4699999999998</v>
      </c>
      <c r="F28" s="3">
        <v>2261.54</v>
      </c>
      <c r="G28" s="2">
        <v>1</v>
      </c>
      <c r="H28" s="3">
        <f t="shared" si="14"/>
        <v>2261.54</v>
      </c>
      <c r="I28" s="3">
        <f t="shared" si="15"/>
        <v>132.07000000000016</v>
      </c>
      <c r="J28" s="2">
        <f t="shared" si="16"/>
        <v>0</v>
      </c>
    </row>
    <row r="29" spans="1:10" x14ac:dyDescent="0.2">
      <c r="A29" s="16" t="s">
        <v>314</v>
      </c>
      <c r="B29" s="13" t="s">
        <v>371</v>
      </c>
      <c r="C29" s="3">
        <v>2236.9699999999998</v>
      </c>
      <c r="D29" s="2">
        <v>1</v>
      </c>
      <c r="E29" s="3">
        <f t="shared" si="13"/>
        <v>2236.9699999999998</v>
      </c>
      <c r="F29" s="3">
        <v>2352.84</v>
      </c>
      <c r="G29" s="2">
        <v>1</v>
      </c>
      <c r="H29" s="3">
        <f t="shared" si="14"/>
        <v>2352.84</v>
      </c>
      <c r="I29" s="3">
        <f t="shared" si="15"/>
        <v>115.87000000000035</v>
      </c>
      <c r="J29" s="2">
        <f t="shared" si="16"/>
        <v>0</v>
      </c>
    </row>
    <row r="30" spans="1:10" x14ac:dyDescent="0.2">
      <c r="A30" s="16" t="s">
        <v>372</v>
      </c>
      <c r="B30" s="13" t="s">
        <v>374</v>
      </c>
      <c r="C30" s="3">
        <v>2524.64</v>
      </c>
      <c r="D30" s="2">
        <v>1</v>
      </c>
      <c r="E30" s="3">
        <f t="shared" si="13"/>
        <v>2524.64</v>
      </c>
      <c r="F30" s="3">
        <v>0</v>
      </c>
      <c r="G30" s="2">
        <v>0</v>
      </c>
      <c r="H30" s="3">
        <f t="shared" si="14"/>
        <v>0</v>
      </c>
      <c r="I30" s="3">
        <f t="shared" si="15"/>
        <v>-2524.64</v>
      </c>
      <c r="J30" s="2">
        <f t="shared" si="16"/>
        <v>-1</v>
      </c>
    </row>
    <row r="31" spans="1:10" x14ac:dyDescent="0.2">
      <c r="A31" s="16" t="s">
        <v>372</v>
      </c>
      <c r="B31" s="13" t="s">
        <v>375</v>
      </c>
      <c r="C31" s="3"/>
      <c r="D31" s="2"/>
      <c r="E31" s="3">
        <f t="shared" ref="E31" si="17">C31*D31</f>
        <v>0</v>
      </c>
      <c r="F31" s="3">
        <v>2641.23</v>
      </c>
      <c r="G31" s="2">
        <v>1</v>
      </c>
      <c r="H31" s="3">
        <f t="shared" ref="H31" si="18">F31*G31</f>
        <v>2641.23</v>
      </c>
      <c r="I31" s="3">
        <f t="shared" ref="I31" si="19">F31-C31</f>
        <v>2641.23</v>
      </c>
      <c r="J31" s="2">
        <f t="shared" ref="J31" si="20">G31-D31</f>
        <v>1</v>
      </c>
    </row>
    <row r="32" spans="1:10" x14ac:dyDescent="0.2">
      <c r="A32" s="16" t="s">
        <v>373</v>
      </c>
      <c r="B32" s="13" t="s">
        <v>375</v>
      </c>
      <c r="C32" s="3">
        <v>2492.16</v>
      </c>
      <c r="D32" s="2">
        <v>1</v>
      </c>
      <c r="E32" s="3">
        <f t="shared" si="13"/>
        <v>2492.16</v>
      </c>
      <c r="F32" s="3"/>
      <c r="G32" s="2"/>
      <c r="H32" s="3">
        <f t="shared" si="14"/>
        <v>0</v>
      </c>
      <c r="I32" s="3">
        <f t="shared" si="15"/>
        <v>-2492.16</v>
      </c>
      <c r="J32" s="2">
        <f t="shared" si="16"/>
        <v>-1</v>
      </c>
    </row>
    <row r="33" spans="1:10" ht="13.5" customHeight="1" x14ac:dyDescent="0.2">
      <c r="A33" s="17">
        <v>3</v>
      </c>
      <c r="B33" s="6" t="s">
        <v>376</v>
      </c>
      <c r="C33" s="12"/>
      <c r="D33" s="8"/>
      <c r="E33" s="9">
        <f>SUM(E35:E41)</f>
        <v>10312.490000000002</v>
      </c>
      <c r="F33" s="12"/>
      <c r="G33" s="8"/>
      <c r="H33" s="9">
        <f>SUM(H35:H41)</f>
        <v>11844.62</v>
      </c>
      <c r="I33" s="8"/>
      <c r="J33" s="8"/>
    </row>
    <row r="34" spans="1:10" x14ac:dyDescent="0.2">
      <c r="A34" s="16" t="s">
        <v>7</v>
      </c>
      <c r="B34" s="5" t="s">
        <v>315</v>
      </c>
      <c r="C34" s="3"/>
      <c r="D34" s="2"/>
      <c r="E34" s="3"/>
      <c r="F34" s="3"/>
      <c r="G34" s="2"/>
      <c r="H34" s="3"/>
      <c r="I34" s="3"/>
      <c r="J34" s="2"/>
    </row>
    <row r="35" spans="1:10" ht="25.5" x14ac:dyDescent="0.2">
      <c r="A35" s="16" t="s">
        <v>8</v>
      </c>
      <c r="B35" s="13" t="s">
        <v>377</v>
      </c>
      <c r="C35" s="3">
        <v>1888.08</v>
      </c>
      <c r="D35" s="2">
        <v>1</v>
      </c>
      <c r="E35" s="3">
        <f t="shared" ref="E35:E37" si="21">C35*D35</f>
        <v>1888.08</v>
      </c>
      <c r="F35" s="3">
        <v>2137.37</v>
      </c>
      <c r="G35" s="2">
        <v>1</v>
      </c>
      <c r="H35" s="3">
        <f t="shared" ref="H35:H37" si="22">F35*G35</f>
        <v>2137.37</v>
      </c>
      <c r="I35" s="3">
        <f t="shared" ref="I35:I37" si="23">F35-C35</f>
        <v>249.28999999999996</v>
      </c>
      <c r="J35" s="2">
        <f t="shared" ref="J35:J37" si="24">G35-D35</f>
        <v>0</v>
      </c>
    </row>
    <row r="36" spans="1:10" ht="25.5" x14ac:dyDescent="0.2">
      <c r="A36" s="16" t="s">
        <v>9</v>
      </c>
      <c r="B36" s="13" t="s">
        <v>378</v>
      </c>
      <c r="C36" s="3">
        <v>2132.9299999999998</v>
      </c>
      <c r="D36" s="2">
        <v>1</v>
      </c>
      <c r="E36" s="3">
        <f t="shared" si="21"/>
        <v>2132.9299999999998</v>
      </c>
      <c r="F36" s="3">
        <v>2376.4499999999998</v>
      </c>
      <c r="G36" s="2">
        <v>1</v>
      </c>
      <c r="H36" s="3">
        <f t="shared" si="22"/>
        <v>2376.4499999999998</v>
      </c>
      <c r="I36" s="3">
        <f t="shared" si="23"/>
        <v>243.51999999999998</v>
      </c>
      <c r="J36" s="2">
        <f t="shared" si="24"/>
        <v>0</v>
      </c>
    </row>
    <row r="37" spans="1:10" ht="25.5" x14ac:dyDescent="0.2">
      <c r="A37" s="16" t="s">
        <v>316</v>
      </c>
      <c r="B37" s="13" t="s">
        <v>379</v>
      </c>
      <c r="C37" s="3">
        <v>1947.94</v>
      </c>
      <c r="D37" s="2">
        <v>1</v>
      </c>
      <c r="E37" s="3">
        <f t="shared" si="21"/>
        <v>1947.94</v>
      </c>
      <c r="F37" s="3">
        <v>2192.0100000000002</v>
      </c>
      <c r="G37" s="2">
        <v>1</v>
      </c>
      <c r="H37" s="3">
        <f t="shared" si="22"/>
        <v>2192.0100000000002</v>
      </c>
      <c r="I37" s="3">
        <f t="shared" si="23"/>
        <v>244.07000000000016</v>
      </c>
      <c r="J37" s="2">
        <f t="shared" si="24"/>
        <v>0</v>
      </c>
    </row>
    <row r="38" spans="1:10" x14ac:dyDescent="0.2">
      <c r="A38" s="21" t="s">
        <v>10</v>
      </c>
      <c r="B38" s="13" t="s">
        <v>363</v>
      </c>
      <c r="C38" s="15"/>
      <c r="D38" s="15"/>
      <c r="E38" s="3"/>
      <c r="F38" s="15"/>
      <c r="G38" s="15"/>
      <c r="H38" s="3"/>
      <c r="I38" s="3"/>
      <c r="J38" s="2"/>
    </row>
    <row r="39" spans="1:10" ht="25.5" x14ac:dyDescent="0.2">
      <c r="A39" s="57" t="s">
        <v>12</v>
      </c>
      <c r="B39" s="13" t="s">
        <v>377</v>
      </c>
      <c r="C39" s="3">
        <v>1462.18</v>
      </c>
      <c r="D39" s="2">
        <v>1</v>
      </c>
      <c r="E39" s="3">
        <f t="shared" ref="E39:E41" si="25">C39*D39</f>
        <v>1462.18</v>
      </c>
      <c r="F39" s="3">
        <v>1731.96</v>
      </c>
      <c r="G39" s="2">
        <v>1</v>
      </c>
      <c r="H39" s="3">
        <f t="shared" ref="H39:H41" si="26">F39*G39</f>
        <v>1731.96</v>
      </c>
      <c r="I39" s="3">
        <f t="shared" ref="I39:I41" si="27">F39-C39</f>
        <v>269.77999999999997</v>
      </c>
      <c r="J39" s="2">
        <f t="shared" ref="J39:J41" si="28">G39-D39</f>
        <v>0</v>
      </c>
    </row>
    <row r="40" spans="1:10" ht="25.5" x14ac:dyDescent="0.2">
      <c r="A40" s="21" t="s">
        <v>11</v>
      </c>
      <c r="B40" s="13" t="s">
        <v>379</v>
      </c>
      <c r="C40" s="3">
        <v>1401.5</v>
      </c>
      <c r="D40" s="2">
        <v>1</v>
      </c>
      <c r="E40" s="3">
        <f t="shared" si="25"/>
        <v>1401.5</v>
      </c>
      <c r="F40" s="3">
        <v>1656.74</v>
      </c>
      <c r="G40" s="2">
        <v>1</v>
      </c>
      <c r="H40" s="3">
        <f t="shared" si="26"/>
        <v>1656.74</v>
      </c>
      <c r="I40" s="3">
        <f t="shared" si="27"/>
        <v>255.24</v>
      </c>
      <c r="J40" s="2">
        <f t="shared" si="28"/>
        <v>0</v>
      </c>
    </row>
    <row r="41" spans="1:10" ht="25.5" x14ac:dyDescent="0.2">
      <c r="A41" s="21" t="s">
        <v>317</v>
      </c>
      <c r="B41" s="13" t="s">
        <v>378</v>
      </c>
      <c r="C41" s="3">
        <v>1479.86</v>
      </c>
      <c r="D41" s="2">
        <v>1</v>
      </c>
      <c r="E41" s="3">
        <f t="shared" si="25"/>
        <v>1479.86</v>
      </c>
      <c r="F41" s="3">
        <v>1750.09</v>
      </c>
      <c r="G41" s="2">
        <v>1</v>
      </c>
      <c r="H41" s="3">
        <f t="shared" si="26"/>
        <v>1750.09</v>
      </c>
      <c r="I41" s="3">
        <f t="shared" si="27"/>
        <v>270.23</v>
      </c>
      <c r="J41" s="2">
        <f t="shared" si="28"/>
        <v>0</v>
      </c>
    </row>
    <row r="42" spans="1:10" x14ac:dyDescent="0.2">
      <c r="A42" s="17">
        <v>4</v>
      </c>
      <c r="B42" s="6" t="s">
        <v>170</v>
      </c>
      <c r="C42" s="12"/>
      <c r="D42" s="8"/>
      <c r="E42" s="9">
        <f>SUM(E44:E84)</f>
        <v>96764.109999999986</v>
      </c>
      <c r="F42" s="12"/>
      <c r="G42" s="8"/>
      <c r="H42" s="9">
        <f>SUM(H44:H84)</f>
        <v>196430.58999999991</v>
      </c>
      <c r="I42" s="8"/>
      <c r="J42" s="8"/>
    </row>
    <row r="43" spans="1:10" x14ac:dyDescent="0.2">
      <c r="A43" s="16" t="s">
        <v>171</v>
      </c>
      <c r="B43" s="5" t="s">
        <v>172</v>
      </c>
      <c r="C43" s="15"/>
      <c r="D43" s="15"/>
      <c r="E43" s="15"/>
      <c r="F43" s="15"/>
      <c r="G43" s="15"/>
      <c r="H43" s="15"/>
      <c r="I43" s="15"/>
      <c r="J43" s="15"/>
    </row>
    <row r="44" spans="1:10" x14ac:dyDescent="0.2">
      <c r="A44" s="21" t="s">
        <v>13</v>
      </c>
      <c r="B44" s="52" t="s">
        <v>305</v>
      </c>
      <c r="C44" s="3"/>
      <c r="D44" s="2"/>
      <c r="E44" s="3"/>
      <c r="F44" s="3"/>
      <c r="G44" s="2"/>
      <c r="H44" s="3"/>
      <c r="I44" s="3"/>
      <c r="J44" s="2"/>
    </row>
    <row r="45" spans="1:10" x14ac:dyDescent="0.2">
      <c r="A45" s="21" t="s">
        <v>141</v>
      </c>
      <c r="B45" s="13" t="s">
        <v>381</v>
      </c>
      <c r="C45" s="3">
        <f>74.59+3.38</f>
        <v>77.97</v>
      </c>
      <c r="D45" s="2">
        <v>50</v>
      </c>
      <c r="E45" s="3">
        <f t="shared" ref="E45" si="29">C45*D45</f>
        <v>3898.5</v>
      </c>
      <c r="F45" s="3">
        <v>88.28</v>
      </c>
      <c r="G45" s="2">
        <v>50</v>
      </c>
      <c r="H45" s="3">
        <f t="shared" ref="H45:H52" si="30">F45*G45</f>
        <v>4414</v>
      </c>
      <c r="I45" s="3">
        <f t="shared" ref="I45:I52" si="31">F45-C45</f>
        <v>10.310000000000002</v>
      </c>
      <c r="J45" s="2">
        <f t="shared" ref="J45:J52" si="32">G45-D45</f>
        <v>0</v>
      </c>
    </row>
    <row r="46" spans="1:10" x14ac:dyDescent="0.2">
      <c r="A46" s="21" t="s">
        <v>142</v>
      </c>
      <c r="B46" s="13" t="s">
        <v>380</v>
      </c>
      <c r="C46" s="3"/>
      <c r="D46" s="2"/>
      <c r="E46" s="3"/>
      <c r="F46" s="3"/>
      <c r="G46" s="2"/>
      <c r="H46" s="3"/>
      <c r="I46" s="3"/>
      <c r="J46" s="2"/>
    </row>
    <row r="47" spans="1:10" x14ac:dyDescent="0.2">
      <c r="A47" s="21" t="s">
        <v>382</v>
      </c>
      <c r="B47" s="13" t="s">
        <v>384</v>
      </c>
      <c r="C47" s="3">
        <f>74.71+3.38</f>
        <v>78.089999999999989</v>
      </c>
      <c r="D47" s="2">
        <v>40</v>
      </c>
      <c r="E47" s="3">
        <f t="shared" ref="E47:E52" si="33">C47*D47</f>
        <v>3123.5999999999995</v>
      </c>
      <c r="F47" s="3">
        <v>88.42</v>
      </c>
      <c r="G47" s="61">
        <f>40+250</f>
        <v>290</v>
      </c>
      <c r="H47" s="3">
        <f t="shared" si="30"/>
        <v>25641.8</v>
      </c>
      <c r="I47" s="3">
        <f t="shared" si="31"/>
        <v>10.330000000000013</v>
      </c>
      <c r="J47" s="2">
        <f t="shared" si="32"/>
        <v>250</v>
      </c>
    </row>
    <row r="48" spans="1:10" x14ac:dyDescent="0.2">
      <c r="A48" s="21" t="s">
        <v>383</v>
      </c>
      <c r="B48" s="13" t="s">
        <v>385</v>
      </c>
      <c r="C48" s="3">
        <f>61.8+3.38</f>
        <v>65.179999999999993</v>
      </c>
      <c r="D48" s="2">
        <v>50</v>
      </c>
      <c r="E48" s="3">
        <f t="shared" si="33"/>
        <v>3258.9999999999995</v>
      </c>
      <c r="F48" s="3">
        <v>73.83</v>
      </c>
      <c r="G48" s="2">
        <v>50</v>
      </c>
      <c r="H48" s="3">
        <f t="shared" si="30"/>
        <v>3691.5</v>
      </c>
      <c r="I48" s="3">
        <f t="shared" si="31"/>
        <v>8.6500000000000057</v>
      </c>
      <c r="J48" s="2">
        <f t="shared" si="32"/>
        <v>0</v>
      </c>
    </row>
    <row r="49" spans="1:10" x14ac:dyDescent="0.2">
      <c r="A49" s="21" t="s">
        <v>143</v>
      </c>
      <c r="B49" s="13" t="s">
        <v>386</v>
      </c>
      <c r="C49" s="3">
        <f>60.59+3.38</f>
        <v>63.970000000000006</v>
      </c>
      <c r="D49" s="2">
        <v>100</v>
      </c>
      <c r="E49" s="3">
        <f t="shared" si="33"/>
        <v>6397.0000000000009</v>
      </c>
      <c r="F49" s="3">
        <v>72.459999999999994</v>
      </c>
      <c r="G49" s="61">
        <f>100+150</f>
        <v>250</v>
      </c>
      <c r="H49" s="3">
        <f t="shared" si="30"/>
        <v>18115</v>
      </c>
      <c r="I49" s="3">
        <f t="shared" si="31"/>
        <v>8.4899999999999878</v>
      </c>
      <c r="J49" s="2">
        <f t="shared" si="32"/>
        <v>150</v>
      </c>
    </row>
    <row r="50" spans="1:10" x14ac:dyDescent="0.2">
      <c r="A50" s="21" t="s">
        <v>144</v>
      </c>
      <c r="B50" s="13" t="s">
        <v>271</v>
      </c>
      <c r="C50" s="3">
        <f>62.99+3.38</f>
        <v>66.37</v>
      </c>
      <c r="D50" s="2">
        <v>50</v>
      </c>
      <c r="E50" s="3">
        <f t="shared" si="33"/>
        <v>3318.5</v>
      </c>
      <c r="F50" s="3">
        <v>75.180000000000007</v>
      </c>
      <c r="G50" s="61">
        <f>50+100</f>
        <v>150</v>
      </c>
      <c r="H50" s="3">
        <f t="shared" si="30"/>
        <v>11277.000000000002</v>
      </c>
      <c r="I50" s="3">
        <f t="shared" si="31"/>
        <v>8.8100000000000023</v>
      </c>
      <c r="J50" s="2">
        <f t="shared" si="32"/>
        <v>100</v>
      </c>
    </row>
    <row r="51" spans="1:10" x14ac:dyDescent="0.2">
      <c r="A51" s="21" t="s">
        <v>145</v>
      </c>
      <c r="B51" s="13" t="s">
        <v>173</v>
      </c>
      <c r="C51" s="3">
        <f>34.25+1.19</f>
        <v>35.44</v>
      </c>
      <c r="D51" s="2">
        <v>50</v>
      </c>
      <c r="E51" s="3">
        <f t="shared" si="33"/>
        <v>1772</v>
      </c>
      <c r="F51" s="3">
        <v>39.51</v>
      </c>
      <c r="G51" s="2">
        <v>50</v>
      </c>
      <c r="H51" s="3">
        <f t="shared" si="30"/>
        <v>1975.5</v>
      </c>
      <c r="I51" s="3">
        <f t="shared" si="31"/>
        <v>4.07</v>
      </c>
      <c r="J51" s="2">
        <f t="shared" si="32"/>
        <v>0</v>
      </c>
    </row>
    <row r="52" spans="1:10" x14ac:dyDescent="0.2">
      <c r="A52" s="21" t="s">
        <v>146</v>
      </c>
      <c r="B52" s="13" t="s">
        <v>387</v>
      </c>
      <c r="C52" s="3">
        <f>48.01+1.24</f>
        <v>49.25</v>
      </c>
      <c r="D52" s="2">
        <v>95</v>
      </c>
      <c r="E52" s="3">
        <f t="shared" si="33"/>
        <v>4678.75</v>
      </c>
      <c r="F52" s="3">
        <v>56.19</v>
      </c>
      <c r="G52" s="2">
        <v>95</v>
      </c>
      <c r="H52" s="3">
        <f t="shared" si="30"/>
        <v>5338.05</v>
      </c>
      <c r="I52" s="3">
        <f t="shared" si="31"/>
        <v>6.9399999999999977</v>
      </c>
      <c r="J52" s="2">
        <f t="shared" si="32"/>
        <v>0</v>
      </c>
    </row>
    <row r="53" spans="1:10" x14ac:dyDescent="0.2">
      <c r="A53" s="21" t="s">
        <v>14</v>
      </c>
      <c r="B53" s="52" t="s">
        <v>306</v>
      </c>
      <c r="C53" s="3"/>
      <c r="D53" s="2"/>
      <c r="E53" s="3"/>
      <c r="F53" s="3"/>
      <c r="G53" s="2"/>
      <c r="H53" s="3"/>
      <c r="I53" s="3"/>
      <c r="J53" s="2"/>
    </row>
    <row r="54" spans="1:10" x14ac:dyDescent="0.2">
      <c r="A54" s="21" t="s">
        <v>147</v>
      </c>
      <c r="B54" s="13" t="s">
        <v>381</v>
      </c>
      <c r="C54" s="3">
        <f>60.19+3.38</f>
        <v>63.57</v>
      </c>
      <c r="D54" s="2">
        <v>100</v>
      </c>
      <c r="E54" s="3">
        <f t="shared" ref="E54:E58" si="34">C54*D54</f>
        <v>6357</v>
      </c>
      <c r="F54" s="3">
        <v>72.010000000000005</v>
      </c>
      <c r="G54" s="61">
        <f>100+250</f>
        <v>350</v>
      </c>
      <c r="H54" s="3">
        <f t="shared" ref="H54:H58" si="35">F54*G54</f>
        <v>25203.5</v>
      </c>
      <c r="I54" s="3">
        <f t="shared" ref="I54:I58" si="36">F54-C54</f>
        <v>8.4400000000000048</v>
      </c>
      <c r="J54" s="2">
        <f t="shared" ref="J54:J58" si="37">G54-D54</f>
        <v>250</v>
      </c>
    </row>
    <row r="55" spans="1:10" x14ac:dyDescent="0.2">
      <c r="A55" s="21" t="s">
        <v>148</v>
      </c>
      <c r="B55" s="13" t="s">
        <v>386</v>
      </c>
      <c r="C55" s="3">
        <f>57.66+3.38</f>
        <v>61.04</v>
      </c>
      <c r="D55" s="2">
        <v>100</v>
      </c>
      <c r="E55" s="3">
        <f t="shared" si="34"/>
        <v>6104</v>
      </c>
      <c r="F55" s="3">
        <v>69.150000000000006</v>
      </c>
      <c r="G55" s="61">
        <f>100+100</f>
        <v>200</v>
      </c>
      <c r="H55" s="3">
        <f t="shared" si="35"/>
        <v>13830.000000000002</v>
      </c>
      <c r="I55" s="3">
        <f t="shared" si="36"/>
        <v>8.1100000000000065</v>
      </c>
      <c r="J55" s="2">
        <f t="shared" si="37"/>
        <v>100</v>
      </c>
    </row>
    <row r="56" spans="1:10" x14ac:dyDescent="0.2">
      <c r="A56" s="21" t="s">
        <v>149</v>
      </c>
      <c r="B56" s="13" t="s">
        <v>271</v>
      </c>
      <c r="C56" s="3">
        <f>59.73+3.38</f>
        <v>63.11</v>
      </c>
      <c r="D56" s="2">
        <v>50</v>
      </c>
      <c r="E56" s="3">
        <f t="shared" si="34"/>
        <v>3155.5</v>
      </c>
      <c r="F56" s="3">
        <v>71.489999999999995</v>
      </c>
      <c r="G56" s="2">
        <v>50</v>
      </c>
      <c r="H56" s="3">
        <f t="shared" si="35"/>
        <v>3574.4999999999995</v>
      </c>
      <c r="I56" s="3">
        <f t="shared" si="36"/>
        <v>8.3799999999999955</v>
      </c>
      <c r="J56" s="2">
        <f t="shared" si="37"/>
        <v>0</v>
      </c>
    </row>
    <row r="57" spans="1:10" x14ac:dyDescent="0.2">
      <c r="A57" s="21" t="s">
        <v>150</v>
      </c>
      <c r="B57" s="13" t="s">
        <v>173</v>
      </c>
      <c r="C57" s="3">
        <f>33.95+1.19</f>
        <v>35.14</v>
      </c>
      <c r="D57" s="2">
        <v>50</v>
      </c>
      <c r="E57" s="3">
        <f t="shared" si="34"/>
        <v>1757</v>
      </c>
      <c r="F57" s="3">
        <v>39.21</v>
      </c>
      <c r="G57" s="2">
        <v>50</v>
      </c>
      <c r="H57" s="3">
        <f t="shared" si="35"/>
        <v>1960.5</v>
      </c>
      <c r="I57" s="3">
        <f t="shared" si="36"/>
        <v>4.07</v>
      </c>
      <c r="J57" s="2">
        <f t="shared" si="37"/>
        <v>0</v>
      </c>
    </row>
    <row r="58" spans="1:10" x14ac:dyDescent="0.2">
      <c r="A58" s="21" t="s">
        <v>151</v>
      </c>
      <c r="B58" s="13" t="s">
        <v>387</v>
      </c>
      <c r="C58" s="3">
        <f>45.08+1.24</f>
        <v>46.32</v>
      </c>
      <c r="D58" s="2">
        <v>95</v>
      </c>
      <c r="E58" s="3">
        <f t="shared" si="34"/>
        <v>4400.3999999999996</v>
      </c>
      <c r="F58" s="3">
        <v>52.88</v>
      </c>
      <c r="G58" s="61">
        <f>95+300</f>
        <v>395</v>
      </c>
      <c r="H58" s="3">
        <f t="shared" si="35"/>
        <v>20887.600000000002</v>
      </c>
      <c r="I58" s="3">
        <f t="shared" si="36"/>
        <v>6.5600000000000023</v>
      </c>
      <c r="J58" s="2">
        <f t="shared" si="37"/>
        <v>300</v>
      </c>
    </row>
    <row r="59" spans="1:10" x14ac:dyDescent="0.2">
      <c r="A59" s="21" t="s">
        <v>15</v>
      </c>
      <c r="B59" s="13" t="s">
        <v>388</v>
      </c>
      <c r="C59" s="15"/>
      <c r="D59" s="15"/>
      <c r="E59" s="15"/>
      <c r="F59" s="15"/>
      <c r="G59" s="71"/>
      <c r="H59" s="15"/>
      <c r="I59" s="15"/>
      <c r="J59" s="15"/>
    </row>
    <row r="60" spans="1:10" ht="25.5" x14ac:dyDescent="0.2">
      <c r="A60" s="21" t="s">
        <v>16</v>
      </c>
      <c r="B60" s="13" t="s">
        <v>389</v>
      </c>
      <c r="C60" s="3">
        <v>12.55</v>
      </c>
      <c r="D60" s="2">
        <v>200</v>
      </c>
      <c r="E60" s="3">
        <f t="shared" ref="E60:E61" si="38">C60*D60</f>
        <v>2510</v>
      </c>
      <c r="F60" s="3">
        <v>14.18</v>
      </c>
      <c r="G60" s="61">
        <f>200+600</f>
        <v>800</v>
      </c>
      <c r="H60" s="3">
        <f t="shared" ref="H60:H61" si="39">F60*G60</f>
        <v>11344</v>
      </c>
      <c r="I60" s="3">
        <f t="shared" ref="I60:I61" si="40">F60-C60</f>
        <v>1.629999999999999</v>
      </c>
      <c r="J60" s="2">
        <f t="shared" ref="J60:J61" si="41">G60-D60</f>
        <v>600</v>
      </c>
    </row>
    <row r="61" spans="1:10" ht="13.5" customHeight="1" x14ac:dyDescent="0.2">
      <c r="A61" s="21" t="s">
        <v>17</v>
      </c>
      <c r="B61" s="13" t="s">
        <v>174</v>
      </c>
      <c r="C61" s="3">
        <f>35.29+0.84</f>
        <v>36.130000000000003</v>
      </c>
      <c r="D61" s="2">
        <v>30</v>
      </c>
      <c r="E61" s="3">
        <f t="shared" si="38"/>
        <v>1083.9000000000001</v>
      </c>
      <c r="F61" s="3"/>
      <c r="G61" s="61"/>
      <c r="H61" s="3">
        <f t="shared" si="39"/>
        <v>0</v>
      </c>
      <c r="I61" s="3">
        <f t="shared" si="40"/>
        <v>-36.130000000000003</v>
      </c>
      <c r="J61" s="2">
        <f t="shared" si="41"/>
        <v>-30</v>
      </c>
    </row>
    <row r="62" spans="1:10" ht="13.5" customHeight="1" x14ac:dyDescent="0.2">
      <c r="A62" s="21" t="s">
        <v>391</v>
      </c>
      <c r="B62" s="13" t="s">
        <v>390</v>
      </c>
      <c r="C62" s="3"/>
      <c r="D62" s="2"/>
      <c r="E62" s="3"/>
      <c r="F62" s="3"/>
      <c r="G62" s="61"/>
      <c r="H62" s="3"/>
      <c r="I62" s="3"/>
      <c r="J62" s="2"/>
    </row>
    <row r="63" spans="1:10" ht="13.5" customHeight="1" x14ac:dyDescent="0.2">
      <c r="A63" s="21" t="s">
        <v>392</v>
      </c>
      <c r="B63" s="13" t="s">
        <v>422</v>
      </c>
      <c r="C63" s="3"/>
      <c r="D63" s="2"/>
      <c r="E63" s="3"/>
      <c r="F63" s="3"/>
      <c r="G63" s="61"/>
      <c r="H63" s="3"/>
      <c r="I63" s="3"/>
      <c r="J63" s="2"/>
    </row>
    <row r="64" spans="1:10" ht="13.5" customHeight="1" x14ac:dyDescent="0.2">
      <c r="A64" s="21" t="s">
        <v>393</v>
      </c>
      <c r="B64" s="13" t="s">
        <v>403</v>
      </c>
      <c r="C64" s="3">
        <f>425.3+19.64</f>
        <v>444.94</v>
      </c>
      <c r="D64" s="2">
        <v>5</v>
      </c>
      <c r="E64" s="3">
        <f t="shared" ref="E64:E73" si="42">C64*D64</f>
        <v>2224.6999999999998</v>
      </c>
      <c r="F64" s="3">
        <f>494.61</f>
        <v>494.61</v>
      </c>
      <c r="G64" s="2">
        <v>5</v>
      </c>
      <c r="H64" s="3">
        <f t="shared" ref="H64:H73" si="43">F64*G64</f>
        <v>2473.0500000000002</v>
      </c>
      <c r="I64" s="3">
        <f t="shared" ref="I64:I73" si="44">F64-C64</f>
        <v>49.670000000000016</v>
      </c>
      <c r="J64" s="2">
        <f t="shared" ref="J64:J73" si="45">G64-D64</f>
        <v>0</v>
      </c>
    </row>
    <row r="65" spans="1:10" ht="13.5" customHeight="1" x14ac:dyDescent="0.2">
      <c r="A65" s="21" t="s">
        <v>394</v>
      </c>
      <c r="B65" s="13" t="s">
        <v>404</v>
      </c>
      <c r="C65" s="3">
        <f>355.3+19.64</f>
        <v>374.94</v>
      </c>
      <c r="D65" s="2">
        <v>5</v>
      </c>
      <c r="E65" s="3">
        <f t="shared" si="42"/>
        <v>1874.7</v>
      </c>
      <c r="F65" s="3">
        <v>415.51</v>
      </c>
      <c r="G65" s="2">
        <v>5</v>
      </c>
      <c r="H65" s="3">
        <f t="shared" si="43"/>
        <v>2077.5500000000002</v>
      </c>
      <c r="I65" s="3">
        <f t="shared" si="44"/>
        <v>40.569999999999993</v>
      </c>
      <c r="J65" s="2">
        <f t="shared" si="45"/>
        <v>0</v>
      </c>
    </row>
    <row r="66" spans="1:10" ht="13.5" customHeight="1" x14ac:dyDescent="0.2">
      <c r="A66" s="21" t="s">
        <v>395</v>
      </c>
      <c r="B66" s="13" t="s">
        <v>405</v>
      </c>
      <c r="C66" s="3">
        <f>376.45+13.43</f>
        <v>389.88</v>
      </c>
      <c r="D66" s="2">
        <v>5</v>
      </c>
      <c r="E66" s="3">
        <f t="shared" si="42"/>
        <v>1949.4</v>
      </c>
      <c r="F66" s="3">
        <v>428.88</v>
      </c>
      <c r="G66" s="2">
        <v>5</v>
      </c>
      <c r="H66" s="3">
        <f t="shared" si="43"/>
        <v>2144.4</v>
      </c>
      <c r="I66" s="3">
        <f t="shared" si="44"/>
        <v>39</v>
      </c>
      <c r="J66" s="2">
        <f t="shared" si="45"/>
        <v>0</v>
      </c>
    </row>
    <row r="67" spans="1:10" ht="13.5" customHeight="1" x14ac:dyDescent="0.2">
      <c r="A67" s="21" t="s">
        <v>396</v>
      </c>
      <c r="B67" s="13" t="s">
        <v>406</v>
      </c>
      <c r="C67" s="3">
        <f>306.45+13.43</f>
        <v>319.88</v>
      </c>
      <c r="D67" s="2">
        <v>5</v>
      </c>
      <c r="E67" s="3">
        <f t="shared" si="42"/>
        <v>1599.4</v>
      </c>
      <c r="F67" s="3">
        <f>349.78</f>
        <v>349.78</v>
      </c>
      <c r="G67" s="2">
        <v>5</v>
      </c>
      <c r="H67" s="3">
        <f t="shared" si="43"/>
        <v>1748.8999999999999</v>
      </c>
      <c r="I67" s="3">
        <f t="shared" si="44"/>
        <v>29.899999999999977</v>
      </c>
      <c r="J67" s="2">
        <f t="shared" si="45"/>
        <v>0</v>
      </c>
    </row>
    <row r="68" spans="1:10" ht="13.5" customHeight="1" x14ac:dyDescent="0.2">
      <c r="A68" s="21" t="s">
        <v>397</v>
      </c>
      <c r="B68" s="13" t="s">
        <v>407</v>
      </c>
      <c r="C68" s="3">
        <f>710.99+33.73</f>
        <v>744.72</v>
      </c>
      <c r="D68" s="2">
        <v>5</v>
      </c>
      <c r="E68" s="3">
        <f t="shared" si="42"/>
        <v>3723.6000000000004</v>
      </c>
      <c r="F68" s="3">
        <f>768.07</f>
        <v>768.07</v>
      </c>
      <c r="G68" s="2">
        <v>5</v>
      </c>
      <c r="H68" s="3">
        <f t="shared" si="43"/>
        <v>3840.3500000000004</v>
      </c>
      <c r="I68" s="3">
        <f t="shared" si="44"/>
        <v>23.350000000000023</v>
      </c>
      <c r="J68" s="2">
        <f t="shared" si="45"/>
        <v>0</v>
      </c>
    </row>
    <row r="69" spans="1:10" ht="13.5" customHeight="1" x14ac:dyDescent="0.2">
      <c r="A69" s="21" t="s">
        <v>398</v>
      </c>
      <c r="B69" s="13" t="s">
        <v>408</v>
      </c>
      <c r="C69" s="3">
        <f>612.99+33.73</f>
        <v>646.72</v>
      </c>
      <c r="D69" s="2">
        <v>5</v>
      </c>
      <c r="E69" s="3">
        <f t="shared" si="42"/>
        <v>3233.6000000000004</v>
      </c>
      <c r="F69" s="3">
        <f>657.33</f>
        <v>657.33</v>
      </c>
      <c r="G69" s="2">
        <v>5</v>
      </c>
      <c r="H69" s="3">
        <f t="shared" si="43"/>
        <v>3286.65</v>
      </c>
      <c r="I69" s="3">
        <f t="shared" si="44"/>
        <v>10.610000000000014</v>
      </c>
      <c r="J69" s="2">
        <f t="shared" si="45"/>
        <v>0</v>
      </c>
    </row>
    <row r="70" spans="1:10" x14ac:dyDescent="0.2">
      <c r="A70" s="21" t="s">
        <v>399</v>
      </c>
      <c r="B70" s="13" t="s">
        <v>542</v>
      </c>
      <c r="C70" s="3">
        <f>826.6+30.76</f>
        <v>857.36</v>
      </c>
      <c r="D70" s="2">
        <v>4</v>
      </c>
      <c r="E70" s="3">
        <f t="shared" si="42"/>
        <v>3429.44</v>
      </c>
      <c r="F70" s="3">
        <f>990.54</f>
        <v>990.54</v>
      </c>
      <c r="G70" s="2">
        <v>4</v>
      </c>
      <c r="H70" s="3">
        <f t="shared" si="43"/>
        <v>3962.16</v>
      </c>
      <c r="I70" s="3">
        <f t="shared" si="44"/>
        <v>133.17999999999995</v>
      </c>
      <c r="J70" s="2">
        <f t="shared" si="45"/>
        <v>0</v>
      </c>
    </row>
    <row r="71" spans="1:10" x14ac:dyDescent="0.2">
      <c r="A71" s="21" t="s">
        <v>400</v>
      </c>
      <c r="B71" s="13" t="s">
        <v>543</v>
      </c>
      <c r="C71" s="3">
        <f>686.6+30.76</f>
        <v>717.36</v>
      </c>
      <c r="D71" s="2">
        <v>4</v>
      </c>
      <c r="E71" s="3">
        <f t="shared" si="42"/>
        <v>2869.44</v>
      </c>
      <c r="F71" s="3">
        <f>832.34</f>
        <v>832.34</v>
      </c>
      <c r="G71" s="2">
        <v>4</v>
      </c>
      <c r="H71" s="3">
        <f t="shared" si="43"/>
        <v>3329.36</v>
      </c>
      <c r="I71" s="3">
        <f t="shared" si="44"/>
        <v>114.98000000000002</v>
      </c>
      <c r="J71" s="2">
        <f t="shared" si="45"/>
        <v>0</v>
      </c>
    </row>
    <row r="72" spans="1:10" x14ac:dyDescent="0.2">
      <c r="A72" s="21" t="s">
        <v>401</v>
      </c>
      <c r="B72" s="13" t="s">
        <v>409</v>
      </c>
      <c r="C72" s="3">
        <f>284.97+14.36</f>
        <v>299.33000000000004</v>
      </c>
      <c r="D72" s="2">
        <v>5</v>
      </c>
      <c r="E72" s="3">
        <f t="shared" si="42"/>
        <v>1496.65</v>
      </c>
      <c r="F72" s="3">
        <f>333.43</f>
        <v>333.43</v>
      </c>
      <c r="G72" s="2">
        <v>5</v>
      </c>
      <c r="H72" s="3">
        <f t="shared" si="43"/>
        <v>1667.15</v>
      </c>
      <c r="I72" s="3">
        <f t="shared" si="44"/>
        <v>34.099999999999966</v>
      </c>
      <c r="J72" s="2">
        <f t="shared" si="45"/>
        <v>0</v>
      </c>
    </row>
    <row r="73" spans="1:10" x14ac:dyDescent="0.2">
      <c r="A73" s="21" t="s">
        <v>402</v>
      </c>
      <c r="B73" s="13" t="s">
        <v>410</v>
      </c>
      <c r="C73" s="3">
        <f>242.97+14.36</f>
        <v>257.33</v>
      </c>
      <c r="D73" s="2">
        <v>5</v>
      </c>
      <c r="E73" s="3">
        <f t="shared" si="42"/>
        <v>1286.6499999999999</v>
      </c>
      <c r="F73" s="3">
        <f>285.97</f>
        <v>285.97000000000003</v>
      </c>
      <c r="G73" s="2">
        <v>5</v>
      </c>
      <c r="H73" s="3">
        <f t="shared" si="43"/>
        <v>1429.8500000000001</v>
      </c>
      <c r="I73" s="3">
        <f t="shared" si="44"/>
        <v>28.640000000000043</v>
      </c>
      <c r="J73" s="2">
        <f t="shared" si="45"/>
        <v>0</v>
      </c>
    </row>
    <row r="74" spans="1:10" x14ac:dyDescent="0.2">
      <c r="A74" s="21" t="s">
        <v>411</v>
      </c>
      <c r="B74" s="13" t="s">
        <v>423</v>
      </c>
      <c r="C74" s="39"/>
      <c r="D74" s="40"/>
      <c r="E74" s="3"/>
      <c r="F74" s="39"/>
      <c r="G74" s="40"/>
      <c r="H74" s="3"/>
      <c r="I74" s="3"/>
      <c r="J74" s="2"/>
    </row>
    <row r="75" spans="1:10" x14ac:dyDescent="0.2">
      <c r="A75" s="21" t="s">
        <v>412</v>
      </c>
      <c r="B75" s="13" t="s">
        <v>403</v>
      </c>
      <c r="C75" s="3">
        <f>353.3+19.64</f>
        <v>372.94</v>
      </c>
      <c r="D75" s="2">
        <v>5</v>
      </c>
      <c r="E75" s="3">
        <f t="shared" ref="E75:E84" si="46">C75*D75</f>
        <v>1864.7</v>
      </c>
      <c r="F75" s="3">
        <f>413.26</f>
        <v>413.26</v>
      </c>
      <c r="G75" s="2">
        <v>5</v>
      </c>
      <c r="H75" s="3">
        <f t="shared" ref="H75:H84" si="47">F75*G75</f>
        <v>2066.3000000000002</v>
      </c>
      <c r="I75" s="3">
        <f t="shared" ref="I75:I84" si="48">F75-C75</f>
        <v>40.319999999999993</v>
      </c>
      <c r="J75" s="2">
        <f t="shared" ref="J75:J84" si="49">G75-D75</f>
        <v>0</v>
      </c>
    </row>
    <row r="76" spans="1:10" x14ac:dyDescent="0.2">
      <c r="A76" s="21" t="s">
        <v>413</v>
      </c>
      <c r="B76" s="13" t="s">
        <v>404</v>
      </c>
      <c r="C76" s="3">
        <f>340.65+19.64</f>
        <v>360.28999999999996</v>
      </c>
      <c r="D76" s="2">
        <v>5</v>
      </c>
      <c r="E76" s="3">
        <f t="shared" si="46"/>
        <v>1801.4499999999998</v>
      </c>
      <c r="F76" s="3">
        <f>398.96</f>
        <v>398.96</v>
      </c>
      <c r="G76" s="2">
        <v>5</v>
      </c>
      <c r="H76" s="3">
        <f t="shared" si="47"/>
        <v>1994.8</v>
      </c>
      <c r="I76" s="3">
        <f t="shared" si="48"/>
        <v>38.670000000000016</v>
      </c>
      <c r="J76" s="2">
        <f t="shared" si="49"/>
        <v>0</v>
      </c>
    </row>
    <row r="77" spans="1:10" x14ac:dyDescent="0.2">
      <c r="A77" s="21" t="s">
        <v>414</v>
      </c>
      <c r="B77" s="13" t="s">
        <v>405</v>
      </c>
      <c r="C77" s="3">
        <f>304.45+13.43</f>
        <v>317.88</v>
      </c>
      <c r="D77" s="2">
        <v>5</v>
      </c>
      <c r="E77" s="3">
        <f t="shared" si="46"/>
        <v>1589.4</v>
      </c>
      <c r="F77" s="3">
        <f>347.53</f>
        <v>347.53</v>
      </c>
      <c r="G77" s="2">
        <v>5</v>
      </c>
      <c r="H77" s="3">
        <f t="shared" si="47"/>
        <v>1737.6499999999999</v>
      </c>
      <c r="I77" s="3">
        <f t="shared" si="48"/>
        <v>29.649999999999977</v>
      </c>
      <c r="J77" s="2">
        <f t="shared" si="49"/>
        <v>0</v>
      </c>
    </row>
    <row r="78" spans="1:10" x14ac:dyDescent="0.2">
      <c r="A78" s="21" t="s">
        <v>421</v>
      </c>
      <c r="B78" s="13" t="s">
        <v>406</v>
      </c>
      <c r="C78" s="3">
        <f>291.8+13.43</f>
        <v>305.23</v>
      </c>
      <c r="D78" s="2">
        <v>5</v>
      </c>
      <c r="E78" s="3">
        <f t="shared" si="46"/>
        <v>1526.15</v>
      </c>
      <c r="F78" s="3">
        <v>333.23</v>
      </c>
      <c r="G78" s="2">
        <v>5</v>
      </c>
      <c r="H78" s="3">
        <f t="shared" si="47"/>
        <v>1666.15</v>
      </c>
      <c r="I78" s="3">
        <f t="shared" si="48"/>
        <v>28</v>
      </c>
      <c r="J78" s="2">
        <f t="shared" si="49"/>
        <v>0</v>
      </c>
    </row>
    <row r="79" spans="1:10" x14ac:dyDescent="0.2">
      <c r="A79" s="21" t="s">
        <v>415</v>
      </c>
      <c r="B79" s="13" t="s">
        <v>407</v>
      </c>
      <c r="C79" s="3">
        <f>610.19+33.73</f>
        <v>643.92000000000007</v>
      </c>
      <c r="D79" s="2">
        <v>5</v>
      </c>
      <c r="E79" s="3">
        <f t="shared" si="46"/>
        <v>3219.6000000000004</v>
      </c>
      <c r="F79" s="3">
        <v>654.17999999999995</v>
      </c>
      <c r="G79" s="2">
        <v>5</v>
      </c>
      <c r="H79" s="3">
        <f t="shared" si="47"/>
        <v>3270.8999999999996</v>
      </c>
      <c r="I79" s="3">
        <f t="shared" si="48"/>
        <v>10.259999999999877</v>
      </c>
      <c r="J79" s="2">
        <f t="shared" si="49"/>
        <v>0</v>
      </c>
    </row>
    <row r="80" spans="1:10" x14ac:dyDescent="0.2">
      <c r="A80" s="21" t="s">
        <v>416</v>
      </c>
      <c r="B80" s="13" t="s">
        <v>408</v>
      </c>
      <c r="C80" s="3">
        <f>592.48+33.73</f>
        <v>626.21</v>
      </c>
      <c r="D80" s="2">
        <v>5</v>
      </c>
      <c r="E80" s="3">
        <f t="shared" si="46"/>
        <v>3131.05</v>
      </c>
      <c r="F80" s="3">
        <v>634.16</v>
      </c>
      <c r="G80" s="2">
        <v>5</v>
      </c>
      <c r="H80" s="3">
        <f t="shared" si="47"/>
        <v>3170.7999999999997</v>
      </c>
      <c r="I80" s="3">
        <f t="shared" si="48"/>
        <v>7.9499999999999318</v>
      </c>
      <c r="J80" s="2">
        <f t="shared" si="49"/>
        <v>0</v>
      </c>
    </row>
    <row r="81" spans="1:10" x14ac:dyDescent="0.2">
      <c r="A81" s="21" t="s">
        <v>417</v>
      </c>
      <c r="B81" s="13" t="s">
        <v>542</v>
      </c>
      <c r="C81" s="3">
        <f>682.6+30.76</f>
        <v>713.36</v>
      </c>
      <c r="D81" s="2">
        <v>4</v>
      </c>
      <c r="E81" s="3">
        <f t="shared" si="46"/>
        <v>2853.44</v>
      </c>
      <c r="F81" s="3">
        <v>827.84</v>
      </c>
      <c r="G81" s="2">
        <v>4</v>
      </c>
      <c r="H81" s="3">
        <f t="shared" si="47"/>
        <v>3311.36</v>
      </c>
      <c r="I81" s="3">
        <f t="shared" si="48"/>
        <v>114.48000000000002</v>
      </c>
      <c r="J81" s="2">
        <f t="shared" si="49"/>
        <v>0</v>
      </c>
    </row>
    <row r="82" spans="1:10" x14ac:dyDescent="0.2">
      <c r="A82" s="21" t="s">
        <v>418</v>
      </c>
      <c r="B82" s="13" t="s">
        <v>543</v>
      </c>
      <c r="C82" s="3">
        <f>657.3+30.76</f>
        <v>688.06</v>
      </c>
      <c r="D82" s="2">
        <v>4</v>
      </c>
      <c r="E82" s="3">
        <f t="shared" si="46"/>
        <v>2752.24</v>
      </c>
      <c r="F82" s="3">
        <v>799.24</v>
      </c>
      <c r="G82" s="2">
        <v>4</v>
      </c>
      <c r="H82" s="3">
        <f t="shared" si="47"/>
        <v>3196.96</v>
      </c>
      <c r="I82" s="3">
        <f t="shared" si="48"/>
        <v>111.18000000000006</v>
      </c>
      <c r="J82" s="2">
        <f t="shared" si="49"/>
        <v>0</v>
      </c>
    </row>
    <row r="83" spans="1:10" x14ac:dyDescent="0.2">
      <c r="A83" s="21" t="s">
        <v>419</v>
      </c>
      <c r="B83" s="13" t="s">
        <v>409</v>
      </c>
      <c r="C83" s="3">
        <f>241.77+14.36</f>
        <v>256.13</v>
      </c>
      <c r="D83" s="2">
        <v>5</v>
      </c>
      <c r="E83" s="3">
        <f t="shared" si="46"/>
        <v>1280.6500000000001</v>
      </c>
      <c r="F83" s="3">
        <v>284.62</v>
      </c>
      <c r="G83" s="2">
        <v>5</v>
      </c>
      <c r="H83" s="3">
        <f t="shared" si="47"/>
        <v>1423.1</v>
      </c>
      <c r="I83" s="3">
        <f t="shared" si="48"/>
        <v>28.490000000000009</v>
      </c>
      <c r="J83" s="2">
        <f t="shared" si="49"/>
        <v>0</v>
      </c>
    </row>
    <row r="84" spans="1:10" x14ac:dyDescent="0.2">
      <c r="A84" s="21" t="s">
        <v>420</v>
      </c>
      <c r="B84" s="13" t="s">
        <v>410</v>
      </c>
      <c r="C84" s="3">
        <f>234.18+14.36</f>
        <v>248.54000000000002</v>
      </c>
      <c r="D84" s="2">
        <v>5</v>
      </c>
      <c r="E84" s="3">
        <f t="shared" si="46"/>
        <v>1242.7</v>
      </c>
      <c r="F84" s="3">
        <v>276.04000000000002</v>
      </c>
      <c r="G84" s="2">
        <v>5</v>
      </c>
      <c r="H84" s="3">
        <f t="shared" si="47"/>
        <v>1380.2</v>
      </c>
      <c r="I84" s="3">
        <f t="shared" si="48"/>
        <v>27.5</v>
      </c>
      <c r="J84" s="2">
        <f t="shared" si="49"/>
        <v>0</v>
      </c>
    </row>
    <row r="85" spans="1:10" x14ac:dyDescent="0.2">
      <c r="A85" s="17">
        <v>5</v>
      </c>
      <c r="B85" s="6" t="s">
        <v>175</v>
      </c>
      <c r="C85" s="12"/>
      <c r="D85" s="8"/>
      <c r="E85" s="9">
        <f>SUM(E87:E182)</f>
        <v>26427.219999999998</v>
      </c>
      <c r="F85" s="12"/>
      <c r="G85" s="8"/>
      <c r="H85" s="9">
        <f>SUM(H87:H182)</f>
        <v>80182.749999999942</v>
      </c>
      <c r="I85" s="8"/>
      <c r="J85" s="8"/>
    </row>
    <row r="86" spans="1:10" x14ac:dyDescent="0.2">
      <c r="A86" s="21" t="s">
        <v>18</v>
      </c>
      <c r="B86" s="5" t="s">
        <v>176</v>
      </c>
      <c r="C86" s="15"/>
      <c r="D86" s="15"/>
      <c r="E86" s="15"/>
      <c r="F86" s="15"/>
      <c r="G86" s="15"/>
      <c r="H86" s="15"/>
      <c r="I86" s="15"/>
      <c r="J86" s="15"/>
    </row>
    <row r="87" spans="1:10" ht="13.5" customHeight="1" x14ac:dyDescent="0.2">
      <c r="A87" s="21" t="s">
        <v>19</v>
      </c>
      <c r="B87" s="13" t="s">
        <v>177</v>
      </c>
      <c r="C87" s="3">
        <v>13.03</v>
      </c>
      <c r="D87" s="2">
        <v>60</v>
      </c>
      <c r="E87" s="3">
        <f t="shared" ref="E87:E88" si="50">C87*D87</f>
        <v>781.8</v>
      </c>
      <c r="F87" s="3">
        <v>16.04</v>
      </c>
      <c r="G87" s="2">
        <v>60</v>
      </c>
      <c r="H87" s="3">
        <f t="shared" ref="H87:H88" si="51">F87*G87</f>
        <v>962.4</v>
      </c>
      <c r="I87" s="3">
        <f t="shared" ref="I87:I88" si="52">F87-C87</f>
        <v>3.01</v>
      </c>
      <c r="J87" s="2">
        <f t="shared" ref="J87:J88" si="53">G87-D87</f>
        <v>0</v>
      </c>
    </row>
    <row r="88" spans="1:10" x14ac:dyDescent="0.2">
      <c r="A88" s="21" t="s">
        <v>20</v>
      </c>
      <c r="B88" s="13" t="s">
        <v>178</v>
      </c>
      <c r="C88" s="3">
        <v>5.52</v>
      </c>
      <c r="D88" s="2">
        <v>10</v>
      </c>
      <c r="E88" s="3">
        <f t="shared" si="50"/>
        <v>55.199999999999996</v>
      </c>
      <c r="F88" s="3">
        <v>6.82</v>
      </c>
      <c r="G88" s="2">
        <v>10</v>
      </c>
      <c r="H88" s="3">
        <f t="shared" si="51"/>
        <v>68.2</v>
      </c>
      <c r="I88" s="3">
        <f t="shared" si="52"/>
        <v>1.3000000000000007</v>
      </c>
      <c r="J88" s="2">
        <f t="shared" si="53"/>
        <v>0</v>
      </c>
    </row>
    <row r="89" spans="1:10" x14ac:dyDescent="0.2">
      <c r="A89" s="21" t="s">
        <v>21</v>
      </c>
      <c r="B89" s="11" t="s">
        <v>179</v>
      </c>
      <c r="C89" s="10"/>
      <c r="D89" s="10"/>
      <c r="E89" s="10"/>
      <c r="F89" s="10"/>
      <c r="G89" s="10"/>
      <c r="H89" s="10"/>
      <c r="I89" s="15"/>
      <c r="J89" s="2"/>
    </row>
    <row r="90" spans="1:10" x14ac:dyDescent="0.2">
      <c r="A90" s="21" t="s">
        <v>22</v>
      </c>
      <c r="B90" s="13" t="s">
        <v>180</v>
      </c>
      <c r="C90" s="3">
        <v>12.39</v>
      </c>
      <c r="D90" s="2">
        <v>10</v>
      </c>
      <c r="E90" s="3">
        <f t="shared" ref="E90:E92" si="54">C90*D90</f>
        <v>123.9</v>
      </c>
      <c r="F90" s="3">
        <v>14.94</v>
      </c>
      <c r="G90" s="2">
        <v>10</v>
      </c>
      <c r="H90" s="3">
        <f t="shared" ref="H90:H92" si="55">F90*G90</f>
        <v>149.4</v>
      </c>
      <c r="I90" s="3">
        <f t="shared" ref="I90:I92" si="56">F90-C90</f>
        <v>2.5499999999999989</v>
      </c>
      <c r="J90" s="2">
        <f t="shared" ref="J90:J92" si="57">G90-D90</f>
        <v>0</v>
      </c>
    </row>
    <row r="91" spans="1:10" x14ac:dyDescent="0.2">
      <c r="A91" s="21" t="s">
        <v>23</v>
      </c>
      <c r="B91" s="13" t="s">
        <v>181</v>
      </c>
      <c r="C91" s="3">
        <v>12.39</v>
      </c>
      <c r="D91" s="2">
        <v>5</v>
      </c>
      <c r="E91" s="3">
        <f t="shared" si="54"/>
        <v>61.95</v>
      </c>
      <c r="F91" s="3">
        <v>14.94</v>
      </c>
      <c r="G91" s="2">
        <v>5</v>
      </c>
      <c r="H91" s="3">
        <f t="shared" si="55"/>
        <v>74.7</v>
      </c>
      <c r="I91" s="3">
        <f t="shared" si="56"/>
        <v>2.5499999999999989</v>
      </c>
      <c r="J91" s="2">
        <f t="shared" si="57"/>
        <v>0</v>
      </c>
    </row>
    <row r="92" spans="1:10" x14ac:dyDescent="0.2">
      <c r="A92" s="21" t="s">
        <v>318</v>
      </c>
      <c r="B92" s="5" t="s">
        <v>319</v>
      </c>
      <c r="C92" s="3">
        <v>13.62</v>
      </c>
      <c r="D92" s="2">
        <v>10</v>
      </c>
      <c r="E92" s="3">
        <f t="shared" si="54"/>
        <v>136.19999999999999</v>
      </c>
      <c r="F92" s="3">
        <v>16.63</v>
      </c>
      <c r="G92" s="2">
        <v>10</v>
      </c>
      <c r="H92" s="3">
        <f t="shared" si="55"/>
        <v>166.29999999999998</v>
      </c>
      <c r="I92" s="3">
        <f t="shared" si="56"/>
        <v>3.01</v>
      </c>
      <c r="J92" s="2">
        <f t="shared" si="57"/>
        <v>0</v>
      </c>
    </row>
    <row r="93" spans="1:10" x14ac:dyDescent="0.2">
      <c r="A93" s="21" t="s">
        <v>572</v>
      </c>
      <c r="B93" s="5" t="s">
        <v>595</v>
      </c>
      <c r="C93" s="3"/>
      <c r="D93" s="2"/>
      <c r="E93" s="3"/>
      <c r="F93" s="3">
        <v>14.86</v>
      </c>
      <c r="G93" s="61">
        <v>20</v>
      </c>
      <c r="H93" s="3">
        <f t="shared" ref="H93" si="58">F93*G93</f>
        <v>297.2</v>
      </c>
      <c r="I93" s="3">
        <f t="shared" ref="I93" si="59">F93-C93</f>
        <v>14.86</v>
      </c>
      <c r="J93" s="2">
        <f t="shared" ref="J93" si="60">G93-D93</f>
        <v>20</v>
      </c>
    </row>
    <row r="94" spans="1:10" x14ac:dyDescent="0.2">
      <c r="A94" s="21" t="s">
        <v>24</v>
      </c>
      <c r="B94" s="11" t="s">
        <v>183</v>
      </c>
      <c r="C94" s="10"/>
      <c r="D94" s="10"/>
      <c r="E94" s="10"/>
      <c r="F94" s="10"/>
      <c r="G94" s="72"/>
      <c r="H94" s="10"/>
      <c r="I94" s="15"/>
      <c r="J94" s="2"/>
    </row>
    <row r="95" spans="1:10" x14ac:dyDescent="0.2">
      <c r="A95" s="21" t="s">
        <v>25</v>
      </c>
      <c r="B95" s="23" t="s">
        <v>282</v>
      </c>
      <c r="C95" s="22">
        <v>9.14</v>
      </c>
      <c r="D95" s="2">
        <v>180</v>
      </c>
      <c r="E95" s="3">
        <f t="shared" ref="E95:E102" si="61">C95*D95</f>
        <v>1645.2</v>
      </c>
      <c r="F95" s="22">
        <v>9.51</v>
      </c>
      <c r="G95" s="61">
        <f>180+900</f>
        <v>1080</v>
      </c>
      <c r="H95" s="3">
        <f t="shared" ref="H95:H102" si="62">F95*G95</f>
        <v>10270.799999999999</v>
      </c>
      <c r="I95" s="3">
        <f t="shared" ref="I95:I102" si="63">F95-C95</f>
        <v>0.36999999999999922</v>
      </c>
      <c r="J95" s="2">
        <f t="shared" ref="J95:J102" si="64">G95-D95</f>
        <v>900</v>
      </c>
    </row>
    <row r="96" spans="1:10" x14ac:dyDescent="0.2">
      <c r="A96" s="21" t="s">
        <v>26</v>
      </c>
      <c r="B96" s="23" t="s">
        <v>283</v>
      </c>
      <c r="C96" s="22">
        <v>4.7</v>
      </c>
      <c r="D96" s="2">
        <v>180</v>
      </c>
      <c r="E96" s="3">
        <f t="shared" si="61"/>
        <v>846</v>
      </c>
      <c r="F96" s="22">
        <v>4.93</v>
      </c>
      <c r="G96" s="61">
        <f>180+800</f>
        <v>980</v>
      </c>
      <c r="H96" s="3">
        <f t="shared" si="62"/>
        <v>4831.3999999999996</v>
      </c>
      <c r="I96" s="3">
        <f t="shared" si="63"/>
        <v>0.22999999999999954</v>
      </c>
      <c r="J96" s="2">
        <f t="shared" si="64"/>
        <v>800</v>
      </c>
    </row>
    <row r="97" spans="1:10" x14ac:dyDescent="0.2">
      <c r="A97" s="21" t="s">
        <v>27</v>
      </c>
      <c r="B97" s="13" t="s">
        <v>184</v>
      </c>
      <c r="C97" s="22">
        <v>2.74</v>
      </c>
      <c r="D97" s="2">
        <v>43</v>
      </c>
      <c r="E97" s="3">
        <f t="shared" si="61"/>
        <v>117.82000000000001</v>
      </c>
      <c r="F97" s="22">
        <v>2.86</v>
      </c>
      <c r="G97" s="2">
        <v>43</v>
      </c>
      <c r="H97" s="3">
        <f t="shared" si="62"/>
        <v>122.97999999999999</v>
      </c>
      <c r="I97" s="3">
        <f t="shared" si="63"/>
        <v>0.11999999999999966</v>
      </c>
      <c r="J97" s="2">
        <f t="shared" si="64"/>
        <v>0</v>
      </c>
    </row>
    <row r="98" spans="1:10" x14ac:dyDescent="0.2">
      <c r="A98" s="21" t="s">
        <v>28</v>
      </c>
      <c r="B98" s="13" t="s">
        <v>356</v>
      </c>
      <c r="C98" s="22">
        <v>6.59</v>
      </c>
      <c r="D98" s="2">
        <v>50</v>
      </c>
      <c r="E98" s="3">
        <f t="shared" si="61"/>
        <v>329.5</v>
      </c>
      <c r="F98" s="22">
        <v>6.84</v>
      </c>
      <c r="G98" s="2">
        <v>50</v>
      </c>
      <c r="H98" s="3">
        <f t="shared" si="62"/>
        <v>342</v>
      </c>
      <c r="I98" s="3">
        <f t="shared" si="63"/>
        <v>0.25</v>
      </c>
      <c r="J98" s="2">
        <f t="shared" si="64"/>
        <v>0</v>
      </c>
    </row>
    <row r="99" spans="1:10" x14ac:dyDescent="0.2">
      <c r="A99" s="21" t="s">
        <v>29</v>
      </c>
      <c r="B99" s="13" t="s">
        <v>185</v>
      </c>
      <c r="C99" s="22">
        <v>3.18</v>
      </c>
      <c r="D99" s="2">
        <v>10</v>
      </c>
      <c r="E99" s="3">
        <f t="shared" si="61"/>
        <v>31.8</v>
      </c>
      <c r="F99" s="22">
        <v>3.3</v>
      </c>
      <c r="G99" s="2">
        <v>10</v>
      </c>
      <c r="H99" s="3">
        <f t="shared" si="62"/>
        <v>33</v>
      </c>
      <c r="I99" s="3">
        <f t="shared" si="63"/>
        <v>0.11999999999999966</v>
      </c>
      <c r="J99" s="2">
        <f t="shared" si="64"/>
        <v>0</v>
      </c>
    </row>
    <row r="100" spans="1:10" x14ac:dyDescent="0.2">
      <c r="A100" s="21" t="s">
        <v>30</v>
      </c>
      <c r="B100" s="13" t="s">
        <v>186</v>
      </c>
      <c r="C100" s="22">
        <v>6.61</v>
      </c>
      <c r="D100" s="2">
        <v>280</v>
      </c>
      <c r="E100" s="3">
        <f t="shared" si="61"/>
        <v>1850.8000000000002</v>
      </c>
      <c r="F100" s="22">
        <v>0</v>
      </c>
      <c r="G100" s="61">
        <v>0</v>
      </c>
      <c r="H100" s="3">
        <f t="shared" si="62"/>
        <v>0</v>
      </c>
      <c r="I100" s="3">
        <f t="shared" si="63"/>
        <v>-6.61</v>
      </c>
      <c r="J100" s="2">
        <f t="shared" si="64"/>
        <v>-280</v>
      </c>
    </row>
    <row r="101" spans="1:10" ht="25.5" x14ac:dyDescent="0.2">
      <c r="A101" s="21" t="s">
        <v>30</v>
      </c>
      <c r="B101" s="13" t="s">
        <v>575</v>
      </c>
      <c r="C101" s="22"/>
      <c r="D101" s="2"/>
      <c r="E101" s="3"/>
      <c r="F101" s="22">
        <v>7.46</v>
      </c>
      <c r="G101" s="61">
        <f>980</f>
        <v>980</v>
      </c>
      <c r="H101" s="3">
        <f t="shared" ref="H101" si="65">F101*G101</f>
        <v>7310.8</v>
      </c>
      <c r="I101" s="3">
        <f t="shared" ref="I101" si="66">F101-C101</f>
        <v>7.46</v>
      </c>
      <c r="J101" s="2">
        <f t="shared" ref="J101" si="67">G101-D101</f>
        <v>980</v>
      </c>
    </row>
    <row r="102" spans="1:10" ht="25.5" x14ac:dyDescent="0.2">
      <c r="A102" s="21" t="s">
        <v>31</v>
      </c>
      <c r="B102" s="14" t="s">
        <v>187</v>
      </c>
      <c r="C102" s="22">
        <v>3.45</v>
      </c>
      <c r="D102" s="2">
        <v>150</v>
      </c>
      <c r="E102" s="3">
        <f t="shared" si="61"/>
        <v>517.5</v>
      </c>
      <c r="F102" s="22">
        <v>3.63</v>
      </c>
      <c r="G102" s="61">
        <v>150</v>
      </c>
      <c r="H102" s="3">
        <f t="shared" si="62"/>
        <v>544.5</v>
      </c>
      <c r="I102" s="3">
        <f t="shared" si="63"/>
        <v>0.17999999999999972</v>
      </c>
      <c r="J102" s="2">
        <f t="shared" si="64"/>
        <v>0</v>
      </c>
    </row>
    <row r="103" spans="1:10" x14ac:dyDescent="0.2">
      <c r="A103" s="21" t="s">
        <v>32</v>
      </c>
      <c r="B103" s="11" t="s">
        <v>188</v>
      </c>
      <c r="C103" s="10"/>
      <c r="D103" s="10"/>
      <c r="E103" s="3"/>
      <c r="F103" s="10"/>
      <c r="G103" s="72"/>
      <c r="H103" s="3"/>
      <c r="I103" s="3"/>
      <c r="J103" s="2"/>
    </row>
    <row r="104" spans="1:10" x14ac:dyDescent="0.2">
      <c r="A104" s="21" t="s">
        <v>33</v>
      </c>
      <c r="B104" s="13" t="s">
        <v>189</v>
      </c>
      <c r="C104" s="3">
        <v>9.42</v>
      </c>
      <c r="D104" s="2">
        <v>150</v>
      </c>
      <c r="E104" s="3">
        <f t="shared" ref="E104:E105" si="68">C104*D104</f>
        <v>1413</v>
      </c>
      <c r="F104" s="3">
        <v>9.49</v>
      </c>
      <c r="G104" s="61">
        <f>150+700</f>
        <v>850</v>
      </c>
      <c r="H104" s="3">
        <f t="shared" ref="H104:H117" si="69">F104*G104</f>
        <v>8066.5</v>
      </c>
      <c r="I104" s="3">
        <f t="shared" ref="I104:I117" si="70">F104-C104</f>
        <v>7.0000000000000284E-2</v>
      </c>
      <c r="J104" s="2">
        <f t="shared" ref="J104:J117" si="71">G104-D104</f>
        <v>700</v>
      </c>
    </row>
    <row r="105" spans="1:10" ht="25.5" x14ac:dyDescent="0.2">
      <c r="A105" s="21"/>
      <c r="B105" s="13" t="s">
        <v>535</v>
      </c>
      <c r="C105" s="3"/>
      <c r="D105" s="2"/>
      <c r="E105" s="3">
        <f t="shared" si="68"/>
        <v>0</v>
      </c>
      <c r="F105" s="3"/>
      <c r="G105" s="61"/>
      <c r="H105" s="3"/>
      <c r="I105" s="3"/>
      <c r="J105" s="2"/>
    </row>
    <row r="106" spans="1:10" ht="12.75" customHeight="1" x14ac:dyDescent="0.2">
      <c r="A106" s="21" t="s">
        <v>34</v>
      </c>
      <c r="B106" s="14" t="s">
        <v>530</v>
      </c>
      <c r="C106" s="3"/>
      <c r="D106" s="2"/>
      <c r="E106" s="3"/>
      <c r="F106" s="3"/>
      <c r="G106" s="61"/>
      <c r="H106" s="3"/>
      <c r="I106" s="3"/>
      <c r="J106" s="2"/>
    </row>
    <row r="107" spans="1:10" ht="12.75" customHeight="1" x14ac:dyDescent="0.2">
      <c r="A107" s="21" t="s">
        <v>533</v>
      </c>
      <c r="B107" s="14" t="s">
        <v>531</v>
      </c>
      <c r="C107" s="3">
        <v>2.8</v>
      </c>
      <c r="D107" s="2">
        <v>200</v>
      </c>
      <c r="E107" s="3">
        <f t="shared" ref="E107:E114" si="72">C107*D107</f>
        <v>560</v>
      </c>
      <c r="F107" s="3">
        <v>3.04</v>
      </c>
      <c r="G107" s="61">
        <f>200+800</f>
        <v>1000</v>
      </c>
      <c r="H107" s="3">
        <f t="shared" si="69"/>
        <v>3040</v>
      </c>
      <c r="I107" s="3">
        <f t="shared" si="70"/>
        <v>0.24000000000000021</v>
      </c>
      <c r="J107" s="2">
        <f t="shared" si="71"/>
        <v>800</v>
      </c>
    </row>
    <row r="108" spans="1:10" ht="12.75" customHeight="1" x14ac:dyDescent="0.2">
      <c r="A108" s="21" t="s">
        <v>534</v>
      </c>
      <c r="B108" s="14" t="s">
        <v>532</v>
      </c>
      <c r="C108" s="3">
        <v>5.4</v>
      </c>
      <c r="D108" s="2">
        <v>200</v>
      </c>
      <c r="E108" s="3">
        <f t="shared" si="72"/>
        <v>1080</v>
      </c>
      <c r="F108" s="3">
        <v>5.77</v>
      </c>
      <c r="G108" s="2">
        <v>200</v>
      </c>
      <c r="H108" s="3">
        <f t="shared" si="69"/>
        <v>1154</v>
      </c>
      <c r="I108" s="3">
        <f t="shared" si="70"/>
        <v>0.36999999999999922</v>
      </c>
      <c r="J108" s="2">
        <f t="shared" si="71"/>
        <v>0</v>
      </c>
    </row>
    <row r="109" spans="1:10" ht="27" customHeight="1" x14ac:dyDescent="0.2">
      <c r="A109" s="21" t="s">
        <v>573</v>
      </c>
      <c r="B109" s="14" t="s">
        <v>576</v>
      </c>
      <c r="C109" s="3"/>
      <c r="D109" s="2"/>
      <c r="E109" s="3"/>
      <c r="F109" s="3">
        <v>8.2100000000000009</v>
      </c>
      <c r="G109" s="2">
        <v>30</v>
      </c>
      <c r="H109" s="3">
        <f t="shared" ref="H109:H112" si="73">F109*G109</f>
        <v>246.3</v>
      </c>
      <c r="I109" s="3">
        <f t="shared" ref="I109:I112" si="74">F109-C109</f>
        <v>8.2100000000000009</v>
      </c>
      <c r="J109" s="2">
        <f t="shared" ref="J109:J112" si="75">G109-D109</f>
        <v>30</v>
      </c>
    </row>
    <row r="110" spans="1:10" ht="10.5" customHeight="1" x14ac:dyDescent="0.2">
      <c r="A110" s="21" t="s">
        <v>574</v>
      </c>
      <c r="B110" s="14" t="s">
        <v>636</v>
      </c>
      <c r="C110" s="3"/>
      <c r="D110" s="2"/>
      <c r="E110" s="3"/>
      <c r="F110" s="3">
        <v>12.44</v>
      </c>
      <c r="G110" s="2">
        <v>30</v>
      </c>
      <c r="H110" s="3">
        <f t="shared" si="73"/>
        <v>373.2</v>
      </c>
      <c r="I110" s="3">
        <f t="shared" si="74"/>
        <v>12.44</v>
      </c>
      <c r="J110" s="2">
        <f t="shared" si="75"/>
        <v>30</v>
      </c>
    </row>
    <row r="111" spans="1:10" ht="12.75" customHeight="1" x14ac:dyDescent="0.2">
      <c r="A111" s="21" t="s">
        <v>577</v>
      </c>
      <c r="B111" s="14" t="s">
        <v>578</v>
      </c>
      <c r="C111" s="3"/>
      <c r="D111" s="2"/>
      <c r="E111" s="3"/>
      <c r="F111" s="3">
        <v>6.84</v>
      </c>
      <c r="G111" s="2">
        <v>30</v>
      </c>
      <c r="H111" s="3">
        <f t="shared" si="73"/>
        <v>205.2</v>
      </c>
      <c r="I111" s="3">
        <f t="shared" si="74"/>
        <v>6.84</v>
      </c>
      <c r="J111" s="2">
        <f t="shared" si="75"/>
        <v>30</v>
      </c>
    </row>
    <row r="112" spans="1:10" ht="12.75" customHeight="1" x14ac:dyDescent="0.2">
      <c r="A112" s="21" t="s">
        <v>579</v>
      </c>
      <c r="B112" s="14" t="s">
        <v>580</v>
      </c>
      <c r="C112" s="3"/>
      <c r="D112" s="2"/>
      <c r="E112" s="3"/>
      <c r="F112" s="3">
        <v>10.11</v>
      </c>
      <c r="G112" s="2">
        <v>30</v>
      </c>
      <c r="H112" s="3">
        <f t="shared" si="73"/>
        <v>303.29999999999995</v>
      </c>
      <c r="I112" s="3">
        <f t="shared" si="74"/>
        <v>10.11</v>
      </c>
      <c r="J112" s="2">
        <f t="shared" si="75"/>
        <v>30</v>
      </c>
    </row>
    <row r="113" spans="1:10" x14ac:dyDescent="0.2">
      <c r="A113" s="21" t="s">
        <v>35</v>
      </c>
      <c r="B113" s="13" t="s">
        <v>190</v>
      </c>
      <c r="C113" s="3">
        <v>2</v>
      </c>
      <c r="D113" s="2">
        <v>30</v>
      </c>
      <c r="E113" s="3">
        <f t="shared" si="72"/>
        <v>60</v>
      </c>
      <c r="F113" s="3">
        <v>2.0699999999999998</v>
      </c>
      <c r="G113" s="2">
        <v>30</v>
      </c>
      <c r="H113" s="3">
        <f t="shared" si="69"/>
        <v>62.099999999999994</v>
      </c>
      <c r="I113" s="3">
        <f t="shared" si="70"/>
        <v>6.999999999999984E-2</v>
      </c>
      <c r="J113" s="2">
        <f t="shared" si="71"/>
        <v>0</v>
      </c>
    </row>
    <row r="114" spans="1:10" x14ac:dyDescent="0.2">
      <c r="A114" s="21" t="s">
        <v>36</v>
      </c>
      <c r="B114" s="13" t="s">
        <v>191</v>
      </c>
      <c r="C114" s="3">
        <v>5.95</v>
      </c>
      <c r="D114" s="2">
        <v>100</v>
      </c>
      <c r="E114" s="3">
        <f t="shared" si="72"/>
        <v>595</v>
      </c>
      <c r="F114" s="3">
        <v>6.03</v>
      </c>
      <c r="G114" s="61">
        <f>100+600</f>
        <v>700</v>
      </c>
      <c r="H114" s="3">
        <f t="shared" si="69"/>
        <v>4221</v>
      </c>
      <c r="I114" s="3">
        <f t="shared" si="70"/>
        <v>8.0000000000000071E-2</v>
      </c>
      <c r="J114" s="2">
        <f t="shared" si="71"/>
        <v>600</v>
      </c>
    </row>
    <row r="115" spans="1:10" x14ac:dyDescent="0.2">
      <c r="A115" s="21" t="s">
        <v>37</v>
      </c>
      <c r="B115" s="11" t="s">
        <v>192</v>
      </c>
      <c r="C115" s="10"/>
      <c r="D115" s="10"/>
      <c r="E115" s="3"/>
      <c r="F115" s="10"/>
      <c r="G115" s="10"/>
      <c r="H115" s="3"/>
      <c r="I115" s="3"/>
      <c r="J115" s="2"/>
    </row>
    <row r="116" spans="1:10" x14ac:dyDescent="0.2">
      <c r="A116" s="21" t="s">
        <v>38</v>
      </c>
      <c r="B116" s="23" t="s">
        <v>424</v>
      </c>
      <c r="C116" s="3">
        <v>9.4</v>
      </c>
      <c r="D116" s="2">
        <v>250</v>
      </c>
      <c r="E116" s="3">
        <f t="shared" ref="E116:E117" si="76">C116*D116</f>
        <v>2350</v>
      </c>
      <c r="F116" s="3">
        <v>9.82</v>
      </c>
      <c r="G116" s="2">
        <v>250</v>
      </c>
      <c r="H116" s="3">
        <f t="shared" si="69"/>
        <v>2455</v>
      </c>
      <c r="I116" s="3">
        <f t="shared" si="70"/>
        <v>0.41999999999999993</v>
      </c>
      <c r="J116" s="2">
        <f t="shared" si="71"/>
        <v>0</v>
      </c>
    </row>
    <row r="117" spans="1:10" ht="13.5" customHeight="1" x14ac:dyDescent="0.2">
      <c r="A117" s="21" t="s">
        <v>39</v>
      </c>
      <c r="B117" s="14" t="s">
        <v>425</v>
      </c>
      <c r="C117" s="3">
        <v>5.85</v>
      </c>
      <c r="D117" s="2">
        <v>250</v>
      </c>
      <c r="E117" s="3">
        <f t="shared" si="76"/>
        <v>1462.5</v>
      </c>
      <c r="F117" s="3">
        <v>6.27</v>
      </c>
      <c r="G117" s="2">
        <v>250</v>
      </c>
      <c r="H117" s="3">
        <f t="shared" si="69"/>
        <v>1567.5</v>
      </c>
      <c r="I117" s="3">
        <f t="shared" si="70"/>
        <v>0.41999999999999993</v>
      </c>
      <c r="J117" s="2">
        <f t="shared" si="71"/>
        <v>0</v>
      </c>
    </row>
    <row r="118" spans="1:10" x14ac:dyDescent="0.2">
      <c r="A118" s="21" t="s">
        <v>40</v>
      </c>
      <c r="B118" s="11" t="s">
        <v>193</v>
      </c>
      <c r="C118" s="15"/>
      <c r="D118" s="15"/>
      <c r="E118" s="15"/>
      <c r="F118" s="15"/>
      <c r="G118" s="15"/>
      <c r="H118" s="15"/>
      <c r="I118" s="15"/>
      <c r="J118" s="15"/>
    </row>
    <row r="119" spans="1:10" x14ac:dyDescent="0.2">
      <c r="A119" s="21" t="s">
        <v>41</v>
      </c>
      <c r="B119" s="14" t="s">
        <v>194</v>
      </c>
      <c r="C119" s="3">
        <v>7.81</v>
      </c>
      <c r="D119" s="2">
        <v>120</v>
      </c>
      <c r="E119" s="3">
        <f t="shared" ref="E119:E122" si="77">C119*D119</f>
        <v>937.19999999999993</v>
      </c>
      <c r="F119" s="3">
        <v>8.06</v>
      </c>
      <c r="G119" s="61">
        <f>120+600</f>
        <v>720</v>
      </c>
      <c r="H119" s="3">
        <f t="shared" ref="H119:H182" si="78">F119*G119</f>
        <v>5803.2000000000007</v>
      </c>
      <c r="I119" s="3">
        <f t="shared" ref="I119:I182" si="79">F119-C119</f>
        <v>0.25000000000000089</v>
      </c>
      <c r="J119" s="2">
        <f t="shared" ref="J119:J182" si="80">G119-D119</f>
        <v>600</v>
      </c>
    </row>
    <row r="120" spans="1:10" x14ac:dyDescent="0.2">
      <c r="A120" s="21" t="s">
        <v>42</v>
      </c>
      <c r="B120" s="14" t="s">
        <v>195</v>
      </c>
      <c r="C120" s="3">
        <v>13.02</v>
      </c>
      <c r="D120" s="2">
        <v>100</v>
      </c>
      <c r="E120" s="3">
        <f t="shared" si="77"/>
        <v>1302</v>
      </c>
      <c r="F120" s="3">
        <v>13.36</v>
      </c>
      <c r="G120" s="61">
        <f>100+600</f>
        <v>700</v>
      </c>
      <c r="H120" s="3">
        <f t="shared" si="78"/>
        <v>9352</v>
      </c>
      <c r="I120" s="3">
        <f t="shared" si="79"/>
        <v>0.33999999999999986</v>
      </c>
      <c r="J120" s="2">
        <f t="shared" si="80"/>
        <v>600</v>
      </c>
    </row>
    <row r="121" spans="1:10" x14ac:dyDescent="0.2">
      <c r="A121" s="21" t="s">
        <v>43</v>
      </c>
      <c r="B121" s="14" t="s">
        <v>196</v>
      </c>
      <c r="C121" s="3">
        <v>5.93</v>
      </c>
      <c r="D121" s="2">
        <v>20</v>
      </c>
      <c r="E121" s="3">
        <f t="shared" si="77"/>
        <v>118.6</v>
      </c>
      <c r="F121" s="3">
        <v>6.18</v>
      </c>
      <c r="G121" s="2">
        <v>20</v>
      </c>
      <c r="H121" s="3">
        <f t="shared" si="78"/>
        <v>123.6</v>
      </c>
      <c r="I121" s="3">
        <f t="shared" si="79"/>
        <v>0.25</v>
      </c>
      <c r="J121" s="2">
        <f t="shared" si="80"/>
        <v>0</v>
      </c>
    </row>
    <row r="122" spans="1:10" x14ac:dyDescent="0.2">
      <c r="A122" s="21" t="s">
        <v>44</v>
      </c>
      <c r="B122" s="14" t="s">
        <v>197</v>
      </c>
      <c r="C122" s="3">
        <v>7.79</v>
      </c>
      <c r="D122" s="2">
        <v>20</v>
      </c>
      <c r="E122" s="3">
        <f t="shared" si="77"/>
        <v>155.80000000000001</v>
      </c>
      <c r="F122" s="3">
        <v>8.08</v>
      </c>
      <c r="G122" s="2">
        <v>20</v>
      </c>
      <c r="H122" s="3">
        <f t="shared" si="78"/>
        <v>161.6</v>
      </c>
      <c r="I122" s="3">
        <f t="shared" si="79"/>
        <v>0.29000000000000004</v>
      </c>
      <c r="J122" s="2">
        <f t="shared" si="80"/>
        <v>0</v>
      </c>
    </row>
    <row r="123" spans="1:10" x14ac:dyDescent="0.2">
      <c r="A123" s="21" t="s">
        <v>45</v>
      </c>
      <c r="B123" s="14" t="s">
        <v>426</v>
      </c>
      <c r="C123" s="3"/>
      <c r="D123" s="2"/>
      <c r="E123" s="3"/>
      <c r="F123" s="3"/>
      <c r="G123" s="2"/>
      <c r="H123" s="3"/>
      <c r="I123" s="3"/>
      <c r="J123" s="2"/>
    </row>
    <row r="124" spans="1:10" x14ac:dyDescent="0.2">
      <c r="A124" s="21" t="s">
        <v>427</v>
      </c>
      <c r="B124" s="14" t="s">
        <v>429</v>
      </c>
      <c r="C124" s="3">
        <v>7.81</v>
      </c>
      <c r="D124" s="2">
        <v>100</v>
      </c>
      <c r="E124" s="3">
        <f t="shared" ref="E124:E126" si="81">C124*D124</f>
        <v>781</v>
      </c>
      <c r="F124" s="3">
        <v>8.06</v>
      </c>
      <c r="G124" s="2">
        <v>100</v>
      </c>
      <c r="H124" s="3">
        <f t="shared" si="78"/>
        <v>806</v>
      </c>
      <c r="I124" s="3">
        <f t="shared" si="79"/>
        <v>0.25000000000000089</v>
      </c>
      <c r="J124" s="2">
        <f t="shared" si="80"/>
        <v>0</v>
      </c>
    </row>
    <row r="125" spans="1:10" x14ac:dyDescent="0.2">
      <c r="A125" s="21" t="s">
        <v>428</v>
      </c>
      <c r="B125" s="14" t="s">
        <v>430</v>
      </c>
      <c r="C125" s="3">
        <v>7.45</v>
      </c>
      <c r="D125" s="2">
        <v>100</v>
      </c>
      <c r="E125" s="3">
        <f t="shared" si="81"/>
        <v>745</v>
      </c>
      <c r="F125" s="3">
        <v>7.7</v>
      </c>
      <c r="G125" s="2">
        <v>100</v>
      </c>
      <c r="H125" s="3">
        <f t="shared" si="78"/>
        <v>770</v>
      </c>
      <c r="I125" s="3">
        <f t="shared" si="79"/>
        <v>0.25</v>
      </c>
      <c r="J125" s="2">
        <f t="shared" si="80"/>
        <v>0</v>
      </c>
    </row>
    <row r="126" spans="1:10" x14ac:dyDescent="0.2">
      <c r="A126" s="21" t="s">
        <v>46</v>
      </c>
      <c r="B126" s="14" t="s">
        <v>198</v>
      </c>
      <c r="C126" s="3">
        <v>5.9</v>
      </c>
      <c r="D126" s="2">
        <v>5</v>
      </c>
      <c r="E126" s="3">
        <f t="shared" si="81"/>
        <v>29.5</v>
      </c>
      <c r="F126" s="3">
        <v>6.11</v>
      </c>
      <c r="G126" s="2">
        <v>5</v>
      </c>
      <c r="H126" s="3">
        <f t="shared" si="78"/>
        <v>30.55</v>
      </c>
      <c r="I126" s="3">
        <f t="shared" si="79"/>
        <v>0.20999999999999996</v>
      </c>
      <c r="J126" s="2">
        <f t="shared" si="80"/>
        <v>0</v>
      </c>
    </row>
    <row r="127" spans="1:10" x14ac:dyDescent="0.2">
      <c r="A127" s="21" t="s">
        <v>47</v>
      </c>
      <c r="B127" s="14" t="s">
        <v>199</v>
      </c>
      <c r="C127" s="3"/>
      <c r="D127" s="2"/>
      <c r="E127" s="3"/>
      <c r="F127" s="3"/>
      <c r="G127" s="2"/>
      <c r="H127" s="3"/>
      <c r="I127" s="3"/>
      <c r="J127" s="2"/>
    </row>
    <row r="128" spans="1:10" ht="13.5" customHeight="1" x14ac:dyDescent="0.2">
      <c r="A128" s="21" t="s">
        <v>433</v>
      </c>
      <c r="B128" s="14" t="s">
        <v>431</v>
      </c>
      <c r="C128" s="3">
        <v>31.89</v>
      </c>
      <c r="D128" s="2">
        <v>5</v>
      </c>
      <c r="E128" s="3">
        <f t="shared" ref="E128:E131" si="82">C128*D128</f>
        <v>159.44999999999999</v>
      </c>
      <c r="F128" s="3">
        <v>33.6</v>
      </c>
      <c r="G128" s="2">
        <v>5</v>
      </c>
      <c r="H128" s="3">
        <f t="shared" si="78"/>
        <v>168</v>
      </c>
      <c r="I128" s="3">
        <f t="shared" si="79"/>
        <v>1.7100000000000009</v>
      </c>
      <c r="J128" s="2">
        <f t="shared" si="80"/>
        <v>0</v>
      </c>
    </row>
    <row r="129" spans="1:10" ht="13.5" customHeight="1" x14ac:dyDescent="0.2">
      <c r="A129" s="21" t="s">
        <v>434</v>
      </c>
      <c r="B129" s="14" t="s">
        <v>432</v>
      </c>
      <c r="C129" s="3">
        <v>41.23</v>
      </c>
      <c r="D129" s="2">
        <v>10</v>
      </c>
      <c r="E129" s="3">
        <f t="shared" si="82"/>
        <v>412.29999999999995</v>
      </c>
      <c r="F129" s="3">
        <v>43.5</v>
      </c>
      <c r="G129" s="2">
        <v>10</v>
      </c>
      <c r="H129" s="3">
        <f t="shared" si="78"/>
        <v>435</v>
      </c>
      <c r="I129" s="3">
        <f t="shared" si="79"/>
        <v>2.2700000000000031</v>
      </c>
      <c r="J129" s="2">
        <f t="shared" si="80"/>
        <v>0</v>
      </c>
    </row>
    <row r="130" spans="1:10" ht="13.5" customHeight="1" x14ac:dyDescent="0.2">
      <c r="A130" s="21" t="s">
        <v>48</v>
      </c>
      <c r="B130" s="14" t="s">
        <v>540</v>
      </c>
      <c r="C130" s="3">
        <v>7.84</v>
      </c>
      <c r="D130" s="2">
        <v>5</v>
      </c>
      <c r="E130" s="3">
        <f t="shared" si="82"/>
        <v>39.200000000000003</v>
      </c>
      <c r="F130" s="3">
        <v>8.0500000000000007</v>
      </c>
      <c r="G130" s="2">
        <v>5</v>
      </c>
      <c r="H130" s="3">
        <f t="shared" si="78"/>
        <v>40.25</v>
      </c>
      <c r="I130" s="3">
        <f t="shared" si="79"/>
        <v>0.21000000000000085</v>
      </c>
      <c r="J130" s="2">
        <f t="shared" si="80"/>
        <v>0</v>
      </c>
    </row>
    <row r="131" spans="1:10" ht="13.5" customHeight="1" x14ac:dyDescent="0.2">
      <c r="A131" s="21" t="s">
        <v>49</v>
      </c>
      <c r="B131" s="13" t="s">
        <v>200</v>
      </c>
      <c r="C131" s="3">
        <v>16.93</v>
      </c>
      <c r="D131" s="2">
        <v>5</v>
      </c>
      <c r="E131" s="3">
        <f t="shared" si="82"/>
        <v>84.65</v>
      </c>
      <c r="F131" s="3">
        <v>17.55</v>
      </c>
      <c r="G131" s="2">
        <v>5</v>
      </c>
      <c r="H131" s="3">
        <f t="shared" si="78"/>
        <v>87.75</v>
      </c>
      <c r="I131" s="3">
        <f t="shared" si="79"/>
        <v>0.62000000000000099</v>
      </c>
      <c r="J131" s="2">
        <f t="shared" si="80"/>
        <v>0</v>
      </c>
    </row>
    <row r="132" spans="1:10" ht="13.5" customHeight="1" x14ac:dyDescent="0.2">
      <c r="A132" s="21" t="s">
        <v>50</v>
      </c>
      <c r="B132" s="13" t="s">
        <v>201</v>
      </c>
      <c r="C132" s="10"/>
      <c r="D132" s="10"/>
      <c r="E132" s="3"/>
      <c r="F132" s="10"/>
      <c r="G132" s="10"/>
      <c r="H132" s="3"/>
      <c r="I132" s="3"/>
      <c r="J132" s="2"/>
    </row>
    <row r="133" spans="1:10" ht="13.5" customHeight="1" x14ac:dyDescent="0.2">
      <c r="A133" s="21" t="s">
        <v>51</v>
      </c>
      <c r="B133" s="13" t="s">
        <v>567</v>
      </c>
      <c r="C133" s="3">
        <v>15.16</v>
      </c>
      <c r="D133" s="2">
        <v>10</v>
      </c>
      <c r="E133" s="3">
        <f t="shared" ref="E133:E135" si="83">C133*D133</f>
        <v>151.6</v>
      </c>
      <c r="F133" s="3">
        <v>15.54</v>
      </c>
      <c r="G133" s="2">
        <v>10</v>
      </c>
      <c r="H133" s="3">
        <f t="shared" si="78"/>
        <v>155.39999999999998</v>
      </c>
      <c r="I133" s="3">
        <f t="shared" si="79"/>
        <v>0.37999999999999901</v>
      </c>
      <c r="J133" s="2">
        <f t="shared" si="80"/>
        <v>0</v>
      </c>
    </row>
    <row r="134" spans="1:10" ht="13.5" customHeight="1" x14ac:dyDescent="0.2">
      <c r="A134" s="21" t="s">
        <v>52</v>
      </c>
      <c r="B134" s="13" t="s">
        <v>202</v>
      </c>
      <c r="C134" s="3">
        <v>18.88</v>
      </c>
      <c r="D134" s="2">
        <v>10</v>
      </c>
      <c r="E134" s="3">
        <f t="shared" si="83"/>
        <v>188.79999999999998</v>
      </c>
      <c r="F134" s="3">
        <v>19.45</v>
      </c>
      <c r="G134" s="2">
        <v>10</v>
      </c>
      <c r="H134" s="3">
        <f t="shared" si="78"/>
        <v>194.5</v>
      </c>
      <c r="I134" s="3">
        <f t="shared" si="79"/>
        <v>0.57000000000000028</v>
      </c>
      <c r="J134" s="2">
        <f t="shared" si="80"/>
        <v>0</v>
      </c>
    </row>
    <row r="135" spans="1:10" ht="13.5" customHeight="1" x14ac:dyDescent="0.2">
      <c r="A135" s="21" t="s">
        <v>53</v>
      </c>
      <c r="B135" s="13" t="s">
        <v>203</v>
      </c>
      <c r="C135" s="3">
        <v>22.56</v>
      </c>
      <c r="D135" s="2">
        <v>10</v>
      </c>
      <c r="E135" s="3">
        <f t="shared" si="83"/>
        <v>225.6</v>
      </c>
      <c r="F135" s="3">
        <v>23.22</v>
      </c>
      <c r="G135" s="2">
        <v>10</v>
      </c>
      <c r="H135" s="3">
        <f t="shared" si="78"/>
        <v>232.2</v>
      </c>
      <c r="I135" s="3">
        <f t="shared" si="79"/>
        <v>0.66000000000000014</v>
      </c>
      <c r="J135" s="2">
        <f t="shared" si="80"/>
        <v>0</v>
      </c>
    </row>
    <row r="136" spans="1:10" ht="13.5" customHeight="1" x14ac:dyDescent="0.2">
      <c r="A136" s="21" t="s">
        <v>435</v>
      </c>
      <c r="B136" s="13" t="s">
        <v>438</v>
      </c>
      <c r="C136" s="3"/>
      <c r="D136" s="2"/>
      <c r="E136" s="3"/>
      <c r="F136" s="3"/>
      <c r="G136" s="2"/>
      <c r="H136" s="3"/>
      <c r="I136" s="3"/>
      <c r="J136" s="2"/>
    </row>
    <row r="137" spans="1:10" ht="13.5" customHeight="1" x14ac:dyDescent="0.2">
      <c r="A137" s="21" t="s">
        <v>436</v>
      </c>
      <c r="B137" s="13" t="s">
        <v>439</v>
      </c>
      <c r="C137" s="3">
        <v>6.41</v>
      </c>
      <c r="D137" s="2">
        <v>50</v>
      </c>
      <c r="E137" s="3">
        <f t="shared" ref="E137:E138" si="84">C137*D137</f>
        <v>320.5</v>
      </c>
      <c r="F137" s="3">
        <v>6.67</v>
      </c>
      <c r="G137" s="2">
        <v>50</v>
      </c>
      <c r="H137" s="3">
        <f t="shared" si="78"/>
        <v>333.5</v>
      </c>
      <c r="I137" s="3">
        <f t="shared" si="79"/>
        <v>0.25999999999999979</v>
      </c>
      <c r="J137" s="2">
        <f t="shared" si="80"/>
        <v>0</v>
      </c>
    </row>
    <row r="138" spans="1:10" ht="13.5" customHeight="1" x14ac:dyDescent="0.2">
      <c r="A138" s="21" t="s">
        <v>437</v>
      </c>
      <c r="B138" s="13" t="s">
        <v>440</v>
      </c>
      <c r="C138" s="3">
        <v>7.95</v>
      </c>
      <c r="D138" s="2">
        <v>50</v>
      </c>
      <c r="E138" s="3">
        <f t="shared" si="84"/>
        <v>397.5</v>
      </c>
      <c r="F138" s="3">
        <v>8.24</v>
      </c>
      <c r="G138" s="2">
        <v>50</v>
      </c>
      <c r="H138" s="3">
        <f t="shared" si="78"/>
        <v>412</v>
      </c>
      <c r="I138" s="3">
        <f t="shared" si="79"/>
        <v>0.29000000000000004</v>
      </c>
      <c r="J138" s="2">
        <f t="shared" si="80"/>
        <v>0</v>
      </c>
    </row>
    <row r="139" spans="1:10" ht="13.5" customHeight="1" x14ac:dyDescent="0.2">
      <c r="A139" s="21" t="s">
        <v>54</v>
      </c>
      <c r="B139" s="13" t="s">
        <v>204</v>
      </c>
      <c r="C139" s="10"/>
      <c r="D139" s="10"/>
      <c r="E139" s="3"/>
      <c r="F139" s="10"/>
      <c r="G139" s="10"/>
      <c r="H139" s="3"/>
      <c r="I139" s="3"/>
      <c r="J139" s="2"/>
    </row>
    <row r="140" spans="1:10" x14ac:dyDescent="0.2">
      <c r="A140" s="21" t="s">
        <v>55</v>
      </c>
      <c r="B140" s="14" t="s">
        <v>205</v>
      </c>
      <c r="C140" s="3">
        <v>6.05</v>
      </c>
      <c r="D140" s="2">
        <v>50</v>
      </c>
      <c r="E140" s="3">
        <f t="shared" ref="E140:E149" si="85">C140*D140</f>
        <v>302.5</v>
      </c>
      <c r="F140" s="3">
        <v>6.44</v>
      </c>
      <c r="G140" s="2">
        <v>50</v>
      </c>
      <c r="H140" s="3">
        <f t="shared" si="78"/>
        <v>322</v>
      </c>
      <c r="I140" s="3">
        <f t="shared" si="79"/>
        <v>0.39000000000000057</v>
      </c>
      <c r="J140" s="2">
        <f t="shared" si="80"/>
        <v>0</v>
      </c>
    </row>
    <row r="141" spans="1:10" x14ac:dyDescent="0.2">
      <c r="A141" s="21" t="s">
        <v>56</v>
      </c>
      <c r="B141" s="14" t="s">
        <v>568</v>
      </c>
      <c r="C141" s="3">
        <v>5.81</v>
      </c>
      <c r="D141" s="2">
        <v>20</v>
      </c>
      <c r="E141" s="3">
        <f t="shared" si="85"/>
        <v>116.19999999999999</v>
      </c>
      <c r="F141" s="3">
        <v>6.03</v>
      </c>
      <c r="G141" s="2">
        <v>20</v>
      </c>
      <c r="H141" s="3">
        <f t="shared" si="78"/>
        <v>120.60000000000001</v>
      </c>
      <c r="I141" s="3">
        <f t="shared" si="79"/>
        <v>0.22000000000000064</v>
      </c>
      <c r="J141" s="2">
        <f t="shared" si="80"/>
        <v>0</v>
      </c>
    </row>
    <row r="142" spans="1:10" ht="13.5" customHeight="1" x14ac:dyDescent="0.2">
      <c r="A142" s="21" t="s">
        <v>57</v>
      </c>
      <c r="B142" s="14" t="s">
        <v>206</v>
      </c>
      <c r="C142" s="3">
        <v>11.92</v>
      </c>
      <c r="D142" s="2">
        <v>50</v>
      </c>
      <c r="E142" s="3">
        <f t="shared" si="85"/>
        <v>596</v>
      </c>
      <c r="F142" s="3">
        <v>12.91</v>
      </c>
      <c r="G142" s="61">
        <f>50+500</f>
        <v>550</v>
      </c>
      <c r="H142" s="3">
        <f t="shared" si="78"/>
        <v>7100.5</v>
      </c>
      <c r="I142" s="3">
        <f t="shared" si="79"/>
        <v>0.99000000000000021</v>
      </c>
      <c r="J142" s="2">
        <f t="shared" si="80"/>
        <v>500</v>
      </c>
    </row>
    <row r="143" spans="1:10" ht="13.5" customHeight="1" x14ac:dyDescent="0.2">
      <c r="A143" s="21" t="s">
        <v>58</v>
      </c>
      <c r="B143" s="14" t="s">
        <v>207</v>
      </c>
      <c r="C143" s="3">
        <v>12.01</v>
      </c>
      <c r="D143" s="2">
        <v>5</v>
      </c>
      <c r="E143" s="3">
        <f t="shared" si="85"/>
        <v>60.05</v>
      </c>
      <c r="F143" s="3">
        <v>13</v>
      </c>
      <c r="G143" s="2">
        <v>5</v>
      </c>
      <c r="H143" s="3">
        <f t="shared" si="78"/>
        <v>65</v>
      </c>
      <c r="I143" s="3">
        <f t="shared" si="79"/>
        <v>0.99000000000000021</v>
      </c>
      <c r="J143" s="2">
        <f t="shared" si="80"/>
        <v>0</v>
      </c>
    </row>
    <row r="144" spans="1:10" x14ac:dyDescent="0.2">
      <c r="A144" s="21" t="s">
        <v>59</v>
      </c>
      <c r="B144" s="14" t="s">
        <v>208</v>
      </c>
      <c r="C144" s="3">
        <v>17.52</v>
      </c>
      <c r="D144" s="2">
        <v>10</v>
      </c>
      <c r="E144" s="3">
        <f t="shared" si="85"/>
        <v>175.2</v>
      </c>
      <c r="F144" s="3">
        <v>18.690000000000001</v>
      </c>
      <c r="G144" s="2">
        <v>10</v>
      </c>
      <c r="H144" s="3">
        <f t="shared" si="78"/>
        <v>186.9</v>
      </c>
      <c r="I144" s="3">
        <f t="shared" si="79"/>
        <v>1.1700000000000017</v>
      </c>
      <c r="J144" s="2">
        <f t="shared" si="80"/>
        <v>0</v>
      </c>
    </row>
    <row r="145" spans="1:10" ht="13.5" customHeight="1" x14ac:dyDescent="0.2">
      <c r="A145" s="21" t="s">
        <v>60</v>
      </c>
      <c r="B145" s="14" t="s">
        <v>541</v>
      </c>
      <c r="C145" s="3">
        <v>8.06</v>
      </c>
      <c r="D145" s="2">
        <v>5</v>
      </c>
      <c r="E145" s="3">
        <f t="shared" si="85"/>
        <v>40.300000000000004</v>
      </c>
      <c r="F145" s="3">
        <v>8.75</v>
      </c>
      <c r="G145" s="2">
        <v>5</v>
      </c>
      <c r="H145" s="3">
        <f t="shared" si="78"/>
        <v>43.75</v>
      </c>
      <c r="I145" s="3">
        <f t="shared" si="79"/>
        <v>0.6899999999999995</v>
      </c>
      <c r="J145" s="2">
        <f t="shared" si="80"/>
        <v>0</v>
      </c>
    </row>
    <row r="146" spans="1:10" ht="13.5" customHeight="1" x14ac:dyDescent="0.2">
      <c r="A146" s="21" t="s">
        <v>61</v>
      </c>
      <c r="B146" s="14" t="s">
        <v>209</v>
      </c>
      <c r="C146" s="3">
        <v>9.5</v>
      </c>
      <c r="D146" s="2">
        <v>80</v>
      </c>
      <c r="E146" s="3">
        <f t="shared" si="85"/>
        <v>760</v>
      </c>
      <c r="F146" s="3">
        <v>10.050000000000001</v>
      </c>
      <c r="G146" s="2">
        <v>80</v>
      </c>
      <c r="H146" s="3">
        <f t="shared" si="78"/>
        <v>804</v>
      </c>
      <c r="I146" s="3">
        <f t="shared" si="79"/>
        <v>0.55000000000000071</v>
      </c>
      <c r="J146" s="2">
        <f t="shared" si="80"/>
        <v>0</v>
      </c>
    </row>
    <row r="147" spans="1:10" ht="13.5" customHeight="1" x14ac:dyDescent="0.2">
      <c r="A147" s="21" t="s">
        <v>62</v>
      </c>
      <c r="B147" s="13" t="s">
        <v>210</v>
      </c>
      <c r="C147" s="3">
        <v>12.17</v>
      </c>
      <c r="D147" s="2">
        <v>20</v>
      </c>
      <c r="E147" s="3">
        <f t="shared" si="85"/>
        <v>243.4</v>
      </c>
      <c r="F147" s="3">
        <v>13.84</v>
      </c>
      <c r="G147" s="2">
        <v>20</v>
      </c>
      <c r="H147" s="3">
        <f t="shared" si="78"/>
        <v>276.8</v>
      </c>
      <c r="I147" s="3">
        <f t="shared" si="79"/>
        <v>1.67</v>
      </c>
      <c r="J147" s="2">
        <f t="shared" si="80"/>
        <v>0</v>
      </c>
    </row>
    <row r="148" spans="1:10" x14ac:dyDescent="0.2">
      <c r="A148" s="21" t="s">
        <v>63</v>
      </c>
      <c r="B148" s="13" t="s">
        <v>211</v>
      </c>
      <c r="C148" s="3">
        <v>5.96</v>
      </c>
      <c r="D148" s="2">
        <v>50</v>
      </c>
      <c r="E148" s="3">
        <f t="shared" si="85"/>
        <v>298</v>
      </c>
      <c r="F148" s="3">
        <v>8.64</v>
      </c>
      <c r="G148" s="2">
        <v>50</v>
      </c>
      <c r="H148" s="3">
        <f t="shared" si="78"/>
        <v>432</v>
      </c>
      <c r="I148" s="3">
        <f t="shared" si="79"/>
        <v>2.6800000000000006</v>
      </c>
      <c r="J148" s="2">
        <f t="shared" si="80"/>
        <v>0</v>
      </c>
    </row>
    <row r="149" spans="1:10" x14ac:dyDescent="0.2">
      <c r="A149" s="21" t="s">
        <v>441</v>
      </c>
      <c r="B149" s="13" t="s">
        <v>442</v>
      </c>
      <c r="C149" s="3">
        <v>3.54</v>
      </c>
      <c r="D149" s="2">
        <v>50</v>
      </c>
      <c r="E149" s="3">
        <f t="shared" si="85"/>
        <v>177</v>
      </c>
      <c r="F149" s="3">
        <v>4.5199999999999996</v>
      </c>
      <c r="G149" s="2">
        <v>50</v>
      </c>
      <c r="H149" s="3">
        <f t="shared" si="78"/>
        <v>225.99999999999997</v>
      </c>
      <c r="I149" s="3">
        <f t="shared" si="79"/>
        <v>0.97999999999999954</v>
      </c>
      <c r="J149" s="2">
        <f t="shared" si="80"/>
        <v>0</v>
      </c>
    </row>
    <row r="150" spans="1:10" x14ac:dyDescent="0.2">
      <c r="A150" s="21" t="s">
        <v>443</v>
      </c>
      <c r="B150" s="13" t="s">
        <v>454</v>
      </c>
      <c r="C150" s="3"/>
      <c r="D150" s="2"/>
      <c r="E150" s="3"/>
      <c r="F150" s="3"/>
      <c r="G150" s="2"/>
      <c r="H150" s="3"/>
      <c r="I150" s="3"/>
      <c r="J150" s="2"/>
    </row>
    <row r="151" spans="1:10" x14ac:dyDescent="0.2">
      <c r="A151" s="21" t="s">
        <v>444</v>
      </c>
      <c r="B151" s="13" t="s">
        <v>455</v>
      </c>
      <c r="C151" s="3">
        <v>6.14</v>
      </c>
      <c r="D151" s="2">
        <v>100</v>
      </c>
      <c r="E151" s="3">
        <f t="shared" ref="E151:E152" si="86">C151*D151</f>
        <v>614</v>
      </c>
      <c r="F151" s="3">
        <v>7.18</v>
      </c>
      <c r="G151" s="2">
        <v>100</v>
      </c>
      <c r="H151" s="3">
        <f t="shared" si="78"/>
        <v>718</v>
      </c>
      <c r="I151" s="3">
        <f t="shared" si="79"/>
        <v>1.04</v>
      </c>
      <c r="J151" s="2">
        <f>G151-D151</f>
        <v>0</v>
      </c>
    </row>
    <row r="152" spans="1:10" x14ac:dyDescent="0.2">
      <c r="A152" s="21" t="s">
        <v>445</v>
      </c>
      <c r="B152" s="13" t="s">
        <v>456</v>
      </c>
      <c r="C152" s="3">
        <v>4.6399999999999997</v>
      </c>
      <c r="D152" s="2">
        <v>100</v>
      </c>
      <c r="E152" s="3">
        <f t="shared" si="86"/>
        <v>463.99999999999994</v>
      </c>
      <c r="F152" s="3">
        <v>5.68</v>
      </c>
      <c r="G152" s="2">
        <v>100</v>
      </c>
      <c r="H152" s="3">
        <f t="shared" si="78"/>
        <v>568</v>
      </c>
      <c r="I152" s="3">
        <f t="shared" si="79"/>
        <v>1.04</v>
      </c>
      <c r="J152" s="2">
        <f>G152-D152</f>
        <v>0</v>
      </c>
    </row>
    <row r="153" spans="1:10" x14ac:dyDescent="0.2">
      <c r="A153" s="21" t="s">
        <v>446</v>
      </c>
      <c r="B153" s="13" t="s">
        <v>457</v>
      </c>
      <c r="C153" s="3">
        <v>5.52</v>
      </c>
      <c r="D153" s="2">
        <v>100</v>
      </c>
      <c r="E153" s="3">
        <f>C153*D153</f>
        <v>552</v>
      </c>
      <c r="F153" s="3">
        <v>6.56</v>
      </c>
      <c r="G153" s="2">
        <v>100</v>
      </c>
      <c r="H153" s="3">
        <f>F153*G153</f>
        <v>656</v>
      </c>
      <c r="I153" s="3">
        <f>F153-C153</f>
        <v>1.04</v>
      </c>
      <c r="J153" s="2">
        <f t="shared" si="80"/>
        <v>0</v>
      </c>
    </row>
    <row r="154" spans="1:10" x14ac:dyDescent="0.2">
      <c r="A154" s="21" t="s">
        <v>447</v>
      </c>
      <c r="B154" s="13" t="s">
        <v>458</v>
      </c>
      <c r="C154" s="3"/>
      <c r="D154" s="2"/>
      <c r="E154" s="3"/>
      <c r="F154" s="3"/>
      <c r="G154" s="2"/>
      <c r="H154" s="3"/>
      <c r="I154" s="3"/>
      <c r="J154" s="2"/>
    </row>
    <row r="155" spans="1:10" x14ac:dyDescent="0.2">
      <c r="A155" s="21" t="s">
        <v>448</v>
      </c>
      <c r="B155" s="13" t="s">
        <v>459</v>
      </c>
      <c r="C155" s="3">
        <v>6.9</v>
      </c>
      <c r="D155" s="2">
        <v>5</v>
      </c>
      <c r="E155" s="3">
        <f t="shared" ref="E155:E162" si="87">C155*D155</f>
        <v>34.5</v>
      </c>
      <c r="F155" s="3">
        <v>7.6</v>
      </c>
      <c r="G155" s="2">
        <v>5</v>
      </c>
      <c r="H155" s="3">
        <f t="shared" si="78"/>
        <v>38</v>
      </c>
      <c r="I155" s="3">
        <f t="shared" si="79"/>
        <v>0.69999999999999929</v>
      </c>
      <c r="J155" s="2">
        <f t="shared" si="80"/>
        <v>0</v>
      </c>
    </row>
    <row r="156" spans="1:10" x14ac:dyDescent="0.2">
      <c r="A156" s="21" t="s">
        <v>449</v>
      </c>
      <c r="B156" s="13" t="s">
        <v>459</v>
      </c>
      <c r="C156" s="3">
        <v>10.34</v>
      </c>
      <c r="D156" s="2">
        <v>5</v>
      </c>
      <c r="E156" s="3">
        <f t="shared" si="87"/>
        <v>51.7</v>
      </c>
      <c r="F156" s="3">
        <v>11.33</v>
      </c>
      <c r="G156" s="2">
        <v>5</v>
      </c>
      <c r="H156" s="3">
        <f t="shared" si="78"/>
        <v>56.65</v>
      </c>
      <c r="I156" s="3">
        <f t="shared" si="79"/>
        <v>0.99000000000000021</v>
      </c>
      <c r="J156" s="2">
        <f t="shared" si="80"/>
        <v>0</v>
      </c>
    </row>
    <row r="157" spans="1:10" x14ac:dyDescent="0.2">
      <c r="A157" s="21" t="s">
        <v>450</v>
      </c>
      <c r="B157" s="13" t="s">
        <v>460</v>
      </c>
      <c r="C157" s="3">
        <v>10.9</v>
      </c>
      <c r="D157" s="2">
        <v>5</v>
      </c>
      <c r="E157" s="3">
        <f t="shared" si="87"/>
        <v>54.5</v>
      </c>
      <c r="F157" s="3"/>
      <c r="G157" s="2">
        <v>0</v>
      </c>
      <c r="H157" s="3">
        <f t="shared" si="78"/>
        <v>0</v>
      </c>
      <c r="I157" s="3">
        <f t="shared" si="79"/>
        <v>-10.9</v>
      </c>
      <c r="J157" s="2">
        <f t="shared" si="80"/>
        <v>-5</v>
      </c>
    </row>
    <row r="158" spans="1:10" x14ac:dyDescent="0.2">
      <c r="A158" s="21" t="s">
        <v>450</v>
      </c>
      <c r="B158" s="13" t="s">
        <v>581</v>
      </c>
      <c r="C158" s="3"/>
      <c r="D158" s="2"/>
      <c r="E158" s="3"/>
      <c r="F158" s="3">
        <v>12.84</v>
      </c>
      <c r="G158" s="2">
        <v>5</v>
      </c>
      <c r="H158" s="3">
        <f t="shared" ref="H158" si="88">F158*G158</f>
        <v>64.2</v>
      </c>
      <c r="I158" s="3">
        <f t="shared" ref="I158" si="89">F158-C158</f>
        <v>12.84</v>
      </c>
      <c r="J158" s="2">
        <f t="shared" ref="J158" si="90">G158-D158</f>
        <v>5</v>
      </c>
    </row>
    <row r="159" spans="1:10" x14ac:dyDescent="0.2">
      <c r="A159" s="21" t="s">
        <v>451</v>
      </c>
      <c r="B159" s="13" t="s">
        <v>461</v>
      </c>
      <c r="C159" s="3">
        <v>13.9</v>
      </c>
      <c r="D159" s="2">
        <v>5</v>
      </c>
      <c r="E159" s="3">
        <f t="shared" si="87"/>
        <v>69.5</v>
      </c>
      <c r="F159" s="3"/>
      <c r="G159" s="2">
        <v>0</v>
      </c>
      <c r="H159" s="3">
        <f t="shared" si="78"/>
        <v>0</v>
      </c>
      <c r="I159" s="3">
        <f t="shared" si="79"/>
        <v>-13.9</v>
      </c>
      <c r="J159" s="2">
        <f t="shared" si="80"/>
        <v>-5</v>
      </c>
    </row>
    <row r="160" spans="1:10" x14ac:dyDescent="0.2">
      <c r="A160" s="21" t="s">
        <v>451</v>
      </c>
      <c r="B160" s="13" t="s">
        <v>582</v>
      </c>
      <c r="C160" s="3"/>
      <c r="D160" s="2"/>
      <c r="E160" s="3"/>
      <c r="F160" s="3">
        <v>12.84</v>
      </c>
      <c r="G160" s="2">
        <v>5</v>
      </c>
      <c r="H160" s="3">
        <f t="shared" ref="H160" si="91">F160*G160</f>
        <v>64.2</v>
      </c>
      <c r="I160" s="3">
        <f t="shared" ref="I160" si="92">F160-C160</f>
        <v>12.84</v>
      </c>
      <c r="J160" s="2">
        <f t="shared" ref="J160" si="93">G160-D160</f>
        <v>5</v>
      </c>
    </row>
    <row r="161" spans="1:10" x14ac:dyDescent="0.2">
      <c r="A161" s="21" t="s">
        <v>452</v>
      </c>
      <c r="B161" s="13" t="s">
        <v>462</v>
      </c>
      <c r="C161" s="3">
        <v>4.0999999999999996</v>
      </c>
      <c r="D161" s="2">
        <v>5</v>
      </c>
      <c r="E161" s="3">
        <f t="shared" si="87"/>
        <v>20.5</v>
      </c>
      <c r="F161" s="3">
        <v>4.91</v>
      </c>
      <c r="G161" s="2">
        <v>5</v>
      </c>
      <c r="H161" s="3">
        <f t="shared" si="78"/>
        <v>24.55</v>
      </c>
      <c r="I161" s="3">
        <f t="shared" si="79"/>
        <v>0.8100000000000005</v>
      </c>
      <c r="J161" s="2">
        <f t="shared" si="80"/>
        <v>0</v>
      </c>
    </row>
    <row r="162" spans="1:10" x14ac:dyDescent="0.2">
      <c r="A162" s="21" t="s">
        <v>453</v>
      </c>
      <c r="B162" s="13" t="s">
        <v>462</v>
      </c>
      <c r="C162" s="3">
        <v>6.86</v>
      </c>
      <c r="D162" s="2">
        <v>5</v>
      </c>
      <c r="E162" s="3">
        <f t="shared" si="87"/>
        <v>34.300000000000004</v>
      </c>
      <c r="F162" s="3">
        <v>8.44</v>
      </c>
      <c r="G162" s="2">
        <v>5</v>
      </c>
      <c r="H162" s="3">
        <f t="shared" si="78"/>
        <v>42.199999999999996</v>
      </c>
      <c r="I162" s="3">
        <f t="shared" si="79"/>
        <v>1.5799999999999992</v>
      </c>
      <c r="J162" s="2">
        <f t="shared" si="80"/>
        <v>0</v>
      </c>
    </row>
    <row r="163" spans="1:10" x14ac:dyDescent="0.2">
      <c r="A163" s="21" t="s">
        <v>583</v>
      </c>
      <c r="B163" s="13" t="s">
        <v>587</v>
      </c>
      <c r="C163" s="3"/>
      <c r="D163" s="2"/>
      <c r="E163" s="3"/>
      <c r="F163" s="3">
        <v>12.95</v>
      </c>
      <c r="G163" s="2">
        <v>10</v>
      </c>
      <c r="H163" s="3">
        <f t="shared" ref="H163:H166" si="94">F163*G163</f>
        <v>129.5</v>
      </c>
      <c r="I163" s="3">
        <f t="shared" ref="I163:I166" si="95">F163-C163</f>
        <v>12.95</v>
      </c>
      <c r="J163" s="2">
        <f t="shared" ref="J163:J166" si="96">G163-D163</f>
        <v>10</v>
      </c>
    </row>
    <row r="164" spans="1:10" x14ac:dyDescent="0.2">
      <c r="A164" s="21" t="s">
        <v>584</v>
      </c>
      <c r="B164" s="13" t="s">
        <v>587</v>
      </c>
      <c r="C164" s="3"/>
      <c r="D164" s="2"/>
      <c r="E164" s="3"/>
      <c r="F164" s="3">
        <v>15.79</v>
      </c>
      <c r="G164" s="2">
        <v>10</v>
      </c>
      <c r="H164" s="3">
        <f t="shared" si="94"/>
        <v>157.89999999999998</v>
      </c>
      <c r="I164" s="3">
        <f t="shared" si="95"/>
        <v>15.79</v>
      </c>
      <c r="J164" s="2">
        <f t="shared" si="96"/>
        <v>10</v>
      </c>
    </row>
    <row r="165" spans="1:10" x14ac:dyDescent="0.2">
      <c r="A165" s="21" t="s">
        <v>585</v>
      </c>
      <c r="B165" s="13" t="s">
        <v>637</v>
      </c>
      <c r="C165" s="3"/>
      <c r="D165" s="2"/>
      <c r="E165" s="3"/>
      <c r="F165" s="3">
        <v>12.34</v>
      </c>
      <c r="G165" s="2">
        <v>6</v>
      </c>
      <c r="H165" s="3">
        <f t="shared" si="94"/>
        <v>74.039999999999992</v>
      </c>
      <c r="I165" s="3">
        <f t="shared" si="95"/>
        <v>12.34</v>
      </c>
      <c r="J165" s="2">
        <f t="shared" si="96"/>
        <v>6</v>
      </c>
    </row>
    <row r="166" spans="1:10" x14ac:dyDescent="0.2">
      <c r="A166" s="21" t="s">
        <v>586</v>
      </c>
      <c r="B166" s="13" t="s">
        <v>596</v>
      </c>
      <c r="C166" s="3"/>
      <c r="D166" s="2"/>
      <c r="E166" s="3"/>
      <c r="F166" s="3">
        <v>23.28</v>
      </c>
      <c r="G166" s="2">
        <v>6</v>
      </c>
      <c r="H166" s="3">
        <f t="shared" si="94"/>
        <v>139.68</v>
      </c>
      <c r="I166" s="3">
        <f t="shared" si="95"/>
        <v>23.28</v>
      </c>
      <c r="J166" s="2">
        <f t="shared" si="96"/>
        <v>6</v>
      </c>
    </row>
    <row r="167" spans="1:10" ht="12.75" customHeight="1" x14ac:dyDescent="0.2">
      <c r="A167" s="21" t="s">
        <v>64</v>
      </c>
      <c r="B167" s="11" t="s">
        <v>357</v>
      </c>
      <c r="C167" s="10"/>
      <c r="D167" s="15"/>
      <c r="E167" s="3"/>
      <c r="F167" s="10"/>
      <c r="G167" s="15"/>
      <c r="H167" s="3"/>
      <c r="I167" s="3"/>
      <c r="J167" s="2"/>
    </row>
    <row r="168" spans="1:10" x14ac:dyDescent="0.2">
      <c r="A168" s="21" t="s">
        <v>65</v>
      </c>
      <c r="B168" s="11" t="s">
        <v>213</v>
      </c>
      <c r="C168" s="3">
        <v>6</v>
      </c>
      <c r="D168" s="2">
        <v>5</v>
      </c>
      <c r="E168" s="3">
        <f t="shared" ref="E168:E182" si="97">C168*D168</f>
        <v>30</v>
      </c>
      <c r="F168" s="3">
        <v>6.21</v>
      </c>
      <c r="G168" s="2">
        <v>5</v>
      </c>
      <c r="H168" s="3">
        <f t="shared" si="78"/>
        <v>31.05</v>
      </c>
      <c r="I168" s="3">
        <f t="shared" si="79"/>
        <v>0.20999999999999996</v>
      </c>
      <c r="J168" s="2">
        <f t="shared" si="80"/>
        <v>0</v>
      </c>
    </row>
    <row r="169" spans="1:10" x14ac:dyDescent="0.2">
      <c r="A169" s="21" t="s">
        <v>66</v>
      </c>
      <c r="B169" s="11" t="s">
        <v>214</v>
      </c>
      <c r="C169" s="3">
        <v>2.0099999999999998</v>
      </c>
      <c r="D169" s="2">
        <v>50</v>
      </c>
      <c r="E169" s="3">
        <f t="shared" si="97"/>
        <v>100.49999999999999</v>
      </c>
      <c r="F169" s="3">
        <v>2.09</v>
      </c>
      <c r="G169" s="2">
        <v>50</v>
      </c>
      <c r="H169" s="3">
        <f t="shared" si="78"/>
        <v>104.5</v>
      </c>
      <c r="I169" s="3">
        <f t="shared" si="79"/>
        <v>8.0000000000000071E-2</v>
      </c>
      <c r="J169" s="2">
        <f t="shared" si="80"/>
        <v>0</v>
      </c>
    </row>
    <row r="170" spans="1:10" x14ac:dyDescent="0.2">
      <c r="A170" s="21" t="s">
        <v>289</v>
      </c>
      <c r="B170" s="11" t="s">
        <v>215</v>
      </c>
      <c r="C170" s="3">
        <v>7.75</v>
      </c>
      <c r="D170" s="2">
        <v>30</v>
      </c>
      <c r="E170" s="3">
        <f t="shared" si="97"/>
        <v>232.5</v>
      </c>
      <c r="F170" s="3">
        <v>7.99</v>
      </c>
      <c r="G170" s="2">
        <v>30</v>
      </c>
      <c r="H170" s="3">
        <f t="shared" si="78"/>
        <v>239.70000000000002</v>
      </c>
      <c r="I170" s="3">
        <f t="shared" si="79"/>
        <v>0.24000000000000021</v>
      </c>
      <c r="J170" s="2">
        <f t="shared" si="80"/>
        <v>0</v>
      </c>
    </row>
    <row r="171" spans="1:10" ht="13.5" customHeight="1" x14ac:dyDescent="0.2">
      <c r="A171" s="21" t="s">
        <v>290</v>
      </c>
      <c r="B171" s="11" t="s">
        <v>216</v>
      </c>
      <c r="C171" s="3">
        <v>2.0099999999999998</v>
      </c>
      <c r="D171" s="2">
        <v>10</v>
      </c>
      <c r="E171" s="3">
        <f t="shared" si="97"/>
        <v>20.099999999999998</v>
      </c>
      <c r="F171" s="3">
        <v>2.09</v>
      </c>
      <c r="G171" s="2">
        <v>10</v>
      </c>
      <c r="H171" s="3">
        <f t="shared" si="78"/>
        <v>20.9</v>
      </c>
      <c r="I171" s="3">
        <f t="shared" si="79"/>
        <v>8.0000000000000071E-2</v>
      </c>
      <c r="J171" s="2">
        <f t="shared" si="80"/>
        <v>0</v>
      </c>
    </row>
    <row r="172" spans="1:10" x14ac:dyDescent="0.2">
      <c r="A172" s="21"/>
      <c r="B172" s="11" t="s">
        <v>217</v>
      </c>
      <c r="C172" s="3"/>
      <c r="D172" s="2"/>
      <c r="E172" s="3"/>
      <c r="F172" s="3"/>
      <c r="G172" s="2"/>
      <c r="H172" s="3"/>
      <c r="I172" s="3"/>
      <c r="J172" s="2"/>
    </row>
    <row r="173" spans="1:10" x14ac:dyDescent="0.2">
      <c r="A173" s="21" t="s">
        <v>291</v>
      </c>
      <c r="B173" s="11" t="s">
        <v>463</v>
      </c>
      <c r="C173" s="3">
        <v>10</v>
      </c>
      <c r="D173" s="2">
        <v>20</v>
      </c>
      <c r="E173" s="3">
        <f t="shared" si="97"/>
        <v>200</v>
      </c>
      <c r="F173" s="3">
        <v>11.88</v>
      </c>
      <c r="G173" s="2">
        <v>20</v>
      </c>
      <c r="H173" s="3">
        <f t="shared" si="78"/>
        <v>237.60000000000002</v>
      </c>
      <c r="I173" s="3">
        <f t="shared" si="79"/>
        <v>1.8800000000000008</v>
      </c>
      <c r="J173" s="2">
        <f t="shared" si="80"/>
        <v>0</v>
      </c>
    </row>
    <row r="174" spans="1:10" x14ac:dyDescent="0.2">
      <c r="A174" s="21"/>
      <c r="B174" s="11" t="s">
        <v>218</v>
      </c>
      <c r="C174" s="3"/>
      <c r="D174" s="2"/>
      <c r="E174" s="3">
        <f t="shared" si="97"/>
        <v>0</v>
      </c>
      <c r="F174" s="3"/>
      <c r="G174" s="2"/>
      <c r="H174" s="3"/>
      <c r="I174" s="3"/>
      <c r="J174" s="2"/>
    </row>
    <row r="175" spans="1:10" x14ac:dyDescent="0.2">
      <c r="A175" s="21" t="s">
        <v>292</v>
      </c>
      <c r="B175" s="11" t="s">
        <v>464</v>
      </c>
      <c r="C175" s="3">
        <v>2.2000000000000002</v>
      </c>
      <c r="D175" s="2">
        <v>100</v>
      </c>
      <c r="E175" s="3">
        <f t="shared" si="97"/>
        <v>220.00000000000003</v>
      </c>
      <c r="F175" s="3">
        <v>2.68</v>
      </c>
      <c r="G175" s="2">
        <v>100</v>
      </c>
      <c r="H175" s="3">
        <f t="shared" si="78"/>
        <v>268</v>
      </c>
      <c r="I175" s="3">
        <f t="shared" si="79"/>
        <v>0.48</v>
      </c>
      <c r="J175" s="2">
        <f t="shared" si="80"/>
        <v>0</v>
      </c>
    </row>
    <row r="176" spans="1:10" x14ac:dyDescent="0.2">
      <c r="A176" s="21" t="s">
        <v>293</v>
      </c>
      <c r="B176" s="11" t="s">
        <v>320</v>
      </c>
      <c r="C176" s="3">
        <v>3.36</v>
      </c>
      <c r="D176" s="2">
        <v>10</v>
      </c>
      <c r="E176" s="3">
        <f t="shared" si="97"/>
        <v>33.6</v>
      </c>
      <c r="F176" s="3">
        <v>3.44</v>
      </c>
      <c r="G176" s="2">
        <v>10</v>
      </c>
      <c r="H176" s="3">
        <f t="shared" si="78"/>
        <v>34.4</v>
      </c>
      <c r="I176" s="3">
        <f t="shared" si="79"/>
        <v>8.0000000000000071E-2</v>
      </c>
      <c r="J176" s="2">
        <f t="shared" si="80"/>
        <v>0</v>
      </c>
    </row>
    <row r="177" spans="1:10" x14ac:dyDescent="0.2">
      <c r="A177" s="21" t="s">
        <v>294</v>
      </c>
      <c r="B177" s="23" t="s">
        <v>470</v>
      </c>
      <c r="C177" s="3">
        <v>11.9</v>
      </c>
      <c r="D177" s="2">
        <v>20</v>
      </c>
      <c r="E177" s="3">
        <f t="shared" si="97"/>
        <v>238</v>
      </c>
      <c r="F177" s="3">
        <v>13.35</v>
      </c>
      <c r="G177" s="2">
        <v>20</v>
      </c>
      <c r="H177" s="3">
        <f t="shared" si="78"/>
        <v>267</v>
      </c>
      <c r="I177" s="3">
        <f t="shared" si="79"/>
        <v>1.4499999999999993</v>
      </c>
      <c r="J177" s="2">
        <f t="shared" si="80"/>
        <v>0</v>
      </c>
    </row>
    <row r="178" spans="1:10" x14ac:dyDescent="0.2">
      <c r="A178" s="21" t="s">
        <v>465</v>
      </c>
      <c r="B178" s="23" t="s">
        <v>471</v>
      </c>
      <c r="C178" s="3">
        <v>2.5</v>
      </c>
      <c r="D178" s="2">
        <v>20</v>
      </c>
      <c r="E178" s="3">
        <f t="shared" si="97"/>
        <v>50</v>
      </c>
      <c r="F178" s="3">
        <v>3.02</v>
      </c>
      <c r="G178" s="2">
        <v>20</v>
      </c>
      <c r="H178" s="3">
        <f t="shared" si="78"/>
        <v>60.4</v>
      </c>
      <c r="I178" s="3">
        <f t="shared" si="79"/>
        <v>0.52</v>
      </c>
      <c r="J178" s="2">
        <f t="shared" si="80"/>
        <v>0</v>
      </c>
    </row>
    <row r="179" spans="1:10" x14ac:dyDescent="0.2">
      <c r="A179" s="21" t="s">
        <v>466</v>
      </c>
      <c r="B179" s="23" t="s">
        <v>472</v>
      </c>
      <c r="C179" s="3">
        <v>5</v>
      </c>
      <c r="D179" s="2">
        <v>20</v>
      </c>
      <c r="E179" s="3">
        <f t="shared" si="97"/>
        <v>100</v>
      </c>
      <c r="F179" s="3">
        <v>5.9</v>
      </c>
      <c r="G179" s="2">
        <v>20</v>
      </c>
      <c r="H179" s="3">
        <f t="shared" si="78"/>
        <v>118</v>
      </c>
      <c r="I179" s="3">
        <f t="shared" si="79"/>
        <v>0.90000000000000036</v>
      </c>
      <c r="J179" s="2">
        <f t="shared" si="80"/>
        <v>0</v>
      </c>
    </row>
    <row r="180" spans="1:10" x14ac:dyDescent="0.2">
      <c r="A180" s="21" t="s">
        <v>467</v>
      </c>
      <c r="B180" s="23" t="s">
        <v>473</v>
      </c>
      <c r="C180" s="3">
        <v>7.2</v>
      </c>
      <c r="D180" s="2">
        <v>10</v>
      </c>
      <c r="E180" s="3">
        <f t="shared" si="97"/>
        <v>72</v>
      </c>
      <c r="F180" s="3">
        <v>8.17</v>
      </c>
      <c r="G180" s="2">
        <v>10</v>
      </c>
      <c r="H180" s="3">
        <f t="shared" si="78"/>
        <v>81.7</v>
      </c>
      <c r="I180" s="3">
        <f t="shared" si="79"/>
        <v>0.96999999999999975</v>
      </c>
      <c r="J180" s="2">
        <f t="shared" si="80"/>
        <v>0</v>
      </c>
    </row>
    <row r="181" spans="1:10" x14ac:dyDescent="0.2">
      <c r="A181" s="21" t="s">
        <v>468</v>
      </c>
      <c r="B181" s="23" t="s">
        <v>474</v>
      </c>
      <c r="C181" s="3">
        <v>30</v>
      </c>
      <c r="D181" s="2">
        <v>10</v>
      </c>
      <c r="E181" s="3">
        <f t="shared" si="97"/>
        <v>300</v>
      </c>
      <c r="F181" s="3">
        <v>31.94</v>
      </c>
      <c r="G181" s="2">
        <v>10</v>
      </c>
      <c r="H181" s="3">
        <f t="shared" si="78"/>
        <v>319.40000000000003</v>
      </c>
      <c r="I181" s="3">
        <f t="shared" si="79"/>
        <v>1.9400000000000013</v>
      </c>
      <c r="J181" s="2">
        <f t="shared" si="80"/>
        <v>0</v>
      </c>
    </row>
    <row r="182" spans="1:10" x14ac:dyDescent="0.2">
      <c r="A182" s="21" t="s">
        <v>469</v>
      </c>
      <c r="B182" s="23" t="s">
        <v>475</v>
      </c>
      <c r="C182" s="3">
        <v>10</v>
      </c>
      <c r="D182" s="2">
        <v>10</v>
      </c>
      <c r="E182" s="3">
        <f t="shared" si="97"/>
        <v>100</v>
      </c>
      <c r="F182" s="3">
        <v>11.63</v>
      </c>
      <c r="G182" s="2">
        <v>10</v>
      </c>
      <c r="H182" s="3">
        <f t="shared" si="78"/>
        <v>116.30000000000001</v>
      </c>
      <c r="I182" s="3">
        <f t="shared" si="79"/>
        <v>1.6300000000000008</v>
      </c>
      <c r="J182" s="2">
        <f t="shared" si="80"/>
        <v>0</v>
      </c>
    </row>
    <row r="183" spans="1:10" x14ac:dyDescent="0.2">
      <c r="A183" s="25">
        <v>6</v>
      </c>
      <c r="B183" s="18" t="s">
        <v>279</v>
      </c>
      <c r="C183" s="26"/>
      <c r="D183" s="19"/>
      <c r="E183" s="20">
        <f>SUM(E184:E202)</f>
        <v>10132.799999999999</v>
      </c>
      <c r="F183" s="26"/>
      <c r="G183" s="19"/>
      <c r="H183" s="20">
        <f>SUM(H184:H202)</f>
        <v>11667.399999999998</v>
      </c>
      <c r="I183" s="19"/>
      <c r="J183" s="19"/>
    </row>
    <row r="184" spans="1:10" ht="25.5" x14ac:dyDescent="0.2">
      <c r="A184" s="21" t="s">
        <v>67</v>
      </c>
      <c r="B184" s="13" t="s">
        <v>219</v>
      </c>
      <c r="C184" s="3">
        <v>1017.14</v>
      </c>
      <c r="D184" s="2">
        <v>1</v>
      </c>
      <c r="E184" s="3">
        <f t="shared" ref="E184:E202" si="98">C184*D184</f>
        <v>1017.14</v>
      </c>
      <c r="F184" s="3">
        <v>1139.58</v>
      </c>
      <c r="G184" s="2">
        <v>1</v>
      </c>
      <c r="H184" s="3">
        <f t="shared" ref="H184:H202" si="99">F184*G184</f>
        <v>1139.58</v>
      </c>
      <c r="I184" s="3">
        <f t="shared" ref="I184:I202" si="100">F184-C184</f>
        <v>122.43999999999994</v>
      </c>
      <c r="J184" s="2">
        <f t="shared" ref="J184:J202" si="101">G184-D184</f>
        <v>0</v>
      </c>
    </row>
    <row r="185" spans="1:10" ht="25.5" x14ac:dyDescent="0.2">
      <c r="A185" s="21" t="s">
        <v>68</v>
      </c>
      <c r="B185" s="13" t="s">
        <v>280</v>
      </c>
      <c r="C185" s="3">
        <v>767.76</v>
      </c>
      <c r="D185" s="2">
        <v>1</v>
      </c>
      <c r="E185" s="3">
        <f t="shared" si="98"/>
        <v>767.76</v>
      </c>
      <c r="F185" s="3">
        <v>870.76</v>
      </c>
      <c r="G185" s="2">
        <v>1</v>
      </c>
      <c r="H185" s="3">
        <f t="shared" si="99"/>
        <v>870.76</v>
      </c>
      <c r="I185" s="3">
        <f t="shared" si="100"/>
        <v>103</v>
      </c>
      <c r="J185" s="2">
        <f t="shared" si="101"/>
        <v>0</v>
      </c>
    </row>
    <row r="186" spans="1:10" ht="25.5" x14ac:dyDescent="0.2">
      <c r="A186" s="21" t="s">
        <v>69</v>
      </c>
      <c r="B186" s="13" t="s">
        <v>220</v>
      </c>
      <c r="C186" s="3">
        <v>799.88</v>
      </c>
      <c r="D186" s="2">
        <v>1</v>
      </c>
      <c r="E186" s="3">
        <f t="shared" si="98"/>
        <v>799.88</v>
      </c>
      <c r="F186" s="3">
        <v>904.09</v>
      </c>
      <c r="G186" s="2">
        <v>1</v>
      </c>
      <c r="H186" s="3">
        <f t="shared" si="99"/>
        <v>904.09</v>
      </c>
      <c r="I186" s="3">
        <f t="shared" si="100"/>
        <v>104.21000000000004</v>
      </c>
      <c r="J186" s="2">
        <f t="shared" si="101"/>
        <v>0</v>
      </c>
    </row>
    <row r="187" spans="1:10" ht="25.5" x14ac:dyDescent="0.2">
      <c r="A187" s="21" t="s">
        <v>70</v>
      </c>
      <c r="B187" s="13" t="s">
        <v>221</v>
      </c>
      <c r="C187" s="3">
        <v>1018.41</v>
      </c>
      <c r="D187" s="2">
        <v>1</v>
      </c>
      <c r="E187" s="3">
        <f t="shared" si="98"/>
        <v>1018.41</v>
      </c>
      <c r="F187" s="3">
        <v>1140.8599999999999</v>
      </c>
      <c r="G187" s="2">
        <v>1</v>
      </c>
      <c r="H187" s="3">
        <f t="shared" si="99"/>
        <v>1140.8599999999999</v>
      </c>
      <c r="I187" s="3">
        <f t="shared" si="100"/>
        <v>122.44999999999993</v>
      </c>
      <c r="J187" s="2">
        <f t="shared" si="101"/>
        <v>0</v>
      </c>
    </row>
    <row r="188" spans="1:10" ht="25.5" x14ac:dyDescent="0.2">
      <c r="A188" s="21" t="s">
        <v>71</v>
      </c>
      <c r="B188" s="13" t="s">
        <v>281</v>
      </c>
      <c r="C188" s="3">
        <v>762.49</v>
      </c>
      <c r="D188" s="2">
        <v>1</v>
      </c>
      <c r="E188" s="3">
        <f t="shared" si="98"/>
        <v>762.49</v>
      </c>
      <c r="F188" s="3">
        <v>865.49</v>
      </c>
      <c r="G188" s="2">
        <v>1</v>
      </c>
      <c r="H188" s="3">
        <f t="shared" si="99"/>
        <v>865.49</v>
      </c>
      <c r="I188" s="3">
        <f t="shared" si="100"/>
        <v>103</v>
      </c>
      <c r="J188" s="2">
        <f t="shared" si="101"/>
        <v>0</v>
      </c>
    </row>
    <row r="189" spans="1:10" ht="25.5" x14ac:dyDescent="0.2">
      <c r="A189" s="21" t="s">
        <v>72</v>
      </c>
      <c r="B189" s="13" t="s">
        <v>222</v>
      </c>
      <c r="C189" s="3">
        <v>776.88</v>
      </c>
      <c r="D189" s="2">
        <v>1</v>
      </c>
      <c r="E189" s="3">
        <f t="shared" si="98"/>
        <v>776.88</v>
      </c>
      <c r="F189" s="3">
        <v>881.09</v>
      </c>
      <c r="G189" s="2">
        <v>1</v>
      </c>
      <c r="H189" s="3">
        <f t="shared" si="99"/>
        <v>881.09</v>
      </c>
      <c r="I189" s="3">
        <f t="shared" si="100"/>
        <v>104.21000000000004</v>
      </c>
      <c r="J189" s="2">
        <f t="shared" si="101"/>
        <v>0</v>
      </c>
    </row>
    <row r="190" spans="1:10" ht="25.5" x14ac:dyDescent="0.2">
      <c r="A190" s="21" t="s">
        <v>73</v>
      </c>
      <c r="B190" s="13" t="s">
        <v>223</v>
      </c>
      <c r="C190" s="3">
        <v>671.01</v>
      </c>
      <c r="D190" s="2">
        <v>1</v>
      </c>
      <c r="E190" s="3">
        <f t="shared" si="98"/>
        <v>671.01</v>
      </c>
      <c r="F190" s="3">
        <v>769.15</v>
      </c>
      <c r="G190" s="2">
        <v>1</v>
      </c>
      <c r="H190" s="3">
        <f t="shared" si="99"/>
        <v>769.15</v>
      </c>
      <c r="I190" s="3">
        <f t="shared" si="100"/>
        <v>98.139999999999986</v>
      </c>
      <c r="J190" s="2">
        <f t="shared" si="101"/>
        <v>0</v>
      </c>
    </row>
    <row r="191" spans="1:10" ht="25.5" x14ac:dyDescent="0.2">
      <c r="A191" s="21" t="s">
        <v>74</v>
      </c>
      <c r="B191" s="13" t="s">
        <v>224</v>
      </c>
      <c r="C191" s="3">
        <v>703.46</v>
      </c>
      <c r="D191" s="2">
        <v>1</v>
      </c>
      <c r="E191" s="3">
        <f t="shared" si="98"/>
        <v>703.46</v>
      </c>
      <c r="F191" s="3">
        <v>802.81</v>
      </c>
      <c r="G191" s="2">
        <v>1</v>
      </c>
      <c r="H191" s="3">
        <f t="shared" si="99"/>
        <v>802.81</v>
      </c>
      <c r="I191" s="3">
        <f t="shared" si="100"/>
        <v>99.349999999999909</v>
      </c>
      <c r="J191" s="2">
        <f t="shared" si="101"/>
        <v>0</v>
      </c>
    </row>
    <row r="192" spans="1:10" ht="13.5" customHeight="1" x14ac:dyDescent="0.2">
      <c r="A192" s="21" t="s">
        <v>75</v>
      </c>
      <c r="B192" s="13" t="s">
        <v>225</v>
      </c>
      <c r="C192" s="3">
        <v>695.62</v>
      </c>
      <c r="D192" s="2">
        <v>1</v>
      </c>
      <c r="E192" s="3">
        <f t="shared" si="98"/>
        <v>695.62</v>
      </c>
      <c r="F192" s="3">
        <v>792.54</v>
      </c>
      <c r="G192" s="2">
        <v>1</v>
      </c>
      <c r="H192" s="3">
        <f t="shared" si="99"/>
        <v>792.54</v>
      </c>
      <c r="I192" s="3">
        <f t="shared" si="100"/>
        <v>96.919999999999959</v>
      </c>
      <c r="J192" s="2">
        <f t="shared" si="101"/>
        <v>0</v>
      </c>
    </row>
    <row r="193" spans="1:10" x14ac:dyDescent="0.2">
      <c r="A193" s="21" t="s">
        <v>76</v>
      </c>
      <c r="B193" s="13" t="s">
        <v>226</v>
      </c>
      <c r="C193" s="3">
        <v>653.16</v>
      </c>
      <c r="D193" s="2">
        <v>1</v>
      </c>
      <c r="E193" s="3">
        <f t="shared" si="98"/>
        <v>653.16</v>
      </c>
      <c r="F193" s="3">
        <v>747.67</v>
      </c>
      <c r="G193" s="2">
        <v>1</v>
      </c>
      <c r="H193" s="3">
        <f t="shared" si="99"/>
        <v>747.67</v>
      </c>
      <c r="I193" s="3">
        <f t="shared" si="100"/>
        <v>94.509999999999991</v>
      </c>
      <c r="J193" s="2">
        <f t="shared" si="101"/>
        <v>0</v>
      </c>
    </row>
    <row r="194" spans="1:10" x14ac:dyDescent="0.2">
      <c r="A194" s="21" t="s">
        <v>77</v>
      </c>
      <c r="B194" s="13" t="s">
        <v>227</v>
      </c>
      <c r="C194" s="3">
        <v>100.37</v>
      </c>
      <c r="D194" s="2">
        <v>1</v>
      </c>
      <c r="E194" s="3">
        <f t="shared" si="98"/>
        <v>100.37</v>
      </c>
      <c r="F194" s="3">
        <v>108.11</v>
      </c>
      <c r="G194" s="2">
        <v>1</v>
      </c>
      <c r="H194" s="3">
        <f t="shared" si="99"/>
        <v>108.11</v>
      </c>
      <c r="I194" s="3">
        <f t="shared" si="100"/>
        <v>7.7399999999999949</v>
      </c>
      <c r="J194" s="2">
        <f t="shared" si="101"/>
        <v>0</v>
      </c>
    </row>
    <row r="195" spans="1:10" ht="25.5" x14ac:dyDescent="0.2">
      <c r="A195" s="21" t="s">
        <v>78</v>
      </c>
      <c r="B195" s="13" t="s">
        <v>610</v>
      </c>
      <c r="C195" s="3">
        <v>157.91999999999999</v>
      </c>
      <c r="D195" s="2">
        <v>1</v>
      </c>
      <c r="E195" s="3">
        <f t="shared" si="98"/>
        <v>157.91999999999999</v>
      </c>
      <c r="F195" s="3">
        <v>205.82</v>
      </c>
      <c r="G195" s="2">
        <v>1</v>
      </c>
      <c r="H195" s="3">
        <f t="shared" si="99"/>
        <v>205.82</v>
      </c>
      <c r="I195" s="3">
        <f t="shared" si="100"/>
        <v>47.900000000000006</v>
      </c>
      <c r="J195" s="2">
        <f t="shared" si="101"/>
        <v>0</v>
      </c>
    </row>
    <row r="196" spans="1:10" x14ac:dyDescent="0.2">
      <c r="A196" s="21" t="s">
        <v>79</v>
      </c>
      <c r="B196" s="13" t="s">
        <v>362</v>
      </c>
      <c r="C196" s="3">
        <v>14.02</v>
      </c>
      <c r="D196" s="2">
        <v>25</v>
      </c>
      <c r="E196" s="3">
        <f t="shared" si="98"/>
        <v>350.5</v>
      </c>
      <c r="F196" s="3">
        <v>14.02</v>
      </c>
      <c r="G196" s="2">
        <v>25</v>
      </c>
      <c r="H196" s="3">
        <f t="shared" si="99"/>
        <v>350.5</v>
      </c>
      <c r="I196" s="3">
        <f t="shared" si="100"/>
        <v>0</v>
      </c>
      <c r="J196" s="2">
        <f t="shared" si="101"/>
        <v>0</v>
      </c>
    </row>
    <row r="197" spans="1:10" x14ac:dyDescent="0.2">
      <c r="A197" s="21" t="s">
        <v>544</v>
      </c>
      <c r="B197" s="13" t="s">
        <v>476</v>
      </c>
      <c r="C197" s="3">
        <v>402.95</v>
      </c>
      <c r="D197" s="2">
        <v>1</v>
      </c>
      <c r="E197" s="3">
        <f t="shared" si="98"/>
        <v>402.95</v>
      </c>
      <c r="F197" s="3">
        <v>479.22</v>
      </c>
      <c r="G197" s="2">
        <v>1</v>
      </c>
      <c r="H197" s="3">
        <f t="shared" si="99"/>
        <v>479.22</v>
      </c>
      <c r="I197" s="3">
        <f t="shared" si="100"/>
        <v>76.270000000000039</v>
      </c>
      <c r="J197" s="2">
        <f t="shared" si="101"/>
        <v>0</v>
      </c>
    </row>
    <row r="198" spans="1:10" x14ac:dyDescent="0.2">
      <c r="A198" s="21" t="s">
        <v>477</v>
      </c>
      <c r="B198" s="13" t="s">
        <v>478</v>
      </c>
      <c r="C198" s="3">
        <v>325.82</v>
      </c>
      <c r="D198" s="2">
        <v>1</v>
      </c>
      <c r="E198" s="3">
        <f t="shared" si="98"/>
        <v>325.82</v>
      </c>
      <c r="F198" s="3">
        <v>396.02</v>
      </c>
      <c r="G198" s="2">
        <v>1</v>
      </c>
      <c r="H198" s="3">
        <f t="shared" si="99"/>
        <v>396.02</v>
      </c>
      <c r="I198" s="3">
        <f t="shared" si="100"/>
        <v>70.199999999999989</v>
      </c>
      <c r="J198" s="2">
        <f t="shared" si="101"/>
        <v>0</v>
      </c>
    </row>
    <row r="199" spans="1:10" ht="51" x14ac:dyDescent="0.2">
      <c r="A199" s="21" t="s">
        <v>479</v>
      </c>
      <c r="B199" s="13" t="s">
        <v>480</v>
      </c>
      <c r="C199" s="3">
        <v>129.97</v>
      </c>
      <c r="D199" s="2">
        <v>1</v>
      </c>
      <c r="E199" s="3">
        <f t="shared" si="98"/>
        <v>129.97</v>
      </c>
      <c r="F199" s="3">
        <v>200.81</v>
      </c>
      <c r="G199" s="2">
        <v>1</v>
      </c>
      <c r="H199" s="3">
        <f t="shared" si="99"/>
        <v>200.81</v>
      </c>
      <c r="I199" s="3">
        <f t="shared" si="100"/>
        <v>70.84</v>
      </c>
      <c r="J199" s="2">
        <f t="shared" si="101"/>
        <v>0</v>
      </c>
    </row>
    <row r="200" spans="1:10" ht="25.5" x14ac:dyDescent="0.2">
      <c r="A200" s="21" t="s">
        <v>481</v>
      </c>
      <c r="B200" s="13" t="s">
        <v>482</v>
      </c>
      <c r="C200" s="3">
        <v>507.99</v>
      </c>
      <c r="D200" s="2">
        <v>1</v>
      </c>
      <c r="E200" s="3">
        <f t="shared" si="98"/>
        <v>507.99</v>
      </c>
      <c r="F200" s="3">
        <v>576.44000000000005</v>
      </c>
      <c r="G200" s="2">
        <v>1</v>
      </c>
      <c r="H200" s="3">
        <f t="shared" si="99"/>
        <v>576.44000000000005</v>
      </c>
      <c r="I200" s="3">
        <f t="shared" si="100"/>
        <v>68.450000000000045</v>
      </c>
      <c r="J200" s="2">
        <f t="shared" si="101"/>
        <v>0</v>
      </c>
    </row>
    <row r="201" spans="1:10" ht="25.5" x14ac:dyDescent="0.2">
      <c r="A201" s="21" t="s">
        <v>483</v>
      </c>
      <c r="B201" s="13" t="s">
        <v>484</v>
      </c>
      <c r="C201" s="3">
        <v>171.26</v>
      </c>
      <c r="D201" s="2">
        <v>1</v>
      </c>
      <c r="E201" s="3">
        <f t="shared" si="98"/>
        <v>171.26</v>
      </c>
      <c r="F201" s="3">
        <v>245.38</v>
      </c>
      <c r="G201" s="2">
        <v>1</v>
      </c>
      <c r="H201" s="3">
        <f t="shared" si="99"/>
        <v>245.38</v>
      </c>
      <c r="I201" s="3">
        <f t="shared" si="100"/>
        <v>74.12</v>
      </c>
      <c r="J201" s="2">
        <f t="shared" si="101"/>
        <v>0</v>
      </c>
    </row>
    <row r="202" spans="1:10" ht="25.5" x14ac:dyDescent="0.2">
      <c r="A202" s="21" t="s">
        <v>485</v>
      </c>
      <c r="B202" s="13" t="s">
        <v>486</v>
      </c>
      <c r="C202" s="3">
        <v>120.21</v>
      </c>
      <c r="D202" s="2">
        <v>1</v>
      </c>
      <c r="E202" s="3">
        <f t="shared" si="98"/>
        <v>120.21</v>
      </c>
      <c r="F202" s="3">
        <v>191.06</v>
      </c>
      <c r="G202" s="2">
        <v>1</v>
      </c>
      <c r="H202" s="3">
        <f t="shared" si="99"/>
        <v>191.06</v>
      </c>
      <c r="I202" s="3">
        <f t="shared" si="100"/>
        <v>70.850000000000009</v>
      </c>
      <c r="J202" s="2">
        <f t="shared" si="101"/>
        <v>0</v>
      </c>
    </row>
    <row r="203" spans="1:10" x14ac:dyDescent="0.2">
      <c r="A203" s="25" t="s">
        <v>80</v>
      </c>
      <c r="B203" s="18" t="s">
        <v>228</v>
      </c>
      <c r="C203" s="26"/>
      <c r="D203" s="19"/>
      <c r="E203" s="20">
        <f>SUM(E204:E244)</f>
        <v>78334.790000000008</v>
      </c>
      <c r="F203" s="26"/>
      <c r="G203" s="19"/>
      <c r="H203" s="20">
        <f>SUM(H204:H245)</f>
        <v>203608.58</v>
      </c>
      <c r="I203" s="19"/>
      <c r="J203" s="19"/>
    </row>
    <row r="204" spans="1:10" x14ac:dyDescent="0.2">
      <c r="A204" s="21" t="s">
        <v>81</v>
      </c>
      <c r="B204" s="13" t="s">
        <v>295</v>
      </c>
      <c r="C204" s="3"/>
      <c r="D204" s="2"/>
      <c r="E204" s="3"/>
      <c r="F204" s="3"/>
      <c r="G204" s="2"/>
      <c r="H204" s="3"/>
      <c r="I204" s="3"/>
      <c r="J204" s="2"/>
    </row>
    <row r="205" spans="1:10" x14ac:dyDescent="0.2">
      <c r="A205" s="16" t="s">
        <v>160</v>
      </c>
      <c r="B205" s="13" t="s">
        <v>296</v>
      </c>
      <c r="C205" s="3">
        <v>49.43</v>
      </c>
      <c r="D205" s="2">
        <v>10</v>
      </c>
      <c r="E205" s="3">
        <f t="shared" ref="E205:E206" si="102">C205*D205</f>
        <v>494.3</v>
      </c>
      <c r="F205" s="3">
        <v>55.14</v>
      </c>
      <c r="G205" s="2">
        <v>10</v>
      </c>
      <c r="H205" s="3">
        <f t="shared" ref="H205:H245" si="103">F205*G205</f>
        <v>551.4</v>
      </c>
      <c r="I205" s="3">
        <f t="shared" ref="I205:I245" si="104">F205-C205</f>
        <v>5.7100000000000009</v>
      </c>
      <c r="J205" s="2">
        <f t="shared" ref="J205:J245" si="105">G205-D205</f>
        <v>0</v>
      </c>
    </row>
    <row r="206" spans="1:10" x14ac:dyDescent="0.2">
      <c r="A206" s="16" t="s">
        <v>161</v>
      </c>
      <c r="B206" s="13" t="s">
        <v>297</v>
      </c>
      <c r="C206" s="3">
        <v>58.68</v>
      </c>
      <c r="D206" s="2">
        <v>10</v>
      </c>
      <c r="E206" s="3">
        <f t="shared" si="102"/>
        <v>586.79999999999995</v>
      </c>
      <c r="F206" s="3">
        <v>65.78</v>
      </c>
      <c r="G206" s="2">
        <v>10</v>
      </c>
      <c r="H206" s="3">
        <f t="shared" si="103"/>
        <v>657.8</v>
      </c>
      <c r="I206" s="3">
        <f t="shared" si="104"/>
        <v>7.1000000000000014</v>
      </c>
      <c r="J206" s="2">
        <f t="shared" si="105"/>
        <v>0</v>
      </c>
    </row>
    <row r="207" spans="1:10" x14ac:dyDescent="0.2">
      <c r="A207" s="21" t="s">
        <v>82</v>
      </c>
      <c r="B207" s="13" t="s">
        <v>298</v>
      </c>
      <c r="C207" s="3"/>
      <c r="D207" s="2"/>
      <c r="E207" s="3"/>
      <c r="F207" s="3"/>
      <c r="G207" s="2"/>
      <c r="H207" s="3"/>
      <c r="I207" s="3"/>
      <c r="J207" s="2"/>
    </row>
    <row r="208" spans="1:10" x14ac:dyDescent="0.2">
      <c r="A208" s="21" t="s">
        <v>152</v>
      </c>
      <c r="B208" s="13" t="s">
        <v>299</v>
      </c>
      <c r="C208" s="3">
        <v>25.11</v>
      </c>
      <c r="D208" s="2">
        <v>69</v>
      </c>
      <c r="E208" s="3">
        <f t="shared" ref="E208:E212" si="106">C208*D208</f>
        <v>1732.59</v>
      </c>
      <c r="F208" s="3">
        <v>27.65</v>
      </c>
      <c r="G208" s="61">
        <f>69+750</f>
        <v>819</v>
      </c>
      <c r="H208" s="3">
        <f t="shared" si="103"/>
        <v>22645.35</v>
      </c>
      <c r="I208" s="3">
        <f t="shared" si="104"/>
        <v>2.5399999999999991</v>
      </c>
      <c r="J208" s="2">
        <f t="shared" si="105"/>
        <v>750</v>
      </c>
    </row>
    <row r="209" spans="1:10" x14ac:dyDescent="0.2">
      <c r="A209" s="21" t="s">
        <v>153</v>
      </c>
      <c r="B209" s="13" t="s">
        <v>300</v>
      </c>
      <c r="C209" s="3">
        <v>34.36</v>
      </c>
      <c r="D209" s="2">
        <v>150</v>
      </c>
      <c r="E209" s="3">
        <f t="shared" si="106"/>
        <v>5154</v>
      </c>
      <c r="F209" s="3">
        <v>38.29</v>
      </c>
      <c r="G209" s="61">
        <f>150+800</f>
        <v>950</v>
      </c>
      <c r="H209" s="3">
        <f t="shared" si="103"/>
        <v>36375.5</v>
      </c>
      <c r="I209" s="3">
        <f t="shared" si="104"/>
        <v>3.9299999999999997</v>
      </c>
      <c r="J209" s="2">
        <f t="shared" si="105"/>
        <v>800</v>
      </c>
    </row>
    <row r="210" spans="1:10" x14ac:dyDescent="0.2">
      <c r="A210" s="21" t="s">
        <v>322</v>
      </c>
      <c r="B210" s="13" t="s">
        <v>321</v>
      </c>
      <c r="C210" s="3">
        <v>25.73</v>
      </c>
      <c r="D210" s="2">
        <v>30</v>
      </c>
      <c r="E210" s="3">
        <f t="shared" si="106"/>
        <v>771.9</v>
      </c>
      <c r="F210" s="3">
        <v>28.36</v>
      </c>
      <c r="G210" s="2">
        <v>30</v>
      </c>
      <c r="H210" s="3">
        <f t="shared" si="103"/>
        <v>850.8</v>
      </c>
      <c r="I210" s="3">
        <f t="shared" si="104"/>
        <v>2.629999999999999</v>
      </c>
      <c r="J210" s="2">
        <f t="shared" si="105"/>
        <v>0</v>
      </c>
    </row>
    <row r="211" spans="1:10" ht="25.5" x14ac:dyDescent="0.2">
      <c r="A211" s="21" t="s">
        <v>323</v>
      </c>
      <c r="B211" s="13" t="s">
        <v>324</v>
      </c>
      <c r="C211" s="3">
        <v>34.979999999999997</v>
      </c>
      <c r="D211" s="2">
        <v>30</v>
      </c>
      <c r="E211" s="3">
        <f t="shared" si="106"/>
        <v>1049.3999999999999</v>
      </c>
      <c r="F211" s="3">
        <v>39.729999999999997</v>
      </c>
      <c r="G211" s="2">
        <v>30</v>
      </c>
      <c r="H211" s="3">
        <f t="shared" si="103"/>
        <v>1191.8999999999999</v>
      </c>
      <c r="I211" s="3">
        <f t="shared" si="104"/>
        <v>4.75</v>
      </c>
      <c r="J211" s="2">
        <f t="shared" si="105"/>
        <v>0</v>
      </c>
    </row>
    <row r="212" spans="1:10" x14ac:dyDescent="0.2">
      <c r="A212" s="21" t="s">
        <v>487</v>
      </c>
      <c r="B212" s="13" t="s">
        <v>488</v>
      </c>
      <c r="C212" s="3">
        <v>17.27</v>
      </c>
      <c r="D212" s="2">
        <v>30</v>
      </c>
      <c r="E212" s="3">
        <f t="shared" si="106"/>
        <v>518.1</v>
      </c>
      <c r="F212" s="3">
        <v>19.510000000000002</v>
      </c>
      <c r="G212" s="61">
        <f>30+100</f>
        <v>130</v>
      </c>
      <c r="H212" s="3">
        <f t="shared" si="103"/>
        <v>2536.3000000000002</v>
      </c>
      <c r="I212" s="3">
        <f t="shared" si="104"/>
        <v>2.240000000000002</v>
      </c>
      <c r="J212" s="2">
        <f t="shared" si="105"/>
        <v>100</v>
      </c>
    </row>
    <row r="213" spans="1:10" x14ac:dyDescent="0.2">
      <c r="A213" s="21" t="s">
        <v>83</v>
      </c>
      <c r="B213" s="13" t="s">
        <v>301</v>
      </c>
      <c r="C213" s="3"/>
      <c r="D213" s="2"/>
      <c r="E213" s="3"/>
      <c r="F213" s="3"/>
      <c r="G213" s="61"/>
      <c r="H213" s="3"/>
      <c r="I213" s="3"/>
      <c r="J213" s="2"/>
    </row>
    <row r="214" spans="1:10" x14ac:dyDescent="0.2">
      <c r="A214" s="21" t="s">
        <v>154</v>
      </c>
      <c r="B214" s="13" t="s">
        <v>302</v>
      </c>
      <c r="C214" s="3">
        <v>30.93</v>
      </c>
      <c r="D214" s="2">
        <v>50</v>
      </c>
      <c r="E214" s="3">
        <f t="shared" ref="E214:E215" si="107">C214*D214</f>
        <v>1546.5</v>
      </c>
      <c r="F214" s="3">
        <v>34.24</v>
      </c>
      <c r="G214" s="61">
        <f>50+150</f>
        <v>200</v>
      </c>
      <c r="H214" s="3">
        <f t="shared" si="103"/>
        <v>6848</v>
      </c>
      <c r="I214" s="3">
        <f t="shared" si="104"/>
        <v>3.3100000000000023</v>
      </c>
      <c r="J214" s="2">
        <f t="shared" si="105"/>
        <v>150</v>
      </c>
    </row>
    <row r="215" spans="1:10" x14ac:dyDescent="0.2">
      <c r="A215" s="21" t="s">
        <v>155</v>
      </c>
      <c r="B215" s="13" t="s">
        <v>303</v>
      </c>
      <c r="C215" s="3">
        <v>40.19</v>
      </c>
      <c r="D215" s="2">
        <v>50</v>
      </c>
      <c r="E215" s="3">
        <f t="shared" si="107"/>
        <v>2009.5</v>
      </c>
      <c r="F215" s="3">
        <v>44.88</v>
      </c>
      <c r="G215" s="61">
        <f>50+200</f>
        <v>250</v>
      </c>
      <c r="H215" s="3">
        <f t="shared" si="103"/>
        <v>11220</v>
      </c>
      <c r="I215" s="3">
        <f t="shared" si="104"/>
        <v>4.6900000000000048</v>
      </c>
      <c r="J215" s="2">
        <f t="shared" si="105"/>
        <v>200</v>
      </c>
    </row>
    <row r="216" spans="1:10" x14ac:dyDescent="0.2">
      <c r="A216" s="21" t="s">
        <v>84</v>
      </c>
      <c r="B216" s="27" t="s">
        <v>592</v>
      </c>
      <c r="C216" s="3"/>
      <c r="D216" s="2"/>
      <c r="E216" s="3"/>
      <c r="F216" s="3"/>
      <c r="G216" s="2"/>
      <c r="H216" s="3"/>
      <c r="I216" s="3"/>
      <c r="J216" s="2"/>
    </row>
    <row r="217" spans="1:10" x14ac:dyDescent="0.2">
      <c r="A217" s="21" t="s">
        <v>156</v>
      </c>
      <c r="B217" s="27" t="s">
        <v>593</v>
      </c>
      <c r="C217" s="3">
        <v>22.28</v>
      </c>
      <c r="D217" s="2">
        <v>50</v>
      </c>
      <c r="E217" s="3">
        <f t="shared" ref="E217:E219" si="108">C217*D217</f>
        <v>1114</v>
      </c>
      <c r="F217" s="3">
        <v>24.45</v>
      </c>
      <c r="G217" s="61">
        <f>50+800</f>
        <v>850</v>
      </c>
      <c r="H217" s="3">
        <f t="shared" si="103"/>
        <v>20782.5</v>
      </c>
      <c r="I217" s="3">
        <f t="shared" si="104"/>
        <v>2.1699999999999982</v>
      </c>
      <c r="J217" s="2">
        <f t="shared" si="105"/>
        <v>800</v>
      </c>
    </row>
    <row r="218" spans="1:10" x14ac:dyDescent="0.2">
      <c r="A218" s="21" t="s">
        <v>157</v>
      </c>
      <c r="B218" s="27" t="s">
        <v>304</v>
      </c>
      <c r="C218" s="3">
        <v>31.53</v>
      </c>
      <c r="D218" s="2">
        <v>150</v>
      </c>
      <c r="E218" s="3">
        <f t="shared" si="108"/>
        <v>4729.5</v>
      </c>
      <c r="F218" s="3">
        <v>35.1</v>
      </c>
      <c r="G218" s="61">
        <f>150+800</f>
        <v>950</v>
      </c>
      <c r="H218" s="3">
        <f t="shared" si="103"/>
        <v>33345</v>
      </c>
      <c r="I218" s="3">
        <f t="shared" si="104"/>
        <v>3.5700000000000003</v>
      </c>
      <c r="J218" s="2">
        <f t="shared" si="105"/>
        <v>800</v>
      </c>
    </row>
    <row r="219" spans="1:10" x14ac:dyDescent="0.2">
      <c r="A219" s="21" t="s">
        <v>489</v>
      </c>
      <c r="B219" s="13" t="s">
        <v>488</v>
      </c>
      <c r="C219" s="3">
        <v>14.44</v>
      </c>
      <c r="D219" s="2">
        <v>30</v>
      </c>
      <c r="E219" s="3">
        <f t="shared" si="108"/>
        <v>433.2</v>
      </c>
      <c r="F219" s="3">
        <v>16.32</v>
      </c>
      <c r="G219" s="61">
        <f>30+310</f>
        <v>340</v>
      </c>
      <c r="H219" s="3">
        <f t="shared" si="103"/>
        <v>5548.8</v>
      </c>
      <c r="I219" s="3">
        <f t="shared" si="104"/>
        <v>1.8800000000000008</v>
      </c>
      <c r="J219" s="2">
        <f t="shared" si="105"/>
        <v>310</v>
      </c>
    </row>
    <row r="220" spans="1:10" ht="15" customHeight="1" x14ac:dyDescent="0.2">
      <c r="A220" s="21" t="s">
        <v>85</v>
      </c>
      <c r="B220" s="13" t="s">
        <v>358</v>
      </c>
      <c r="C220" s="3"/>
      <c r="D220" s="2"/>
      <c r="E220" s="3"/>
      <c r="F220" s="3"/>
      <c r="G220" s="2"/>
      <c r="H220" s="3"/>
      <c r="I220" s="3"/>
      <c r="J220" s="2"/>
    </row>
    <row r="221" spans="1:10" ht="26.25" customHeight="1" x14ac:dyDescent="0.2">
      <c r="A221" s="21" t="s">
        <v>158</v>
      </c>
      <c r="B221" s="13" t="s">
        <v>325</v>
      </c>
      <c r="C221" s="3">
        <v>18.59</v>
      </c>
      <c r="D221" s="2">
        <v>30</v>
      </c>
      <c r="E221" s="3">
        <f t="shared" ref="E221:E228" si="109">C221*D221</f>
        <v>557.70000000000005</v>
      </c>
      <c r="F221" s="3">
        <v>19.690000000000001</v>
      </c>
      <c r="G221" s="2">
        <v>30</v>
      </c>
      <c r="H221" s="3">
        <f t="shared" si="103"/>
        <v>590.70000000000005</v>
      </c>
      <c r="I221" s="3">
        <f t="shared" si="104"/>
        <v>1.1000000000000014</v>
      </c>
      <c r="J221" s="2">
        <f t="shared" si="105"/>
        <v>0</v>
      </c>
    </row>
    <row r="222" spans="1:10" ht="26.25" customHeight="1" x14ac:dyDescent="0.2">
      <c r="A222" s="21" t="s">
        <v>159</v>
      </c>
      <c r="B222" s="13" t="s">
        <v>326</v>
      </c>
      <c r="C222" s="3">
        <v>23.16</v>
      </c>
      <c r="D222" s="2">
        <v>30</v>
      </c>
      <c r="E222" s="3">
        <f t="shared" si="109"/>
        <v>694.8</v>
      </c>
      <c r="F222" s="3">
        <v>25.23</v>
      </c>
      <c r="G222" s="2">
        <v>30</v>
      </c>
      <c r="H222" s="3">
        <f t="shared" si="103"/>
        <v>756.9</v>
      </c>
      <c r="I222" s="3">
        <f t="shared" si="104"/>
        <v>2.0700000000000003</v>
      </c>
      <c r="J222" s="2">
        <f t="shared" si="105"/>
        <v>0</v>
      </c>
    </row>
    <row r="223" spans="1:10" ht="26.25" customHeight="1" x14ac:dyDescent="0.2">
      <c r="A223" s="21" t="s">
        <v>327</v>
      </c>
      <c r="B223" s="13" t="s">
        <v>329</v>
      </c>
      <c r="C223" s="3">
        <v>14.71</v>
      </c>
      <c r="D223" s="2">
        <v>30</v>
      </c>
      <c r="E223" s="3">
        <f t="shared" si="109"/>
        <v>441.3</v>
      </c>
      <c r="F223" s="3">
        <v>15.61</v>
      </c>
      <c r="G223" s="2">
        <v>30</v>
      </c>
      <c r="H223" s="3">
        <f t="shared" si="103"/>
        <v>468.29999999999995</v>
      </c>
      <c r="I223" s="3">
        <f t="shared" si="104"/>
        <v>0.89999999999999858</v>
      </c>
      <c r="J223" s="2">
        <f t="shared" si="105"/>
        <v>0</v>
      </c>
    </row>
    <row r="224" spans="1:10" ht="26.25" customHeight="1" x14ac:dyDescent="0.2">
      <c r="A224" s="21" t="s">
        <v>328</v>
      </c>
      <c r="B224" s="13" t="s">
        <v>330</v>
      </c>
      <c r="C224" s="3">
        <v>19.28</v>
      </c>
      <c r="D224" s="2">
        <v>30</v>
      </c>
      <c r="E224" s="3">
        <f t="shared" si="109"/>
        <v>578.40000000000009</v>
      </c>
      <c r="F224" s="3">
        <v>21.16</v>
      </c>
      <c r="G224" s="2">
        <v>30</v>
      </c>
      <c r="H224" s="3">
        <f t="shared" si="103"/>
        <v>634.79999999999995</v>
      </c>
      <c r="I224" s="3">
        <f t="shared" si="104"/>
        <v>1.879999999999999</v>
      </c>
      <c r="J224" s="2">
        <f t="shared" si="105"/>
        <v>0</v>
      </c>
    </row>
    <row r="225" spans="1:10" ht="12.75" customHeight="1" x14ac:dyDescent="0.2">
      <c r="A225" s="21" t="s">
        <v>331</v>
      </c>
      <c r="B225" s="13" t="s">
        <v>336</v>
      </c>
      <c r="C225" s="3">
        <v>23.14</v>
      </c>
      <c r="D225" s="2">
        <v>30</v>
      </c>
      <c r="E225" s="3">
        <f t="shared" si="109"/>
        <v>694.2</v>
      </c>
      <c r="F225" s="3">
        <v>24.52</v>
      </c>
      <c r="G225" s="2">
        <v>30</v>
      </c>
      <c r="H225" s="3">
        <f t="shared" si="103"/>
        <v>735.6</v>
      </c>
      <c r="I225" s="3">
        <f t="shared" si="104"/>
        <v>1.379999999999999</v>
      </c>
      <c r="J225" s="2">
        <f t="shared" si="105"/>
        <v>0</v>
      </c>
    </row>
    <row r="226" spans="1:10" ht="12.75" customHeight="1" x14ac:dyDescent="0.2">
      <c r="A226" s="21" t="s">
        <v>332</v>
      </c>
      <c r="B226" s="13" t="s">
        <v>335</v>
      </c>
      <c r="C226" s="3">
        <v>32.39</v>
      </c>
      <c r="D226" s="2">
        <v>30</v>
      </c>
      <c r="E226" s="3">
        <f t="shared" si="109"/>
        <v>971.7</v>
      </c>
      <c r="F226" s="3">
        <v>36.08</v>
      </c>
      <c r="G226" s="2">
        <v>30</v>
      </c>
      <c r="H226" s="3">
        <f t="shared" si="103"/>
        <v>1082.3999999999999</v>
      </c>
      <c r="I226" s="3">
        <f t="shared" si="104"/>
        <v>3.6899999999999977</v>
      </c>
      <c r="J226" s="2">
        <f t="shared" si="105"/>
        <v>0</v>
      </c>
    </row>
    <row r="227" spans="1:10" ht="12.75" customHeight="1" x14ac:dyDescent="0.2">
      <c r="A227" s="21" t="s">
        <v>333</v>
      </c>
      <c r="B227" s="13" t="s">
        <v>337</v>
      </c>
      <c r="C227" s="3">
        <v>19.239999999999998</v>
      </c>
      <c r="D227" s="2">
        <v>30</v>
      </c>
      <c r="E227" s="3">
        <f t="shared" si="109"/>
        <v>577.19999999999993</v>
      </c>
      <c r="F227" s="3">
        <v>20.34</v>
      </c>
      <c r="G227" s="2">
        <v>30</v>
      </c>
      <c r="H227" s="3">
        <f t="shared" si="103"/>
        <v>610.20000000000005</v>
      </c>
      <c r="I227" s="3">
        <f t="shared" si="104"/>
        <v>1.1000000000000014</v>
      </c>
      <c r="J227" s="2">
        <f t="shared" si="105"/>
        <v>0</v>
      </c>
    </row>
    <row r="228" spans="1:10" ht="26.25" customHeight="1" x14ac:dyDescent="0.2">
      <c r="A228" s="21" t="s">
        <v>334</v>
      </c>
      <c r="B228" s="13" t="s">
        <v>338</v>
      </c>
      <c r="C228" s="3">
        <v>28.49</v>
      </c>
      <c r="D228" s="2">
        <v>50</v>
      </c>
      <c r="E228" s="3">
        <f t="shared" si="109"/>
        <v>1424.5</v>
      </c>
      <c r="F228" s="3">
        <v>30.98</v>
      </c>
      <c r="G228" s="2">
        <v>50</v>
      </c>
      <c r="H228" s="3">
        <f t="shared" si="103"/>
        <v>1549</v>
      </c>
      <c r="I228" s="3">
        <f t="shared" si="104"/>
        <v>2.490000000000002</v>
      </c>
      <c r="J228" s="2">
        <f t="shared" si="105"/>
        <v>0</v>
      </c>
    </row>
    <row r="229" spans="1:10" ht="26.25" hidden="1" customHeight="1" x14ac:dyDescent="0.2">
      <c r="A229" s="21"/>
      <c r="B229" s="13"/>
      <c r="C229" s="3"/>
      <c r="D229" s="2"/>
      <c r="E229" s="3"/>
      <c r="F229" s="3"/>
      <c r="G229" s="2"/>
      <c r="H229" s="3"/>
      <c r="I229" s="3"/>
      <c r="J229" s="2"/>
    </row>
    <row r="230" spans="1:10" ht="15" customHeight="1" x14ac:dyDescent="0.2">
      <c r="A230" s="21" t="s">
        <v>86</v>
      </c>
      <c r="B230" s="13" t="s">
        <v>626</v>
      </c>
      <c r="C230" s="3">
        <v>86.55</v>
      </c>
      <c r="D230" s="2">
        <v>200</v>
      </c>
      <c r="E230" s="3">
        <f t="shared" ref="E230:E245" si="110">C230*D230</f>
        <v>17310</v>
      </c>
      <c r="F230" s="3"/>
      <c r="G230" s="2"/>
      <c r="H230" s="3">
        <f t="shared" si="103"/>
        <v>0</v>
      </c>
      <c r="I230" s="3">
        <f t="shared" si="104"/>
        <v>-86.55</v>
      </c>
      <c r="J230" s="2">
        <f t="shared" si="105"/>
        <v>-200</v>
      </c>
    </row>
    <row r="231" spans="1:10" ht="15" customHeight="1" x14ac:dyDescent="0.2">
      <c r="A231" s="21" t="s">
        <v>617</v>
      </c>
      <c r="B231" s="13" t="s">
        <v>627</v>
      </c>
      <c r="C231" s="3"/>
      <c r="D231" s="2"/>
      <c r="E231" s="3">
        <f t="shared" ref="E231" si="111">C231*D231</f>
        <v>0</v>
      </c>
      <c r="F231" s="3">
        <v>91.04</v>
      </c>
      <c r="G231" s="61">
        <v>100</v>
      </c>
      <c r="H231" s="3">
        <f t="shared" ref="H231" si="112">F231*G231</f>
        <v>9104</v>
      </c>
      <c r="I231" s="3">
        <f t="shared" ref="I231" si="113">F231-C231</f>
        <v>91.04</v>
      </c>
      <c r="J231" s="2">
        <f t="shared" ref="J231" si="114">G231-D231</f>
        <v>100</v>
      </c>
    </row>
    <row r="232" spans="1:10" ht="15" customHeight="1" x14ac:dyDescent="0.2">
      <c r="A232" s="21" t="s">
        <v>618</v>
      </c>
      <c r="B232" s="13" t="s">
        <v>628</v>
      </c>
      <c r="C232" s="3"/>
      <c r="D232" s="2"/>
      <c r="E232" s="3">
        <f t="shared" ref="E232:E233" si="115">C232*D232</f>
        <v>0</v>
      </c>
      <c r="F232" s="73">
        <v>131.31</v>
      </c>
      <c r="G232" s="61">
        <v>60</v>
      </c>
      <c r="H232" s="3">
        <f t="shared" ref="H232:H233" si="116">F232*G232</f>
        <v>7878.6</v>
      </c>
      <c r="I232" s="3">
        <f t="shared" ref="I232:I233" si="117">F232-C232</f>
        <v>131.31</v>
      </c>
      <c r="J232" s="2">
        <f t="shared" ref="J232:J233" si="118">G232-D232</f>
        <v>60</v>
      </c>
    </row>
    <row r="233" spans="1:10" ht="15" customHeight="1" x14ac:dyDescent="0.2">
      <c r="A233" s="21" t="s">
        <v>87</v>
      </c>
      <c r="B233" s="13" t="s">
        <v>624</v>
      </c>
      <c r="C233" s="3">
        <v>60.18</v>
      </c>
      <c r="D233" s="2">
        <v>200</v>
      </c>
      <c r="E233" s="3">
        <f t="shared" si="115"/>
        <v>12036</v>
      </c>
      <c r="F233" s="73"/>
      <c r="G233" s="61"/>
      <c r="H233" s="3">
        <f t="shared" si="116"/>
        <v>0</v>
      </c>
      <c r="I233" s="3">
        <f t="shared" si="117"/>
        <v>-60.18</v>
      </c>
      <c r="J233" s="2">
        <f t="shared" si="118"/>
        <v>-200</v>
      </c>
    </row>
    <row r="234" spans="1:10" ht="15" customHeight="1" x14ac:dyDescent="0.2">
      <c r="A234" s="21" t="s">
        <v>619</v>
      </c>
      <c r="B234" s="13" t="s">
        <v>629</v>
      </c>
      <c r="C234" s="3"/>
      <c r="D234" s="2"/>
      <c r="E234" s="3">
        <f t="shared" ref="E234" si="119">C234*D234</f>
        <v>0</v>
      </c>
      <c r="F234" s="3">
        <v>62.54</v>
      </c>
      <c r="G234" s="61">
        <v>100</v>
      </c>
      <c r="H234" s="3">
        <f t="shared" ref="H234" si="120">F234*G234</f>
        <v>6254</v>
      </c>
      <c r="I234" s="3">
        <f t="shared" ref="I234" si="121">F234-C234</f>
        <v>62.54</v>
      </c>
      <c r="J234" s="2">
        <f t="shared" ref="J234" si="122">G234-D234</f>
        <v>100</v>
      </c>
    </row>
    <row r="235" spans="1:10" ht="15" customHeight="1" x14ac:dyDescent="0.2">
      <c r="A235" s="21" t="s">
        <v>620</v>
      </c>
      <c r="B235" s="13" t="s">
        <v>630</v>
      </c>
      <c r="C235" s="3"/>
      <c r="D235" s="2"/>
      <c r="E235" s="3">
        <f t="shared" ref="E235:E237" si="123">C235*D235</f>
        <v>0</v>
      </c>
      <c r="F235" s="73">
        <v>82.22</v>
      </c>
      <c r="G235" s="61">
        <v>60</v>
      </c>
      <c r="H235" s="3">
        <f t="shared" ref="H235:H237" si="124">F235*G235</f>
        <v>4933.2</v>
      </c>
      <c r="I235" s="3">
        <f t="shared" ref="I235:I237" si="125">F235-C235</f>
        <v>82.22</v>
      </c>
      <c r="J235" s="2">
        <f t="shared" ref="J235:J237" si="126">G235-D235</f>
        <v>60</v>
      </c>
    </row>
    <row r="236" spans="1:10" ht="15" customHeight="1" x14ac:dyDescent="0.2">
      <c r="A236" s="21" t="s">
        <v>88</v>
      </c>
      <c r="B236" s="13" t="s">
        <v>625</v>
      </c>
      <c r="C236" s="3">
        <v>40.950000000000003</v>
      </c>
      <c r="D236" s="2">
        <v>200</v>
      </c>
      <c r="E236" s="3">
        <f t="shared" si="123"/>
        <v>8190.0000000000009</v>
      </c>
      <c r="F236" s="73"/>
      <c r="G236" s="61"/>
      <c r="H236" s="3">
        <f t="shared" si="124"/>
        <v>0</v>
      </c>
      <c r="I236" s="3">
        <f t="shared" si="125"/>
        <v>-40.950000000000003</v>
      </c>
      <c r="J236" s="2">
        <f t="shared" si="126"/>
        <v>-200</v>
      </c>
    </row>
    <row r="237" spans="1:10" ht="15" customHeight="1" x14ac:dyDescent="0.2">
      <c r="A237" s="21" t="s">
        <v>621</v>
      </c>
      <c r="B237" s="13" t="s">
        <v>631</v>
      </c>
      <c r="C237" s="3"/>
      <c r="D237" s="2"/>
      <c r="E237" s="3">
        <f t="shared" si="123"/>
        <v>0</v>
      </c>
      <c r="F237" s="3">
        <v>43.02</v>
      </c>
      <c r="G237" s="61">
        <v>140</v>
      </c>
      <c r="H237" s="3">
        <f t="shared" si="124"/>
        <v>6022.8</v>
      </c>
      <c r="I237" s="3">
        <f t="shared" si="125"/>
        <v>43.02</v>
      </c>
      <c r="J237" s="2">
        <f t="shared" si="126"/>
        <v>140</v>
      </c>
    </row>
    <row r="238" spans="1:10" ht="15" customHeight="1" x14ac:dyDescent="0.2">
      <c r="A238" s="21" t="s">
        <v>622</v>
      </c>
      <c r="B238" s="13" t="s">
        <v>632</v>
      </c>
      <c r="C238" s="3"/>
      <c r="D238" s="2"/>
      <c r="E238" s="3">
        <f t="shared" ref="E238" si="127">C238*D238</f>
        <v>0</v>
      </c>
      <c r="F238" s="73">
        <v>52.7</v>
      </c>
      <c r="G238" s="61">
        <v>60</v>
      </c>
      <c r="H238" s="3">
        <f t="shared" ref="H238" si="128">F238*G238</f>
        <v>3162</v>
      </c>
      <c r="I238" s="3">
        <f t="shared" ref="I238" si="129">F238-C238</f>
        <v>52.7</v>
      </c>
      <c r="J238" s="2">
        <f t="shared" ref="J238" si="130">G238-D238</f>
        <v>60</v>
      </c>
    </row>
    <row r="239" spans="1:10" x14ac:dyDescent="0.2">
      <c r="A239" s="21" t="s">
        <v>89</v>
      </c>
      <c r="B239" s="14" t="s">
        <v>229</v>
      </c>
      <c r="C239" s="3">
        <v>15.05</v>
      </c>
      <c r="D239" s="2">
        <v>400</v>
      </c>
      <c r="E239" s="3">
        <f t="shared" si="110"/>
        <v>6020</v>
      </c>
      <c r="F239" s="3">
        <v>17.62</v>
      </c>
      <c r="G239" s="61">
        <v>400</v>
      </c>
      <c r="H239" s="3">
        <f t="shared" si="103"/>
        <v>7048</v>
      </c>
      <c r="I239" s="3">
        <f t="shared" si="104"/>
        <v>2.5700000000000003</v>
      </c>
      <c r="J239" s="2">
        <f t="shared" si="105"/>
        <v>0</v>
      </c>
    </row>
    <row r="240" spans="1:10" ht="27" customHeight="1" x14ac:dyDescent="0.2">
      <c r="A240" s="21" t="s">
        <v>90</v>
      </c>
      <c r="B240" s="13" t="s">
        <v>569</v>
      </c>
      <c r="C240" s="3">
        <v>91.52</v>
      </c>
      <c r="D240" s="2">
        <v>15</v>
      </c>
      <c r="E240" s="3">
        <f t="shared" si="110"/>
        <v>1372.8</v>
      </c>
      <c r="F240" s="3">
        <v>95.42</v>
      </c>
      <c r="G240" s="2">
        <v>15</v>
      </c>
      <c r="H240" s="3">
        <f t="shared" si="103"/>
        <v>1431.3</v>
      </c>
      <c r="I240" s="3">
        <f t="shared" si="104"/>
        <v>3.9000000000000057</v>
      </c>
      <c r="J240" s="2">
        <f t="shared" si="105"/>
        <v>0</v>
      </c>
    </row>
    <row r="241" spans="1:10" ht="27.75" customHeight="1" x14ac:dyDescent="0.2">
      <c r="A241" s="21" t="s">
        <v>91</v>
      </c>
      <c r="B241" s="13" t="s">
        <v>569</v>
      </c>
      <c r="C241" s="3">
        <v>5.23</v>
      </c>
      <c r="D241" s="2">
        <v>100</v>
      </c>
      <c r="E241" s="3">
        <f t="shared" si="110"/>
        <v>523</v>
      </c>
      <c r="F241" s="3">
        <v>5.45</v>
      </c>
      <c r="G241" s="2">
        <v>100</v>
      </c>
      <c r="H241" s="3">
        <f t="shared" si="103"/>
        <v>545</v>
      </c>
      <c r="I241" s="3">
        <f t="shared" si="104"/>
        <v>0.21999999999999975</v>
      </c>
      <c r="J241" s="2">
        <f t="shared" si="105"/>
        <v>0</v>
      </c>
    </row>
    <row r="242" spans="1:10" ht="15" customHeight="1" x14ac:dyDescent="0.2">
      <c r="A242" s="21" t="s">
        <v>339</v>
      </c>
      <c r="B242" s="13" t="s">
        <v>341</v>
      </c>
      <c r="C242" s="3">
        <v>375.36</v>
      </c>
      <c r="D242" s="2">
        <v>10</v>
      </c>
      <c r="E242" s="3">
        <f t="shared" si="110"/>
        <v>3753.6000000000004</v>
      </c>
      <c r="F242" s="3">
        <v>394</v>
      </c>
      <c r="G242" s="2">
        <v>10</v>
      </c>
      <c r="H242" s="3">
        <f t="shared" si="103"/>
        <v>3940</v>
      </c>
      <c r="I242" s="3">
        <f t="shared" si="104"/>
        <v>18.639999999999986</v>
      </c>
      <c r="J242" s="2">
        <f t="shared" si="105"/>
        <v>0</v>
      </c>
    </row>
    <row r="243" spans="1:10" ht="15" customHeight="1" x14ac:dyDescent="0.2">
      <c r="A243" s="21" t="s">
        <v>340</v>
      </c>
      <c r="B243" s="13" t="s">
        <v>342</v>
      </c>
      <c r="C243" s="3">
        <v>586.05999999999995</v>
      </c>
      <c r="D243" s="2">
        <v>5</v>
      </c>
      <c r="E243" s="3">
        <f t="shared" si="110"/>
        <v>2930.2999999999997</v>
      </c>
      <c r="F243" s="3">
        <v>614.75</v>
      </c>
      <c r="G243" s="2">
        <v>5</v>
      </c>
      <c r="H243" s="3">
        <f t="shared" si="103"/>
        <v>3073.75</v>
      </c>
      <c r="I243" s="3">
        <f t="shared" si="104"/>
        <v>28.690000000000055</v>
      </c>
      <c r="J243" s="2">
        <f t="shared" si="105"/>
        <v>0</v>
      </c>
    </row>
    <row r="244" spans="1:10" ht="15" customHeight="1" x14ac:dyDescent="0.2">
      <c r="A244" s="21" t="s">
        <v>353</v>
      </c>
      <c r="B244" s="11" t="s">
        <v>360</v>
      </c>
      <c r="C244" s="3">
        <v>11.95</v>
      </c>
      <c r="D244" s="2">
        <v>10</v>
      </c>
      <c r="E244" s="3">
        <f t="shared" si="110"/>
        <v>119.5</v>
      </c>
      <c r="F244" s="3">
        <v>12.21</v>
      </c>
      <c r="G244" s="2">
        <v>10</v>
      </c>
      <c r="H244" s="3">
        <f t="shared" si="103"/>
        <v>122.10000000000001</v>
      </c>
      <c r="I244" s="3">
        <f t="shared" si="104"/>
        <v>0.26000000000000156</v>
      </c>
      <c r="J244" s="2">
        <f t="shared" si="105"/>
        <v>0</v>
      </c>
    </row>
    <row r="245" spans="1:10" ht="28.5" customHeight="1" x14ac:dyDescent="0.2">
      <c r="A245" s="63" t="s">
        <v>623</v>
      </c>
      <c r="B245" s="64" t="s">
        <v>616</v>
      </c>
      <c r="C245" s="3"/>
      <c r="D245" s="2"/>
      <c r="E245" s="3">
        <f t="shared" si="110"/>
        <v>0</v>
      </c>
      <c r="F245" s="3">
        <v>17.66</v>
      </c>
      <c r="G245" s="61">
        <v>63</v>
      </c>
      <c r="H245" s="3">
        <f t="shared" si="103"/>
        <v>1112.58</v>
      </c>
      <c r="I245" s="3">
        <f t="shared" si="104"/>
        <v>17.66</v>
      </c>
      <c r="J245" s="2">
        <f t="shared" si="105"/>
        <v>63</v>
      </c>
    </row>
    <row r="246" spans="1:10" x14ac:dyDescent="0.2">
      <c r="A246" s="25">
        <v>8</v>
      </c>
      <c r="B246" s="18" t="s">
        <v>169</v>
      </c>
      <c r="C246" s="12"/>
      <c r="D246" s="12"/>
      <c r="E246" s="20">
        <f>SUM(E248:E283)</f>
        <v>12387.25</v>
      </c>
      <c r="F246" s="12"/>
      <c r="G246" s="12"/>
      <c r="H246" s="20">
        <f>SUM(H248:H283)</f>
        <v>13401.5</v>
      </c>
      <c r="I246" s="12"/>
      <c r="J246" s="12"/>
    </row>
    <row r="247" spans="1:10" x14ac:dyDescent="0.2">
      <c r="A247" s="21" t="s">
        <v>92</v>
      </c>
      <c r="B247" s="11" t="s">
        <v>230</v>
      </c>
      <c r="C247" s="3"/>
      <c r="D247" s="2"/>
      <c r="E247" s="3"/>
      <c r="F247" s="3"/>
      <c r="G247" s="2"/>
      <c r="H247" s="3"/>
      <c r="I247" s="3"/>
      <c r="J247" s="2"/>
    </row>
    <row r="248" spans="1:10" x14ac:dyDescent="0.2">
      <c r="A248" s="21" t="s">
        <v>93</v>
      </c>
      <c r="B248" s="13" t="s">
        <v>231</v>
      </c>
      <c r="C248" s="3">
        <v>2.44</v>
      </c>
      <c r="D248" s="2">
        <v>50</v>
      </c>
      <c r="E248" s="3">
        <f t="shared" ref="E248:E256" si="131">C248*D248</f>
        <v>122</v>
      </c>
      <c r="F248" s="3">
        <v>2.5</v>
      </c>
      <c r="G248" s="2">
        <v>50</v>
      </c>
      <c r="H248" s="3">
        <f t="shared" ref="H248:H256" si="132">F248*G248</f>
        <v>125</v>
      </c>
      <c r="I248" s="3">
        <f t="shared" ref="I248:I256" si="133">F248-C248</f>
        <v>6.0000000000000053E-2</v>
      </c>
      <c r="J248" s="2">
        <f t="shared" ref="J248:J256" si="134">G248-D248</f>
        <v>0</v>
      </c>
    </row>
    <row r="249" spans="1:10" x14ac:dyDescent="0.2">
      <c r="A249" s="21" t="s">
        <v>94</v>
      </c>
      <c r="B249" s="13" t="s">
        <v>232</v>
      </c>
      <c r="C249" s="3">
        <v>0.86</v>
      </c>
      <c r="D249" s="2">
        <v>1000</v>
      </c>
      <c r="E249" s="3">
        <f t="shared" si="131"/>
        <v>860</v>
      </c>
      <c r="F249" s="3">
        <v>0.9</v>
      </c>
      <c r="G249" s="2">
        <v>1000</v>
      </c>
      <c r="H249" s="3">
        <f t="shared" si="132"/>
        <v>900</v>
      </c>
      <c r="I249" s="3">
        <f t="shared" si="133"/>
        <v>4.0000000000000036E-2</v>
      </c>
      <c r="J249" s="2">
        <f t="shared" si="134"/>
        <v>0</v>
      </c>
    </row>
    <row r="250" spans="1:10" x14ac:dyDescent="0.2">
      <c r="A250" s="21" t="s">
        <v>95</v>
      </c>
      <c r="B250" s="13" t="s">
        <v>233</v>
      </c>
      <c r="C250" s="3">
        <v>2.69</v>
      </c>
      <c r="D250" s="2">
        <v>20</v>
      </c>
      <c r="E250" s="3">
        <f t="shared" si="131"/>
        <v>53.8</v>
      </c>
      <c r="F250" s="3">
        <v>2.8</v>
      </c>
      <c r="G250" s="2">
        <v>20</v>
      </c>
      <c r="H250" s="3">
        <f t="shared" si="132"/>
        <v>56</v>
      </c>
      <c r="I250" s="3">
        <f t="shared" si="133"/>
        <v>0.10999999999999988</v>
      </c>
      <c r="J250" s="2">
        <f t="shared" si="134"/>
        <v>0</v>
      </c>
    </row>
    <row r="251" spans="1:10" x14ac:dyDescent="0.2">
      <c r="A251" s="21" t="s">
        <v>343</v>
      </c>
      <c r="B251" s="13" t="s">
        <v>346</v>
      </c>
      <c r="C251" s="3">
        <v>1.45</v>
      </c>
      <c r="D251" s="2">
        <v>750</v>
      </c>
      <c r="E251" s="3">
        <f t="shared" si="131"/>
        <v>1087.5</v>
      </c>
      <c r="F251" s="3">
        <v>1.5</v>
      </c>
      <c r="G251" s="2">
        <v>750</v>
      </c>
      <c r="H251" s="3">
        <f t="shared" si="132"/>
        <v>1125</v>
      </c>
      <c r="I251" s="3">
        <f t="shared" si="133"/>
        <v>5.0000000000000044E-2</v>
      </c>
      <c r="J251" s="2">
        <f t="shared" si="134"/>
        <v>0</v>
      </c>
    </row>
    <row r="252" spans="1:10" x14ac:dyDescent="0.2">
      <c r="A252" s="21" t="s">
        <v>344</v>
      </c>
      <c r="B252" s="13" t="s">
        <v>347</v>
      </c>
      <c r="C252" s="3">
        <v>0.41</v>
      </c>
      <c r="D252" s="2">
        <v>150</v>
      </c>
      <c r="E252" s="3">
        <f t="shared" si="131"/>
        <v>61.499999999999993</v>
      </c>
      <c r="F252" s="3">
        <v>0.45</v>
      </c>
      <c r="G252" s="2">
        <v>150</v>
      </c>
      <c r="H252" s="3">
        <f t="shared" si="132"/>
        <v>67.5</v>
      </c>
      <c r="I252" s="3">
        <f t="shared" si="133"/>
        <v>4.0000000000000036E-2</v>
      </c>
      <c r="J252" s="2">
        <f t="shared" si="134"/>
        <v>0</v>
      </c>
    </row>
    <row r="253" spans="1:10" x14ac:dyDescent="0.2">
      <c r="A253" s="21" t="s">
        <v>345</v>
      </c>
      <c r="B253" s="13" t="s">
        <v>348</v>
      </c>
      <c r="C253" s="3">
        <v>0.82</v>
      </c>
      <c r="D253" s="2">
        <v>750</v>
      </c>
      <c r="E253" s="3">
        <f t="shared" si="131"/>
        <v>615</v>
      </c>
      <c r="F253" s="3">
        <v>0.85</v>
      </c>
      <c r="G253" s="2">
        <v>750</v>
      </c>
      <c r="H253" s="3">
        <f t="shared" si="132"/>
        <v>637.5</v>
      </c>
      <c r="I253" s="3">
        <f t="shared" si="133"/>
        <v>3.0000000000000027E-2</v>
      </c>
      <c r="J253" s="2">
        <f t="shared" si="134"/>
        <v>0</v>
      </c>
    </row>
    <row r="254" spans="1:10" x14ac:dyDescent="0.2">
      <c r="A254" s="21" t="s">
        <v>96</v>
      </c>
      <c r="B254" s="13" t="s">
        <v>234</v>
      </c>
      <c r="C254" s="3">
        <v>0.38</v>
      </c>
      <c r="D254" s="2">
        <v>440</v>
      </c>
      <c r="E254" s="3">
        <f t="shared" si="131"/>
        <v>167.2</v>
      </c>
      <c r="F254" s="3">
        <v>0.4</v>
      </c>
      <c r="G254" s="2">
        <v>440</v>
      </c>
      <c r="H254" s="3">
        <f t="shared" si="132"/>
        <v>176</v>
      </c>
      <c r="I254" s="3">
        <f t="shared" si="133"/>
        <v>2.0000000000000018E-2</v>
      </c>
      <c r="J254" s="2">
        <f t="shared" si="134"/>
        <v>0</v>
      </c>
    </row>
    <row r="255" spans="1:10" x14ac:dyDescent="0.2">
      <c r="A255" s="21" t="s">
        <v>97</v>
      </c>
      <c r="B255" s="13" t="s">
        <v>235</v>
      </c>
      <c r="C255" s="3">
        <v>0.75</v>
      </c>
      <c r="D255" s="2">
        <v>851</v>
      </c>
      <c r="E255" s="3">
        <f t="shared" si="131"/>
        <v>638.25</v>
      </c>
      <c r="F255" s="3">
        <v>0.8</v>
      </c>
      <c r="G255" s="2">
        <v>851</v>
      </c>
      <c r="H255" s="3">
        <f t="shared" si="132"/>
        <v>680.80000000000007</v>
      </c>
      <c r="I255" s="3">
        <f t="shared" si="133"/>
        <v>5.0000000000000044E-2</v>
      </c>
      <c r="J255" s="2">
        <f t="shared" si="134"/>
        <v>0</v>
      </c>
    </row>
    <row r="256" spans="1:10" x14ac:dyDescent="0.2">
      <c r="A256" s="21" t="s">
        <v>98</v>
      </c>
      <c r="B256" s="13" t="s">
        <v>236</v>
      </c>
      <c r="C256" s="3">
        <v>2.15</v>
      </c>
      <c r="D256" s="2">
        <v>68</v>
      </c>
      <c r="E256" s="3">
        <f t="shared" si="131"/>
        <v>146.19999999999999</v>
      </c>
      <c r="F256" s="3">
        <v>2.25</v>
      </c>
      <c r="G256" s="2">
        <v>68</v>
      </c>
      <c r="H256" s="3">
        <f t="shared" si="132"/>
        <v>153</v>
      </c>
      <c r="I256" s="3">
        <f t="shared" si="133"/>
        <v>0.10000000000000009</v>
      </c>
      <c r="J256" s="2">
        <f t="shared" si="134"/>
        <v>0</v>
      </c>
    </row>
    <row r="257" spans="1:10" ht="39" customHeight="1" x14ac:dyDescent="0.2">
      <c r="A257" s="21" t="s">
        <v>99</v>
      </c>
      <c r="B257" s="11" t="s">
        <v>490</v>
      </c>
      <c r="C257" s="15"/>
      <c r="D257" s="15"/>
      <c r="E257" s="15"/>
      <c r="F257" s="15"/>
      <c r="G257" s="15"/>
      <c r="H257" s="15"/>
      <c r="I257" s="15"/>
      <c r="J257" s="15"/>
    </row>
    <row r="258" spans="1:10" ht="13.5" customHeight="1" x14ac:dyDescent="0.2">
      <c r="A258" s="21" t="s">
        <v>100</v>
      </c>
      <c r="B258" s="11" t="s">
        <v>566</v>
      </c>
      <c r="C258" s="15"/>
      <c r="D258" s="15"/>
      <c r="E258" s="15"/>
      <c r="F258" s="15"/>
      <c r="G258" s="15"/>
      <c r="H258" s="15"/>
      <c r="I258" s="15"/>
      <c r="J258" s="15"/>
    </row>
    <row r="259" spans="1:10" x14ac:dyDescent="0.2">
      <c r="A259" s="21" t="s">
        <v>491</v>
      </c>
      <c r="B259" s="14" t="s">
        <v>231</v>
      </c>
      <c r="C259" s="3">
        <v>4.1100000000000003</v>
      </c>
      <c r="D259" s="2">
        <v>300</v>
      </c>
      <c r="E259" s="3">
        <f t="shared" ref="E259:E261" si="135">C259*D259</f>
        <v>1233</v>
      </c>
      <c r="F259" s="3">
        <v>4.5</v>
      </c>
      <c r="G259" s="2">
        <v>300</v>
      </c>
      <c r="H259" s="3">
        <f t="shared" ref="H259:H275" si="136">F259*G259</f>
        <v>1350</v>
      </c>
      <c r="I259" s="3">
        <f t="shared" ref="I259:I275" si="137">F259-C259</f>
        <v>0.38999999999999968</v>
      </c>
      <c r="J259" s="2">
        <f t="shared" ref="J259:J275" si="138">G259-D259</f>
        <v>0</v>
      </c>
    </row>
    <row r="260" spans="1:10" x14ac:dyDescent="0.2">
      <c r="A260" s="21" t="s">
        <v>493</v>
      </c>
      <c r="B260" s="14" t="s">
        <v>237</v>
      </c>
      <c r="C260" s="3">
        <v>2.4700000000000002</v>
      </c>
      <c r="D260" s="2">
        <v>300</v>
      </c>
      <c r="E260" s="3">
        <f t="shared" si="135"/>
        <v>741.00000000000011</v>
      </c>
      <c r="F260" s="3">
        <v>2.8</v>
      </c>
      <c r="G260" s="2">
        <v>300</v>
      </c>
      <c r="H260" s="3">
        <f t="shared" si="136"/>
        <v>840</v>
      </c>
      <c r="I260" s="3">
        <f t="shared" si="137"/>
        <v>0.32999999999999963</v>
      </c>
      <c r="J260" s="2">
        <f t="shared" si="138"/>
        <v>0</v>
      </c>
    </row>
    <row r="261" spans="1:10" x14ac:dyDescent="0.2">
      <c r="A261" s="21" t="s">
        <v>494</v>
      </c>
      <c r="B261" s="14" t="s">
        <v>236</v>
      </c>
      <c r="C261" s="3">
        <v>2.4700000000000002</v>
      </c>
      <c r="D261" s="2">
        <v>300</v>
      </c>
      <c r="E261" s="3">
        <f t="shared" si="135"/>
        <v>741.00000000000011</v>
      </c>
      <c r="F261" s="3">
        <v>2.8</v>
      </c>
      <c r="G261" s="2">
        <v>300</v>
      </c>
      <c r="H261" s="3">
        <f t="shared" si="136"/>
        <v>840</v>
      </c>
      <c r="I261" s="3">
        <f t="shared" si="137"/>
        <v>0.32999999999999963</v>
      </c>
      <c r="J261" s="2">
        <f t="shared" si="138"/>
        <v>0</v>
      </c>
    </row>
    <row r="262" spans="1:10" x14ac:dyDescent="0.2">
      <c r="A262" s="21" t="s">
        <v>101</v>
      </c>
      <c r="B262" s="14" t="s">
        <v>497</v>
      </c>
      <c r="C262" s="3"/>
      <c r="D262" s="2"/>
      <c r="E262" s="3"/>
      <c r="F262" s="3"/>
      <c r="G262" s="2"/>
      <c r="H262" s="3"/>
      <c r="I262" s="3"/>
      <c r="J262" s="2"/>
    </row>
    <row r="263" spans="1:10" x14ac:dyDescent="0.2">
      <c r="A263" s="21" t="s">
        <v>495</v>
      </c>
      <c r="B263" s="14" t="s">
        <v>231</v>
      </c>
      <c r="C263" s="3">
        <v>4.5999999999999996</v>
      </c>
      <c r="D263" s="2">
        <v>15</v>
      </c>
      <c r="E263" s="3">
        <f t="shared" ref="E263:E265" si="139">C263*D263</f>
        <v>69</v>
      </c>
      <c r="F263" s="3">
        <v>5</v>
      </c>
      <c r="G263" s="2">
        <v>15</v>
      </c>
      <c r="H263" s="3">
        <f t="shared" si="136"/>
        <v>75</v>
      </c>
      <c r="I263" s="3">
        <f t="shared" si="137"/>
        <v>0.40000000000000036</v>
      </c>
      <c r="J263" s="2">
        <f t="shared" si="138"/>
        <v>0</v>
      </c>
    </row>
    <row r="264" spans="1:10" x14ac:dyDescent="0.2">
      <c r="A264" s="21" t="s">
        <v>492</v>
      </c>
      <c r="B264" s="14" t="s">
        <v>237</v>
      </c>
      <c r="C264" s="3">
        <v>2.8</v>
      </c>
      <c r="D264" s="2">
        <v>15</v>
      </c>
      <c r="E264" s="3">
        <f t="shared" si="139"/>
        <v>42</v>
      </c>
      <c r="F264" s="3">
        <v>3.19</v>
      </c>
      <c r="G264" s="2">
        <v>15</v>
      </c>
      <c r="H264" s="3">
        <f t="shared" si="136"/>
        <v>47.85</v>
      </c>
      <c r="I264" s="3">
        <f t="shared" si="137"/>
        <v>0.39000000000000012</v>
      </c>
      <c r="J264" s="2">
        <f t="shared" si="138"/>
        <v>0</v>
      </c>
    </row>
    <row r="265" spans="1:10" x14ac:dyDescent="0.2">
      <c r="A265" s="21" t="s">
        <v>496</v>
      </c>
      <c r="B265" s="14" t="s">
        <v>236</v>
      </c>
      <c r="C265" s="3">
        <v>2.8</v>
      </c>
      <c r="D265" s="2">
        <v>15</v>
      </c>
      <c r="E265" s="3">
        <f t="shared" si="139"/>
        <v>42</v>
      </c>
      <c r="F265" s="3">
        <v>3.19</v>
      </c>
      <c r="G265" s="2">
        <v>15</v>
      </c>
      <c r="H265" s="3">
        <f t="shared" si="136"/>
        <v>47.85</v>
      </c>
      <c r="I265" s="3">
        <f t="shared" si="137"/>
        <v>0.39000000000000012</v>
      </c>
      <c r="J265" s="2">
        <f t="shared" si="138"/>
        <v>0</v>
      </c>
    </row>
    <row r="266" spans="1:10" x14ac:dyDescent="0.2">
      <c r="A266" s="21" t="s">
        <v>102</v>
      </c>
      <c r="B266" s="11" t="s">
        <v>238</v>
      </c>
      <c r="C266" s="28"/>
      <c r="D266" s="28"/>
      <c r="E266" s="3"/>
      <c r="F266" s="28"/>
      <c r="G266" s="28"/>
      <c r="H266" s="3"/>
      <c r="I266" s="3"/>
      <c r="J266" s="2"/>
    </row>
    <row r="267" spans="1:10" x14ac:dyDescent="0.2">
      <c r="A267" s="21" t="s">
        <v>103</v>
      </c>
      <c r="B267" s="11" t="s">
        <v>559</v>
      </c>
      <c r="C267" s="28"/>
      <c r="D267" s="28"/>
      <c r="E267" s="3"/>
      <c r="F267" s="28"/>
      <c r="G267" s="28"/>
      <c r="H267" s="3"/>
      <c r="I267" s="3"/>
      <c r="J267" s="2"/>
    </row>
    <row r="268" spans="1:10" x14ac:dyDescent="0.2">
      <c r="A268" s="21" t="s">
        <v>560</v>
      </c>
      <c r="B268" s="24" t="s">
        <v>231</v>
      </c>
      <c r="C268" s="3">
        <v>8.4700000000000006</v>
      </c>
      <c r="D268" s="2">
        <v>150</v>
      </c>
      <c r="E268" s="3">
        <f t="shared" ref="E268:E270" si="140">C268*D268</f>
        <v>1270.5</v>
      </c>
      <c r="F268" s="3">
        <v>8.8000000000000007</v>
      </c>
      <c r="G268" s="2">
        <v>150</v>
      </c>
      <c r="H268" s="3">
        <f t="shared" si="136"/>
        <v>1320</v>
      </c>
      <c r="I268" s="3">
        <f t="shared" si="137"/>
        <v>0.33000000000000007</v>
      </c>
      <c r="J268" s="2">
        <f t="shared" si="138"/>
        <v>0</v>
      </c>
    </row>
    <row r="269" spans="1:10" x14ac:dyDescent="0.2">
      <c r="A269" s="21" t="s">
        <v>561</v>
      </c>
      <c r="B269" s="24" t="s">
        <v>237</v>
      </c>
      <c r="C269" s="3">
        <v>5</v>
      </c>
      <c r="D269" s="2">
        <v>300</v>
      </c>
      <c r="E269" s="3">
        <f t="shared" si="140"/>
        <v>1500</v>
      </c>
      <c r="F269" s="3">
        <v>5.75</v>
      </c>
      <c r="G269" s="2">
        <v>300</v>
      </c>
      <c r="H269" s="3">
        <f t="shared" si="136"/>
        <v>1725</v>
      </c>
      <c r="I269" s="3">
        <f t="shared" si="137"/>
        <v>0.75</v>
      </c>
      <c r="J269" s="2">
        <f t="shared" si="138"/>
        <v>0</v>
      </c>
    </row>
    <row r="270" spans="1:10" x14ac:dyDescent="0.2">
      <c r="A270" s="21" t="s">
        <v>562</v>
      </c>
      <c r="B270" s="24" t="s">
        <v>236</v>
      </c>
      <c r="C270" s="3">
        <v>5</v>
      </c>
      <c r="D270" s="2">
        <v>150</v>
      </c>
      <c r="E270" s="3">
        <f t="shared" si="140"/>
        <v>750</v>
      </c>
      <c r="F270" s="3">
        <v>5.75</v>
      </c>
      <c r="G270" s="2">
        <v>150</v>
      </c>
      <c r="H270" s="3">
        <f t="shared" si="136"/>
        <v>862.5</v>
      </c>
      <c r="I270" s="3">
        <f t="shared" si="137"/>
        <v>0.75</v>
      </c>
      <c r="J270" s="2">
        <f t="shared" si="138"/>
        <v>0</v>
      </c>
    </row>
    <row r="271" spans="1:10" x14ac:dyDescent="0.2">
      <c r="A271" s="21" t="s">
        <v>104</v>
      </c>
      <c r="B271" s="11" t="s">
        <v>566</v>
      </c>
      <c r="C271" s="28"/>
      <c r="D271" s="28"/>
      <c r="E271" s="3"/>
      <c r="F271" s="28"/>
      <c r="G271" s="28"/>
      <c r="H271" s="3"/>
      <c r="I271" s="3"/>
      <c r="J271" s="2"/>
    </row>
    <row r="272" spans="1:10" x14ac:dyDescent="0.2">
      <c r="A272" s="21" t="s">
        <v>563</v>
      </c>
      <c r="B272" s="24" t="s">
        <v>231</v>
      </c>
      <c r="C272" s="3">
        <v>4.5999999999999996</v>
      </c>
      <c r="D272" s="2">
        <v>15</v>
      </c>
      <c r="E272" s="3">
        <f t="shared" ref="E272:E275" si="141">C272*D272</f>
        <v>69</v>
      </c>
      <c r="F272" s="3">
        <v>5</v>
      </c>
      <c r="G272" s="2">
        <v>15</v>
      </c>
      <c r="H272" s="3">
        <f t="shared" ref="H272:H274" si="142">F272*G272</f>
        <v>75</v>
      </c>
      <c r="I272" s="3">
        <f t="shared" ref="I272:I274" si="143">F272-C272</f>
        <v>0.40000000000000036</v>
      </c>
      <c r="J272" s="2">
        <f t="shared" ref="J272:J274" si="144">G272-D272</f>
        <v>0</v>
      </c>
    </row>
    <row r="273" spans="1:10" x14ac:dyDescent="0.2">
      <c r="A273" s="21" t="s">
        <v>564</v>
      </c>
      <c r="B273" s="24" t="s">
        <v>237</v>
      </c>
      <c r="C273" s="3">
        <v>2.8</v>
      </c>
      <c r="D273" s="2">
        <v>15</v>
      </c>
      <c r="E273" s="3">
        <f t="shared" si="141"/>
        <v>42</v>
      </c>
      <c r="F273" s="3">
        <v>3.19</v>
      </c>
      <c r="G273" s="2">
        <v>15</v>
      </c>
      <c r="H273" s="3">
        <f t="shared" si="142"/>
        <v>47.85</v>
      </c>
      <c r="I273" s="3">
        <f t="shared" si="143"/>
        <v>0.39000000000000012</v>
      </c>
      <c r="J273" s="2">
        <f t="shared" si="144"/>
        <v>0</v>
      </c>
    </row>
    <row r="274" spans="1:10" x14ac:dyDescent="0.2">
      <c r="A274" s="21" t="s">
        <v>565</v>
      </c>
      <c r="B274" s="24" t="s">
        <v>236</v>
      </c>
      <c r="C274" s="3">
        <v>2.8</v>
      </c>
      <c r="D274" s="2">
        <v>15</v>
      </c>
      <c r="E274" s="3">
        <f t="shared" si="141"/>
        <v>42</v>
      </c>
      <c r="F274" s="3">
        <v>3.19</v>
      </c>
      <c r="G274" s="2">
        <v>15</v>
      </c>
      <c r="H274" s="3">
        <f t="shared" si="142"/>
        <v>47.85</v>
      </c>
      <c r="I274" s="3">
        <f t="shared" si="143"/>
        <v>0.39000000000000012</v>
      </c>
      <c r="J274" s="2">
        <f t="shared" si="144"/>
        <v>0</v>
      </c>
    </row>
    <row r="275" spans="1:10" x14ac:dyDescent="0.2">
      <c r="A275" s="21" t="s">
        <v>105</v>
      </c>
      <c r="B275" s="23" t="s">
        <v>239</v>
      </c>
      <c r="C275" s="3">
        <v>4.95</v>
      </c>
      <c r="D275" s="2">
        <v>150</v>
      </c>
      <c r="E275" s="3">
        <f t="shared" si="141"/>
        <v>742.5</v>
      </c>
      <c r="F275" s="3">
        <v>5.2</v>
      </c>
      <c r="G275" s="2">
        <v>150</v>
      </c>
      <c r="H275" s="3">
        <f t="shared" si="136"/>
        <v>780</v>
      </c>
      <c r="I275" s="3">
        <f t="shared" si="137"/>
        <v>0.25</v>
      </c>
      <c r="J275" s="2">
        <f t="shared" si="138"/>
        <v>0</v>
      </c>
    </row>
    <row r="276" spans="1:10" x14ac:dyDescent="0.2">
      <c r="A276" s="21" t="s">
        <v>106</v>
      </c>
      <c r="B276" s="11" t="s">
        <v>240</v>
      </c>
      <c r="C276" s="15"/>
      <c r="D276" s="15"/>
      <c r="E276" s="3"/>
      <c r="F276" s="15"/>
      <c r="G276" s="15"/>
      <c r="H276" s="3"/>
      <c r="I276" s="3"/>
      <c r="J276" s="2"/>
    </row>
    <row r="277" spans="1:10" x14ac:dyDescent="0.2">
      <c r="A277" s="21" t="s">
        <v>107</v>
      </c>
      <c r="B277" s="14" t="s">
        <v>241</v>
      </c>
      <c r="C277" s="3">
        <v>0.96</v>
      </c>
      <c r="D277" s="2">
        <v>500</v>
      </c>
      <c r="E277" s="3">
        <f t="shared" ref="E277:E278" si="145">C277*D277</f>
        <v>480</v>
      </c>
      <c r="F277" s="3">
        <v>0.96</v>
      </c>
      <c r="G277" s="2">
        <v>250</v>
      </c>
      <c r="H277" s="3">
        <f t="shared" ref="H277:H283" si="146">F277*G277</f>
        <v>240</v>
      </c>
      <c r="I277" s="3">
        <f t="shared" ref="I277:I283" si="147">F277-C277</f>
        <v>0</v>
      </c>
      <c r="J277" s="2">
        <f t="shared" ref="J277:J283" si="148">G277-D277</f>
        <v>-250</v>
      </c>
    </row>
    <row r="278" spans="1:10" x14ac:dyDescent="0.2">
      <c r="A278" s="21" t="s">
        <v>108</v>
      </c>
      <c r="B278" s="14" t="s">
        <v>242</v>
      </c>
      <c r="C278" s="3">
        <v>1.45</v>
      </c>
      <c r="D278" s="2">
        <v>500</v>
      </c>
      <c r="E278" s="3">
        <f t="shared" si="145"/>
        <v>725</v>
      </c>
      <c r="F278" s="3">
        <v>1.45</v>
      </c>
      <c r="G278" s="2">
        <v>500</v>
      </c>
      <c r="H278" s="3">
        <f t="shared" si="146"/>
        <v>725</v>
      </c>
      <c r="I278" s="3">
        <f t="shared" si="147"/>
        <v>0</v>
      </c>
      <c r="J278" s="2">
        <f t="shared" si="148"/>
        <v>0</v>
      </c>
    </row>
    <row r="279" spans="1:10" x14ac:dyDescent="0.2">
      <c r="A279" s="21" t="s">
        <v>588</v>
      </c>
      <c r="B279" s="14" t="s">
        <v>590</v>
      </c>
      <c r="C279" s="3"/>
      <c r="D279" s="2"/>
      <c r="E279" s="3"/>
      <c r="F279" s="3">
        <v>0.85</v>
      </c>
      <c r="G279" s="2">
        <v>250</v>
      </c>
      <c r="H279" s="3">
        <f t="shared" si="146"/>
        <v>212.5</v>
      </c>
      <c r="I279" s="3">
        <f t="shared" si="147"/>
        <v>0.85</v>
      </c>
      <c r="J279" s="2">
        <f t="shared" si="148"/>
        <v>250</v>
      </c>
    </row>
    <row r="280" spans="1:10" x14ac:dyDescent="0.2">
      <c r="A280" s="21" t="s">
        <v>589</v>
      </c>
      <c r="B280" s="14" t="s">
        <v>591</v>
      </c>
      <c r="C280" s="3"/>
      <c r="D280" s="2"/>
      <c r="E280" s="3"/>
      <c r="F280" s="3">
        <v>0.39</v>
      </c>
      <c r="G280" s="2">
        <v>250</v>
      </c>
      <c r="H280" s="3">
        <f t="shared" si="146"/>
        <v>97.5</v>
      </c>
      <c r="I280" s="3">
        <f t="shared" si="147"/>
        <v>0.39</v>
      </c>
      <c r="J280" s="2">
        <f t="shared" si="148"/>
        <v>250</v>
      </c>
    </row>
    <row r="281" spans="1:10" x14ac:dyDescent="0.2">
      <c r="A281" s="21" t="s">
        <v>109</v>
      </c>
      <c r="B281" s="14" t="s">
        <v>243</v>
      </c>
      <c r="C281" s="3">
        <v>0.61</v>
      </c>
      <c r="D281" s="2">
        <v>100</v>
      </c>
      <c r="E281" s="3">
        <f t="shared" ref="E281:E283" si="149">C281*D281</f>
        <v>61</v>
      </c>
      <c r="F281" s="3">
        <v>0.61</v>
      </c>
      <c r="G281" s="2">
        <v>100</v>
      </c>
      <c r="H281" s="3">
        <f t="shared" si="146"/>
        <v>61</v>
      </c>
      <c r="I281" s="3">
        <f t="shared" si="147"/>
        <v>0</v>
      </c>
      <c r="J281" s="2">
        <f t="shared" si="148"/>
        <v>0</v>
      </c>
    </row>
    <row r="282" spans="1:10" x14ac:dyDescent="0.2">
      <c r="A282" s="21" t="s">
        <v>110</v>
      </c>
      <c r="B282" s="14" t="s">
        <v>244</v>
      </c>
      <c r="C282" s="3">
        <v>0.3</v>
      </c>
      <c r="D282" s="2">
        <v>100</v>
      </c>
      <c r="E282" s="3">
        <f t="shared" si="149"/>
        <v>30</v>
      </c>
      <c r="F282" s="3">
        <v>0.3</v>
      </c>
      <c r="G282" s="2">
        <v>100</v>
      </c>
      <c r="H282" s="3">
        <f t="shared" si="146"/>
        <v>30</v>
      </c>
      <c r="I282" s="3">
        <f t="shared" si="147"/>
        <v>0</v>
      </c>
      <c r="J282" s="2">
        <f t="shared" si="148"/>
        <v>0</v>
      </c>
    </row>
    <row r="283" spans="1:10" x14ac:dyDescent="0.2">
      <c r="A283" s="21" t="s">
        <v>111</v>
      </c>
      <c r="B283" s="24" t="s">
        <v>359</v>
      </c>
      <c r="C283" s="3">
        <v>0.93</v>
      </c>
      <c r="D283" s="2">
        <v>60</v>
      </c>
      <c r="E283" s="3">
        <f t="shared" si="149"/>
        <v>55.800000000000004</v>
      </c>
      <c r="F283" s="3">
        <v>0.93</v>
      </c>
      <c r="G283" s="2">
        <v>60</v>
      </c>
      <c r="H283" s="3">
        <f t="shared" si="146"/>
        <v>55.800000000000004</v>
      </c>
      <c r="I283" s="3">
        <f t="shared" si="147"/>
        <v>0</v>
      </c>
      <c r="J283" s="2">
        <f t="shared" si="148"/>
        <v>0</v>
      </c>
    </row>
    <row r="284" spans="1:10" x14ac:dyDescent="0.2">
      <c r="A284" s="25">
        <v>9</v>
      </c>
      <c r="B284" s="18" t="s">
        <v>245</v>
      </c>
      <c r="C284" s="26"/>
      <c r="D284" s="19"/>
      <c r="E284" s="20">
        <f>SUM(E286:E294)</f>
        <v>2460.2799999999997</v>
      </c>
      <c r="F284" s="26"/>
      <c r="G284" s="19"/>
      <c r="H284" s="20">
        <f>SUM(H286:H294)</f>
        <v>3363.8599999999997</v>
      </c>
      <c r="I284" s="19"/>
      <c r="J284" s="19"/>
    </row>
    <row r="285" spans="1:10" x14ac:dyDescent="0.2">
      <c r="A285" s="21" t="s">
        <v>112</v>
      </c>
      <c r="B285" s="11" t="s">
        <v>246</v>
      </c>
      <c r="C285" s="15"/>
      <c r="D285" s="15"/>
      <c r="E285" s="15"/>
      <c r="F285" s="15"/>
      <c r="G285" s="15"/>
      <c r="H285" s="15"/>
      <c r="I285" s="15"/>
      <c r="J285" s="15"/>
    </row>
    <row r="286" spans="1:10" x14ac:dyDescent="0.2">
      <c r="A286" s="21" t="s">
        <v>113</v>
      </c>
      <c r="B286" s="14" t="s">
        <v>247</v>
      </c>
      <c r="C286" s="3">
        <v>8.64</v>
      </c>
      <c r="D286" s="2">
        <v>5</v>
      </c>
      <c r="E286" s="3">
        <f t="shared" ref="E286:E294" si="150">C286*D286</f>
        <v>43.2</v>
      </c>
      <c r="F286" s="3">
        <v>10.58</v>
      </c>
      <c r="G286" s="2">
        <v>5</v>
      </c>
      <c r="H286" s="3">
        <f t="shared" ref="H286:H294" si="151">F286*G286</f>
        <v>52.9</v>
      </c>
      <c r="I286" s="3">
        <f t="shared" ref="I286:I294" si="152">F286-C286</f>
        <v>1.9399999999999995</v>
      </c>
      <c r="J286" s="2">
        <f t="shared" ref="J286:J294" si="153">G286-D286</f>
        <v>0</v>
      </c>
    </row>
    <row r="287" spans="1:10" x14ac:dyDescent="0.2">
      <c r="A287" s="21" t="s">
        <v>114</v>
      </c>
      <c r="B287" s="58" t="s">
        <v>248</v>
      </c>
      <c r="C287" s="3">
        <v>21.02</v>
      </c>
      <c r="D287" s="2">
        <v>5</v>
      </c>
      <c r="E287" s="3">
        <f t="shared" si="150"/>
        <v>105.1</v>
      </c>
      <c r="F287" s="3">
        <v>22.72</v>
      </c>
      <c r="G287" s="2">
        <v>5</v>
      </c>
      <c r="H287" s="3">
        <f t="shared" si="151"/>
        <v>113.6</v>
      </c>
      <c r="I287" s="3">
        <f t="shared" si="152"/>
        <v>1.6999999999999993</v>
      </c>
      <c r="J287" s="2">
        <f t="shared" si="153"/>
        <v>0</v>
      </c>
    </row>
    <row r="288" spans="1:10" x14ac:dyDescent="0.2">
      <c r="A288" s="21" t="s">
        <v>115</v>
      </c>
      <c r="B288" s="58" t="s">
        <v>249</v>
      </c>
      <c r="C288" s="3">
        <v>12.55</v>
      </c>
      <c r="D288" s="2">
        <v>20</v>
      </c>
      <c r="E288" s="3">
        <f t="shared" si="150"/>
        <v>251</v>
      </c>
      <c r="F288" s="3">
        <v>15.33</v>
      </c>
      <c r="G288" s="2">
        <v>20</v>
      </c>
      <c r="H288" s="3">
        <f t="shared" si="151"/>
        <v>306.60000000000002</v>
      </c>
      <c r="I288" s="3">
        <f t="shared" si="152"/>
        <v>2.7799999999999994</v>
      </c>
      <c r="J288" s="2">
        <f t="shared" si="153"/>
        <v>0</v>
      </c>
    </row>
    <row r="289" spans="1:10" x14ac:dyDescent="0.2">
      <c r="A289" s="21" t="s">
        <v>116</v>
      </c>
      <c r="B289" s="58" t="s">
        <v>613</v>
      </c>
      <c r="C289" s="3">
        <v>4.45</v>
      </c>
      <c r="D289" s="2">
        <v>10</v>
      </c>
      <c r="E289" s="3">
        <f t="shared" si="150"/>
        <v>44.5</v>
      </c>
      <c r="F289" s="3"/>
      <c r="G289" s="2"/>
      <c r="H289" s="3">
        <f t="shared" si="151"/>
        <v>0</v>
      </c>
      <c r="I289" s="3">
        <f t="shared" si="152"/>
        <v>-4.45</v>
      </c>
      <c r="J289" s="2">
        <f t="shared" si="153"/>
        <v>-10</v>
      </c>
    </row>
    <row r="290" spans="1:10" x14ac:dyDescent="0.2">
      <c r="A290" s="21" t="s">
        <v>611</v>
      </c>
      <c r="B290" s="58" t="s">
        <v>613</v>
      </c>
      <c r="C290" s="3"/>
      <c r="D290" s="2"/>
      <c r="E290" s="3"/>
      <c r="F290" s="3">
        <v>4.68</v>
      </c>
      <c r="G290" s="2">
        <v>10</v>
      </c>
      <c r="H290" s="3">
        <f t="shared" ref="H290:H291" si="154">F290*G290</f>
        <v>46.8</v>
      </c>
      <c r="I290" s="3">
        <f t="shared" ref="I290:I291" si="155">F290-C290</f>
        <v>4.68</v>
      </c>
      <c r="J290" s="2">
        <f t="shared" ref="J290:J291" si="156">G290-D290</f>
        <v>10</v>
      </c>
    </row>
    <row r="291" spans="1:10" x14ac:dyDescent="0.2">
      <c r="A291" s="21" t="s">
        <v>612</v>
      </c>
      <c r="B291" s="58" t="s">
        <v>614</v>
      </c>
      <c r="C291" s="3"/>
      <c r="D291" s="2"/>
      <c r="E291" s="3"/>
      <c r="F291" s="3">
        <v>34.520000000000003</v>
      </c>
      <c r="G291" s="2">
        <v>4</v>
      </c>
      <c r="H291" s="3">
        <f t="shared" si="154"/>
        <v>138.08000000000001</v>
      </c>
      <c r="I291" s="3">
        <f t="shared" si="155"/>
        <v>34.520000000000003</v>
      </c>
      <c r="J291" s="2">
        <f t="shared" si="156"/>
        <v>4</v>
      </c>
    </row>
    <row r="292" spans="1:10" x14ac:dyDescent="0.2">
      <c r="A292" s="21" t="s">
        <v>117</v>
      </c>
      <c r="B292" s="58" t="s">
        <v>250</v>
      </c>
      <c r="C292" s="3">
        <v>14.64</v>
      </c>
      <c r="D292" s="2">
        <v>5</v>
      </c>
      <c r="E292" s="3">
        <f t="shared" si="150"/>
        <v>73.2</v>
      </c>
      <c r="F292" s="3">
        <v>15.8</v>
      </c>
      <c r="G292" s="2">
        <v>5</v>
      </c>
      <c r="H292" s="3">
        <f t="shared" si="151"/>
        <v>79</v>
      </c>
      <c r="I292" s="3">
        <f t="shared" si="152"/>
        <v>1.1600000000000001</v>
      </c>
      <c r="J292" s="2">
        <f t="shared" si="153"/>
        <v>0</v>
      </c>
    </row>
    <row r="293" spans="1:10" x14ac:dyDescent="0.2">
      <c r="A293" s="21" t="s">
        <v>118</v>
      </c>
      <c r="B293" s="58" t="s">
        <v>251</v>
      </c>
      <c r="C293" s="3">
        <v>13.5</v>
      </c>
      <c r="D293" s="2">
        <v>100</v>
      </c>
      <c r="E293" s="3">
        <f t="shared" si="150"/>
        <v>1350</v>
      </c>
      <c r="F293" s="3">
        <v>18.559999999999999</v>
      </c>
      <c r="G293" s="2">
        <v>100</v>
      </c>
      <c r="H293" s="3">
        <f t="shared" si="151"/>
        <v>1855.9999999999998</v>
      </c>
      <c r="I293" s="3">
        <f t="shared" si="152"/>
        <v>5.0599999999999987</v>
      </c>
      <c r="J293" s="2">
        <f t="shared" si="153"/>
        <v>0</v>
      </c>
    </row>
    <row r="294" spans="1:10" x14ac:dyDescent="0.2">
      <c r="A294" s="21" t="s">
        <v>355</v>
      </c>
      <c r="B294" s="59" t="s">
        <v>361</v>
      </c>
      <c r="C294" s="3">
        <v>6.18</v>
      </c>
      <c r="D294" s="2">
        <v>96</v>
      </c>
      <c r="E294" s="3">
        <f t="shared" si="150"/>
        <v>593.28</v>
      </c>
      <c r="F294" s="3">
        <v>8.0299999999999994</v>
      </c>
      <c r="G294" s="2">
        <v>96</v>
      </c>
      <c r="H294" s="3">
        <f t="shared" si="151"/>
        <v>770.87999999999988</v>
      </c>
      <c r="I294" s="3">
        <f t="shared" si="152"/>
        <v>1.8499999999999996</v>
      </c>
      <c r="J294" s="2">
        <f t="shared" si="153"/>
        <v>0</v>
      </c>
    </row>
    <row r="295" spans="1:10" x14ac:dyDescent="0.2">
      <c r="A295" s="25">
        <v>10</v>
      </c>
      <c r="B295" s="18" t="s">
        <v>252</v>
      </c>
      <c r="C295" s="26"/>
      <c r="D295" s="19"/>
      <c r="E295" s="20">
        <f>SUM(E296:E310)</f>
        <v>10729.440000000002</v>
      </c>
      <c r="F295" s="26"/>
      <c r="G295" s="19"/>
      <c r="H295" s="20">
        <f>SUM(H296:H310)</f>
        <v>11187.070000000003</v>
      </c>
      <c r="I295" s="19"/>
      <c r="J295" s="19"/>
    </row>
    <row r="296" spans="1:10" x14ac:dyDescent="0.2">
      <c r="A296" s="21" t="s">
        <v>119</v>
      </c>
      <c r="B296" s="60" t="s">
        <v>253</v>
      </c>
      <c r="C296" s="3">
        <v>43.11</v>
      </c>
      <c r="D296" s="2">
        <v>145</v>
      </c>
      <c r="E296" s="3">
        <f t="shared" ref="E296:E303" si="157">C296*D296</f>
        <v>6250.95</v>
      </c>
      <c r="F296" s="3">
        <v>46.06</v>
      </c>
      <c r="G296" s="2">
        <v>145</v>
      </c>
      <c r="H296" s="3">
        <f t="shared" ref="H296:H310" si="158">F296*G296</f>
        <v>6678.7000000000007</v>
      </c>
      <c r="I296" s="3">
        <f t="shared" ref="I296:I310" si="159">F296-C296</f>
        <v>2.9500000000000028</v>
      </c>
      <c r="J296" s="2">
        <f t="shared" ref="J296:J310" si="160">G296-D296</f>
        <v>0</v>
      </c>
    </row>
    <row r="297" spans="1:10" x14ac:dyDescent="0.2">
      <c r="A297" s="21" t="s">
        <v>120</v>
      </c>
      <c r="B297" s="60" t="s">
        <v>254</v>
      </c>
      <c r="C297" s="3">
        <v>71.13</v>
      </c>
      <c r="D297" s="2">
        <v>12</v>
      </c>
      <c r="E297" s="3">
        <f t="shared" si="157"/>
        <v>853.56</v>
      </c>
      <c r="F297" s="3">
        <v>73.62</v>
      </c>
      <c r="G297" s="2">
        <v>12</v>
      </c>
      <c r="H297" s="3">
        <f t="shared" si="158"/>
        <v>883.44</v>
      </c>
      <c r="I297" s="3">
        <f t="shared" si="159"/>
        <v>2.4900000000000091</v>
      </c>
      <c r="J297" s="2">
        <f t="shared" si="160"/>
        <v>0</v>
      </c>
    </row>
    <row r="298" spans="1:10" ht="12" customHeight="1" x14ac:dyDescent="0.2">
      <c r="A298" s="21" t="s">
        <v>121</v>
      </c>
      <c r="B298" s="13" t="s">
        <v>536</v>
      </c>
      <c r="C298" s="3">
        <v>14.76</v>
      </c>
      <c r="D298" s="2">
        <v>50</v>
      </c>
      <c r="E298" s="3">
        <f t="shared" si="157"/>
        <v>738</v>
      </c>
      <c r="F298" s="3">
        <v>14.76</v>
      </c>
      <c r="G298" s="2">
        <v>50</v>
      </c>
      <c r="H298" s="3">
        <f t="shared" si="158"/>
        <v>738</v>
      </c>
      <c r="I298" s="3">
        <f t="shared" si="159"/>
        <v>0</v>
      </c>
      <c r="J298" s="2">
        <f t="shared" si="160"/>
        <v>0</v>
      </c>
    </row>
    <row r="299" spans="1:10" ht="13.5" customHeight="1" x14ac:dyDescent="0.2">
      <c r="A299" s="21" t="s">
        <v>122</v>
      </c>
      <c r="B299" s="13" t="s">
        <v>537</v>
      </c>
      <c r="C299" s="3">
        <v>210.54</v>
      </c>
      <c r="D299" s="2">
        <v>5</v>
      </c>
      <c r="E299" s="3">
        <f t="shared" si="157"/>
        <v>1052.7</v>
      </c>
      <c r="F299" s="3">
        <v>210.54</v>
      </c>
      <c r="G299" s="2">
        <v>5</v>
      </c>
      <c r="H299" s="3">
        <f t="shared" si="158"/>
        <v>1052.7</v>
      </c>
      <c r="I299" s="3">
        <f t="shared" si="159"/>
        <v>0</v>
      </c>
      <c r="J299" s="2">
        <f t="shared" si="160"/>
        <v>0</v>
      </c>
    </row>
    <row r="300" spans="1:10" x14ac:dyDescent="0.2">
      <c r="A300" s="21" t="s">
        <v>123</v>
      </c>
      <c r="B300" s="13" t="s">
        <v>255</v>
      </c>
      <c r="C300" s="3">
        <v>0.57999999999999996</v>
      </c>
      <c r="D300" s="2">
        <v>200</v>
      </c>
      <c r="E300" s="3">
        <f t="shared" si="157"/>
        <v>115.99999999999999</v>
      </c>
      <c r="F300" s="3">
        <v>0.57999999999999996</v>
      </c>
      <c r="G300" s="2">
        <v>200</v>
      </c>
      <c r="H300" s="3">
        <f t="shared" si="158"/>
        <v>115.99999999999999</v>
      </c>
      <c r="I300" s="3">
        <f t="shared" si="159"/>
        <v>0</v>
      </c>
      <c r="J300" s="2">
        <f t="shared" si="160"/>
        <v>0</v>
      </c>
    </row>
    <row r="301" spans="1:10" ht="25.5" x14ac:dyDescent="0.2">
      <c r="A301" s="21" t="s">
        <v>124</v>
      </c>
      <c r="B301" s="13" t="s">
        <v>256</v>
      </c>
      <c r="C301" s="3">
        <v>23.86</v>
      </c>
      <c r="D301" s="2">
        <v>20</v>
      </c>
      <c r="E301" s="3">
        <f t="shared" si="157"/>
        <v>477.2</v>
      </c>
      <c r="F301" s="3">
        <v>23.86</v>
      </c>
      <c r="G301" s="2">
        <v>20</v>
      </c>
      <c r="H301" s="3">
        <f t="shared" si="158"/>
        <v>477.2</v>
      </c>
      <c r="I301" s="3">
        <f t="shared" si="159"/>
        <v>0</v>
      </c>
      <c r="J301" s="2">
        <f t="shared" si="160"/>
        <v>0</v>
      </c>
    </row>
    <row r="302" spans="1:10" x14ac:dyDescent="0.2">
      <c r="A302" s="21" t="s">
        <v>125</v>
      </c>
      <c r="B302" s="13" t="s">
        <v>257</v>
      </c>
      <c r="C302" s="3">
        <v>0.57999999999999996</v>
      </c>
      <c r="D302" s="2">
        <v>200</v>
      </c>
      <c r="E302" s="3">
        <f t="shared" si="157"/>
        <v>115.99999999999999</v>
      </c>
      <c r="F302" s="3">
        <v>0.57999999999999996</v>
      </c>
      <c r="G302" s="2">
        <v>200</v>
      </c>
      <c r="H302" s="3">
        <f t="shared" si="158"/>
        <v>115.99999999999999</v>
      </c>
      <c r="I302" s="3">
        <f t="shared" si="159"/>
        <v>0</v>
      </c>
      <c r="J302" s="2">
        <f t="shared" si="160"/>
        <v>0</v>
      </c>
    </row>
    <row r="303" spans="1:10" x14ac:dyDescent="0.2">
      <c r="A303" s="21" t="s">
        <v>126</v>
      </c>
      <c r="B303" s="13" t="s">
        <v>258</v>
      </c>
      <c r="C303" s="3">
        <v>8.68</v>
      </c>
      <c r="D303" s="2">
        <v>20</v>
      </c>
      <c r="E303" s="3">
        <f t="shared" si="157"/>
        <v>173.6</v>
      </c>
      <c r="F303" s="3">
        <v>8.68</v>
      </c>
      <c r="G303" s="2">
        <v>20</v>
      </c>
      <c r="H303" s="3">
        <f t="shared" si="158"/>
        <v>173.6</v>
      </c>
      <c r="I303" s="3">
        <f t="shared" si="159"/>
        <v>0</v>
      </c>
      <c r="J303" s="2">
        <f t="shared" si="160"/>
        <v>0</v>
      </c>
    </row>
    <row r="304" spans="1:10" x14ac:dyDescent="0.2">
      <c r="A304" s="21" t="s">
        <v>127</v>
      </c>
      <c r="B304" s="13" t="s">
        <v>498</v>
      </c>
      <c r="C304" s="3"/>
      <c r="D304" s="2"/>
      <c r="E304" s="3"/>
      <c r="F304" s="3"/>
      <c r="G304" s="2"/>
      <c r="H304" s="3"/>
      <c r="I304" s="3"/>
      <c r="J304" s="2"/>
    </row>
    <row r="305" spans="1:10" x14ac:dyDescent="0.2">
      <c r="A305" s="21" t="s">
        <v>499</v>
      </c>
      <c r="B305" s="13" t="s">
        <v>259</v>
      </c>
      <c r="C305" s="3">
        <v>7.19</v>
      </c>
      <c r="D305" s="2">
        <v>50</v>
      </c>
      <c r="E305" s="3">
        <f t="shared" ref="E305:E307" si="161">C305*D305</f>
        <v>359.5</v>
      </c>
      <c r="F305" s="3">
        <v>7.19</v>
      </c>
      <c r="G305" s="2">
        <v>50</v>
      </c>
      <c r="H305" s="3">
        <f t="shared" si="158"/>
        <v>359.5</v>
      </c>
      <c r="I305" s="3">
        <f t="shared" si="159"/>
        <v>0</v>
      </c>
      <c r="J305" s="2">
        <f t="shared" si="160"/>
        <v>0</v>
      </c>
    </row>
    <row r="306" spans="1:10" x14ac:dyDescent="0.2">
      <c r="A306" s="21" t="s">
        <v>500</v>
      </c>
      <c r="B306" s="13" t="s">
        <v>501</v>
      </c>
      <c r="C306" s="3">
        <v>69.900000000000006</v>
      </c>
      <c r="D306" s="2">
        <v>6</v>
      </c>
      <c r="E306" s="3">
        <f t="shared" si="161"/>
        <v>419.40000000000003</v>
      </c>
      <c r="F306" s="3">
        <v>69.900000000000006</v>
      </c>
      <c r="G306" s="2">
        <v>6</v>
      </c>
      <c r="H306" s="3">
        <f t="shared" si="158"/>
        <v>419.40000000000003</v>
      </c>
      <c r="I306" s="3">
        <f t="shared" si="159"/>
        <v>0</v>
      </c>
      <c r="J306" s="2">
        <f t="shared" si="160"/>
        <v>0</v>
      </c>
    </row>
    <row r="307" spans="1:10" x14ac:dyDescent="0.2">
      <c r="A307" s="21" t="s">
        <v>502</v>
      </c>
      <c r="B307" s="13" t="s">
        <v>503</v>
      </c>
      <c r="C307" s="3">
        <v>8</v>
      </c>
      <c r="D307" s="2">
        <v>3</v>
      </c>
      <c r="E307" s="3">
        <f t="shared" si="161"/>
        <v>24</v>
      </c>
      <c r="F307" s="3">
        <v>8</v>
      </c>
      <c r="G307" s="2">
        <v>3</v>
      </c>
      <c r="H307" s="3">
        <f t="shared" si="158"/>
        <v>24</v>
      </c>
      <c r="I307" s="3">
        <f t="shared" si="159"/>
        <v>0</v>
      </c>
      <c r="J307" s="2">
        <f t="shared" si="160"/>
        <v>0</v>
      </c>
    </row>
    <row r="308" spans="1:10" x14ac:dyDescent="0.2">
      <c r="A308" s="21" t="s">
        <v>128</v>
      </c>
      <c r="B308" s="13" t="s">
        <v>505</v>
      </c>
      <c r="C308" s="3"/>
      <c r="D308" s="2"/>
      <c r="E308" s="3"/>
      <c r="F308" s="3"/>
      <c r="G308" s="2"/>
      <c r="H308" s="3"/>
      <c r="I308" s="3"/>
      <c r="J308" s="2"/>
    </row>
    <row r="309" spans="1:10" ht="25.5" x14ac:dyDescent="0.2">
      <c r="A309" s="21" t="s">
        <v>504</v>
      </c>
      <c r="B309" s="13" t="s">
        <v>506</v>
      </c>
      <c r="C309" s="3">
        <v>15</v>
      </c>
      <c r="D309" s="2">
        <v>6</v>
      </c>
      <c r="E309" s="3">
        <f t="shared" ref="E309:E310" si="162">C309*D309</f>
        <v>90</v>
      </c>
      <c r="F309" s="3">
        <v>15</v>
      </c>
      <c r="G309" s="2">
        <v>6</v>
      </c>
      <c r="H309" s="3">
        <f t="shared" si="158"/>
        <v>90</v>
      </c>
      <c r="I309" s="3">
        <f t="shared" si="159"/>
        <v>0</v>
      </c>
      <c r="J309" s="2">
        <f t="shared" si="160"/>
        <v>0</v>
      </c>
    </row>
    <row r="310" spans="1:10" x14ac:dyDescent="0.2">
      <c r="A310" s="21" t="s">
        <v>507</v>
      </c>
      <c r="B310" s="13" t="s">
        <v>508</v>
      </c>
      <c r="C310" s="3">
        <v>19.510000000000002</v>
      </c>
      <c r="D310" s="2">
        <v>3</v>
      </c>
      <c r="E310" s="3">
        <f t="shared" si="162"/>
        <v>58.53</v>
      </c>
      <c r="F310" s="3">
        <v>19.510000000000002</v>
      </c>
      <c r="G310" s="2">
        <v>3</v>
      </c>
      <c r="H310" s="3">
        <f t="shared" si="158"/>
        <v>58.53</v>
      </c>
      <c r="I310" s="3">
        <f t="shared" si="159"/>
        <v>0</v>
      </c>
      <c r="J310" s="2">
        <f t="shared" si="160"/>
        <v>0</v>
      </c>
    </row>
    <row r="311" spans="1:10" x14ac:dyDescent="0.2">
      <c r="A311" s="25">
        <v>11</v>
      </c>
      <c r="B311" s="18" t="s">
        <v>260</v>
      </c>
      <c r="C311" s="26"/>
      <c r="D311" s="19"/>
      <c r="E311" s="20">
        <f>SUM(E313:E352)</f>
        <v>7001.2</v>
      </c>
      <c r="F311" s="26"/>
      <c r="G311" s="19"/>
      <c r="H311" s="20">
        <f>SUM(H313:H352)</f>
        <v>7693.9800000000005</v>
      </c>
      <c r="I311" s="19"/>
      <c r="J311" s="19"/>
    </row>
    <row r="312" spans="1:10" x14ac:dyDescent="0.2">
      <c r="A312" s="21" t="s">
        <v>129</v>
      </c>
      <c r="B312" s="11" t="s">
        <v>261</v>
      </c>
      <c r="C312" s="15"/>
      <c r="D312" s="15"/>
      <c r="E312" s="15"/>
      <c r="F312" s="15"/>
      <c r="G312" s="15"/>
      <c r="H312" s="15"/>
      <c r="I312" s="15"/>
      <c r="J312" s="15"/>
    </row>
    <row r="313" spans="1:10" x14ac:dyDescent="0.2">
      <c r="A313" s="21" t="s">
        <v>130</v>
      </c>
      <c r="B313" s="13" t="s">
        <v>262</v>
      </c>
      <c r="C313" s="3">
        <v>7.94</v>
      </c>
      <c r="D313" s="2">
        <v>200</v>
      </c>
      <c r="E313" s="3">
        <f t="shared" ref="E313:E315" si="163">C313*D313</f>
        <v>1588</v>
      </c>
      <c r="F313" s="3">
        <v>8.65</v>
      </c>
      <c r="G313" s="2">
        <v>200</v>
      </c>
      <c r="H313" s="3">
        <f t="shared" ref="H313:H352" si="164">F313*G313</f>
        <v>1730</v>
      </c>
      <c r="I313" s="3">
        <f t="shared" ref="I313" si="165">F313-C313</f>
        <v>0.71</v>
      </c>
      <c r="J313" s="2">
        <f t="shared" ref="J313" si="166">G313-D313</f>
        <v>0</v>
      </c>
    </row>
    <row r="314" spans="1:10" x14ac:dyDescent="0.2">
      <c r="A314" s="21" t="s">
        <v>131</v>
      </c>
      <c r="B314" s="13" t="s">
        <v>263</v>
      </c>
      <c r="C314" s="3">
        <v>7.1</v>
      </c>
      <c r="D314" s="2">
        <v>200</v>
      </c>
      <c r="E314" s="3">
        <f t="shared" si="163"/>
        <v>1420</v>
      </c>
      <c r="F314" s="3">
        <v>7.5</v>
      </c>
      <c r="G314" s="2">
        <v>200</v>
      </c>
      <c r="H314" s="3">
        <f t="shared" si="164"/>
        <v>1500</v>
      </c>
      <c r="I314" s="3">
        <f t="shared" ref="I314:I352" si="167">F314-C314</f>
        <v>0.40000000000000036</v>
      </c>
      <c r="J314" s="2">
        <f t="shared" ref="J314:J351" si="168">G314-D314</f>
        <v>0</v>
      </c>
    </row>
    <row r="315" spans="1:10" x14ac:dyDescent="0.2">
      <c r="A315" s="21" t="s">
        <v>132</v>
      </c>
      <c r="B315" s="13" t="s">
        <v>264</v>
      </c>
      <c r="C315" s="3">
        <v>5.8</v>
      </c>
      <c r="D315" s="2">
        <v>200</v>
      </c>
      <c r="E315" s="3">
        <f t="shared" si="163"/>
        <v>1160</v>
      </c>
      <c r="F315" s="3">
        <v>6.41</v>
      </c>
      <c r="G315" s="2">
        <v>200</v>
      </c>
      <c r="H315" s="3">
        <f t="shared" si="164"/>
        <v>1282</v>
      </c>
      <c r="I315" s="3">
        <f t="shared" si="167"/>
        <v>0.61000000000000032</v>
      </c>
      <c r="J315" s="2">
        <f t="shared" si="168"/>
        <v>0</v>
      </c>
    </row>
    <row r="316" spans="1:10" x14ac:dyDescent="0.2">
      <c r="A316" s="21" t="s">
        <v>133</v>
      </c>
      <c r="B316" s="13" t="s">
        <v>509</v>
      </c>
      <c r="C316" s="3"/>
      <c r="D316" s="2"/>
      <c r="E316" s="3"/>
      <c r="F316" s="3"/>
      <c r="G316" s="2"/>
      <c r="H316" s="3"/>
      <c r="I316" s="3"/>
      <c r="J316" s="2"/>
    </row>
    <row r="317" spans="1:10" s="7" customFormat="1" x14ac:dyDescent="0.2">
      <c r="A317" s="21" t="s">
        <v>510</v>
      </c>
      <c r="B317" s="11" t="s">
        <v>519</v>
      </c>
      <c r="C317" s="3">
        <v>0.14000000000000001</v>
      </c>
      <c r="D317" s="2">
        <v>260</v>
      </c>
      <c r="E317" s="3">
        <f t="shared" ref="E317:E330" si="169">C317*D317</f>
        <v>36.400000000000006</v>
      </c>
      <c r="F317" s="3">
        <v>0.15</v>
      </c>
      <c r="G317" s="2">
        <v>260</v>
      </c>
      <c r="H317" s="3">
        <f t="shared" si="164"/>
        <v>39</v>
      </c>
      <c r="I317" s="3">
        <f t="shared" si="167"/>
        <v>9.9999999999999811E-3</v>
      </c>
      <c r="J317" s="2">
        <f t="shared" si="168"/>
        <v>0</v>
      </c>
    </row>
    <row r="318" spans="1:10" ht="25.5" x14ac:dyDescent="0.2">
      <c r="A318" s="21" t="s">
        <v>511</v>
      </c>
      <c r="B318" s="14" t="s">
        <v>597</v>
      </c>
      <c r="C318" s="3">
        <v>6.78</v>
      </c>
      <c r="D318" s="2">
        <v>10</v>
      </c>
      <c r="E318" s="3">
        <f t="shared" si="169"/>
        <v>67.8</v>
      </c>
      <c r="F318" s="3">
        <v>6.78</v>
      </c>
      <c r="G318" s="2">
        <v>10</v>
      </c>
      <c r="H318" s="3">
        <f t="shared" ref="H318" si="170">F318*G318</f>
        <v>67.8</v>
      </c>
      <c r="I318" s="3">
        <f t="shared" ref="I318" si="171">F318-C318</f>
        <v>0</v>
      </c>
      <c r="J318" s="2">
        <f t="shared" ref="J318" si="172">G318-D318</f>
        <v>0</v>
      </c>
    </row>
    <row r="319" spans="1:10" ht="25.5" x14ac:dyDescent="0.2">
      <c r="A319" s="21" t="s">
        <v>512</v>
      </c>
      <c r="B319" s="13" t="s">
        <v>598</v>
      </c>
      <c r="C319" s="3">
        <v>20.25</v>
      </c>
      <c r="D319" s="2">
        <v>10</v>
      </c>
      <c r="E319" s="3">
        <f t="shared" ref="E319" si="173">C319*D319</f>
        <v>202.5</v>
      </c>
      <c r="F319" s="3">
        <v>20.25</v>
      </c>
      <c r="G319" s="2">
        <v>10</v>
      </c>
      <c r="H319" s="3">
        <f t="shared" ref="H319" si="174">F319*G319</f>
        <v>202.5</v>
      </c>
      <c r="I319" s="3">
        <f t="shared" ref="I319" si="175">F319-C319</f>
        <v>0</v>
      </c>
      <c r="J319" s="2">
        <f t="shared" ref="J319" si="176">G319-D319</f>
        <v>0</v>
      </c>
    </row>
    <row r="320" spans="1:10" x14ac:dyDescent="0.2">
      <c r="A320" s="21" t="s">
        <v>513</v>
      </c>
      <c r="B320" s="13" t="s">
        <v>514</v>
      </c>
      <c r="C320" s="3">
        <v>2.69</v>
      </c>
      <c r="D320" s="2">
        <v>10</v>
      </c>
      <c r="E320" s="3">
        <f t="shared" si="169"/>
        <v>26.9</v>
      </c>
      <c r="F320" s="3">
        <v>2.69</v>
      </c>
      <c r="G320" s="2">
        <v>10</v>
      </c>
      <c r="H320" s="3">
        <f t="shared" si="164"/>
        <v>26.9</v>
      </c>
      <c r="I320" s="3">
        <f t="shared" si="167"/>
        <v>0</v>
      </c>
      <c r="J320" s="2">
        <f t="shared" si="168"/>
        <v>0</v>
      </c>
    </row>
    <row r="321" spans="1:10" x14ac:dyDescent="0.2">
      <c r="A321" s="21" t="s">
        <v>515</v>
      </c>
      <c r="B321" s="13" t="s">
        <v>599</v>
      </c>
      <c r="C321" s="3">
        <v>4.5999999999999996</v>
      </c>
      <c r="D321" s="2">
        <v>5</v>
      </c>
      <c r="E321" s="3">
        <f t="shared" ref="E321" si="177">C321*D321</f>
        <v>23</v>
      </c>
      <c r="F321" s="3">
        <v>4.5999999999999996</v>
      </c>
      <c r="G321" s="2">
        <v>5</v>
      </c>
      <c r="H321" s="3">
        <f t="shared" ref="H321" si="178">F321*G321</f>
        <v>23</v>
      </c>
      <c r="I321" s="3">
        <f t="shared" ref="I321" si="179">F321-C321</f>
        <v>0</v>
      </c>
      <c r="J321" s="2">
        <f t="shared" ref="J321" si="180">G321-D321</f>
        <v>0</v>
      </c>
    </row>
    <row r="322" spans="1:10" x14ac:dyDescent="0.2">
      <c r="A322" s="21" t="s">
        <v>516</v>
      </c>
      <c r="B322" s="13" t="s">
        <v>517</v>
      </c>
      <c r="C322" s="3">
        <v>2.11</v>
      </c>
      <c r="D322" s="2">
        <v>5</v>
      </c>
      <c r="E322" s="3">
        <f t="shared" si="169"/>
        <v>10.549999999999999</v>
      </c>
      <c r="F322" s="3">
        <v>2.11</v>
      </c>
      <c r="G322" s="2">
        <v>5</v>
      </c>
      <c r="H322" s="3">
        <f t="shared" si="164"/>
        <v>10.549999999999999</v>
      </c>
      <c r="I322" s="3">
        <f t="shared" si="167"/>
        <v>0</v>
      </c>
      <c r="J322" s="2">
        <f t="shared" si="168"/>
        <v>0</v>
      </c>
    </row>
    <row r="323" spans="1:10" x14ac:dyDescent="0.2">
      <c r="A323" s="21" t="s">
        <v>518</v>
      </c>
      <c r="B323" s="13" t="s">
        <v>600</v>
      </c>
      <c r="C323" s="3">
        <v>9.99</v>
      </c>
      <c r="D323" s="2">
        <v>5</v>
      </c>
      <c r="E323" s="3">
        <f t="shared" si="169"/>
        <v>49.95</v>
      </c>
      <c r="F323" s="3">
        <v>9.99</v>
      </c>
      <c r="G323" s="2">
        <v>5</v>
      </c>
      <c r="H323" s="3">
        <f t="shared" si="164"/>
        <v>49.95</v>
      </c>
      <c r="I323" s="3">
        <f t="shared" si="167"/>
        <v>0</v>
      </c>
      <c r="J323" s="2">
        <f t="shared" si="168"/>
        <v>0</v>
      </c>
    </row>
    <row r="324" spans="1:10" x14ac:dyDescent="0.2">
      <c r="A324" s="21" t="s">
        <v>134</v>
      </c>
      <c r="B324" s="13" t="s">
        <v>354</v>
      </c>
      <c r="C324" s="3">
        <v>3.8</v>
      </c>
      <c r="D324" s="2">
        <v>40</v>
      </c>
      <c r="E324" s="3">
        <f t="shared" si="169"/>
        <v>152</v>
      </c>
      <c r="F324" s="3">
        <v>3.8</v>
      </c>
      <c r="G324" s="2">
        <v>40</v>
      </c>
      <c r="H324" s="3">
        <f t="shared" si="164"/>
        <v>152</v>
      </c>
      <c r="I324" s="3">
        <f t="shared" si="167"/>
        <v>0</v>
      </c>
      <c r="J324" s="2">
        <f t="shared" si="168"/>
        <v>0</v>
      </c>
    </row>
    <row r="325" spans="1:10" x14ac:dyDescent="0.2">
      <c r="A325" s="21" t="s">
        <v>135</v>
      </c>
      <c r="B325" s="13" t="s">
        <v>265</v>
      </c>
      <c r="C325" s="3">
        <v>1.72</v>
      </c>
      <c r="D325" s="2">
        <v>75</v>
      </c>
      <c r="E325" s="3">
        <f t="shared" si="169"/>
        <v>129</v>
      </c>
      <c r="F325" s="3">
        <v>1.72</v>
      </c>
      <c r="G325" s="2">
        <v>75</v>
      </c>
      <c r="H325" s="3">
        <f t="shared" si="164"/>
        <v>129</v>
      </c>
      <c r="I325" s="3">
        <f t="shared" si="167"/>
        <v>0</v>
      </c>
      <c r="J325" s="2">
        <f t="shared" si="168"/>
        <v>0</v>
      </c>
    </row>
    <row r="326" spans="1:10" x14ac:dyDescent="0.2">
      <c r="A326" s="21" t="s">
        <v>136</v>
      </c>
      <c r="B326" s="13" t="s">
        <v>266</v>
      </c>
      <c r="C326" s="3">
        <v>4.4400000000000004</v>
      </c>
      <c r="D326" s="2">
        <v>10</v>
      </c>
      <c r="E326" s="3">
        <f t="shared" si="169"/>
        <v>44.400000000000006</v>
      </c>
      <c r="F326" s="3">
        <v>4.4400000000000004</v>
      </c>
      <c r="G326" s="2">
        <v>10</v>
      </c>
      <c r="H326" s="3">
        <f t="shared" si="164"/>
        <v>44.400000000000006</v>
      </c>
      <c r="I326" s="3">
        <f t="shared" si="167"/>
        <v>0</v>
      </c>
      <c r="J326" s="2">
        <f t="shared" si="168"/>
        <v>0</v>
      </c>
    </row>
    <row r="327" spans="1:10" x14ac:dyDescent="0.2">
      <c r="A327" s="21" t="s">
        <v>137</v>
      </c>
      <c r="B327" s="13" t="s">
        <v>267</v>
      </c>
      <c r="C327" s="3">
        <v>7.57</v>
      </c>
      <c r="D327" s="2">
        <v>10</v>
      </c>
      <c r="E327" s="3">
        <f t="shared" si="169"/>
        <v>75.7</v>
      </c>
      <c r="F327" s="3">
        <v>7.57</v>
      </c>
      <c r="G327" s="2">
        <v>10</v>
      </c>
      <c r="H327" s="3">
        <f t="shared" si="164"/>
        <v>75.7</v>
      </c>
      <c r="I327" s="3">
        <f t="shared" si="167"/>
        <v>0</v>
      </c>
      <c r="J327" s="2">
        <f t="shared" si="168"/>
        <v>0</v>
      </c>
    </row>
    <row r="328" spans="1:10" ht="25.5" x14ac:dyDescent="0.2">
      <c r="A328" s="21" t="s">
        <v>138</v>
      </c>
      <c r="B328" s="13" t="s">
        <v>268</v>
      </c>
      <c r="C328" s="3">
        <v>11.71</v>
      </c>
      <c r="D328" s="2">
        <v>5</v>
      </c>
      <c r="E328" s="3">
        <f t="shared" si="169"/>
        <v>58.550000000000004</v>
      </c>
      <c r="F328" s="3">
        <v>11.71</v>
      </c>
      <c r="G328" s="2">
        <v>5</v>
      </c>
      <c r="H328" s="3">
        <f t="shared" si="164"/>
        <v>58.550000000000004</v>
      </c>
      <c r="I328" s="3">
        <f t="shared" si="167"/>
        <v>0</v>
      </c>
      <c r="J328" s="2">
        <f t="shared" si="168"/>
        <v>0</v>
      </c>
    </row>
    <row r="329" spans="1:10" x14ac:dyDescent="0.2">
      <c r="A329" s="21" t="s">
        <v>139</v>
      </c>
      <c r="B329" s="13" t="s">
        <v>269</v>
      </c>
      <c r="C329" s="3">
        <v>2.13</v>
      </c>
      <c r="D329" s="2">
        <v>10</v>
      </c>
      <c r="E329" s="3">
        <f t="shared" si="169"/>
        <v>21.299999999999997</v>
      </c>
      <c r="F329" s="3">
        <v>2.13</v>
      </c>
      <c r="G329" s="2">
        <v>10</v>
      </c>
      <c r="H329" s="3">
        <f t="shared" si="164"/>
        <v>21.299999999999997</v>
      </c>
      <c r="I329" s="3">
        <f t="shared" si="167"/>
        <v>0</v>
      </c>
      <c r="J329" s="2">
        <f t="shared" si="168"/>
        <v>0</v>
      </c>
    </row>
    <row r="330" spans="1:10" x14ac:dyDescent="0.2">
      <c r="A330" s="21" t="s">
        <v>140</v>
      </c>
      <c r="B330" s="13" t="s">
        <v>270</v>
      </c>
      <c r="C330" s="3">
        <v>1</v>
      </c>
      <c r="D330" s="2">
        <v>50</v>
      </c>
      <c r="E330" s="3">
        <f t="shared" si="169"/>
        <v>50</v>
      </c>
      <c r="F330" s="3">
        <v>1</v>
      </c>
      <c r="G330" s="2">
        <v>50</v>
      </c>
      <c r="H330" s="3">
        <f t="shared" si="164"/>
        <v>50</v>
      </c>
      <c r="I330" s="3">
        <f t="shared" si="167"/>
        <v>0</v>
      </c>
      <c r="J330" s="2">
        <f t="shared" si="168"/>
        <v>0</v>
      </c>
    </row>
    <row r="331" spans="1:10" x14ac:dyDescent="0.2">
      <c r="A331" s="21" t="s">
        <v>285</v>
      </c>
      <c r="B331" s="13" t="s">
        <v>286</v>
      </c>
      <c r="C331" s="28"/>
      <c r="D331" s="28"/>
      <c r="E331" s="3"/>
      <c r="F331" s="28"/>
      <c r="G331" s="28"/>
      <c r="H331" s="3"/>
      <c r="I331" s="3"/>
      <c r="J331" s="2"/>
    </row>
    <row r="332" spans="1:10" x14ac:dyDescent="0.2">
      <c r="A332" s="21" t="s">
        <v>284</v>
      </c>
      <c r="B332" s="13" t="s">
        <v>182</v>
      </c>
      <c r="C332" s="22">
        <v>11.85</v>
      </c>
      <c r="D332" s="2">
        <v>20</v>
      </c>
      <c r="E332" s="3">
        <f t="shared" ref="E332:E334" si="181">C332*D332</f>
        <v>237</v>
      </c>
      <c r="F332" s="22">
        <v>13.95</v>
      </c>
      <c r="G332" s="2">
        <v>20</v>
      </c>
      <c r="H332" s="3">
        <f t="shared" si="164"/>
        <v>279</v>
      </c>
      <c r="I332" s="3">
        <f t="shared" si="167"/>
        <v>2.0999999999999996</v>
      </c>
      <c r="J332" s="2">
        <f t="shared" si="168"/>
        <v>0</v>
      </c>
    </row>
    <row r="333" spans="1:10" x14ac:dyDescent="0.2">
      <c r="A333" s="21" t="s">
        <v>287</v>
      </c>
      <c r="B333" s="14" t="s">
        <v>570</v>
      </c>
      <c r="C333" s="3">
        <v>8.25</v>
      </c>
      <c r="D333" s="2">
        <v>30</v>
      </c>
      <c r="E333" s="3">
        <f t="shared" si="181"/>
        <v>247.5</v>
      </c>
      <c r="F333" s="3">
        <v>10.07</v>
      </c>
      <c r="G333" s="2">
        <v>30</v>
      </c>
      <c r="H333" s="3">
        <f t="shared" si="164"/>
        <v>302.10000000000002</v>
      </c>
      <c r="I333" s="3">
        <f t="shared" si="167"/>
        <v>1.8200000000000003</v>
      </c>
      <c r="J333" s="2">
        <f t="shared" si="168"/>
        <v>0</v>
      </c>
    </row>
    <row r="334" spans="1:10" x14ac:dyDescent="0.2">
      <c r="A334" s="21" t="s">
        <v>288</v>
      </c>
      <c r="B334" s="14" t="s">
        <v>212</v>
      </c>
      <c r="C334" s="3">
        <v>13.18</v>
      </c>
      <c r="D334" s="2">
        <v>10</v>
      </c>
      <c r="E334" s="3">
        <f t="shared" si="181"/>
        <v>131.80000000000001</v>
      </c>
      <c r="F334" s="3">
        <v>14.8</v>
      </c>
      <c r="G334" s="2">
        <v>10</v>
      </c>
      <c r="H334" s="3">
        <f t="shared" si="164"/>
        <v>148</v>
      </c>
      <c r="I334" s="3">
        <f>F334-C334</f>
        <v>1.620000000000001</v>
      </c>
      <c r="J334" s="2">
        <f>G334-D334</f>
        <v>0</v>
      </c>
    </row>
    <row r="335" spans="1:10" x14ac:dyDescent="0.2">
      <c r="A335" s="21" t="s">
        <v>549</v>
      </c>
      <c r="B335" s="14" t="s">
        <v>555</v>
      </c>
      <c r="C335" s="3"/>
      <c r="D335" s="2"/>
      <c r="E335" s="3"/>
      <c r="F335" s="3"/>
      <c r="G335" s="2"/>
      <c r="H335" s="3"/>
      <c r="I335" s="3"/>
      <c r="J335" s="2"/>
    </row>
    <row r="336" spans="1:10" x14ac:dyDescent="0.2">
      <c r="A336" s="21" t="s">
        <v>550</v>
      </c>
      <c r="B336" s="14" t="s">
        <v>556</v>
      </c>
      <c r="C336" s="3">
        <v>35</v>
      </c>
      <c r="D336" s="2">
        <v>5</v>
      </c>
      <c r="E336" s="3">
        <f t="shared" ref="E336:E338" si="182">C336*D336</f>
        <v>175</v>
      </c>
      <c r="F336" s="3">
        <v>35</v>
      </c>
      <c r="G336" s="2">
        <v>5</v>
      </c>
      <c r="H336" s="3">
        <f t="shared" si="164"/>
        <v>175</v>
      </c>
      <c r="I336" s="3">
        <f t="shared" ref="I336:J338" si="183">F336-C336</f>
        <v>0</v>
      </c>
      <c r="J336" s="2">
        <f t="shared" si="183"/>
        <v>0</v>
      </c>
    </row>
    <row r="337" spans="1:10" x14ac:dyDescent="0.2">
      <c r="A337" s="21" t="s">
        <v>551</v>
      </c>
      <c r="B337" s="14" t="s">
        <v>557</v>
      </c>
      <c r="C337" s="3">
        <v>21</v>
      </c>
      <c r="D337" s="2">
        <v>6</v>
      </c>
      <c r="E337" s="3">
        <f t="shared" si="182"/>
        <v>126</v>
      </c>
      <c r="F337" s="3">
        <v>21</v>
      </c>
      <c r="G337" s="2">
        <v>6</v>
      </c>
      <c r="H337" s="3">
        <f t="shared" si="164"/>
        <v>126</v>
      </c>
      <c r="I337" s="3">
        <f t="shared" si="183"/>
        <v>0</v>
      </c>
      <c r="J337" s="2">
        <f t="shared" si="183"/>
        <v>0</v>
      </c>
    </row>
    <row r="338" spans="1:10" x14ac:dyDescent="0.2">
      <c r="A338" s="21" t="s">
        <v>552</v>
      </c>
      <c r="B338" s="14" t="s">
        <v>558</v>
      </c>
      <c r="C338" s="3">
        <v>12</v>
      </c>
      <c r="D338" s="2">
        <v>12</v>
      </c>
      <c r="E338" s="3">
        <f t="shared" si="182"/>
        <v>144</v>
      </c>
      <c r="F338" s="3">
        <v>12</v>
      </c>
      <c r="G338" s="2">
        <v>12</v>
      </c>
      <c r="H338" s="3">
        <f t="shared" si="164"/>
        <v>144</v>
      </c>
      <c r="I338" s="3">
        <f t="shared" si="183"/>
        <v>0</v>
      </c>
      <c r="J338" s="2">
        <f t="shared" si="183"/>
        <v>0</v>
      </c>
    </row>
    <row r="339" spans="1:10" ht="12.75" hidden="1" customHeight="1" x14ac:dyDescent="0.2">
      <c r="A339" s="21"/>
      <c r="B339" s="14"/>
      <c r="C339" s="3"/>
      <c r="D339" s="2"/>
      <c r="E339" s="3"/>
      <c r="F339" s="3"/>
      <c r="G339" s="2"/>
      <c r="H339" s="3"/>
      <c r="I339" s="3"/>
      <c r="J339" s="2"/>
    </row>
    <row r="340" spans="1:10" ht="12.75" hidden="1" customHeight="1" x14ac:dyDescent="0.2">
      <c r="A340" s="21"/>
      <c r="B340" s="14"/>
      <c r="C340" s="3"/>
      <c r="D340" s="2"/>
      <c r="E340" s="3"/>
      <c r="F340" s="3"/>
      <c r="G340" s="2"/>
      <c r="H340" s="3"/>
      <c r="I340" s="3"/>
      <c r="J340" s="2"/>
    </row>
    <row r="341" spans="1:10" x14ac:dyDescent="0.2">
      <c r="A341" s="21" t="s">
        <v>350</v>
      </c>
      <c r="B341" s="14" t="s">
        <v>520</v>
      </c>
      <c r="C341" s="3"/>
      <c r="D341" s="2"/>
      <c r="E341" s="3"/>
      <c r="F341" s="3"/>
      <c r="G341" s="2"/>
      <c r="H341" s="3"/>
      <c r="I341" s="3"/>
      <c r="J341" s="2"/>
    </row>
    <row r="342" spans="1:10" x14ac:dyDescent="0.2">
      <c r="A342" s="21" t="s">
        <v>521</v>
      </c>
      <c r="B342" s="14" t="s">
        <v>601</v>
      </c>
      <c r="C342" s="3">
        <v>8.2100000000000009</v>
      </c>
      <c r="D342" s="2">
        <v>60</v>
      </c>
      <c r="E342" s="3">
        <f t="shared" ref="E342:E348" si="184">C342*D342</f>
        <v>492.6</v>
      </c>
      <c r="F342" s="3">
        <v>8.2100000000000009</v>
      </c>
      <c r="G342" s="2">
        <v>60</v>
      </c>
      <c r="H342" s="3">
        <f t="shared" si="164"/>
        <v>492.6</v>
      </c>
      <c r="I342" s="3">
        <f t="shared" si="167"/>
        <v>0</v>
      </c>
      <c r="J342" s="2">
        <f t="shared" si="168"/>
        <v>0</v>
      </c>
    </row>
    <row r="343" spans="1:10" ht="25.5" x14ac:dyDescent="0.2">
      <c r="A343" s="21" t="s">
        <v>522</v>
      </c>
      <c r="B343" s="14" t="s">
        <v>639</v>
      </c>
      <c r="C343" s="3">
        <v>29.79</v>
      </c>
      <c r="D343" s="2">
        <v>1</v>
      </c>
      <c r="E343" s="3">
        <f t="shared" si="184"/>
        <v>29.79</v>
      </c>
      <c r="F343" s="3">
        <v>29.79</v>
      </c>
      <c r="G343" s="2">
        <v>1</v>
      </c>
      <c r="H343" s="3">
        <f t="shared" si="164"/>
        <v>29.79</v>
      </c>
      <c r="I343" s="3">
        <f t="shared" si="167"/>
        <v>0</v>
      </c>
      <c r="J343" s="2">
        <f t="shared" si="168"/>
        <v>0</v>
      </c>
    </row>
    <row r="344" spans="1:10" s="7" customFormat="1" x14ac:dyDescent="0.2">
      <c r="A344" s="21" t="s">
        <v>523</v>
      </c>
      <c r="B344" s="11" t="s">
        <v>615</v>
      </c>
      <c r="C344" s="3"/>
      <c r="D344" s="2"/>
      <c r="E344" s="3"/>
      <c r="F344" s="3"/>
      <c r="G344" s="2"/>
      <c r="H344" s="3"/>
      <c r="I344" s="3"/>
      <c r="J344" s="2"/>
    </row>
    <row r="345" spans="1:10" s="7" customFormat="1" x14ac:dyDescent="0.2">
      <c r="A345" s="21" t="s">
        <v>603</v>
      </c>
      <c r="B345" s="11" t="s">
        <v>602</v>
      </c>
      <c r="C345" s="3"/>
      <c r="D345" s="2"/>
      <c r="E345" s="3"/>
      <c r="F345" s="3">
        <v>135.58000000000001</v>
      </c>
      <c r="G345" s="2">
        <v>1</v>
      </c>
      <c r="H345" s="3">
        <f t="shared" ref="H345:H347" si="185">F345*G345</f>
        <v>135.58000000000001</v>
      </c>
      <c r="I345" s="3">
        <f t="shared" ref="I345:I347" si="186">F345-C345</f>
        <v>135.58000000000001</v>
      </c>
      <c r="J345" s="2">
        <f t="shared" ref="J345:J346" si="187">G345-D345</f>
        <v>1</v>
      </c>
    </row>
    <row r="346" spans="1:10" s="7" customFormat="1" x14ac:dyDescent="0.2">
      <c r="A346" s="21" t="s">
        <v>604</v>
      </c>
      <c r="B346" s="11" t="s">
        <v>352</v>
      </c>
      <c r="C346" s="3">
        <v>48.66</v>
      </c>
      <c r="D346" s="2">
        <v>1</v>
      </c>
      <c r="E346" s="3">
        <f t="shared" ref="E346" si="188">C346*D346</f>
        <v>48.66</v>
      </c>
      <c r="F346" s="3">
        <v>48.66</v>
      </c>
      <c r="G346" s="2">
        <v>1</v>
      </c>
      <c r="H346" s="3">
        <f t="shared" si="185"/>
        <v>48.66</v>
      </c>
      <c r="I346" s="3">
        <f t="shared" si="186"/>
        <v>0</v>
      </c>
      <c r="J346" s="2">
        <f t="shared" si="187"/>
        <v>0</v>
      </c>
    </row>
    <row r="347" spans="1:10" s="7" customFormat="1" x14ac:dyDescent="0.2">
      <c r="A347" s="21" t="s">
        <v>605</v>
      </c>
      <c r="B347" s="11" t="s">
        <v>606</v>
      </c>
      <c r="C347" s="3"/>
      <c r="D347" s="2"/>
      <c r="E347" s="3"/>
      <c r="F347" s="3">
        <v>4.49</v>
      </c>
      <c r="G347" s="61">
        <v>20</v>
      </c>
      <c r="H347" s="3">
        <f t="shared" si="185"/>
        <v>89.800000000000011</v>
      </c>
      <c r="I347" s="3">
        <f t="shared" si="186"/>
        <v>4.49</v>
      </c>
      <c r="J347" s="2">
        <f t="shared" ref="J347" si="189">G347-D347</f>
        <v>20</v>
      </c>
    </row>
    <row r="348" spans="1:10" s="7" customFormat="1" x14ac:dyDescent="0.2">
      <c r="A348" s="21" t="s">
        <v>538</v>
      </c>
      <c r="B348" s="11" t="s">
        <v>539</v>
      </c>
      <c r="C348" s="3">
        <v>5.28</v>
      </c>
      <c r="D348" s="2">
        <v>10</v>
      </c>
      <c r="E348" s="3">
        <f t="shared" si="184"/>
        <v>52.800000000000004</v>
      </c>
      <c r="F348" s="3">
        <v>6.08</v>
      </c>
      <c r="G348" s="2">
        <v>10</v>
      </c>
      <c r="H348" s="3">
        <f t="shared" si="164"/>
        <v>60.8</v>
      </c>
      <c r="I348" s="3">
        <f t="shared" si="167"/>
        <v>0.79999999999999982</v>
      </c>
      <c r="J348" s="2">
        <f t="shared" si="168"/>
        <v>0</v>
      </c>
    </row>
    <row r="349" spans="1:10" s="7" customFormat="1" x14ac:dyDescent="0.2">
      <c r="A349" s="21" t="s">
        <v>351</v>
      </c>
      <c r="B349" s="11" t="s">
        <v>524</v>
      </c>
      <c r="C349" s="3"/>
      <c r="D349" s="2"/>
      <c r="E349" s="3"/>
      <c r="F349" s="3"/>
      <c r="G349" s="2"/>
      <c r="H349" s="3"/>
      <c r="I349" s="3"/>
      <c r="J349" s="2"/>
    </row>
    <row r="350" spans="1:10" s="7" customFormat="1" x14ac:dyDescent="0.2">
      <c r="A350" s="21" t="s">
        <v>525</v>
      </c>
      <c r="B350" s="11" t="s">
        <v>526</v>
      </c>
      <c r="C350" s="3">
        <v>3.5</v>
      </c>
      <c r="D350" s="2">
        <v>10</v>
      </c>
      <c r="E350" s="3">
        <f t="shared" ref="E350:E352" si="190">C350*D350</f>
        <v>35</v>
      </c>
      <c r="F350" s="3">
        <v>3.5</v>
      </c>
      <c r="G350" s="2">
        <v>10</v>
      </c>
      <c r="H350" s="3">
        <f t="shared" si="164"/>
        <v>35</v>
      </c>
      <c r="I350" s="3">
        <f t="shared" si="167"/>
        <v>0</v>
      </c>
      <c r="J350" s="2">
        <f t="shared" si="168"/>
        <v>0</v>
      </c>
    </row>
    <row r="351" spans="1:10" s="7" customFormat="1" x14ac:dyDescent="0.2">
      <c r="A351" s="21" t="s">
        <v>527</v>
      </c>
      <c r="B351" s="11" t="s">
        <v>528</v>
      </c>
      <c r="C351" s="3">
        <v>7.5</v>
      </c>
      <c r="D351" s="2">
        <v>10</v>
      </c>
      <c r="E351" s="3">
        <f t="shared" si="190"/>
        <v>75</v>
      </c>
      <c r="F351" s="3">
        <v>7.5</v>
      </c>
      <c r="G351" s="2">
        <v>10</v>
      </c>
      <c r="H351" s="3">
        <f t="shared" si="164"/>
        <v>75</v>
      </c>
      <c r="I351" s="3">
        <f t="shared" si="167"/>
        <v>0</v>
      </c>
      <c r="J351" s="2">
        <f t="shared" si="168"/>
        <v>0</v>
      </c>
    </row>
    <row r="352" spans="1:10" ht="12.75" customHeight="1" x14ac:dyDescent="0.2">
      <c r="A352" s="21" t="s">
        <v>349</v>
      </c>
      <c r="B352" s="14" t="s">
        <v>529</v>
      </c>
      <c r="C352" s="3">
        <v>4.5</v>
      </c>
      <c r="D352" s="2">
        <v>20</v>
      </c>
      <c r="E352" s="3">
        <f t="shared" si="190"/>
        <v>90</v>
      </c>
      <c r="F352" s="3">
        <v>4.5</v>
      </c>
      <c r="G352" s="2">
        <v>20</v>
      </c>
      <c r="H352" s="3">
        <f t="shared" si="164"/>
        <v>90</v>
      </c>
      <c r="I352" s="3">
        <f t="shared" si="167"/>
        <v>0</v>
      </c>
      <c r="J352" s="2">
        <f>G352-D352</f>
        <v>0</v>
      </c>
    </row>
    <row r="353" spans="1:10" ht="12.75" hidden="1" customHeight="1" x14ac:dyDescent="0.2">
      <c r="A353" s="21"/>
      <c r="B353" s="14"/>
      <c r="C353" s="3"/>
      <c r="D353" s="2"/>
      <c r="E353" s="3"/>
      <c r="F353" s="3"/>
      <c r="G353" s="2"/>
      <c r="H353" s="3"/>
      <c r="I353" s="3"/>
      <c r="J353" s="2"/>
    </row>
    <row r="354" spans="1:10" ht="12.75" hidden="1" customHeight="1" x14ac:dyDescent="0.2">
      <c r="A354" s="21"/>
      <c r="B354" s="14"/>
      <c r="C354" s="3"/>
      <c r="D354" s="41"/>
      <c r="E354" s="3"/>
      <c r="F354" s="3"/>
      <c r="G354" s="41"/>
      <c r="H354" s="3"/>
      <c r="I354" s="3"/>
      <c r="J354" s="2"/>
    </row>
    <row r="355" spans="1:10" ht="12.75" hidden="1" customHeight="1" x14ac:dyDescent="0.2">
      <c r="A355" s="21"/>
      <c r="B355" s="14"/>
      <c r="C355" s="3"/>
      <c r="D355" s="2"/>
      <c r="E355" s="3"/>
      <c r="F355" s="3"/>
      <c r="G355" s="2"/>
      <c r="H355" s="3"/>
      <c r="I355" s="3"/>
      <c r="J355" s="2"/>
    </row>
    <row r="356" spans="1:10" ht="12.75" hidden="1" customHeight="1" x14ac:dyDescent="0.2">
      <c r="A356" s="21"/>
      <c r="B356" s="14"/>
      <c r="C356" s="3"/>
      <c r="D356" s="2"/>
      <c r="E356" s="3"/>
      <c r="F356" s="3"/>
      <c r="G356" s="2"/>
      <c r="H356" s="3"/>
      <c r="I356" s="3"/>
      <c r="J356" s="2"/>
    </row>
    <row r="357" spans="1:10" s="7" customFormat="1" ht="12" customHeight="1" x14ac:dyDescent="0.2">
      <c r="A357" s="105"/>
      <c r="B357" s="106" t="s">
        <v>272</v>
      </c>
      <c r="C357" s="41"/>
      <c r="D357" s="107"/>
      <c r="E357" s="107">
        <f>SUM(E13+E25+E33+E42+E85+E183+E203+E246+E284+E295+E311)</f>
        <v>292822.26</v>
      </c>
      <c r="F357" s="41"/>
      <c r="G357" s="107"/>
      <c r="H357" s="107">
        <f>SUM(H13+H25+H33+H42+H85+H183+H203+H246+H284+H295+H311)</f>
        <v>584358.7799999998</v>
      </c>
      <c r="I357" s="107"/>
      <c r="J357" s="107"/>
    </row>
    <row r="358" spans="1:10" s="7" customFormat="1" ht="12.75" customHeight="1" x14ac:dyDescent="0.2">
      <c r="A358" s="105"/>
      <c r="B358" s="106" t="s">
        <v>163</v>
      </c>
      <c r="C358" s="41"/>
      <c r="D358" s="41"/>
      <c r="E358" s="41">
        <f>E378</f>
        <v>14823.74</v>
      </c>
      <c r="F358" s="41"/>
      <c r="G358" s="41"/>
      <c r="H358" s="41">
        <f>H378</f>
        <v>15641.22</v>
      </c>
      <c r="I358" s="41"/>
      <c r="J358" s="41"/>
    </row>
    <row r="359" spans="1:10" s="7" customFormat="1" ht="11.25" customHeight="1" x14ac:dyDescent="0.2">
      <c r="A359" s="105"/>
      <c r="B359" s="106" t="s">
        <v>165</v>
      </c>
      <c r="C359" s="41"/>
      <c r="D359" s="41"/>
      <c r="E359" s="41">
        <f>E357+E358</f>
        <v>307646</v>
      </c>
      <c r="F359" s="41"/>
      <c r="G359" s="41"/>
      <c r="H359" s="41">
        <f>H357+H358</f>
        <v>599999.99999999977</v>
      </c>
      <c r="I359" s="41"/>
      <c r="J359" s="41"/>
    </row>
    <row r="360" spans="1:10" s="7" customFormat="1" ht="12.75" customHeight="1" x14ac:dyDescent="0.2">
      <c r="A360" s="108"/>
      <c r="B360" s="109" t="s">
        <v>164</v>
      </c>
      <c r="C360" s="41"/>
      <c r="D360" s="107"/>
      <c r="E360" s="107">
        <f>300000+7646</f>
        <v>307646</v>
      </c>
      <c r="F360" s="41"/>
      <c r="G360" s="107"/>
      <c r="H360" s="107">
        <v>600000</v>
      </c>
      <c r="I360" s="107"/>
      <c r="J360" s="107"/>
    </row>
    <row r="361" spans="1:10" ht="12.75" hidden="1" customHeight="1" x14ac:dyDescent="0.2">
      <c r="A361" s="74"/>
      <c r="B361" s="75"/>
      <c r="C361" s="42"/>
      <c r="D361" s="42"/>
      <c r="E361" s="43"/>
      <c r="F361" s="42"/>
      <c r="G361" s="42"/>
      <c r="H361" s="43"/>
      <c r="I361" s="42"/>
      <c r="J361" s="42"/>
    </row>
    <row r="362" spans="1:10" ht="12.75" hidden="1" customHeight="1" x14ac:dyDescent="0.2">
      <c r="A362" s="74"/>
      <c r="B362" s="75"/>
      <c r="C362" s="15"/>
      <c r="D362" s="15"/>
      <c r="E362" s="44"/>
      <c r="F362" s="15"/>
      <c r="G362" s="15"/>
      <c r="H362" s="44"/>
      <c r="I362" s="15"/>
      <c r="J362" s="15"/>
    </row>
    <row r="363" spans="1:10" ht="12.75" hidden="1" customHeight="1" x14ac:dyDescent="0.2">
      <c r="A363" s="74"/>
      <c r="B363" s="75"/>
      <c r="C363" s="15"/>
      <c r="D363" s="15"/>
      <c r="E363" s="15"/>
      <c r="F363" s="15"/>
      <c r="G363" s="15"/>
      <c r="H363" s="15"/>
      <c r="I363" s="15"/>
      <c r="J363" s="15"/>
    </row>
    <row r="364" spans="1:10" ht="12.75" hidden="1" customHeight="1" x14ac:dyDescent="0.2">
      <c r="A364" s="74"/>
      <c r="B364" s="75"/>
      <c r="C364" s="15"/>
      <c r="D364" s="15"/>
      <c r="E364" s="15"/>
      <c r="F364" s="15"/>
      <c r="G364" s="15"/>
      <c r="H364" s="15"/>
      <c r="I364" s="15"/>
      <c r="J364" s="15"/>
    </row>
    <row r="365" spans="1:10" ht="12.75" hidden="1" customHeight="1" x14ac:dyDescent="0.2">
      <c r="A365" s="74"/>
      <c r="B365" s="75"/>
      <c r="C365" s="15"/>
      <c r="D365" s="15"/>
      <c r="E365" s="15"/>
      <c r="F365" s="15"/>
      <c r="G365" s="15"/>
      <c r="H365" s="15"/>
      <c r="I365" s="15"/>
      <c r="J365" s="15"/>
    </row>
    <row r="366" spans="1:10" ht="12.75" hidden="1" customHeight="1" x14ac:dyDescent="0.2">
      <c r="A366" s="74"/>
      <c r="B366" s="75"/>
      <c r="C366" s="15"/>
      <c r="D366" s="15"/>
      <c r="E366" s="15"/>
      <c r="F366" s="15"/>
      <c r="G366" s="15"/>
      <c r="H366" s="15"/>
      <c r="I366" s="15"/>
      <c r="J366" s="15"/>
    </row>
    <row r="367" spans="1:10" ht="12.75" hidden="1" customHeight="1" x14ac:dyDescent="0.2">
      <c r="A367" s="74"/>
      <c r="B367" s="75"/>
      <c r="C367" s="15"/>
      <c r="D367" s="15"/>
      <c r="E367" s="15"/>
      <c r="F367" s="15"/>
      <c r="G367" s="15"/>
      <c r="H367" s="15"/>
      <c r="I367" s="15"/>
      <c r="J367" s="15"/>
    </row>
    <row r="368" spans="1:10" ht="13.5" customHeight="1" x14ac:dyDescent="0.2">
      <c r="A368" s="76" t="s">
        <v>163</v>
      </c>
      <c r="B368" s="77"/>
      <c r="C368" s="12"/>
      <c r="D368" s="12"/>
      <c r="E368" s="12"/>
      <c r="F368" s="12"/>
      <c r="G368" s="12"/>
      <c r="H368" s="12"/>
      <c r="I368" s="12"/>
      <c r="J368" s="12"/>
    </row>
    <row r="369" spans="1:10" s="7" customFormat="1" ht="52.5" customHeight="1" x14ac:dyDescent="0.2">
      <c r="A369" s="53">
        <v>1</v>
      </c>
      <c r="B369" s="11" t="s">
        <v>633</v>
      </c>
      <c r="C369" s="2">
        <v>250.26</v>
      </c>
      <c r="D369" s="2">
        <v>12</v>
      </c>
      <c r="E369" s="45">
        <f>C369*D369</f>
        <v>3003.12</v>
      </c>
      <c r="F369" s="2">
        <v>250.26</v>
      </c>
      <c r="G369" s="2">
        <v>12</v>
      </c>
      <c r="H369" s="45">
        <f>F369*G369</f>
        <v>3003.12</v>
      </c>
      <c r="I369" s="3">
        <f t="shared" ref="I369:I370" si="191">F369-C369</f>
        <v>0</v>
      </c>
      <c r="J369" s="2">
        <f>G369-D369</f>
        <v>0</v>
      </c>
    </row>
    <row r="370" spans="1:10" s="7" customFormat="1" ht="24.75" customHeight="1" x14ac:dyDescent="0.2">
      <c r="A370" s="53">
        <v>2</v>
      </c>
      <c r="B370" s="11" t="s">
        <v>307</v>
      </c>
      <c r="C370" s="3">
        <v>142</v>
      </c>
      <c r="D370" s="2">
        <v>12</v>
      </c>
      <c r="E370" s="22">
        <f>C370*D370</f>
        <v>1704</v>
      </c>
      <c r="F370" s="3">
        <v>142</v>
      </c>
      <c r="G370" s="2">
        <v>12</v>
      </c>
      <c r="H370" s="22">
        <f>F370*G370</f>
        <v>1704</v>
      </c>
      <c r="I370" s="3">
        <f t="shared" si="191"/>
        <v>0</v>
      </c>
      <c r="J370" s="2">
        <f t="shared" ref="J370:J376" si="192">G370-D370</f>
        <v>0</v>
      </c>
    </row>
    <row r="371" spans="1:10" s="7" customFormat="1" ht="54" customHeight="1" x14ac:dyDescent="0.2">
      <c r="A371" s="53">
        <v>3</v>
      </c>
      <c r="B371" s="11" t="s">
        <v>366</v>
      </c>
      <c r="C371" s="2">
        <v>158.93</v>
      </c>
      <c r="D371" s="2">
        <v>12</v>
      </c>
      <c r="E371" s="45">
        <f t="shared" ref="E371" si="193">C371*D371</f>
        <v>1907.16</v>
      </c>
      <c r="F371" s="2">
        <v>158.93</v>
      </c>
      <c r="G371" s="2">
        <v>12</v>
      </c>
      <c r="H371" s="45">
        <f t="shared" ref="H371" si="194">F371*G371</f>
        <v>1907.16</v>
      </c>
      <c r="I371" s="3">
        <f>F371-C371</f>
        <v>0</v>
      </c>
      <c r="J371" s="2">
        <f t="shared" si="192"/>
        <v>0</v>
      </c>
    </row>
    <row r="372" spans="1:10" s="7" customFormat="1" ht="45" customHeight="1" x14ac:dyDescent="0.2">
      <c r="A372" s="53">
        <v>4</v>
      </c>
      <c r="B372" s="11" t="s">
        <v>367</v>
      </c>
      <c r="C372" s="3">
        <v>127.4</v>
      </c>
      <c r="D372" s="2">
        <v>12</v>
      </c>
      <c r="E372" s="22">
        <f>C372*D372</f>
        <v>1528.8000000000002</v>
      </c>
      <c r="F372" s="3">
        <v>127.4</v>
      </c>
      <c r="G372" s="2">
        <v>2</v>
      </c>
      <c r="H372" s="22">
        <f>F372*G372</f>
        <v>254.8</v>
      </c>
      <c r="I372" s="3">
        <f t="shared" ref="I372:I376" si="195">F372-C372</f>
        <v>0</v>
      </c>
      <c r="J372" s="2">
        <f t="shared" si="192"/>
        <v>-10</v>
      </c>
    </row>
    <row r="373" spans="1:10" s="7" customFormat="1" ht="51" customHeight="1" x14ac:dyDescent="0.2">
      <c r="A373" s="53">
        <v>5</v>
      </c>
      <c r="B373" s="11" t="s">
        <v>634</v>
      </c>
      <c r="C373" s="3">
        <v>235.56</v>
      </c>
      <c r="D373" s="2">
        <v>0</v>
      </c>
      <c r="E373" s="22">
        <f>C373*D373</f>
        <v>0</v>
      </c>
      <c r="F373" s="3">
        <v>235.56</v>
      </c>
      <c r="G373" s="2">
        <v>10</v>
      </c>
      <c r="H373" s="22">
        <f>F373*G373</f>
        <v>2355.6</v>
      </c>
      <c r="I373" s="3">
        <f t="shared" ref="I373" si="196">F373-C373</f>
        <v>0</v>
      </c>
      <c r="J373" s="2">
        <f t="shared" ref="J373" si="197">G373-D373</f>
        <v>10</v>
      </c>
    </row>
    <row r="374" spans="1:10" s="7" customFormat="1" ht="53.25" customHeight="1" x14ac:dyDescent="0.2">
      <c r="A374" s="53">
        <v>6</v>
      </c>
      <c r="B374" s="11" t="s">
        <v>635</v>
      </c>
      <c r="C374" s="3">
        <v>85.24</v>
      </c>
      <c r="D374" s="2">
        <v>10</v>
      </c>
      <c r="E374" s="22">
        <f>C374*D374</f>
        <v>852.4</v>
      </c>
      <c r="F374" s="3">
        <v>85.24</v>
      </c>
      <c r="G374" s="2">
        <v>12</v>
      </c>
      <c r="H374" s="45">
        <f>F374*G374</f>
        <v>1022.8799999999999</v>
      </c>
      <c r="I374" s="3">
        <f t="shared" si="195"/>
        <v>0</v>
      </c>
      <c r="J374" s="2">
        <f t="shared" si="192"/>
        <v>2</v>
      </c>
    </row>
    <row r="375" spans="1:10" s="7" customFormat="1" ht="17.25" customHeight="1" x14ac:dyDescent="0.2">
      <c r="A375" s="53">
        <v>7</v>
      </c>
      <c r="B375" s="11" t="s">
        <v>166</v>
      </c>
      <c r="C375" s="2">
        <v>200</v>
      </c>
      <c r="D375" s="2">
        <v>12</v>
      </c>
      <c r="E375" s="22">
        <f>C375*D375</f>
        <v>2400</v>
      </c>
      <c r="F375" s="2">
        <v>200</v>
      </c>
      <c r="G375" s="2">
        <v>12</v>
      </c>
      <c r="H375" s="45">
        <f>F375*G375</f>
        <v>2400</v>
      </c>
      <c r="I375" s="3">
        <f t="shared" si="195"/>
        <v>0</v>
      </c>
      <c r="J375" s="2">
        <f t="shared" si="192"/>
        <v>0</v>
      </c>
    </row>
    <row r="376" spans="1:10" s="7" customFormat="1" x14ac:dyDescent="0.2">
      <c r="A376" s="53">
        <v>8</v>
      </c>
      <c r="B376" s="11" t="s">
        <v>163</v>
      </c>
      <c r="C376" s="22">
        <v>3428.26</v>
      </c>
      <c r="D376" s="2"/>
      <c r="E376" s="22">
        <v>3428.26</v>
      </c>
      <c r="F376" s="2">
        <v>2993.66</v>
      </c>
      <c r="G376" s="2"/>
      <c r="H376" s="22">
        <v>2993.66</v>
      </c>
      <c r="I376" s="3">
        <f t="shared" si="195"/>
        <v>-434.60000000000036</v>
      </c>
      <c r="J376" s="2">
        <f t="shared" si="192"/>
        <v>0</v>
      </c>
    </row>
    <row r="377" spans="1:10" hidden="1" x14ac:dyDescent="0.2">
      <c r="A377" s="68"/>
      <c r="B377" s="14"/>
      <c r="C377" s="42"/>
      <c r="D377" s="42"/>
      <c r="E377" s="46"/>
      <c r="F377" s="42"/>
      <c r="G377" s="42"/>
      <c r="H377" s="46"/>
      <c r="I377" s="78"/>
      <c r="J377" s="42"/>
    </row>
    <row r="378" spans="1:10" s="7" customFormat="1" ht="15" customHeight="1" thickBot="1" x14ac:dyDescent="0.25">
      <c r="A378" s="100"/>
      <c r="B378" s="101"/>
      <c r="C378" s="102"/>
      <c r="D378" s="103"/>
      <c r="E378" s="103">
        <f>SUM(E369:E377)</f>
        <v>14823.74</v>
      </c>
      <c r="F378" s="102"/>
      <c r="G378" s="103"/>
      <c r="H378" s="103">
        <f>SUM(H369:H377)</f>
        <v>15641.22</v>
      </c>
      <c r="I378" s="104"/>
      <c r="J378" s="103"/>
    </row>
    <row r="379" spans="1:10" ht="15.75" hidden="1" customHeight="1" x14ac:dyDescent="0.2">
      <c r="A379" s="47"/>
      <c r="B379" s="47"/>
      <c r="C379" s="47"/>
      <c r="D379" s="47"/>
      <c r="E379" s="47"/>
      <c r="F379" s="47"/>
      <c r="G379" s="47"/>
      <c r="H379" s="47"/>
      <c r="I379" s="79"/>
      <c r="J379" s="47"/>
    </row>
    <row r="380" spans="1:10" ht="12" hidden="1" customHeight="1" x14ac:dyDescent="0.2">
      <c r="A380" s="1"/>
      <c r="B380" s="1"/>
      <c r="F380" s="1"/>
      <c r="G380" s="1"/>
      <c r="H380" s="1"/>
      <c r="I380" s="80"/>
    </row>
    <row r="381" spans="1:10" ht="9" customHeight="1" x14ac:dyDescent="0.2">
      <c r="A381" s="1"/>
      <c r="B381" s="1"/>
      <c r="F381" s="1"/>
      <c r="G381" s="1"/>
      <c r="H381" s="1"/>
      <c r="I381" s="80"/>
    </row>
    <row r="382" spans="1:10" ht="15.75" customHeight="1" x14ac:dyDescent="0.3">
      <c r="A382" s="1"/>
      <c r="B382" s="1"/>
      <c r="C382" s="67"/>
      <c r="D382" s="49"/>
      <c r="E382" s="65"/>
      <c r="F382" s="48"/>
      <c r="G382" s="49"/>
      <c r="H382" s="65"/>
      <c r="I382" s="81"/>
      <c r="J382" s="65"/>
    </row>
    <row r="383" spans="1:10" ht="6.75" customHeight="1" x14ac:dyDescent="0.25">
      <c r="A383" s="1"/>
      <c r="B383" s="1"/>
      <c r="C383" s="50"/>
      <c r="D383" s="51"/>
      <c r="E383" s="69"/>
      <c r="F383" s="50"/>
      <c r="G383" s="51"/>
      <c r="H383" s="69"/>
      <c r="I383" s="80"/>
    </row>
    <row r="384" spans="1:10" ht="14.25" customHeight="1" x14ac:dyDescent="0.25">
      <c r="A384" s="1"/>
      <c r="B384" s="1"/>
      <c r="C384" s="50"/>
      <c r="D384" s="51"/>
      <c r="E384" s="69"/>
      <c r="F384" s="50"/>
      <c r="G384" s="51"/>
      <c r="H384" s="69"/>
      <c r="I384" s="80"/>
    </row>
    <row r="385" spans="1:8" ht="12" customHeight="1" x14ac:dyDescent="0.25">
      <c r="A385" s="70"/>
      <c r="B385" s="1"/>
      <c r="C385" s="50"/>
      <c r="D385" s="51"/>
      <c r="E385" s="69"/>
      <c r="F385" s="50"/>
      <c r="G385" s="51"/>
      <c r="H385" s="69"/>
    </row>
    <row r="386" spans="1:8" ht="10.5" customHeight="1" x14ac:dyDescent="0.25">
      <c r="B386" s="34"/>
      <c r="C386" s="50"/>
      <c r="D386" s="51"/>
      <c r="E386" s="33"/>
      <c r="F386" s="31"/>
      <c r="G386" s="32"/>
      <c r="H386" s="33"/>
    </row>
    <row r="387" spans="1:8" ht="15.75" x14ac:dyDescent="0.25">
      <c r="B387" s="83"/>
      <c r="C387" s="83"/>
      <c r="D387" s="51"/>
      <c r="E387" s="33"/>
      <c r="F387" s="31"/>
      <c r="G387" s="32"/>
      <c r="H387" s="33"/>
    </row>
    <row r="388" spans="1:8" ht="15.75" x14ac:dyDescent="0.25">
      <c r="B388" s="84"/>
      <c r="C388" s="84"/>
      <c r="D388" s="51"/>
      <c r="E388" s="33"/>
      <c r="F388" s="31"/>
      <c r="G388" s="32"/>
      <c r="H388" s="33"/>
    </row>
    <row r="389" spans="1:8" ht="14.25" x14ac:dyDescent="0.2">
      <c r="B389" s="82"/>
      <c r="C389" s="82"/>
      <c r="D389" s="51"/>
      <c r="E389" s="32"/>
      <c r="F389" s="31"/>
      <c r="G389" s="32"/>
      <c r="H389" s="32"/>
    </row>
    <row r="390" spans="1:8" x14ac:dyDescent="0.2">
      <c r="E390" s="30"/>
    </row>
    <row r="391" spans="1:8" x14ac:dyDescent="0.2">
      <c r="E391" s="30"/>
    </row>
  </sheetData>
  <mergeCells count="23">
    <mergeCell ref="A8:J8"/>
    <mergeCell ref="F11:F12"/>
    <mergeCell ref="C1:J1"/>
    <mergeCell ref="B2:M2"/>
    <mergeCell ref="A3:J3"/>
    <mergeCell ref="B4:J4"/>
    <mergeCell ref="F5:J5"/>
    <mergeCell ref="B389:C389"/>
    <mergeCell ref="B387:C387"/>
    <mergeCell ref="B388:C388"/>
    <mergeCell ref="D11:D12"/>
    <mergeCell ref="A9:XFD9"/>
    <mergeCell ref="A10:A12"/>
    <mergeCell ref="B10:B12"/>
    <mergeCell ref="I11:I12"/>
    <mergeCell ref="F10:H10"/>
    <mergeCell ref="I10:J10"/>
    <mergeCell ref="G11:G12"/>
    <mergeCell ref="E11:E12"/>
    <mergeCell ref="C10:E10"/>
    <mergeCell ref="C11:C12"/>
    <mergeCell ref="H11:H12"/>
    <mergeCell ref="J11:J12"/>
  </mergeCells>
  <pageMargins left="0.31496062992125984" right="0.11811023622047245" top="0.57750000000000001" bottom="0.87083333333333335" header="0.31496062992125984" footer="0.31496062992125984"/>
  <pageSetup paperSize="9" scale="88" fitToHeight="0" orientation="landscape" r:id="rId1"/>
  <headerFooter differentFirst="1">
    <oddHeader>&amp;C&amp;"Times New Roman,Regular"&amp;P</oddHeader>
    <oddFooter>&amp;C&amp;"Times New Roman,Regular"LManotp12_100519_1002maksas; Ministru kabineta noteikumu projekts "Grozījumi Ministru kabineta 2013.gada 24.septembra noteikumos Nr.1002 "Sociālās integrācijas valsts aģentūras sniegto maksas pakalpojumu cenrādis""</oddFooter>
    <firstFooter>&amp;C&amp;"Times New Roman,Regular"&amp;F;  Ministru kabineta noteikumu projekts "Grozījumi Ministru kabineta 2013.gada 24.septembra noteikumos Nr.1002 „Sociālās integrācijas valsts aģentūras sniegto maksas pakalpojumu cenrādis""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Kopsavilkums</vt:lpstr>
      <vt:lpstr>Kopsavilkums!Print_Titles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Kopsavilkums par Sociālās integrācijas valsts aģentūras maksas pakalpojumiem un citu pašu ieņēmumiem un to izmaiņām</dc:title>
  <dc:subject>Pielikums anotācijai</dc:subject>
  <dc:creator/>
  <dc:description>Inese Ķīse, 67021651, Inese.Kise@lm.gov.lv, fakss 67021678</dc:description>
  <cp:lastModifiedBy/>
  <dcterms:created xsi:type="dcterms:W3CDTF">2006-09-16T00:00:00Z</dcterms:created>
  <dcterms:modified xsi:type="dcterms:W3CDTF">2019-05-13T12:57:31Z</dcterms:modified>
</cp:coreProperties>
</file>