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vnozare.pri\vm\Redirect_profiles\lzandberga\Desktop\NMPD\uz VK 260719\"/>
    </mc:Choice>
  </mc:AlternateContent>
  <xr:revisionPtr revIDLastSave="0" documentId="13_ncr:1_{13107FF6-B095-4948-ABF7-83FCF90F0C75}" xr6:coauthVersionLast="41" xr6:coauthVersionMax="41" xr10:uidLastSave="{00000000-0000-0000-0000-000000000000}"/>
  <bookViews>
    <workbookView xWindow="-120" yWindow="-120" windowWidth="29040" windowHeight="15840" tabRatio="997" xr2:uid="{00000000-000D-0000-FFFF-FFFF00000000}"/>
  </bookViews>
  <sheets>
    <sheet name="Saraksts" sheetId="1" r:id="rId1"/>
    <sheet name="1.1." sheetId="2" r:id="rId2"/>
    <sheet name="1.2." sheetId="3" r:id="rId3"/>
    <sheet name="1.3." sheetId="4" r:id="rId4"/>
    <sheet name="2.1." sheetId="5" r:id="rId5"/>
    <sheet name="2.2." sheetId="6" r:id="rId6"/>
    <sheet name="2.3." sheetId="7" r:id="rId7"/>
    <sheet name="2.4." sheetId="17" r:id="rId8"/>
    <sheet name="2.5." sheetId="18" r:id="rId9"/>
    <sheet name="2.6." sheetId="19" r:id="rId10"/>
    <sheet name="2.7." sheetId="20" r:id="rId11"/>
    <sheet name="2.8." sheetId="21" r:id="rId12"/>
    <sheet name="3.1." sheetId="22" r:id="rId13"/>
    <sheet name="3.2." sheetId="23" r:id="rId14"/>
    <sheet name="3.3." sheetId="24" r:id="rId15"/>
    <sheet name="3.4." sheetId="25" r:id="rId16"/>
    <sheet name="4.1." sheetId="26" r:id="rId17"/>
    <sheet name="4.2." sheetId="27" r:id="rId18"/>
    <sheet name="4.3." sheetId="8" r:id="rId19"/>
    <sheet name="4.4." sheetId="9" r:id="rId20"/>
    <sheet name="4.5." sheetId="10" r:id="rId21"/>
    <sheet name="4.6." sheetId="11" r:id="rId22"/>
    <sheet name="4.7." sheetId="12" r:id="rId23"/>
    <sheet name="4.8." sheetId="13" r:id="rId24"/>
    <sheet name="4.9." sheetId="14" r:id="rId25"/>
    <sheet name="4.10." sheetId="15" r:id="rId26"/>
    <sheet name="4.11." sheetId="16" r:id="rId27"/>
    <sheet name="5.1." sheetId="28" r:id="rId28"/>
    <sheet name="5.2." sheetId="29" r:id="rId29"/>
    <sheet name="5.3." sheetId="30" r:id="rId30"/>
    <sheet name="5.4." sheetId="31" r:id="rId31"/>
    <sheet name="5.5." sheetId="32" r:id="rId32"/>
    <sheet name="6.1." sheetId="33" r:id="rId33"/>
    <sheet name="6.2." sheetId="34" r:id="rId34"/>
    <sheet name="6.3." sheetId="35" r:id="rId35"/>
    <sheet name="6.4." sheetId="39" r:id="rId36"/>
    <sheet name="6.5." sheetId="59" r:id="rId37"/>
    <sheet name="6.6." sheetId="60" r:id="rId38"/>
    <sheet name="6.7." sheetId="61" r:id="rId39"/>
    <sheet name="6.8." sheetId="62" r:id="rId40"/>
    <sheet name="6.9." sheetId="63" r:id="rId41"/>
    <sheet name="6.10." sheetId="64" r:id="rId42"/>
    <sheet name="6.11." sheetId="65" r:id="rId43"/>
    <sheet name="6.12." sheetId="57" r:id="rId44"/>
  </sheets>
  <definedNames>
    <definedName name="_xlnm.Print_Area" localSheetId="2">'1.2.'!$A$1:$C$42</definedName>
    <definedName name="_xlnm.Print_Area" localSheetId="4">'2.1.'!$A$1:$C$41</definedName>
    <definedName name="_xlnm.Print_Area" localSheetId="5">'2.2.'!$A$1:$C$41</definedName>
    <definedName name="_xlnm.Print_Area" localSheetId="6">'2.3.'!$A$1:$C$41</definedName>
    <definedName name="_xlnm.Print_Area" localSheetId="7">'2.4.'!$A$1:$C$41</definedName>
    <definedName name="_xlnm.Print_Area" localSheetId="8">'2.5.'!$A$1:$C$41</definedName>
    <definedName name="_xlnm.Print_Area" localSheetId="9">'2.6.'!$A$1:$C$41</definedName>
    <definedName name="_xlnm.Print_Area" localSheetId="10">'2.7.'!$A$1:$C$41</definedName>
    <definedName name="_xlnm.Print_Area" localSheetId="11">'2.8.'!$A$1:$C$41</definedName>
    <definedName name="_xlnm.Print_Area" localSheetId="12">'3.1.'!$A$1:$C$44</definedName>
    <definedName name="_xlnm.Print_Area" localSheetId="13">'3.2.'!$A$1:$C$41</definedName>
    <definedName name="_xlnm.Print_Area" localSheetId="14">'3.3.'!$A$1:$C$41</definedName>
    <definedName name="_xlnm.Print_Area" localSheetId="15">'3.4.'!$A$1:$C$45</definedName>
    <definedName name="_xlnm.Print_Area" localSheetId="16">'4.1.'!$A$1:$C$38</definedName>
    <definedName name="_xlnm.Print_Area" localSheetId="25">'4.10.'!$A$1:$C$44</definedName>
    <definedName name="_xlnm.Print_Area" localSheetId="17">'4.2.'!$A$1:$C$37</definedName>
    <definedName name="_xlnm.Print_Area" localSheetId="18">'4.3.'!$A$1:$C$37</definedName>
    <definedName name="_xlnm.Print_Area" localSheetId="19">'4.4.'!$A$1:$C$38</definedName>
    <definedName name="_xlnm.Print_Area" localSheetId="20">'4.5.'!$A$1:$C$39</definedName>
    <definedName name="_xlnm.Print_Area" localSheetId="21">'4.6.'!$A$1:$C$27</definedName>
    <definedName name="_xlnm.Print_Area" localSheetId="22">'4.7.'!$A$1:$D$28</definedName>
    <definedName name="_xlnm.Print_Area" localSheetId="23">'4.8.'!$A$1:$D$28</definedName>
    <definedName name="_xlnm.Print_Area" localSheetId="24">'4.9.'!$A$1:$C$26</definedName>
    <definedName name="_xlnm.Print_Area" localSheetId="27">'5.1.'!$A$1:$C$42</definedName>
    <definedName name="_xlnm.Print_Area" localSheetId="28">'5.2.'!$A$1:$C$41</definedName>
    <definedName name="_xlnm.Print_Area" localSheetId="29">'5.3.'!$A$1:$C$37</definedName>
    <definedName name="_xlnm.Print_Area" localSheetId="30">'5.4.'!$A$1:$C$42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59" l="1"/>
  <c r="C19" i="61" l="1"/>
  <c r="C18" i="60"/>
  <c r="C32" i="22"/>
  <c r="C31" i="22"/>
  <c r="C30" i="22"/>
  <c r="C29" i="22"/>
  <c r="C28" i="22"/>
  <c r="C27" i="22"/>
  <c r="C26" i="22"/>
  <c r="C25" i="22"/>
  <c r="C24" i="22"/>
  <c r="C23" i="22"/>
  <c r="C18" i="22"/>
  <c r="C17" i="22"/>
  <c r="C16" i="22"/>
  <c r="C15" i="22"/>
  <c r="C14" i="22"/>
  <c r="C13" i="22"/>
  <c r="C11" i="22"/>
  <c r="C10" i="22"/>
  <c r="C9" i="22"/>
  <c r="C19" i="59"/>
  <c r="C19" i="60" l="1"/>
  <c r="C21" i="22" l="1"/>
  <c r="C27" i="25"/>
  <c r="C33" i="25"/>
  <c r="C32" i="25"/>
  <c r="C31" i="25"/>
  <c r="C30" i="25"/>
  <c r="C29" i="25"/>
  <c r="C28" i="25"/>
  <c r="C26" i="25"/>
  <c r="C25" i="25"/>
  <c r="C24" i="25"/>
  <c r="C19" i="25"/>
  <c r="C18" i="25"/>
  <c r="C17" i="25"/>
  <c r="C16" i="25"/>
  <c r="C15" i="25"/>
  <c r="C14" i="25"/>
  <c r="C12" i="25"/>
  <c r="C11" i="25"/>
  <c r="C10" i="25"/>
  <c r="C9" i="25"/>
  <c r="C32" i="23"/>
  <c r="C31" i="23"/>
  <c r="C30" i="23"/>
  <c r="C29" i="23"/>
  <c r="C28" i="23"/>
  <c r="C27" i="23"/>
  <c r="C26" i="23"/>
  <c r="C25" i="23"/>
  <c r="C24" i="23"/>
  <c r="C23" i="23"/>
  <c r="C18" i="23"/>
  <c r="C17" i="23"/>
  <c r="C16" i="23"/>
  <c r="C15" i="23"/>
  <c r="C14" i="23"/>
  <c r="C13" i="23"/>
  <c r="C11" i="23"/>
  <c r="C10" i="23"/>
  <c r="C9" i="23"/>
  <c r="C21" i="23" l="1"/>
  <c r="C37" i="9"/>
  <c r="C37" i="26"/>
  <c r="C35" i="26" l="1"/>
  <c r="C35" i="9"/>
  <c r="C15" i="60"/>
  <c r="C36" i="9" l="1"/>
  <c r="C17" i="64"/>
  <c r="C18" i="61"/>
  <c r="C10" i="61"/>
  <c r="C17" i="65"/>
  <c r="C14" i="65"/>
  <c r="C14" i="64"/>
  <c r="C15" i="61"/>
  <c r="C15" i="59"/>
  <c r="C38" i="9" l="1"/>
  <c r="C9" i="2"/>
  <c r="C10" i="65" l="1"/>
  <c r="C9" i="65"/>
  <c r="C11" i="65" s="1"/>
  <c r="C10" i="64"/>
  <c r="C9" i="64"/>
  <c r="C11" i="64" s="1"/>
  <c r="C9" i="63"/>
  <c r="C9" i="62"/>
  <c r="C11" i="61"/>
  <c r="C9" i="61"/>
  <c r="C11" i="59"/>
  <c r="C10" i="59"/>
  <c r="C9" i="59"/>
  <c r="C12" i="59" s="1"/>
  <c r="C11" i="60"/>
  <c r="C10" i="60"/>
  <c r="C9" i="60"/>
  <c r="C9" i="32"/>
  <c r="C11" i="31"/>
  <c r="C10" i="31"/>
  <c r="C9" i="31"/>
  <c r="C9" i="30"/>
  <c r="C10" i="29"/>
  <c r="C9" i="29"/>
  <c r="C11" i="28"/>
  <c r="C10" i="28"/>
  <c r="C9" i="28"/>
  <c r="C12" i="15"/>
  <c r="C11" i="15"/>
  <c r="C10" i="15"/>
  <c r="C9" i="15"/>
  <c r="C9" i="14"/>
  <c r="C9" i="13"/>
  <c r="C9" i="12"/>
  <c r="C9" i="11"/>
  <c r="C9" i="10"/>
  <c r="C9" i="9"/>
  <c r="C9" i="8"/>
  <c r="C9" i="27"/>
  <c r="C9" i="26"/>
  <c r="C22" i="25" l="1"/>
  <c r="C11" i="24"/>
  <c r="C10" i="24"/>
  <c r="C9" i="24"/>
  <c r="C21" i="24" s="1"/>
  <c r="C11" i="21"/>
  <c r="C10" i="21"/>
  <c r="C9" i="21"/>
  <c r="C11" i="20"/>
  <c r="C10" i="20"/>
  <c r="C9" i="20"/>
  <c r="C11" i="19"/>
  <c r="C10" i="19"/>
  <c r="C9" i="19"/>
  <c r="C11" i="18" l="1"/>
  <c r="C10" i="18"/>
  <c r="C9" i="18"/>
  <c r="C11" i="17"/>
  <c r="C10" i="17"/>
  <c r="C9" i="17"/>
  <c r="C11" i="7"/>
  <c r="C10" i="7"/>
  <c r="C9" i="7"/>
  <c r="C11" i="6"/>
  <c r="C10" i="6"/>
  <c r="C9" i="6"/>
  <c r="C11" i="5"/>
  <c r="C10" i="5"/>
  <c r="C9" i="5"/>
  <c r="C11" i="4"/>
  <c r="C10" i="4"/>
  <c r="C9" i="4"/>
  <c r="C11" i="3"/>
  <c r="C10" i="3"/>
  <c r="C9" i="3"/>
  <c r="C11" i="2"/>
  <c r="C10" i="2"/>
  <c r="C31" i="3" l="1"/>
  <c r="C16" i="60" l="1"/>
  <c r="C12" i="60"/>
  <c r="C20" i="60"/>
  <c r="C13" i="35"/>
  <c r="C9" i="35"/>
  <c r="C10" i="35" s="1"/>
  <c r="C13" i="33"/>
  <c r="C9" i="33"/>
  <c r="C10" i="33" s="1"/>
  <c r="C13" i="34"/>
  <c r="C9" i="34"/>
  <c r="C10" i="34" s="1"/>
  <c r="C22" i="30"/>
  <c r="C25" i="30"/>
  <c r="C16" i="14"/>
  <c r="C14" i="14"/>
  <c r="C13" i="14"/>
  <c r="C15" i="14"/>
  <c r="C26" i="15"/>
  <c r="C25" i="15"/>
  <c r="C27" i="15"/>
  <c r="C28" i="15"/>
  <c r="C29" i="15"/>
  <c r="C33" i="15"/>
  <c r="C32" i="15"/>
  <c r="C31" i="15"/>
  <c r="C24" i="15"/>
  <c r="C30" i="15"/>
  <c r="C15" i="13"/>
  <c r="C14" i="13"/>
  <c r="C16" i="13"/>
  <c r="C13" i="13"/>
  <c r="C14" i="12"/>
  <c r="C15" i="12"/>
  <c r="C13" i="12"/>
  <c r="C16" i="12"/>
  <c r="C25" i="10"/>
  <c r="C24" i="10"/>
  <c r="C19" i="10"/>
  <c r="C20" i="10"/>
  <c r="C21" i="10"/>
  <c r="C27" i="10"/>
  <c r="C26" i="10"/>
  <c r="C22" i="10"/>
  <c r="C23" i="10"/>
  <c r="C28" i="10"/>
  <c r="C11" i="10"/>
  <c r="C18" i="9"/>
  <c r="C19" i="9"/>
  <c r="C20" i="9"/>
  <c r="C21" i="9"/>
  <c r="C22" i="9"/>
  <c r="C25" i="9"/>
  <c r="C24" i="9"/>
  <c r="C11" i="9"/>
  <c r="C13" i="9"/>
  <c r="C12" i="9"/>
  <c r="C26" i="9"/>
  <c r="C23" i="9"/>
  <c r="C12" i="22"/>
  <c r="C11" i="35" l="1"/>
  <c r="C22" i="22"/>
  <c r="C11" i="34"/>
  <c r="C19" i="22"/>
  <c r="C33" i="22" l="1"/>
  <c r="C18" i="65"/>
  <c r="C19" i="65"/>
  <c r="C16" i="65"/>
  <c r="C15" i="65"/>
  <c r="C18" i="64"/>
  <c r="C16" i="64"/>
  <c r="C15" i="64"/>
  <c r="C16" i="61"/>
  <c r="C17" i="61"/>
  <c r="C20" i="61"/>
  <c r="C17" i="60"/>
  <c r="C16" i="59"/>
  <c r="C17" i="59"/>
  <c r="C10" i="39"/>
  <c r="C11" i="33"/>
  <c r="C10" i="32"/>
  <c r="C11" i="32"/>
  <c r="C25" i="31"/>
  <c r="C26" i="31"/>
  <c r="C27" i="31"/>
  <c r="C30" i="31"/>
  <c r="C29" i="31"/>
  <c r="C24" i="30"/>
  <c r="C26" i="30"/>
  <c r="C18" i="30"/>
  <c r="C11" i="30"/>
  <c r="C21" i="30"/>
  <c r="C20" i="30"/>
  <c r="C19" i="30"/>
  <c r="C23" i="30"/>
  <c r="C12" i="30"/>
  <c r="C13" i="30"/>
  <c r="C25" i="29"/>
  <c r="C24" i="29"/>
  <c r="C22" i="29"/>
  <c r="C23" i="29"/>
  <c r="C26" i="29"/>
  <c r="C28" i="29"/>
  <c r="C29" i="29"/>
  <c r="C30" i="29"/>
  <c r="C12" i="29"/>
  <c r="C13" i="29"/>
  <c r="C15" i="29"/>
  <c r="C17" i="29"/>
  <c r="C16" i="29"/>
  <c r="C27" i="29"/>
  <c r="C14" i="29"/>
  <c r="C31" i="29"/>
  <c r="C34" i="22" l="1"/>
  <c r="C38" i="22" s="1"/>
  <c r="C12" i="32"/>
  <c r="C15" i="32" s="1"/>
  <c r="C23" i="28"/>
  <c r="C9" i="16"/>
  <c r="C14" i="15"/>
  <c r="C15" i="15"/>
  <c r="C16" i="15"/>
  <c r="C17" i="15"/>
  <c r="C17" i="13"/>
  <c r="C10" i="13"/>
  <c r="C17" i="12"/>
  <c r="C14" i="11"/>
  <c r="C15" i="11"/>
  <c r="C16" i="11"/>
  <c r="C17" i="11"/>
  <c r="C13" i="11"/>
  <c r="C13" i="10"/>
  <c r="C14" i="10"/>
  <c r="C12" i="10"/>
  <c r="C18" i="27"/>
  <c r="C26" i="27"/>
  <c r="C24" i="27"/>
  <c r="C25" i="27"/>
  <c r="C23" i="27"/>
  <c r="C22" i="27"/>
  <c r="C21" i="27"/>
  <c r="C20" i="27"/>
  <c r="C19" i="27"/>
  <c r="C12" i="27"/>
  <c r="C11" i="27"/>
  <c r="C13" i="27"/>
  <c r="C24" i="26"/>
  <c r="C20" i="26"/>
  <c r="C19" i="26"/>
  <c r="C18" i="26"/>
  <c r="C16" i="24"/>
  <c r="C17" i="24"/>
  <c r="C15" i="24"/>
  <c r="C14" i="24"/>
  <c r="C13" i="24"/>
  <c r="C23" i="24"/>
  <c r="C25" i="24"/>
  <c r="C26" i="24"/>
  <c r="C27" i="24"/>
  <c r="C28" i="24"/>
  <c r="C29" i="24"/>
  <c r="C30" i="24"/>
  <c r="C31" i="24"/>
  <c r="C31" i="21"/>
  <c r="C30" i="21"/>
  <c r="C25" i="21"/>
  <c r="C15" i="20"/>
  <c r="C30" i="20"/>
  <c r="C31" i="20"/>
  <c r="C25" i="20"/>
  <c r="C23" i="20"/>
  <c r="C29" i="20"/>
  <c r="C29" i="19"/>
  <c r="C30" i="19"/>
  <c r="C31" i="19"/>
  <c r="C28" i="19"/>
  <c r="C25" i="19"/>
  <c r="C23" i="19"/>
  <c r="C30" i="18"/>
  <c r="C23" i="18"/>
  <c r="C31" i="18"/>
  <c r="C23" i="17"/>
  <c r="C23" i="7"/>
  <c r="C24" i="7"/>
  <c r="C25" i="7"/>
  <c r="C26" i="7"/>
  <c r="C27" i="7"/>
  <c r="C28" i="7"/>
  <c r="C30" i="7"/>
  <c r="C29" i="5"/>
  <c r="C24" i="5"/>
  <c r="C26" i="5"/>
  <c r="C32" i="5"/>
  <c r="C28" i="5"/>
  <c r="C30" i="5"/>
  <c r="C31" i="5"/>
  <c r="C27" i="5"/>
  <c r="C13" i="5"/>
  <c r="C25" i="5"/>
  <c r="C23" i="5"/>
  <c r="C18" i="5"/>
  <c r="C17" i="5"/>
  <c r="C16" i="5"/>
  <c r="C15" i="5"/>
  <c r="C14" i="5"/>
  <c r="C29" i="4"/>
  <c r="C13" i="4"/>
  <c r="C14" i="4"/>
  <c r="C28" i="4"/>
  <c r="C17" i="4"/>
  <c r="C15" i="4"/>
  <c r="C27" i="4"/>
  <c r="C30" i="4"/>
  <c r="C22" i="4"/>
  <c r="C23" i="4"/>
  <c r="C24" i="4"/>
  <c r="C25" i="4"/>
  <c r="C26" i="4"/>
  <c r="C31" i="4"/>
  <c r="C16" i="4"/>
  <c r="C32" i="3"/>
  <c r="C23" i="3"/>
  <c r="C29" i="3"/>
  <c r="C30" i="3"/>
  <c r="C33" i="3"/>
  <c r="C25" i="3"/>
  <c r="C24" i="3"/>
  <c r="C27" i="3"/>
  <c r="C28" i="3"/>
  <c r="C13" i="3"/>
  <c r="C14" i="3"/>
  <c r="C15" i="3"/>
  <c r="C16" i="3"/>
  <c r="C17" i="3"/>
  <c r="C18" i="3"/>
  <c r="C26" i="3"/>
  <c r="C31" i="2"/>
  <c r="C18" i="11" l="1"/>
  <c r="C17" i="2"/>
  <c r="C27" i="2"/>
  <c r="C23" i="2"/>
  <c r="C24" i="2"/>
  <c r="C25" i="2"/>
  <c r="C26" i="2"/>
  <c r="C32" i="2"/>
  <c r="C29" i="2"/>
  <c r="C30" i="2"/>
  <c r="C15" i="2"/>
  <c r="C18" i="2"/>
  <c r="C14" i="2"/>
  <c r="C13" i="2"/>
  <c r="C12" i="2"/>
  <c r="C21" i="2"/>
  <c r="C22" i="2" s="1"/>
  <c r="C28" i="2"/>
  <c r="C16" i="2"/>
  <c r="C10" i="12" l="1"/>
  <c r="C10" i="11"/>
  <c r="C27" i="27"/>
  <c r="C32" i="21"/>
  <c r="C29" i="21"/>
  <c r="C28" i="21"/>
  <c r="C27" i="21"/>
  <c r="C26" i="21"/>
  <c r="C24" i="21"/>
  <c r="C23" i="21"/>
  <c r="C18" i="21"/>
  <c r="C17" i="21"/>
  <c r="C16" i="21"/>
  <c r="C15" i="21"/>
  <c r="C14" i="21"/>
  <c r="C13" i="21"/>
  <c r="C32" i="19"/>
  <c r="C27" i="19"/>
  <c r="C26" i="19"/>
  <c r="C24" i="19"/>
  <c r="C18" i="19"/>
  <c r="C17" i="19"/>
  <c r="C16" i="19"/>
  <c r="C15" i="19"/>
  <c r="C14" i="19"/>
  <c r="C13" i="19"/>
  <c r="C13" i="17"/>
  <c r="C32" i="17"/>
  <c r="C31" i="17"/>
  <c r="C30" i="17"/>
  <c r="C29" i="17"/>
  <c r="C28" i="17"/>
  <c r="C27" i="17"/>
  <c r="C26" i="17"/>
  <c r="C25" i="17"/>
  <c r="C24" i="17"/>
  <c r="C18" i="17"/>
  <c r="C17" i="17"/>
  <c r="C16" i="17"/>
  <c r="C15" i="17"/>
  <c r="C14" i="17"/>
  <c r="C32" i="6"/>
  <c r="C31" i="6"/>
  <c r="C30" i="6"/>
  <c r="C29" i="6"/>
  <c r="C28" i="6"/>
  <c r="C27" i="6"/>
  <c r="C26" i="6"/>
  <c r="C25" i="6"/>
  <c r="C24" i="6"/>
  <c r="C23" i="6"/>
  <c r="C18" i="6"/>
  <c r="C17" i="6"/>
  <c r="C16" i="6"/>
  <c r="C15" i="6"/>
  <c r="C14" i="6"/>
  <c r="C13" i="6"/>
  <c r="C12" i="3" l="1"/>
  <c r="C21" i="3"/>
  <c r="C22" i="3" s="1"/>
  <c r="C19" i="3"/>
  <c r="C12" i="4"/>
  <c r="C11" i="16" l="1"/>
  <c r="C13" i="20" l="1"/>
  <c r="C32" i="20"/>
  <c r="C28" i="20"/>
  <c r="C27" i="20"/>
  <c r="C26" i="20"/>
  <c r="C24" i="20"/>
  <c r="C18" i="20"/>
  <c r="C17" i="20"/>
  <c r="C16" i="20"/>
  <c r="C14" i="20"/>
  <c r="C12" i="19"/>
  <c r="C32" i="7"/>
  <c r="C31" i="7"/>
  <c r="C29" i="7"/>
  <c r="C18" i="7"/>
  <c r="C17" i="7"/>
  <c r="C16" i="7"/>
  <c r="C15" i="7"/>
  <c r="C14" i="7"/>
  <c r="C13" i="7"/>
  <c r="C12" i="5" l="1"/>
  <c r="C21" i="5"/>
  <c r="C22" i="5" s="1"/>
  <c r="C12" i="7"/>
  <c r="C16" i="26"/>
  <c r="C17" i="26" s="1"/>
  <c r="C10" i="30" l="1"/>
  <c r="C11" i="29"/>
  <c r="C10" i="14"/>
  <c r="C13" i="25"/>
  <c r="C10" i="9" l="1"/>
  <c r="C16" i="9"/>
  <c r="C17" i="9" s="1"/>
  <c r="C10" i="10"/>
  <c r="C17" i="10"/>
  <c r="C18" i="10" s="1"/>
  <c r="C22" i="23"/>
  <c r="C19" i="64"/>
  <c r="C14" i="63"/>
  <c r="C13" i="63"/>
  <c r="C10" i="63"/>
  <c r="C14" i="62"/>
  <c r="C13" i="62"/>
  <c r="C15" i="63" l="1"/>
  <c r="C12" i="64"/>
  <c r="C10" i="62"/>
  <c r="C11" i="62" s="1"/>
  <c r="C15" i="62"/>
  <c r="C11" i="63"/>
  <c r="C16" i="63" s="1"/>
  <c r="C20" i="63" s="1"/>
  <c r="C20" i="64"/>
  <c r="C20" i="65"/>
  <c r="C12" i="65"/>
  <c r="C12" i="61"/>
  <c r="C20" i="59"/>
  <c r="C9" i="57"/>
  <c r="C10" i="57" s="1"/>
  <c r="C14" i="57" s="1"/>
  <c r="C18" i="57" l="1"/>
  <c r="D60" i="1" s="1"/>
  <c r="C21" i="64"/>
  <c r="C25" i="64" s="1"/>
  <c r="D57" i="1"/>
  <c r="C16" i="62"/>
  <c r="C20" i="62" s="1"/>
  <c r="C21" i="65"/>
  <c r="C25" i="65" s="1"/>
  <c r="C21" i="61"/>
  <c r="C13" i="61"/>
  <c r="C21" i="60"/>
  <c r="C13" i="60"/>
  <c r="C21" i="59"/>
  <c r="C13" i="59"/>
  <c r="D58" i="1" l="1"/>
  <c r="D59" i="1"/>
  <c r="D56" i="1"/>
  <c r="C22" i="61"/>
  <c r="C22" i="60"/>
  <c r="C22" i="59"/>
  <c r="C19" i="15"/>
  <c r="C18" i="31"/>
  <c r="C18" i="28"/>
  <c r="C14" i="28"/>
  <c r="C12" i="26"/>
  <c r="C18" i="24"/>
  <c r="C14" i="18"/>
  <c r="C18" i="18"/>
  <c r="C26" i="61" l="1"/>
  <c r="C26" i="60"/>
  <c r="D54" i="1" s="1"/>
  <c r="C26" i="59"/>
  <c r="D53" i="1" s="1"/>
  <c r="D55" i="1"/>
  <c r="C14" i="31" l="1"/>
  <c r="C12" i="8"/>
  <c r="C32" i="31"/>
  <c r="C27" i="30"/>
  <c r="C32" i="28"/>
  <c r="C32" i="24"/>
  <c r="C32" i="18"/>
  <c r="C29" i="28" l="1"/>
  <c r="C24" i="8"/>
  <c r="C29" i="18"/>
  <c r="C17" i="31"/>
  <c r="C17" i="28"/>
  <c r="C18" i="15"/>
  <c r="C17" i="18"/>
  <c r="C16" i="31"/>
  <c r="C16" i="28"/>
  <c r="C16" i="18"/>
  <c r="C15" i="31" l="1"/>
  <c r="C15" i="28"/>
  <c r="C13" i="8"/>
  <c r="C13" i="26"/>
  <c r="C15" i="18"/>
  <c r="C13" i="31"/>
  <c r="C13" i="28"/>
  <c r="C11" i="8"/>
  <c r="C11" i="26"/>
  <c r="C13" i="18"/>
  <c r="C27" i="28"/>
  <c r="C22" i="8"/>
  <c r="C22" i="26"/>
  <c r="C27" i="18"/>
  <c r="C31" i="31" l="1"/>
  <c r="C31" i="28"/>
  <c r="C26" i="8"/>
  <c r="C26" i="26"/>
  <c r="C28" i="31"/>
  <c r="C28" i="28"/>
  <c r="C23" i="8"/>
  <c r="C23" i="26"/>
  <c r="C28" i="18"/>
  <c r="C24" i="31"/>
  <c r="C24" i="28"/>
  <c r="C19" i="8"/>
  <c r="C24" i="24"/>
  <c r="C24" i="18"/>
  <c r="C26" i="28"/>
  <c r="C21" i="8"/>
  <c r="C21" i="26"/>
  <c r="C26" i="18"/>
  <c r="C23" i="31"/>
  <c r="C18" i="8"/>
  <c r="C25" i="28"/>
  <c r="C20" i="8"/>
  <c r="C25" i="18"/>
  <c r="C30" i="28" l="1"/>
  <c r="C17" i="14"/>
  <c r="C25" i="8"/>
  <c r="C25" i="26"/>
  <c r="C14" i="35" l="1"/>
  <c r="C15" i="35" s="1"/>
  <c r="C14" i="34"/>
  <c r="C15" i="34" s="1"/>
  <c r="C19" i="34" s="1"/>
  <c r="C14" i="33"/>
  <c r="C19" i="35" l="1"/>
  <c r="C14" i="30"/>
  <c r="C21" i="31"/>
  <c r="C20" i="29"/>
  <c r="C12" i="39"/>
  <c r="C15" i="39" s="1"/>
  <c r="C19" i="39" s="1"/>
  <c r="C12" i="31"/>
  <c r="C19" i="31" s="1"/>
  <c r="C16" i="30"/>
  <c r="C18" i="29"/>
  <c r="D51" i="1" l="1"/>
  <c r="C22" i="31"/>
  <c r="C33" i="31" s="1"/>
  <c r="C34" i="31" s="1"/>
  <c r="C38" i="31" s="1"/>
  <c r="C15" i="33"/>
  <c r="C19" i="33" s="1"/>
  <c r="C19" i="32"/>
  <c r="C17" i="30"/>
  <c r="C21" i="29"/>
  <c r="D50" i="1" l="1"/>
  <c r="D49" i="1"/>
  <c r="D47" i="1"/>
  <c r="D46" i="1"/>
  <c r="D52" i="1"/>
  <c r="C28" i="30"/>
  <c r="C29" i="30" s="1"/>
  <c r="C33" i="30" s="1"/>
  <c r="C32" i="29"/>
  <c r="C33" i="29" s="1"/>
  <c r="C37" i="29" s="1"/>
  <c r="C14" i="16"/>
  <c r="C18" i="16" s="1"/>
  <c r="C18" i="13"/>
  <c r="C18" i="12"/>
  <c r="C27" i="9"/>
  <c r="C27" i="8"/>
  <c r="C27" i="26"/>
  <c r="D45" i="1" l="1"/>
  <c r="D44" i="1"/>
  <c r="C10" i="8"/>
  <c r="C14" i="8" s="1"/>
  <c r="C10" i="27"/>
  <c r="C14" i="27" s="1"/>
  <c r="C14" i="9"/>
  <c r="C21" i="28"/>
  <c r="C12" i="28"/>
  <c r="C19" i="28" s="1"/>
  <c r="C22" i="15"/>
  <c r="C13" i="15"/>
  <c r="C20" i="15" s="1"/>
  <c r="C11" i="13"/>
  <c r="C11" i="11"/>
  <c r="C15" i="10"/>
  <c r="C16" i="8"/>
  <c r="C16" i="27"/>
  <c r="C17" i="27" s="1"/>
  <c r="C10" i="26"/>
  <c r="C14" i="26" s="1"/>
  <c r="C11" i="12" l="1"/>
  <c r="C19" i="12" s="1"/>
  <c r="C23" i="12" s="1"/>
  <c r="C11" i="14"/>
  <c r="C18" i="14" s="1"/>
  <c r="C22" i="14" s="1"/>
  <c r="C22" i="28"/>
  <c r="C33" i="28" s="1"/>
  <c r="C34" i="28" s="1"/>
  <c r="C38" i="28" s="1"/>
  <c r="C23" i="15"/>
  <c r="C34" i="15" s="1"/>
  <c r="C28" i="9"/>
  <c r="C29" i="9" s="1"/>
  <c r="C33" i="9" s="1"/>
  <c r="C19" i="13"/>
  <c r="C23" i="13" s="1"/>
  <c r="C19" i="11"/>
  <c r="C23" i="11" s="1"/>
  <c r="C17" i="8"/>
  <c r="C28" i="26"/>
  <c r="C35" i="15" l="1"/>
  <c r="C39" i="15" s="1"/>
  <c r="D41" i="1"/>
  <c r="D43" i="1"/>
  <c r="D39" i="1"/>
  <c r="D38" i="1"/>
  <c r="D37" i="1"/>
  <c r="D36" i="1"/>
  <c r="D34" i="1"/>
  <c r="C29" i="10"/>
  <c r="C30" i="10" s="1"/>
  <c r="C34" i="10" s="1"/>
  <c r="C28" i="8"/>
  <c r="C29" i="8" s="1"/>
  <c r="C33" i="8" s="1"/>
  <c r="C28" i="27"/>
  <c r="C29" i="27" s="1"/>
  <c r="C33" i="27" s="1"/>
  <c r="C29" i="26"/>
  <c r="C33" i="26" s="1"/>
  <c r="C36" i="26" s="1"/>
  <c r="C38" i="26" s="1"/>
  <c r="D40" i="1" l="1"/>
  <c r="D35" i="1"/>
  <c r="D33" i="1"/>
  <c r="D32" i="1"/>
  <c r="D31" i="1"/>
  <c r="C20" i="25"/>
  <c r="C12" i="24"/>
  <c r="C19" i="24" s="1"/>
  <c r="C12" i="23"/>
  <c r="C19" i="23" s="1"/>
  <c r="C12" i="21"/>
  <c r="C19" i="21" s="1"/>
  <c r="C21" i="21"/>
  <c r="C12" i="20"/>
  <c r="C19" i="20" s="1"/>
  <c r="C21" i="20"/>
  <c r="C19" i="19"/>
  <c r="C21" i="19"/>
  <c r="C12" i="18"/>
  <c r="C19" i="18" s="1"/>
  <c r="C21" i="18"/>
  <c r="C23" i="25" l="1"/>
  <c r="C22" i="24"/>
  <c r="C22" i="21"/>
  <c r="C22" i="20"/>
  <c r="C22" i="19"/>
  <c r="C22" i="18"/>
  <c r="C34" i="25" l="1"/>
  <c r="C35" i="25" s="1"/>
  <c r="C39" i="25" s="1"/>
  <c r="C33" i="24"/>
  <c r="C34" i="24" s="1"/>
  <c r="C38" i="24" s="1"/>
  <c r="C33" i="23"/>
  <c r="C34" i="23" s="1"/>
  <c r="C38" i="23" s="1"/>
  <c r="C33" i="21"/>
  <c r="C34" i="21" s="1"/>
  <c r="C38" i="21" s="1"/>
  <c r="C33" i="20"/>
  <c r="C34" i="20" s="1"/>
  <c r="C38" i="20" s="1"/>
  <c r="C33" i="19"/>
  <c r="C34" i="19" s="1"/>
  <c r="C38" i="19" s="1"/>
  <c r="C33" i="18"/>
  <c r="C34" i="18" s="1"/>
  <c r="C38" i="18" s="1"/>
  <c r="D29" i="1" l="1"/>
  <c r="D28" i="1"/>
  <c r="D27" i="1"/>
  <c r="F27" i="1" s="1"/>
  <c r="D26" i="1"/>
  <c r="D24" i="1"/>
  <c r="D23" i="1"/>
  <c r="D22" i="1"/>
  <c r="D21" i="1"/>
  <c r="C21" i="17" l="1"/>
  <c r="C12" i="17"/>
  <c r="C19" i="17" s="1"/>
  <c r="C19" i="7"/>
  <c r="C22" i="17" l="1"/>
  <c r="C33" i="17" s="1"/>
  <c r="C34" i="17" s="1"/>
  <c r="C38" i="17" s="1"/>
  <c r="C21" i="7"/>
  <c r="D20" i="1" l="1"/>
  <c r="C33" i="2"/>
  <c r="C22" i="7"/>
  <c r="C12" i="6"/>
  <c r="C19" i="6" s="1"/>
  <c r="C21" i="6"/>
  <c r="C19" i="5"/>
  <c r="C18" i="4"/>
  <c r="C20" i="4"/>
  <c r="C21" i="4" s="1"/>
  <c r="C19" i="2"/>
  <c r="C33" i="7" l="1"/>
  <c r="C34" i="7" s="1"/>
  <c r="C38" i="7" s="1"/>
  <c r="C33" i="5"/>
  <c r="C34" i="5" s="1"/>
  <c r="C38" i="5" s="1"/>
  <c r="C22" i="6"/>
  <c r="C34" i="3"/>
  <c r="D19" i="1" l="1"/>
  <c r="F19" i="1" s="1"/>
  <c r="D17" i="1"/>
  <c r="F17" i="1" s="1"/>
  <c r="C33" i="6"/>
  <c r="C34" i="6" s="1"/>
  <c r="C38" i="6" s="1"/>
  <c r="C32" i="4"/>
  <c r="C33" i="4" s="1"/>
  <c r="C37" i="4" s="1"/>
  <c r="C35" i="3"/>
  <c r="C39" i="3" s="1"/>
  <c r="F59" i="1"/>
  <c r="F58" i="1"/>
  <c r="F57" i="1"/>
  <c r="F56" i="1"/>
  <c r="F55" i="1"/>
  <c r="F54" i="1"/>
  <c r="F44" i="1"/>
  <c r="F45" i="1"/>
  <c r="F46" i="1"/>
  <c r="F47" i="1"/>
  <c r="F32" i="1"/>
  <c r="F33" i="1"/>
  <c r="F34" i="1"/>
  <c r="F35" i="1"/>
  <c r="F36" i="1"/>
  <c r="F37" i="1"/>
  <c r="F38" i="1"/>
  <c r="F39" i="1"/>
  <c r="F40" i="1"/>
  <c r="F41" i="1"/>
  <c r="F60" i="1"/>
  <c r="F53" i="1"/>
  <c r="F52" i="1"/>
  <c r="F51" i="1"/>
  <c r="F50" i="1"/>
  <c r="F49" i="1"/>
  <c r="F43" i="1"/>
  <c r="F31" i="1"/>
  <c r="F29" i="1"/>
  <c r="F28" i="1"/>
  <c r="F26" i="1"/>
  <c r="F24" i="1"/>
  <c r="F23" i="1"/>
  <c r="F22" i="1"/>
  <c r="F21" i="1"/>
  <c r="F20" i="1"/>
  <c r="C34" i="2"/>
  <c r="C38" i="2" s="1"/>
  <c r="D13" i="1" s="1"/>
  <c r="D18" i="1" l="1"/>
  <c r="F18" i="1" s="1"/>
  <c r="D15" i="1"/>
  <c r="F15" i="1" s="1"/>
  <c r="D14" i="1"/>
  <c r="F14" i="1" s="1"/>
  <c r="F13" i="1"/>
</calcChain>
</file>

<file path=xl/sharedStrings.xml><?xml version="1.0" encoding="utf-8"?>
<sst xmlns="http://schemas.openxmlformats.org/spreadsheetml/2006/main" count="2027" uniqueCount="352">
  <si>
    <t>Pielikums</t>
  </si>
  <si>
    <t>Nr.p.k.</t>
  </si>
  <si>
    <t>Pakalpojuma veids</t>
  </si>
  <si>
    <t>Mērvienība</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</si>
  <si>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</si>
  <si>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</si>
  <si>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</si>
  <si>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1.</t>
  </si>
  <si>
    <t>1.1.</t>
  </si>
  <si>
    <t>1.2.</t>
  </si>
  <si>
    <t>1.3.</t>
  </si>
  <si>
    <t>2.</t>
  </si>
  <si>
    <t>2.1.</t>
  </si>
  <si>
    <t>2.2.</t>
  </si>
  <si>
    <t>2.3.</t>
  </si>
  <si>
    <t>2.4.</t>
  </si>
  <si>
    <t>2.5.</t>
  </si>
  <si>
    <t>2.6.</t>
  </si>
  <si>
    <t>2.7.</t>
  </si>
  <si>
    <t>2.8.</t>
  </si>
  <si>
    <t>3.1.</t>
  </si>
  <si>
    <t>3.2.</t>
  </si>
  <si>
    <t>3.3.</t>
  </si>
  <si>
    <t>4.1.</t>
  </si>
  <si>
    <t>4.2.</t>
  </si>
  <si>
    <t>5.</t>
  </si>
  <si>
    <t>6.</t>
  </si>
  <si>
    <t>6.1.</t>
  </si>
  <si>
    <t>6.2.</t>
  </si>
  <si>
    <t>6.3.</t>
  </si>
  <si>
    <t>Neatliekamās medicīniskās palīdzības dienesta maksas pakalpojumu cenrādis</t>
  </si>
  <si>
    <t>3.4.</t>
  </si>
  <si>
    <t>4.3.</t>
  </si>
  <si>
    <t>4.4.</t>
  </si>
  <si>
    <t>4.5.</t>
  </si>
  <si>
    <t>4.6.</t>
  </si>
  <si>
    <t>4.7.</t>
  </si>
  <si>
    <t>4.8.</t>
  </si>
  <si>
    <t>4.9.</t>
  </si>
  <si>
    <t>4.10.</t>
  </si>
  <si>
    <t>4.11.</t>
  </si>
  <si>
    <t>3.</t>
  </si>
  <si>
    <t>4.</t>
  </si>
  <si>
    <t>5.1.</t>
  </si>
  <si>
    <t>5.2.</t>
  </si>
  <si>
    <t>5.3.</t>
  </si>
  <si>
    <t>5.4.</t>
  </si>
  <si>
    <t>5.5.</t>
  </si>
  <si>
    <t>6.4.</t>
  </si>
  <si>
    <t>6.5.</t>
  </si>
  <si>
    <t>6.6.</t>
  </si>
  <si>
    <t>6.7.</t>
  </si>
  <si>
    <t>6.8.</t>
  </si>
  <si>
    <t>6.9.</t>
  </si>
  <si>
    <t>6.10.</t>
  </si>
  <si>
    <t>6.11.</t>
  </si>
  <si>
    <t>6.12.</t>
  </si>
  <si>
    <t>Maksas pakalpojuma izcenojuma aprēķins</t>
  </si>
  <si>
    <r>
      <rPr>
        <b/>
        <sz val="12"/>
        <color theme="1"/>
        <rFont val="Times New Roman"/>
        <family val="1"/>
        <charset val="186"/>
      </rPr>
      <t>Laikposms:</t>
    </r>
    <r>
      <rPr>
        <sz val="12"/>
        <color theme="1"/>
        <rFont val="Times New Roman"/>
        <family val="1"/>
        <charset val="186"/>
      </rPr>
      <t xml:space="preserve"> 1 gads </t>
    </r>
  </si>
  <si>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</si>
  <si>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</si>
  <si>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</si>
  <si>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</si>
  <si>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</si>
  <si>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</si>
  <si>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Netiešās izmaksas kopā:</t>
  </si>
  <si>
    <t>Pakalpojuma izmaksas kopā:</t>
  </si>
  <si>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</si>
  <si>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</si>
  <si>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r>
      <rPr>
        <b/>
        <sz val="12"/>
        <color theme="1"/>
        <rFont val="Times New Roman"/>
        <family val="1"/>
        <charset val="186"/>
      </rPr>
      <t>Iestāde:</t>
    </r>
    <r>
      <rPr>
        <sz val="12"/>
        <color theme="1"/>
        <rFont val="Times New Roman"/>
        <family val="1"/>
        <charset val="186"/>
      </rPr>
      <t xml:space="preserve"> Neatliekamās medicīniskās palīdzības dienests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</si>
  <si>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medicīniskās palīdzības sniegšanai, kas nav uzskatāma par neatliekamu</t>
    </r>
  </si>
  <si>
    <t>Plānotais pakalpojuma sniegšanas vienību skaits: 204</t>
  </si>
  <si>
    <t>Ārsta palīga alga</t>
  </si>
  <si>
    <t>Autovadītāja alga</t>
  </si>
  <si>
    <t>Darba devēja valsts sociālās apdrošināšanas obligātā iemaksas, sociāla rakstura pabalsti un kompensācijas (24,09%)</t>
  </si>
  <si>
    <t>EKK 1110</t>
  </si>
  <si>
    <t>EKK 1210</t>
  </si>
  <si>
    <t>EKK 2210</t>
  </si>
  <si>
    <t>EKK 2250</t>
  </si>
  <si>
    <t>EKK 2340</t>
  </si>
  <si>
    <t>EKK 2313</t>
  </si>
  <si>
    <t>EKK 2322</t>
  </si>
  <si>
    <t>EKK 2240</t>
  </si>
  <si>
    <t>EKK 5100</t>
  </si>
  <si>
    <t>EEK 1110</t>
  </si>
  <si>
    <t>EKK 2220</t>
  </si>
  <si>
    <t>EKK 2230</t>
  </si>
  <si>
    <t>EKK 2510</t>
  </si>
  <si>
    <t>EKK 2100</t>
  </si>
  <si>
    <t xml:space="preserve">Administratīvie izdevumi </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</si>
  <si>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kura nesaņem no valsts budžeta apmaksātus veselības aprūpes pakalpojumus, neatliekamās medicīniskās palīdzības sniegšanai</t>
    </r>
  </si>
  <si>
    <t>Ārsts reanimatalogs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</si>
  <si>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Pacienta transportēšana uz nākamo tuvāko stacionāru, kurā var sniegt atbilstošu neatliekamo medicīnisko palīdzību, pēc pacienta pieprasījuma, ja pacientam nav medicīnisku kontrindikāciju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</si>
  <si>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</si>
  <si>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</si>
  <si>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Latvijas robežās</t>
    </r>
  </si>
  <si>
    <t>NMP ārsts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</si>
  <si>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ārpus Latvijas robežām</t>
    </r>
  </si>
  <si>
    <t>NM sanitārs</t>
  </si>
  <si>
    <t>Biroja preces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</si>
  <si>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Latvijas robežās</t>
    </r>
  </si>
  <si>
    <t>Plānotais pakalpojuma sniegšanas vienību skaits: 4</t>
  </si>
  <si>
    <t>Ārsts speciālists</t>
  </si>
  <si>
    <t>Ārsts speciālists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</si>
  <si>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</si>
  <si>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</si>
  <si>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</si>
  <si>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ārsta palīga brigādes (divi neatliekamās palīdzības ārsta palīgi,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</si>
  <si>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</si>
  <si>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 brigādes (ārsts speciālists, neatliekamās palīdzības ārsta palīgs, operatīvais medicīniskais transportlīdzeklis un tā vadītājs) izsaukums</t>
    </r>
  </si>
  <si>
    <t>Plānotais pakalpojuma sniegšanas vienību skaits: 5</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</si>
  <si>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</si>
  <si>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Anesteziologa– reanimatologa nodrošināšana, neizmantojot operatīvo medicīnisko transportlīdzekli (izsaukums)</t>
    </r>
  </si>
  <si>
    <t>Ārsta reanimataloga alga</t>
  </si>
  <si>
    <t>Plānotais pakalpojuma sniegšanas vienību skaits: 198</t>
  </si>
  <si>
    <t>Ārsta speciālista alga</t>
  </si>
  <si>
    <t>NMP ārsta alga</t>
  </si>
  <si>
    <t>NMP ārsta palīga alga</t>
  </si>
  <si>
    <t>Plānotais pakalpojuma sniegšanas vienību skaits: 294</t>
  </si>
  <si>
    <t>Plānotais pakalpojuma sniegšanas vienību skaits: 13</t>
  </si>
  <si>
    <t>Plānotais pakalpojuma sniegšanas vienību skaits: 80</t>
  </si>
  <si>
    <t>Plānotais pakalpojuma sniegšanas vienību skaits: 140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</si>
  <si>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Medicīniskās palīdzības sniegšanas vietas (medpunkta) izveidošana un medicīniskās palīdzības nodrošināšana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</si>
  <si>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Operatīvā medicīniskā transportlīdzekļa degvielas izmaksas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</si>
  <si>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(ārsts speciālists, operatīvais medicīniskais transportlīdzeklis un tā vadītājs) izsaukums</t>
    </r>
  </si>
  <si>
    <t>Plānotais pakalpojuma sniegšanas vienību skaits: 206</t>
  </si>
  <si>
    <t>Ārsta specialista alga</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</si>
  <si>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izsaukums, neizmantojot operatīvo medicīnisko transportlīdzekli</t>
    </r>
  </si>
  <si>
    <t>Plānotais pakalpojuma sniegšanas vienību skaits: 270</t>
  </si>
  <si>
    <t>Plānotais pakalpojuma sniegšanas vienību skaits: 8</t>
  </si>
  <si>
    <t>Plānotais pakalpojuma sniegšanas vienību skaits: 12</t>
  </si>
  <si>
    <t>Ārsta/specialista alga</t>
  </si>
  <si>
    <t>Plānotais pakalpojuma sniegšanas vienību skaits: 64</t>
  </si>
  <si>
    <t>Plānotais pakalpojuma sniegšanas vienību skaits: 10</t>
  </si>
  <si>
    <t>EKK 2310</t>
  </si>
  <si>
    <t>Biroja preces un inventārs</t>
  </si>
  <si>
    <t>EKK 2261</t>
  </si>
  <si>
    <t>EKK 2311</t>
  </si>
  <si>
    <t>EKK 2312</t>
  </si>
  <si>
    <t>EKK 5230</t>
  </si>
  <si>
    <t>Plānotais pakalpojuma sniegšanas vienību skaits: 120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</si>
  <si>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juridiskām personām</t>
    </r>
  </si>
  <si>
    <t>Plānotais pakalpojuma sniegšanas vienību skaits: 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</si>
  <si>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juridiskām 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</si>
  <si>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fiziskām personām</t>
    </r>
  </si>
  <si>
    <t>Plānotais pakalpojuma sniegšanas vienību skaits: 11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</si>
  <si>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fiziskām personām</t>
    </r>
  </si>
  <si>
    <t>Plānotais pakalpojuma sniegšanas vienību skaits: 40000</t>
  </si>
  <si>
    <t>Aprīkojuma amortizācija (defibrilatora amortizācija 0,5 eur/h, 0,5 x plānotais pakalpojumu skaits)</t>
  </si>
  <si>
    <t>OMT amortizācija (OMT amortizācija 1,75 eur/h, 1,75 x plānotais pakalpojumu skaits)</t>
  </si>
  <si>
    <t>OMT un aprīkojuma amortizācija (OMT amortizājija 1,75 eur/h, pārējā med.aprīkojuma un telts amortizācija 8,25 eur/h, kopā 10,00 x plānotais pakalpojumu skaits)</t>
  </si>
  <si>
    <t>Atalgojums citi darbinieki (atbalsta personāla atalgojums 0,15% no brigāžu personāla. 0,15 x pakalpojumu skaits gadā)</t>
  </si>
  <si>
    <t>Atalgojums citi darbinieki (atbalsta personāla atalgojums 0,25% no brigāžu personāla. 0,25 x pakalpojumu skaits gadā)</t>
  </si>
  <si>
    <t>Atalgojums citi darbinieki (atbalsta personāla atalgojums 0,1% no brigāžu personāla. 0,1 x pakalpojumu skaits gadā)</t>
  </si>
  <si>
    <t>EKK 2000</t>
  </si>
  <si>
    <t>Citas netiešās izmaksas (izmaksas, kas ietilpst atbilstoši MK not. Nr. 1529 Veselības aprūpes organizēšanas un finansēšanas kārtība noteiktai cenai par neatliekamās medicīniskās palīdzības brigādes izsaukumu)</t>
  </si>
  <si>
    <t>Nodokļu maksājumi (budžeta iestāžu nodokļu, nodevu un naudas sodu maksājumi gadā / kopējie izsaukumi gadā. 46423/438912 = 0,11 eur x pakalpojuma skaits gadā)</t>
  </si>
  <si>
    <t>Administratīvie izdevumi (administratīvie izdevumi gadā / kopējie izsaukumi gadā.234731/438912 = 0,53 eur x pakalpojuma skaits gadā)</t>
  </si>
  <si>
    <t>Atalgojums darbiniekam (stundas likme 1,35 eur)</t>
  </si>
  <si>
    <t>Atalgojums NMP ārstam (stundas likme 0,85 eur)</t>
  </si>
  <si>
    <t>Atalgojums ārstam palīgam (stundas likme 0,73 eur)</t>
  </si>
  <si>
    <t>Administratīvie izdevumi (administratīvie izdevumi gadā / kopējie izsaukumi gadā. 234731/438912 = 0,53 eur x pakalpojuma skaits gadā)</t>
  </si>
  <si>
    <t>Komandējumi, mācību braucieni (komandējumu izdevumi gadā / kopējie izsaukumi gadā. 39708/438912 = 0,09 eur x pakalpojuma skaits gadā)</t>
  </si>
  <si>
    <t>Iestāžu uzturēšana/telpu kārtējais remonts (iestāžu uzturēšanas izdevumi gadā / kopējie izsaukumi gadā. 561364/438912 = 1,28 eur x pakalpojuma skaits gadā)</t>
  </si>
  <si>
    <t>Komunālie pakalpojumi (komunālo pakalpojumu izdevumi gadā / kopējie izsaukumi gadā. 813902/438912 = 1,85 eur x pakalpojuma skaits gadā)</t>
  </si>
  <si>
    <t>Nemateriālie ieguldījumi (izmaksas par licencēm un programmām gadā / kopējie izsaukumi gadā. 21000/438912 = 0,05 eur x pakalpojuma skaits gadā)</t>
  </si>
  <si>
    <t>IT pakalpojumi (IT sistēmu uzturēšanas izdevumi gadā / kopējie izsaukumi gadā. 627676/438912 = 1,43 eur x pakalpojuma skaits gadā)</t>
  </si>
  <si>
    <t>Sakaru pakalpojumi (sakaru un telekomunikāciju izdevumi gadā / kopējie izsaukumi gadā. 367899/438912 = 0,84 eur x pakalpojuma skaits gadā)</t>
  </si>
  <si>
    <t>Sakaru pakalpojumi (sakaru un telekomunikāciju izdevumi vienam pakalpojumam 4,32 eur x pakalpojuma skaits gadā)</t>
  </si>
  <si>
    <t>Spectērpi (izdevumi spectērpiem gadā / kopējie izsaukumi gadā. 452717/438912 = 1,03 eur x pakalpojuma skaits gadā)</t>
  </si>
  <si>
    <t>EKK 2350</t>
  </si>
  <si>
    <t>OMT uzturēšana/remonts/apdrošināšana (OMT remonta, apdrošināšanas izdevumi gadā / kopējie izsaukumi gadā. 624380/438912 = 1,42 eur x pakalpojuma skaits gadā)</t>
  </si>
  <si>
    <t>OMT rezerves daļas, iekārtu rezerves daļas (OMT rezerves daļu, iekārtu rezerves daļu izdevumi gadā / kopējie izsaukumi gadā. 500471/438912 = 1,14 eur x pakalpojuma skaits gadā)</t>
  </si>
  <si>
    <t>Izdevumi par precēm iestādes darbības nodrošināšanai, inventārs, biroja preces (inventāra, biroja preču izdevumi gadā / kopējie izsaukumi gadā.157571/438912 = 0,36 eur x pakalpojuma skaits gadā)</t>
  </si>
  <si>
    <t>Zāles/medicīniskie materiāli (medikamentu izdevumi gadā / kopējie izsaukumi gadā.596554/438912 = 1,36 eur x pakalpojuma skaits gadā)</t>
  </si>
  <si>
    <t>EKK 5200</t>
  </si>
  <si>
    <t>OMT un aprīkojuma amortizācija (OMT amortizājija 1,75 eur/h, medicīniskā aprīkojuma amortizācija 1,8 eur/h, kopā 3,55 x plānotais pakalpojumu skaits)</t>
  </si>
  <si>
    <t>Aprīkojuma amortizācija (aprīkojuma amortizājija 1,8 eur/h x plānotais pakalpojumu skaits)</t>
  </si>
  <si>
    <t>OMT un aprīkojuma amortizācija (OMT amortizājija 1,75 eur/h, medicīniskā aprīkojuma amortizācija 0,56 eur/h, kopā 2,31 x plānotais pakalpojumu skaits)</t>
  </si>
  <si>
    <t>Degviela  (vidējais nobraukums vienā izsaukumā 37 km, degvielas patēriņš 15l/100 km, cena 1,06 eur/l. 15/100 x 37 x 1,06 = 5,88 x plānotais pakalpojumu skaits)</t>
  </si>
  <si>
    <t>Zāles/medicīniskie materiāli (medikamentu izdevumi gadā / kopējie izsaukumi gadā.596554/438912 = 1,36 + 11,52 eur x pakalpojuma skaits gadā)</t>
  </si>
  <si>
    <t>Zāles/medicīniskie materiāli (medikamentu izdevumi gadā / kopējie izsaukumi gadā.596554/438912 = 1,36 + 6,91 eur x pakalpojuma skaits gadā)</t>
  </si>
  <si>
    <t>Degviela  (vidējais nobraukums vienā izsaukumā 72 km, degvielas patēriņš 15l/100 km, cena 1,06 eur/l. 15/100 x 72 x 1,06 = 11,45 x plānotais pakalpojumu skaits)</t>
  </si>
  <si>
    <t>Zāles/medicīniskie materiāli (medikamentu izdevumi gadā / kopējie izsaukumi gadā.596554/438912 = 1,36 + 9,22 eur x pakalpojuma skaits gadā)</t>
  </si>
  <si>
    <t>Degviela  (vidējais nobraukums vienā izsaukumā 50 km, degvielas patēriņš 15l/100 km, cena 1,06 eur/l. 15/100 x 50 x 1,06 = 7,95 x plānotais pakalpojumu skaits)</t>
  </si>
  <si>
    <t>Iestādes administratīvie izdevumi un ar iestādes darbības nodrošināšanu saistītie izdevumi (tipogrāfijas pakalpojumi 1,15 eur/gab. X pakalpojumu skaits gadā)</t>
  </si>
  <si>
    <t>EKK 5220</t>
  </si>
  <si>
    <t>Biroja preces (kancelejas preces 11 dalībniekiem. 30/11 = 2,73 eur x pakalpojumu skaits gadā)</t>
  </si>
  <si>
    <t>Pārējie pamatlīdzekļi (amortizācija - dators, portatīvais dators, projektors, TV un DVD, 0,10 eur/st. x pakalpojumu skaits gadā)</t>
  </si>
  <si>
    <t>Biroja preces (kancelejas preces 25 dalībniekiem. 30/25 = 1,20 eur x pakalpojumu skaits gadā)</t>
  </si>
  <si>
    <t>Biroja preces (kancelejas preces 12 dalībniekiem. 30/12 = 2,50 eur x pakalpojumu skaits gadā)</t>
  </si>
  <si>
    <t>Pārējie pamatlīdzekļi (amortizācija - dators, portatīvais dators, projektors, TV un DVD, 0,10 eur/st.)</t>
  </si>
  <si>
    <t>Biroja preces (kancelejas preces 13 dalībniekiem. 30/13 = 2,31 eur x pakalpojumu skaits gadā)</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</si>
  <si>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</si>
  <si>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medicīnas (palīdzības) ārsta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</si>
  <si>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Neatliekamās palīdzības ārsta palīga nodrošināšana, neizmantojot operatīvo medicīnisko transportlīdzekli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</si>
  <si>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Operatīvā medicīniskā transportlīdzekļa izmantošana (ar tā vadītāju)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</si>
  <si>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Papildu anesteziologa–reanimatologa piesaistīšana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</si>
  <si>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ārsta speciālista/neatliekamās medicīnas palīdzības ārsta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</si>
  <si>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neatliekamās palīdzības ārsta palīga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</si>
  <si>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operatīvā medicīniskā transportlīdzekļa vadītāja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</si>
  <si>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Ārstniecības personu praktisko iemaņu pilnveide neatliekamās medicīniskās palīdzības sniegšanā un organizēšanā NMP brigādes sastāvā vai Operatīvās vadības centrā (viena persona/stundas)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</si>
  <si>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Prakses nodrošināšana personai, kura apgūst izglītības programmu neatliekamās medicīniskās palīdzības sniegšanā un organizēšanā, sertificēta neatliekamās medicīnas (palīdzības) ārsta vadībā (kontaktstundas)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</si>
  <si>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Prakses nodrošināšana personai, kura apgūst izglītības programmu neatliekamās medicīniskās palīdzības sniegšanā un organizēšanā, sertificēta neatliekamās palīdzības ārsta palīga vadībā (kontaktstundas)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</si>
  <si>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Izziņas sagatavošana privātpersonām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</si>
  <si>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apmācības kurss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</si>
  <si>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(1 diena)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</si>
  <si>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(2 dienas)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</si>
  <si>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Apliecība par pirmās palīdzības apmācības kursu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</si>
  <si>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Ārsta/NMP dienesta speciālista telefona konsultācija</t>
    </r>
  </si>
  <si>
    <t>Plānotais pakalpojuma sniegšanas vienību skaits: 1121</t>
  </si>
  <si>
    <t>Plānotais pakalpojuma sniegšanas vienību skaits: 109</t>
  </si>
  <si>
    <t>Plānotais pakalpojuma sniegšanas vienību skaits: 97</t>
  </si>
  <si>
    <t>Izdevumi par precēm iestādes darbības nodrošināšanai, inventārs, biroja preces (inventāra, biroja preču izdevumi gadā / kopējie izsaukumi gadā. 157571/438912 = 0,36 eur x pakalpojuma skaits gadā)</t>
  </si>
  <si>
    <t>Zāles/medicīniskie materiāli (medikamentu izdevumi gadā / kopējie izsaukumi gadā. 596554/438912 = 1,36 eur x pakalpojuma skaits gadā + 27,58)</t>
  </si>
  <si>
    <t>Zāles/medicīniskie materiāli (medikamentu izdevumi gadā / kopējie izsaukumi gadā. 596554/438912 = 1,36 + 11,52 eur x pakalpojuma skaits gadā)</t>
  </si>
  <si>
    <t>Atalgojums darbiniekam (5% no iesaistītā darbinieka atalgojuma 700 eur x 5%)</t>
  </si>
  <si>
    <t>Degviela (degvielas patēriņš 15l/100 km, vidējā DD degvielas cena Eiropā uz 28.05.2018 - 1,317 eur/l, 15/100 x 1,317 = 0,20 eur/1 km)</t>
  </si>
  <si>
    <t>Plānotais pakalpojuma sniegšanas vienību skaits: 1010</t>
  </si>
  <si>
    <t>Plānotais pakalpojuma sniegšanas vienību skaits: 460</t>
  </si>
  <si>
    <t>Plānotais pakalpojuma sniegšanas vienību skaits: 7</t>
  </si>
  <si>
    <t>Plānotais pakalpojuma sniegšanas vienību skaits: 40</t>
  </si>
  <si>
    <t>Plānotais pakalpojuma sniegšanas vienību skaits: 10624</t>
  </si>
  <si>
    <t>Plānotais pakalpojuma sniegšanas vienību skaits: 835</t>
  </si>
  <si>
    <t>Plānotais pakalpojuma sniegšanas vienību skaits: 6747</t>
  </si>
  <si>
    <t>Zāles/medicīniskie materiāli (medikamentu izdevumi gadā / kopējie izsaukumi gadā. 596554/438912 = 1,36 eur x pakalpojuma skaits gadā)</t>
  </si>
  <si>
    <t>OMT uzturēšana/remonts (OMT vienas regulārās apkopes vidējās izmaksas 663,47 eur)</t>
  </si>
  <si>
    <t>Telpu uzturēšanas izmaksas (telpu uzturēšana gadā / kopējie izsaukumi gadā. 286606/438912 = 0,65 eur x pakalpojuma skaits gadā)</t>
  </si>
  <si>
    <t>Telpu uzturēšanas izmaksas (telpu uzturēšanas izmaksas gadā / kopējie izsaukumi gadā. 286606/438912 = 0,65 eur x pakalpojuma skaits gadā)</t>
  </si>
  <si>
    <t>Telpu uzturēšanas izmaksas  (telpu uzturēšanas izmaksas gadā / kopējie izsaukumi gadā. 286606/438912 = 0,65 eur x pakalpojuma skaits gadā)</t>
  </si>
  <si>
    <t>Telpu izmantošana (telpu uzturēšanas izmaksas 10 eur/h. 10 x 4 st. = 40/13 = 3,08 eur x pakalpojumu skaits gadā</t>
  </si>
  <si>
    <t>Telpu izmantošana (telpu uzturēšanas izmaksas 10 eur/h. 10 x 8 st. = 80/13 = 6,15 eur x pakalpojumu skaits gadā</t>
  </si>
  <si>
    <t>Telpu izmantošana (telpu uzturēšanas izmaksas 10 eur/h., 2 st., 10 x 2 = 20,00 eur)</t>
  </si>
  <si>
    <t>Telpu izmantošana (telpu uzturēšanas izmaksas 10 eur/h., 4 st., 10 x 4 = 40,00 eur)</t>
  </si>
  <si>
    <t>Telpu izmantošana (telpu uzturēšanas izmaksas 10 eur/h. 10 x 16 st. = 160/12 = 13,33 eur x pakalpojumu skaits gadā</t>
  </si>
  <si>
    <t>Telpu izmantošana (telpu uzturēšanas izmaksas 10 eur/h. 10 x 10 st. = 80/25 = 3,2 eur x pakalpojumu skaits gadā</t>
  </si>
  <si>
    <t>Telpu izmantošana (telpu uzturēšanas izmaksas 10 eur/h. 10 x 68 st. = 680/11 = 61,82 eur x pakalpojumu skaits gadā</t>
  </si>
  <si>
    <t>Telpu uzturēšanas izmaksas (telpu uzturēšana  gadā / kopējie izsaukumi gadā. 286606/438912 = 0,65 eur x pakalpojuma skaits gadā)</t>
  </si>
  <si>
    <t>Administratīvie izdevumi  (kafijas pauze 11 dalībniekiem, 3 pasniedzējiem, 16 reizes. 2,5 eur x 14 x 16 = 560/11 = 50,91 eur x pakalpojumu skaits gadā</t>
  </si>
  <si>
    <t>Inventārs (paklāji treniņiem 4.gab 8 eur, elpināšanas masku komplekts 15 eur, aptieciņas 2 gab. 30 eur, motocikla ķivere 1 gab. 25 eur, dezinfekcijas līdzekļi 50 eur. 8+15+30+25+50 = 128/11 = 11,64 eur x pakalpojumu skaits gadā)</t>
  </si>
  <si>
    <t>Atalgojums pasniedzējam (20 eur/st., ilgums 8 st., 25 dalībnieki. 20 x 8/25 = 6,40 eur x pakalpojumu skaits gadā)</t>
  </si>
  <si>
    <t>Atalgojums kursa vadītājam (20 eur/st., ilgums 8 st., 25 dalībnieki. 20 x 8/25 = 6,40 eur x pakalpojumu skaits gadā)</t>
  </si>
  <si>
    <t>Atalgojums pasniedzējam par mācību materiālu sagatavošanu  (20 eur/st., ilgums 8 st., 25 dalībnieki. 20 x 8/25 = 6,40 x pakalpojumu skaits gadā)</t>
  </si>
  <si>
    <t>Administratīvie izdevumi  (kafijas pauze 25 dalībniekiem, 3 pasniedzējiem, 2 reizes. 2,5 eur x 28 x 2 = 140/25 = 5,60 eur x pakalpojumu skaits gadā)</t>
  </si>
  <si>
    <t>Atalgojums pasniedzējam (20 eur/st., ilgums 16 st., 12 dalībnieki. 20 x 16/12 = 26,67 x pakalpojumu skaits gadā)</t>
  </si>
  <si>
    <t>Atalgojums pasniedzējam par mācību materiālu sagatavošanu  (20 eur/st., ilgums 10 st., 12 dalībnieki. 20 x 10/12 =16,67 x pakalpojumu skaits gadā)</t>
  </si>
  <si>
    <t>Administratīvie izdevumi  (kafijas pauze 12 dalībniekiem, 3 pasniedzējiem, 4 reizes. 2,5 eur x 15 x 4 = 150/12 = 12,50 eur x pakalpojumu skaits gadā</t>
  </si>
  <si>
    <t>Atalgojums komisijas locekļiem (20 eur/st., 10 komisijas locekļi, ilgums 4 st., 20 x 10 x 4 = 800,00 eur)</t>
  </si>
  <si>
    <r>
      <t>Atalgojums komisijas locekļiem (20</t>
    </r>
    <r>
      <rPr>
        <sz val="12"/>
        <color rgb="FFFF0000"/>
        <rFont val="Times New Roman"/>
        <family val="1"/>
        <charset val="186"/>
      </rPr>
      <t xml:space="preserve"> </t>
    </r>
    <r>
      <rPr>
        <sz val="12"/>
        <rFont val="Times New Roman"/>
        <family val="1"/>
        <charset val="186"/>
      </rPr>
      <t>eur/st., 10 komisijas locekļi, ilgums 2 st.  20 x 10 x 2 = 400,00)</t>
    </r>
  </si>
  <si>
    <t>Atalgojums komisijas locekļiem (20 eur/st., 10 komisijas locekļi, ilgums 8 st., 13 dalībnieki, 20 x 10 x 8 = 1200,00/13 = 123,08  x pakalpojumu skaits gadā)</t>
  </si>
  <si>
    <t>Administratīvie izdevumi  (kafijas pauze 13 dalībniekiem, 10 komisijas locekļi,  2 reizes. 2,5 eur x 23 x 2 = 115/13 = 8,85 eur x pakalpojumu skaits gadā</t>
  </si>
  <si>
    <t>Tehnoloģiskās iekārtas (amortizācija - manekens ar datorpieslēgumu 1 gab. 50 eur, manekena plauša 16 eur, aizrīšanās treniņu manekens 10 eur, pusaudža manekens 10 eur, zīdaiņa manekens 2 gab., 20 eur. 50+16+10+10+20 = 106/13 = 8,15 eur x pakalpojumu skaits gadā)</t>
  </si>
  <si>
    <t>Atalgojums komisijas locekļiem (20 eur/st., 10 komisijas locekļi, ilgums 4 st., 13 dalībnieki. 20 x 10 x 4 = 800/13 = 61,54 eur x pakalpojumu skaits gadā)</t>
  </si>
  <si>
    <t>Atalgojums pasniedzējam par eksāmena materiālu sagatavošanu   (20 eur/st., ilgums 4 st. 20 x 4 = 80,00/13 = 6,15 eur x pakalpojumu skaits gadā)</t>
  </si>
  <si>
    <t>Administratīvie izdevumi  (kafijas pauze 13 dalībniekiem, 10 komisijas locekļi, 1 reize. 2,50 eur x 23 x 1 = 57,5/13 = 4,42 eur x pakalpojumu skaits gadā</t>
  </si>
  <si>
    <t>Inventārs (paklāji treniņiem 6.gab 12 eur, pārsienamais materiāls 30 eur, motociklista ķivere 1 gab. 25 eur, elpināšanas masku komplekts 5 eur, aptieciņas 2 gab. 30 eur, dezinfekcijas līdzekļi 10 eur. 12+30+25+5+30+10 = 112/13 = 8,62 eur x pakalpojumu skaits gadā)</t>
  </si>
  <si>
    <r>
      <t>Atalgojums pasniedzējam (20</t>
    </r>
    <r>
      <rPr>
        <sz val="12"/>
        <color rgb="FFFF0000"/>
        <rFont val="Times New Roman"/>
        <family val="1"/>
        <charset val="186"/>
      </rPr>
      <t xml:space="preserve"> </t>
    </r>
    <r>
      <rPr>
        <sz val="12"/>
        <rFont val="Times New Roman"/>
        <family val="1"/>
        <charset val="186"/>
      </rPr>
      <t>eur/st., ilgums 68 st., 11 dalībnieki. 20 x 68/11 = 123,64 x pakalpojumu skaits gadā)</t>
    </r>
  </si>
  <si>
    <r>
      <t>Atalgojums pasniedzēja asistentam (14</t>
    </r>
    <r>
      <rPr>
        <sz val="12"/>
        <color rgb="FFFF0000"/>
        <rFont val="Times New Roman"/>
        <family val="1"/>
        <charset val="186"/>
      </rPr>
      <t xml:space="preserve"> </t>
    </r>
    <r>
      <rPr>
        <sz val="12"/>
        <rFont val="Times New Roman"/>
        <family val="1"/>
        <charset val="186"/>
      </rPr>
      <t>eur/st., ilgums 68 st., 11 dalībnieki. 14 x 68/11 = 86,55 x pakalpojumu skaits gadā)</t>
    </r>
  </si>
  <si>
    <t>Atalgojums pasniedzējam par mācību materiālu sagatavošanu  (20 eur/st., ilgums 10 st, 11 dalībnieki. 20 x 10/11 = 18,18 x pakalpojumu skaits gadā)</t>
  </si>
  <si>
    <t>Atalgojums pasniedzēja asistentam (14 eur/st., ilgums 16 st., 12 dalībnieki. 14 x 16/12 = 18,67 x pakalpojumu skaits gadā)</t>
  </si>
  <si>
    <t>Inventārs (paklāji treniņiem 6.gab 12 eur, pārsienamais materiāls 30 eur, motociklista ķivere 1 gab. 25 eur, elpināšanas masku komplekts 5 eur, aptieciņas 2 gab. 30 eur, dezinfekcijas līdzekļi 20 eur. 12+30+25+5+30+20 = 122/12 = 10,17 eur x pakalpojumu skaits gadā)</t>
  </si>
  <si>
    <t>Atalgojums pasniedzējam par eksāmena materiālu sagatavošanu   (20 eur/st., ilgums 4 st. 20 x 4 = 80,00/13 = 6,15  x pakalpojumu skaits gadā)</t>
  </si>
  <si>
    <t>Ārsta palīga/ārsta reanimatologa alga (vidējā ārsta palīga un ārsta reanimatologa likme, (12,39 eur + 8,02 eur)/2 = 10,21 eur</t>
  </si>
  <si>
    <t>Piezīmes.</t>
  </si>
  <si>
    <t>3 Personai tiek sniegta neatliekamā medicīniskā palīdzību tādā apmērā, kā to paredz Veselības aprūpes finansēšanas likums un citi normatīvie akti par veselības aprūpes pakalpojumu organizēšanas un samaksas kārtību.</t>
  </si>
  <si>
    <r>
      <rPr>
        <vertAlign val="superscript"/>
        <sz val="10"/>
        <color theme="1"/>
        <rFont val="Times New Roman"/>
        <family val="1"/>
        <charset val="186"/>
      </rPr>
      <t>1</t>
    </r>
    <r>
      <rPr>
        <sz val="10"/>
        <color theme="1"/>
        <rFont val="Times New Roman"/>
        <family val="1"/>
        <charset val="186"/>
      </rPr>
      <t> Pievienotās vērtības nodokli nepiemēro saskaņā ar Pievienotās vērtības nodokļa likuma 52. panta pirmās daļas 3. punkta "a" apakšpunktu.</t>
    </r>
  </si>
  <si>
    <r>
      <rPr>
        <vertAlign val="superscript"/>
        <sz val="10"/>
        <color theme="1"/>
        <rFont val="Times New Roman"/>
        <family val="1"/>
        <charset val="186"/>
      </rPr>
      <t>2</t>
    </r>
    <r>
      <rPr>
        <sz val="10"/>
        <color theme="1"/>
        <rFont val="Times New Roman"/>
        <family val="1"/>
        <charset val="186"/>
      </rPr>
      <t> Izsaukums, kas atbilstoši normatīvajiem aktiem par veselības aprūpes pakalpojumu organizēšanas un samaksas kārtību nav uzskatāms par neatliekamu.</t>
    </r>
  </si>
  <si>
    <r>
      <rPr>
        <vertAlign val="superscript"/>
        <sz val="10"/>
        <color theme="1"/>
        <rFont val="Times New Roman"/>
        <family val="1"/>
        <charset val="186"/>
      </rPr>
      <t>4</t>
    </r>
    <r>
      <rPr>
        <sz val="10"/>
        <color theme="1"/>
        <rFont val="Times New Roman"/>
        <family val="1"/>
        <charset val="186"/>
      </rPr>
      <t> Piemēro gadījumos, ja Neatliekamās medicīniskās palīdzības dienestam radušies zaudējumi saistībā ar Neatliekamās medicīniskās palīdzības dienesta brigādes izsaukumu pēc citu operatīvo dienestu vai personas pieprasījuma vai pēc dežūras pie potenciāli bīstama objekta laikā, kad notikusi apzināta operatīvo dienestu maldināšana vai tīši izraisīts apdraudējums.</t>
    </r>
  </si>
  <si>
    <r>
      <rPr>
        <vertAlign val="superscript"/>
        <sz val="10"/>
        <color theme="1"/>
        <rFont val="Times New Roman"/>
        <family val="1"/>
        <charset val="186"/>
      </rPr>
      <t>5</t>
    </r>
    <r>
      <rPr>
        <sz val="10"/>
        <color theme="1"/>
        <rFont val="Times New Roman"/>
        <family val="1"/>
        <charset val="186"/>
      </rPr>
      <t> Ja pakalpojums ilgst mazāk par vienu stundu, piemēro vienas stundas cenu.</t>
    </r>
  </si>
  <si>
    <r>
      <rPr>
        <vertAlign val="superscript"/>
        <sz val="10"/>
        <color theme="1"/>
        <rFont val="Times New Roman"/>
        <family val="1"/>
        <charset val="186"/>
      </rPr>
      <t>6</t>
    </r>
    <r>
      <rPr>
        <sz val="10"/>
        <color theme="1"/>
        <rFont val="Times New Roman"/>
        <family val="1"/>
        <charset val="186"/>
      </rPr>
      <t> Neatliekamās medicīniskās palīdzības ārsta palīga brigādē ir divi neatliekamās medicīniskās palīdzības ārsta palīgi, operatīvais medicīniskais transportlīdzeklis un tā vadītājs.</t>
    </r>
  </si>
  <si>
    <r>
      <rPr>
        <vertAlign val="superscript"/>
        <sz val="10"/>
        <color theme="1"/>
        <rFont val="Times New Roman"/>
        <family val="1"/>
        <charset val="186"/>
      </rPr>
      <t>7 </t>
    </r>
    <r>
      <rPr>
        <sz val="10"/>
        <color theme="1"/>
        <rFont val="Times New Roman"/>
        <family val="1"/>
        <charset val="186"/>
      </rPr>
      <t>Papildus piemēro izdevumus, kas atlīdzināmi atbilstoši normatīvajiem aktiem, kas nosaka ar komandējumu saistīto izdevumu atlīdzināšanu (piemēram, personāla apdrošināšanas, dienas naudas, naktsmītnes, maksas ceļu un sabiedriskā transporta izmantošanas izdevumi).</t>
    </r>
  </si>
  <si>
    <r>
      <rPr>
        <vertAlign val="superscript"/>
        <sz val="10"/>
        <color theme="1"/>
        <rFont val="Times New Roman"/>
        <family val="1"/>
        <charset val="186"/>
      </rPr>
      <t>8</t>
    </r>
    <r>
      <rPr>
        <sz val="10"/>
        <color theme="1"/>
        <rFont val="Times New Roman"/>
        <family val="1"/>
        <charset val="186"/>
      </rPr>
      <t> Intensīvās terapijas/neatliekamās medicīniskās palīdzības ārsta brigādē ir neatliekamās medicīniskās palīdzības ārsts, neatliekamās medicīniskās palīdzības ārsta palīgs, operatīvais medicīniskais transportlīdzeklis un tā vadītājs.</t>
    </r>
  </si>
  <si>
    <r>
      <rPr>
        <vertAlign val="superscript"/>
        <sz val="10"/>
        <color theme="1"/>
        <rFont val="Times New Roman"/>
        <family val="1"/>
        <charset val="186"/>
      </rPr>
      <t>9 </t>
    </r>
    <r>
      <rPr>
        <sz val="10"/>
        <color theme="1"/>
        <rFont val="Times New Roman"/>
        <family val="1"/>
        <charset val="186"/>
      </rPr>
      <t>Specializētajā brigādē ir ārsts speciālists, neatliekamās medicīniskās palīdzības ārsta palīgs, operatīvais medicīniskais transportlīdzeklis un tā vadītājs.</t>
    </r>
  </si>
  <si>
    <r>
      <rPr>
        <vertAlign val="superscript"/>
        <sz val="10"/>
        <color theme="1"/>
        <rFont val="Times New Roman"/>
        <family val="1"/>
        <charset val="186"/>
      </rPr>
      <t>10</t>
    </r>
    <r>
      <rPr>
        <sz val="10"/>
        <color theme="1"/>
        <rFont val="Times New Roman"/>
        <family val="1"/>
        <charset val="186"/>
      </rPr>
      <t> Reanimācijas brigādē ir anesteziologs–reanimatologs, neatliekamās medicīniskās palīdzības ārsta palīgs, operatīvais medicīniskais transportlīdzeklis un tā vadītājs.</t>
    </r>
  </si>
  <si>
    <r>
      <rPr>
        <vertAlign val="superscript"/>
        <sz val="10"/>
        <color theme="1"/>
        <rFont val="Times New Roman"/>
        <family val="1"/>
        <charset val="186"/>
      </rPr>
      <t>11 </t>
    </r>
    <r>
      <rPr>
        <sz val="10"/>
        <color theme="1"/>
        <rFont val="Times New Roman"/>
        <family val="1"/>
        <charset val="186"/>
      </rPr>
      <t>Ja pakalpojums ilgst trīs stundas un ilgāk, piemēro koeficentu 0,85.</t>
    </r>
  </si>
  <si>
    <r>
      <t>Neatliekamās medicīniskās palīdzības dienesta brigādes izsaukums pie privātpersonas (pacienta)</t>
    </r>
    <r>
      <rPr>
        <b/>
        <vertAlign val="superscript"/>
        <sz val="12"/>
        <rFont val="Times New Roman"/>
        <family val="1"/>
        <charset val="186"/>
      </rPr>
      <t>1</t>
    </r>
  </si>
  <si>
    <r>
      <t>neatliekamās medicīniskās palīdzības brigādes izsaukums pie personas medicīniskās palīdzības sniegšanai, kas nav uzskatāma par neatliekamu</t>
    </r>
    <r>
      <rPr>
        <vertAlign val="superscript"/>
        <sz val="14"/>
        <color theme="1"/>
        <rFont val="Times New Roman"/>
        <family val="1"/>
        <charset val="186"/>
      </rPr>
      <t>2</t>
    </r>
  </si>
  <si>
    <r>
      <t>neatliekamās medicīniskās palīdzības brigādes izsaukums pie personas, kura nesaņem no valsts budžeta apmaksātus veselības aprūpes pakalpojumus, neatliekamās medicīniskās palīdzības sniegšanai</t>
    </r>
    <r>
      <rPr>
        <vertAlign val="superscript"/>
        <sz val="12"/>
        <rFont val="Times New Roman"/>
        <family val="1"/>
        <charset val="186"/>
      </rPr>
      <t>3, 4</t>
    </r>
  </si>
  <si>
    <t>pacienta transportēšana uz nākamo tuvāko stacionāru atbilstošas neatliekamās medicīniskās palīdzības sniegšanai pēc pacienta pieprasījuma, ja pacientam nav medicīnisku kontrindikāciju</t>
  </si>
  <si>
    <r>
      <t>Medicīniskā transportēšana (plānveida)</t>
    </r>
    <r>
      <rPr>
        <b/>
        <vertAlign val="superscript"/>
        <sz val="12"/>
        <rFont val="Times New Roman"/>
        <family val="1"/>
        <charset val="186"/>
      </rPr>
      <t>1,2,5</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</si>
  <si>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 Latvijas robežās</t>
    </r>
  </si>
  <si>
    <r>
      <t>neatliekamās medicīniskās palīdzības ārsta palīga brigādes izsaukums</t>
    </r>
    <r>
      <rPr>
        <vertAlign val="superscript"/>
        <sz val="12"/>
        <rFont val="Times New Roman"/>
        <family val="1"/>
        <charset val="186"/>
      </rPr>
      <t>6</t>
    </r>
    <r>
      <rPr>
        <sz val="12"/>
        <rFont val="Times New Roman"/>
        <family val="1"/>
        <charset val="186"/>
      </rPr>
      <t xml:space="preserve"> ārpus Latvijas robežām</t>
    </r>
    <r>
      <rPr>
        <vertAlign val="superscript"/>
        <sz val="12"/>
        <rFont val="Times New Roman"/>
        <family val="1"/>
        <charset val="186"/>
      </rPr>
      <t>7</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</si>
  <si>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Latvijas robežās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</si>
  <si>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 ārpus Latvijas robežām</t>
    </r>
    <r>
      <rPr>
        <vertAlign val="superscript"/>
        <sz val="12"/>
        <rFont val="Times New Roman"/>
        <family val="1"/>
        <charset val="186"/>
      </rPr>
      <t>7</t>
    </r>
  </si>
  <si>
    <r>
      <t>specializētās brigādes</t>
    </r>
    <r>
      <rPr>
        <vertAlign val="superscript"/>
        <sz val="12"/>
        <rFont val="Times New Roman"/>
        <family val="1"/>
        <charset val="186"/>
      </rPr>
      <t>9</t>
    </r>
    <r>
      <rPr>
        <sz val="12"/>
        <rFont val="Times New Roman"/>
        <family val="1"/>
        <charset val="186"/>
      </rPr>
      <t xml:space="preserve"> izsaukums Latvijas robežās</t>
    </r>
  </si>
  <si>
    <r>
      <t>specializētās brigādes</t>
    </r>
    <r>
      <rPr>
        <vertAlign val="superscript"/>
        <sz val="12"/>
        <rFont val="Times New Roman"/>
        <family val="1"/>
        <charset val="186"/>
      </rPr>
      <t>9</t>
    </r>
    <r>
      <rPr>
        <sz val="12"/>
        <rFont val="Times New Roman"/>
        <family val="1"/>
        <charset val="186"/>
      </rPr>
      <t xml:space="preserve"> izsaukums ārpus Latvijas robežām</t>
    </r>
    <r>
      <rPr>
        <vertAlign val="superscript"/>
        <sz val="12"/>
        <rFont val="Times New Roman"/>
        <family val="1"/>
        <charset val="186"/>
      </rPr>
      <t>7</t>
    </r>
  </si>
  <si>
    <r>
      <t>reanimācijas brigādes</t>
    </r>
    <r>
      <rPr>
        <vertAlign val="superscript"/>
        <sz val="12"/>
        <rFont val="Times New Roman"/>
        <family val="1"/>
        <charset val="186"/>
      </rPr>
      <t>10</t>
    </r>
    <r>
      <rPr>
        <sz val="12"/>
        <rFont val="Times New Roman"/>
        <family val="1"/>
        <charset val="186"/>
      </rPr>
      <t xml:space="preserve"> izsaukums Latvijas robežās</t>
    </r>
  </si>
  <si>
    <r>
      <t>reanimācijas brigādes</t>
    </r>
    <r>
      <rPr>
        <vertAlign val="superscript"/>
        <sz val="12"/>
        <rFont val="Times New Roman"/>
        <family val="1"/>
        <charset val="186"/>
      </rPr>
      <t>10</t>
    </r>
    <r>
      <rPr>
        <sz val="12"/>
        <rFont val="Times New Roman"/>
        <family val="1"/>
        <charset val="186"/>
      </rPr>
      <t xml:space="preserve"> izsaukums ārpus Latvijas robežām</t>
    </r>
    <r>
      <rPr>
        <vertAlign val="superscript"/>
        <sz val="12"/>
        <rFont val="Times New Roman"/>
        <family val="1"/>
        <charset val="186"/>
      </rPr>
      <t>7</t>
    </r>
  </si>
  <si>
    <r>
      <t>Medicīniskās palīdzības nodrošināšana pasākumos</t>
    </r>
    <r>
      <rPr>
        <b/>
        <vertAlign val="superscript"/>
        <sz val="12"/>
        <rFont val="Times New Roman"/>
        <family val="1"/>
        <charset val="186"/>
      </rPr>
      <t>1, 2, 5, 11</t>
    </r>
  </si>
  <si>
    <r>
      <t>neatliekamās medicīniskās palīdzības ārsta palīga brigādes</t>
    </r>
    <r>
      <rPr>
        <vertAlign val="superscript"/>
        <sz val="12"/>
        <rFont val="Times New Roman"/>
        <family val="1"/>
        <charset val="186"/>
      </rPr>
      <t>6</t>
    </r>
    <r>
      <rPr>
        <sz val="12"/>
        <rFont val="Times New Roman"/>
        <family val="1"/>
        <charset val="186"/>
      </rPr>
      <t xml:space="preserve"> izsaukums</t>
    </r>
  </si>
  <si>
    <r>
      <t>intensīvās terapijas/neatliekamās medicīniskās palīdzības ārsta brigādes</t>
    </r>
    <r>
      <rPr>
        <vertAlign val="superscript"/>
        <sz val="12"/>
        <rFont val="Times New Roman"/>
        <family val="1"/>
        <charset val="186"/>
      </rPr>
      <t>8</t>
    </r>
    <r>
      <rPr>
        <sz val="12"/>
        <rFont val="Times New Roman"/>
        <family val="1"/>
        <charset val="186"/>
      </rPr>
      <t xml:space="preserve"> izsaukums</t>
    </r>
  </si>
  <si>
    <r>
      <t>specializētās brigādes</t>
    </r>
    <r>
      <rPr>
        <vertAlign val="superscript"/>
        <sz val="12"/>
        <rFont val="Times New Roman"/>
        <family val="1"/>
        <charset val="186"/>
      </rPr>
      <t>9</t>
    </r>
    <r>
      <rPr>
        <sz val="12"/>
        <rFont val="Times New Roman"/>
        <family val="1"/>
        <charset val="186"/>
      </rPr>
      <t xml:space="preserve"> izsaukums</t>
    </r>
  </si>
  <si>
    <r>
      <t>reanimācijas brigādes</t>
    </r>
    <r>
      <rPr>
        <vertAlign val="superscript"/>
        <sz val="12"/>
        <rFont val="Times New Roman"/>
        <family val="1"/>
        <charset val="186"/>
      </rPr>
      <t>10</t>
    </r>
    <r>
      <rPr>
        <sz val="12"/>
        <rFont val="Times New Roman"/>
        <family val="1"/>
        <charset val="186"/>
      </rPr>
      <t xml:space="preserve"> izsaukums</t>
    </r>
  </si>
  <si>
    <r>
      <t>Papildu piesaistāmie resursi</t>
    </r>
    <r>
      <rPr>
        <b/>
        <vertAlign val="superscript"/>
        <sz val="12"/>
        <rFont val="Times New Roman"/>
        <family val="1"/>
        <charset val="186"/>
      </rPr>
      <t>1</t>
    </r>
  </si>
  <si>
    <r>
      <t>anesteziologa–reanimatologa nodrošināšana, neizmantojot operatīvo medicīnisko transportlīdzekli (izsaukums)</t>
    </r>
    <r>
      <rPr>
        <vertAlign val="superscript"/>
        <sz val="12"/>
        <rFont val="Times New Roman"/>
        <family val="1"/>
        <charset val="186"/>
      </rPr>
      <t>5, 7, 11</t>
    </r>
  </si>
  <si>
    <r>
      <t>ārsta speciālista nodrošināšana, neizmantojot operatīvo medicīnisko transportlīdzekli (izsaukums)</t>
    </r>
    <r>
      <rPr>
        <vertAlign val="superscript"/>
        <sz val="14"/>
        <color theme="1"/>
        <rFont val="Times New Roman"/>
        <family val="1"/>
        <charset val="186"/>
      </rPr>
      <t>5, 7, 11</t>
    </r>
  </si>
  <si>
    <r>
      <t>neatliekamās medicīniskās palīdzības ārsta nodrošināšana, neizmantojot operatīvo medicīnisko transportlīdzekli (izsaukums)</t>
    </r>
    <r>
      <rPr>
        <vertAlign val="superscript"/>
        <sz val="14"/>
        <color theme="1"/>
        <rFont val="Times New Roman"/>
        <family val="1"/>
        <charset val="186"/>
      </rPr>
      <t>5, 7, 11</t>
    </r>
  </si>
  <si>
    <r>
      <t>neatliekamās medicīniskās palīdzības ārsta palīga nodrošināšana, neizmantojot operatīvo medicīnisko transportlīdzekli (izsaukums)</t>
    </r>
    <r>
      <rPr>
        <vertAlign val="superscript"/>
        <sz val="14"/>
        <color theme="1"/>
        <rFont val="Times New Roman"/>
        <family val="1"/>
        <charset val="186"/>
      </rPr>
      <t>5, 7, 11</t>
    </r>
  </si>
  <si>
    <r>
      <t>papildu ārsta speciālista/neatliekamās medicīniskās palīdzības ārsta piesaistīšana (izsaukums)</t>
    </r>
    <r>
      <rPr>
        <vertAlign val="superscript"/>
        <sz val="14"/>
        <color theme="1"/>
        <rFont val="Times New Roman"/>
        <family val="1"/>
        <charset val="186"/>
      </rPr>
      <t>5, 7</t>
    </r>
  </si>
  <si>
    <r>
      <t>papildu neatliekamās medicīniskās palīdzības ārsta palīga piesaistīšana (izsaukums)</t>
    </r>
    <r>
      <rPr>
        <vertAlign val="superscript"/>
        <sz val="14"/>
        <color theme="1"/>
        <rFont val="Times New Roman"/>
        <family val="1"/>
        <charset val="186"/>
      </rPr>
      <t>5, 7</t>
    </r>
  </si>
  <si>
    <r>
      <t>medicīniskās palīdzības sniegšanas vietas (medpunkta) izveidošana un medicīniskās palīdzības nodrošināšana</t>
    </r>
    <r>
      <rPr>
        <vertAlign val="superscript"/>
        <sz val="14"/>
        <color theme="1"/>
        <rFont val="Times New Roman"/>
        <family val="1"/>
        <charset val="186"/>
      </rPr>
      <t>5</t>
    </r>
  </si>
  <si>
    <r>
      <t>Konsultācijas</t>
    </r>
    <r>
      <rPr>
        <b/>
        <vertAlign val="superscript"/>
        <sz val="12"/>
        <rFont val="Times New Roman"/>
        <family val="1"/>
        <charset val="186"/>
      </rPr>
      <t>1</t>
    </r>
  </si>
  <si>
    <t>ārstniecības personu praktisko iemaņu pilnveide neatliekamās medicīniskās palīdzības sniegšanā un organizēšanā Neatliekamās medicīniskās palīdzības dienesta brigādes sastāvā vai Operatīvās vadības centrā (viena persona/stundas)</t>
  </si>
  <si>
    <t>prakses nodrošināšana personai, kura apgūst izglītības programmu neatliekamās medicīniskās palīdzības sniegšanā un organizēšanā, sertificēta neatliekamās medicīniskās palīdzības ārsta vadībā (kontaktstundas)</t>
  </si>
  <si>
    <t>prakses nodrošināšana personai, kura apgūst izglītības programmu neatliekamās medicīniskās palīdzības sniegšanā un organizēšanā, sertificēta neatliekamās medicīniskās palīdzības ārsta palīga vadībā (kontaktstundas)</t>
  </si>
  <si>
    <t>izziņas sagatavošana privātpersonām</t>
  </si>
  <si>
    <t>pirmās palīdzības pasniedzēju apmācības kurss</t>
  </si>
  <si>
    <t>pirmās palīdzības pasniedzēju kvalifikācijas paaugstināšanas seminārs (1 diena)</t>
  </si>
  <si>
    <t>pirmās palīdzības pasniedzēju kvalifikācijas paaugstināšanas seminārs (2 dienas)</t>
  </si>
  <si>
    <t>apmācītājorganizācijas novērtēšana par atbilstību prasībām, lai nodarbotos ar apmācību pirmās palīdzības sniegšanā</t>
  </si>
  <si>
    <t>atkārtota apmācītājorganizācijas novērtēšana par atbilstību prasībām, lai nodarbotos ar apmācību pirmās palīdzības sniegšanā</t>
  </si>
  <si>
    <t>tiesību piešķiršana nodarboties ar apmācību pirmās palīdzības sniegšanā fiziskām personām</t>
  </si>
  <si>
    <t xml:space="preserve">atkārtota tiesību piešķiršana nodarboties ar apmācību pirmās palīdzības sniegšanā fiziskām personām </t>
  </si>
  <si>
    <t>apliecība par pirmās palīdzības apmācības kursu</t>
  </si>
  <si>
    <t xml:space="preserve"> izsaukums</t>
  </si>
  <si>
    <t>stunda</t>
  </si>
  <si>
    <t xml:space="preserve"> kilometrs</t>
  </si>
  <si>
    <t>epizode</t>
  </si>
  <si>
    <t>izziņa</t>
  </si>
  <si>
    <t>persona</t>
  </si>
  <si>
    <r>
      <t>operatīvā medicīniskā transportlīdzekļa izmantošana (ar tā vadītāju) (izsaukums)</t>
    </r>
    <r>
      <rPr>
        <vertAlign val="superscript"/>
        <sz val="14"/>
        <color theme="1"/>
        <rFont val="Times New Roman"/>
        <family val="1"/>
        <charset val="186"/>
      </rPr>
      <t>7, 11</t>
    </r>
  </si>
  <si>
    <r>
      <t>papildu anesteziologa–reanimatologa piesaistīšana (izsaukums)</t>
    </r>
    <r>
      <rPr>
        <vertAlign val="superscript"/>
        <sz val="12"/>
        <rFont val="Times New Roman"/>
        <family val="1"/>
        <charset val="186"/>
      </rPr>
      <t>5, 7</t>
    </r>
  </si>
  <si>
    <r>
      <t>papildu operatīvā medicīniskā transportlīdzekļa vadītāja piesais­tīšana (izsaukums)</t>
    </r>
    <r>
      <rPr>
        <vertAlign val="superscript"/>
        <sz val="14"/>
        <color theme="1"/>
        <rFont val="Times New Roman"/>
        <family val="1"/>
        <charset val="186"/>
      </rPr>
      <t>5, 7</t>
    </r>
  </si>
  <si>
    <r>
      <t>operatīvā medicīniskā transportlīdzekļa degvielas izmaksas</t>
    </r>
    <r>
      <rPr>
        <vertAlign val="superscript"/>
        <sz val="14"/>
        <color theme="1"/>
        <rFont val="Times New Roman"/>
        <family val="1"/>
        <charset val="186"/>
      </rPr>
      <t>12</t>
    </r>
  </si>
  <si>
    <r>
      <t>reanimācijas brigādes</t>
    </r>
    <r>
      <rPr>
        <vertAlign val="superscript"/>
        <sz val="14"/>
        <color theme="1"/>
        <rFont val="Times New Roman"/>
        <family val="1"/>
        <charset val="186"/>
      </rPr>
      <t>10</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5,13</t>
    </r>
  </si>
  <si>
    <r>
      <t xml:space="preserve">ārsta speciālista </t>
    </r>
    <r>
      <rPr>
        <vertAlign val="superscript"/>
        <sz val="14"/>
        <color theme="1"/>
        <rFont val="Times New Roman"/>
        <family val="1"/>
        <charset val="186"/>
      </rPr>
      <t xml:space="preserve">14 </t>
    </r>
    <r>
      <rPr>
        <sz val="12"/>
        <color theme="1"/>
        <rFont val="Times New Roman"/>
        <family val="1"/>
        <charset val="186"/>
      </rPr>
      <t>izsaukums</t>
    </r>
    <r>
      <rPr>
        <vertAlign val="superscript"/>
        <sz val="14"/>
        <color theme="1"/>
        <rFont val="Times New Roman"/>
        <family val="1"/>
        <charset val="186"/>
      </rPr>
      <t xml:space="preserve">5, </t>
    </r>
    <r>
      <rPr>
        <vertAlign val="superscript"/>
        <sz val="14"/>
        <color theme="1"/>
        <rFont val="Times New Roman"/>
        <family val="1"/>
        <charset val="186"/>
      </rPr>
      <t>13</t>
    </r>
  </si>
  <si>
    <r>
      <t>ārsta speciālista izsaukums, neizmantojot operatīvo medicīnisko transportlīdzekli</t>
    </r>
    <r>
      <rPr>
        <vertAlign val="superscript"/>
        <sz val="14"/>
        <color theme="1"/>
        <rFont val="Times New Roman"/>
        <family val="1"/>
        <charset val="186"/>
      </rPr>
      <t xml:space="preserve">5, </t>
    </r>
    <r>
      <rPr>
        <vertAlign val="superscript"/>
        <sz val="14"/>
        <color theme="1"/>
        <rFont val="Times New Roman"/>
        <family val="1"/>
        <charset val="186"/>
      </rPr>
      <t>13</t>
    </r>
  </si>
  <si>
    <r>
      <t>intensīvās terapijas/neatliekamās medicīniskās palīdzības ārsta brigādes</t>
    </r>
    <r>
      <rPr>
        <vertAlign val="superscript"/>
        <sz val="14"/>
        <color theme="1"/>
        <rFont val="Times New Roman"/>
        <family val="1"/>
        <charset val="186"/>
      </rPr>
      <t>8</t>
    </r>
    <r>
      <rPr>
        <sz val="14"/>
        <color theme="1"/>
        <rFont val="Times New Roman"/>
        <family val="1"/>
        <charset val="186"/>
      </rPr>
      <t xml:space="preserve"> </t>
    </r>
    <r>
      <rPr>
        <sz val="12"/>
        <color theme="1"/>
        <rFont val="Times New Roman"/>
        <family val="1"/>
        <charset val="186"/>
      </rPr>
      <t>izsaukums</t>
    </r>
    <r>
      <rPr>
        <vertAlign val="superscript"/>
        <sz val="14"/>
        <color theme="1"/>
        <rFont val="Times New Roman"/>
        <family val="1"/>
        <charset val="186"/>
      </rPr>
      <t xml:space="preserve">5,  </t>
    </r>
    <r>
      <rPr>
        <vertAlign val="superscript"/>
        <sz val="14"/>
        <color theme="1"/>
        <rFont val="Times New Roman"/>
        <family val="1"/>
        <charset val="186"/>
      </rPr>
      <t>13</t>
    </r>
  </si>
  <si>
    <r>
      <t>ārsta/Neatliekamās medicīniskās palīdzības dienesta speciālista telefona konsultācija</t>
    </r>
    <r>
      <rPr>
        <vertAlign val="superscript"/>
        <sz val="14"/>
        <color theme="1"/>
        <rFont val="Times New Roman"/>
        <family val="1"/>
        <charset val="186"/>
      </rPr>
      <t>12</t>
    </r>
  </si>
  <si>
    <r>
      <t>Apmācības un izziņu sagatavošana</t>
    </r>
    <r>
      <rPr>
        <b/>
        <vertAlign val="superscript"/>
        <sz val="12"/>
        <rFont val="Times New Roman"/>
        <family val="1"/>
        <charset val="186"/>
      </rPr>
      <t>15</t>
    </r>
  </si>
  <si>
    <t>apliecība</t>
  </si>
  <si>
    <r>
      <rPr>
        <vertAlign val="superscript"/>
        <sz val="10"/>
        <color theme="1"/>
        <rFont val="Times New Roman"/>
        <family val="1"/>
        <charset val="186"/>
      </rPr>
      <t>12 </t>
    </r>
    <r>
      <rPr>
        <sz val="10"/>
        <color theme="1"/>
        <rFont val="Times New Roman"/>
        <family val="1"/>
        <charset val="186"/>
      </rPr>
      <t>Piemēro, ja pacients tiek pārvests uz citu valsti vai no tās.</t>
    </r>
  </si>
  <si>
    <r>
      <rPr>
        <vertAlign val="superscript"/>
        <sz val="10"/>
        <color theme="1"/>
        <rFont val="Times New Roman"/>
        <family val="1"/>
        <charset val="186"/>
      </rPr>
      <t xml:space="preserve">13 </t>
    </r>
    <r>
      <rPr>
        <sz val="10"/>
        <color theme="1"/>
        <rFont val="Times New Roman"/>
        <family val="1"/>
        <charset val="186"/>
      </rPr>
      <t>Piemēro, ja pakalpojumu sniedz stacionārā ārstniecības iestādē pēc pacienta vai pacienta pārstāvja pieprasījuma vai stacionārās ārstniecības iestādes ārsta pieprasījuma gadījumos, ja stacionārā ārstniecības iestāde pakalpojumu ikdienā nodrošina ar saviem resursiem.</t>
    </r>
  </si>
  <si>
    <r>
      <rPr>
        <vertAlign val="superscript"/>
        <sz val="10"/>
        <color theme="1"/>
        <rFont val="Times New Roman"/>
        <family val="1"/>
        <charset val="186"/>
      </rPr>
      <t>14</t>
    </r>
    <r>
      <rPr>
        <sz val="10"/>
        <color theme="1"/>
        <rFont val="Times New Roman"/>
        <family val="1"/>
        <charset val="186"/>
      </rPr>
      <t xml:space="preserve"> Pakalpojuma nodrošināšanā piedalās ārsts speciālists un tiek izmantots operatīvais medicīniskais transportlīdzeklis ar vadītāju. </t>
    </r>
  </si>
  <si>
    <r>
      <rPr>
        <vertAlign val="superscript"/>
        <sz val="10"/>
        <color theme="1"/>
        <rFont val="Times New Roman"/>
        <family val="1"/>
        <charset val="186"/>
      </rPr>
      <t>15 </t>
    </r>
    <r>
      <rPr>
        <sz val="10"/>
        <color theme="1"/>
        <rFont val="Times New Roman"/>
        <family val="1"/>
        <charset val="186"/>
      </rPr>
      <t>Pievienotās vērtības nodokli nepiemēro saskaņā ar Pievienotās vērtības nodokļa likuma 3. panta astoto daļu.</t>
    </r>
  </si>
  <si>
    <t>Plānotais pakalpojuma sniegšanas vienību skaits: 60</t>
  </si>
  <si>
    <t>Plānotais pakalpojuma sniegšanas vienību skaits: 121</t>
  </si>
  <si>
    <t>Tehnoloģiskās iekārtas (amortizācija - manekens ar datorpieslēgumu 2 gab. 52,43 eur, aizrīšanās treniņu manekens 5,17 eur, bērna manekens 10,41 eur, zīdaiņa manekens 2 gab., 14,58 eur. 52,43+5,17+10,41+14,58 = 82,59/25 = 3,30 eur x pakalpojumu skaits gadā)</t>
  </si>
  <si>
    <t>Tehnoloģiskās iekārtas (amortizācija - manekens ar datorpieslēgumu 2 gab. 165,17 eur, aizrīšanās treniņu manekens 16,27 eur, bērna manekens 32,80 eur, zīdaiņa manekens 2 gab. 45,93 eur.  165,17+16,27+32,80+45,93 = 260,16/11 = 23,65 eur x pakalpojumu skaits gadā)</t>
  </si>
  <si>
    <t>Tehnoloģiskās iekārtas (amortizācija - manekens ar datorpieslēgumu 2 gab.44,57 eur, bērna manekens 8,85 eur, zīdaiņa manekens 2 gab., 12,39 eur. 44,57+8,85+12,39 = 65,81/12 = 5,48 eur x pakalpojumu skaits gadā)</t>
  </si>
  <si>
    <t>Plānotais pakalpojuma sniegšanas vienību skaits: 2666</t>
  </si>
  <si>
    <t>Inventārs (paklāji treniņiem 6.gab 12 eur, pārsienamais materiāls 30 eur, motociklista ķivere 2 gab. 50eur, elpināšanas masku komplekts 5 eur, aptieciņas 2 gab. 30 eur, dezinfekcijas līdzekļi 10 eur. 12+30+50+5+30+10 = 137/25 = 5,48 eur x pakalpojumu skaits gadā)</t>
  </si>
  <si>
    <r>
      <t>Atalgojums citi darbinieki (atbalsta personāla atalgojums</t>
    </r>
    <r>
      <rPr>
        <sz val="12"/>
        <rFont val="Times New Roman"/>
        <family val="1"/>
        <charset val="186"/>
      </rPr>
      <t xml:space="preserve"> 0,15</t>
    </r>
    <r>
      <rPr>
        <sz val="12"/>
        <color theme="1"/>
        <rFont val="Times New Roman"/>
        <family val="1"/>
        <charset val="186"/>
      </rPr>
      <t>% no brigāžu personāla. 0,15 x pakalpojumu skaits gadā)</t>
    </r>
  </si>
  <si>
    <t>Ministru kabineta noteikumu projekt "Grozījumi Ministru kabineta 2018.gada 21.novembra noteikumos
Nr.712 "Neatliekamās medicīniskās palīdzības dienesta maksas pakalpojumu cenrādis"" sākotnējās (ex-ante) ietekmes novērtējuma ziņojumam (anotācijai)</t>
  </si>
  <si>
    <t>Veselības ministre:</t>
  </si>
  <si>
    <t>Vīza: Valsts sekretārs</t>
  </si>
  <si>
    <t>Zandberga, 67876041</t>
  </si>
  <si>
    <t>Lasma.Zandberga@vm.gov.lv</t>
  </si>
  <si>
    <t>Sileniece 67337037</t>
  </si>
  <si>
    <t>Dzintra.Sileniece@nmpd.gov.lv</t>
  </si>
  <si>
    <t>Ilze Vinkele</t>
  </si>
  <si>
    <t>Daina Mūrmane - Umbraško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</si>
</sst>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b/>
      <i/>
      <sz val="12"/>
      <name val="Times New Roman"/>
      <family val="1"/>
      <charset val="186"/>
    </font>
    <font>
      <sz val="12"/>
      <name val="Times New Roman"/>
      <family val="1"/>
      <charset val="186"/>
    </font>
    <font>
      <vertAlign val="superscript"/>
      <sz val="12"/>
      <name val="Times New Roman"/>
      <family val="1"/>
      <charset val="186"/>
    </font>
    <font>
      <sz val="10"/>
      <name val="Arial"/>
      <family val="2"/>
      <charset val="186"/>
    </font>
    <font>
      <sz val="11"/>
      <color theme="1"/>
      <name val="Times New Roman"/>
      <family val="1"/>
      <charset val="186"/>
    </font>
    <font>
      <sz val="11"/>
      <name val="Times New Roman"/>
      <family val="1"/>
      <charset val="186"/>
    </font>
    <font>
      <sz val="11"/>
      <name val="Arial"/>
      <family val="2"/>
      <charset val="186"/>
    </font>
    <font>
      <sz val="10"/>
      <color theme="1"/>
      <name val="Times New Roman"/>
      <family val="1"/>
      <charset val="186"/>
    </font>
    <font>
      <u/>
      <sz val="11"/>
      <color theme="10"/>
      <name val="Calibri"/>
      <family val="2"/>
      <charset val="186"/>
    </font>
    <font>
      <u/>
      <sz val="10"/>
      <color theme="10"/>
      <name val="Times New Roman"/>
      <family val="1"/>
      <charset val="186"/>
    </font>
    <font>
      <u/>
      <sz val="12"/>
      <color theme="1"/>
      <name val="Times New Roman"/>
      <family val="1"/>
      <charset val="186"/>
    </font>
    <font>
      <b/>
      <sz val="12"/>
      <color rgb="FF000000"/>
      <name val="Times New Roman"/>
      <family val="1"/>
      <charset val="186"/>
    </font>
    <font>
      <sz val="12"/>
      <color rgb="FF000000"/>
      <name val="Times New Roman"/>
      <family val="1"/>
      <charset val="186"/>
    </font>
    <font>
      <i/>
      <sz val="12"/>
      <color rgb="FF000000"/>
      <name val="Times New Roman"/>
      <family val="1"/>
      <charset val="186"/>
    </font>
    <font>
      <sz val="10"/>
      <name val="Arial"/>
      <family val="2"/>
    </font>
    <font>
      <sz val="10"/>
      <name val="BaltHelvetica"/>
    </font>
    <font>
      <sz val="12"/>
      <color rgb="FFFF0000"/>
      <name val="Times New Roman"/>
      <family val="1"/>
      <charset val="186"/>
    </font>
    <font>
      <vertAlign val="superscript"/>
      <sz val="10"/>
      <color theme="1"/>
      <name val="Times New Roman"/>
      <family val="1"/>
      <charset val="186"/>
    </font>
    <font>
      <b/>
      <vertAlign val="superscript"/>
      <sz val="12"/>
      <name val="Times New Roman"/>
      <family val="1"/>
      <charset val="186"/>
    </font>
    <font>
      <sz val="14"/>
      <color theme="1"/>
      <name val="Times New Roman"/>
      <family val="1"/>
      <charset val="186"/>
    </font>
    <font>
      <vertAlign val="superscript"/>
      <sz val="14"/>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s>
  <cellStyleXfs count="7">
    <xf numFmtId="0" fontId="0" fillId="0" borderId="0"/>
    <xf numFmtId="0" fontId="7" fillId="0" borderId="0"/>
    <xf numFmtId="0" fontId="1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9" fillId="0" borderId="0"/>
  </cellStyleXfs>
  <cellXfs count="156">
    <xf numFmtId="0" fontId="0" fillId="0" borderId="0" xfId="0"/>
    <xf numFmtId="0" fontId="1" fillId="0" borderId="0" xfId="0" applyFont="1"/>
    <xf numFmtId="0" fontId="1" fillId="0" borderId="0" xfId="0" applyFont="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2" fontId="1" fillId="0" borderId="0" xfId="0" applyNumberFormat="1" applyFont="1"/>
    <xf numFmtId="0" fontId="5" fillId="4" borderId="1" xfId="0" applyFont="1" applyFill="1" applyBorder="1" applyAlignment="1">
      <alignment horizontal="left" vertical="center" wrapText="1"/>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5" fillId="0" borderId="0" xfId="1" applyFont="1"/>
    <xf numFmtId="0" fontId="5" fillId="0" borderId="0" xfId="1" applyFont="1" applyAlignment="1">
      <alignment horizontal="right"/>
    </xf>
    <xf numFmtId="0" fontId="8" fillId="0" borderId="0" xfId="0" applyFont="1"/>
    <xf numFmtId="0" fontId="9" fillId="0" borderId="0" xfId="1" applyFont="1"/>
    <xf numFmtId="0" fontId="9" fillId="0" borderId="0" xfId="1" applyFont="1" applyAlignment="1">
      <alignment horizontal="right"/>
    </xf>
    <xf numFmtId="0" fontId="10" fillId="0" borderId="0" xfId="0" applyFont="1"/>
    <xf numFmtId="0" fontId="13" fillId="0" borderId="0" xfId="2" applyFont="1" applyAlignment="1" applyProtection="1"/>
    <xf numFmtId="0" fontId="11" fillId="0" borderId="0" xfId="0" applyFont="1"/>
    <xf numFmtId="0" fontId="10" fillId="0" borderId="0" xfId="0" applyFont="1" applyAlignment="1">
      <alignment vertical="justify"/>
    </xf>
    <xf numFmtId="0" fontId="3" fillId="3" borderId="1" xfId="0" applyFont="1" applyFill="1" applyBorder="1" applyAlignment="1">
      <alignment vertical="center" wrapText="1"/>
    </xf>
    <xf numFmtId="0" fontId="3" fillId="5" borderId="1" xfId="0" applyFont="1" applyFill="1" applyBorder="1" applyAlignment="1">
      <alignment horizontal="left" vertical="center" wrapText="1"/>
    </xf>
    <xf numFmtId="0" fontId="2"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horizontal="justify" vertical="top" wrapText="1"/>
    </xf>
    <xf numFmtId="0" fontId="1" fillId="0" borderId="8" xfId="0" applyFont="1" applyBorder="1" applyAlignment="1">
      <alignment horizontal="justify" vertical="top" wrapText="1"/>
    </xf>
    <xf numFmtId="0" fontId="2" fillId="0" borderId="8" xfId="0" applyFont="1" applyBorder="1" applyAlignment="1">
      <alignment vertical="top" wrapText="1"/>
    </xf>
    <xf numFmtId="2" fontId="2"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0" fontId="5" fillId="4" borderId="8" xfId="0" applyFont="1" applyFill="1" applyBorder="1" applyAlignment="1">
      <alignment horizontal="justify" vertical="top" wrapText="1"/>
    </xf>
    <xf numFmtId="0" fontId="1" fillId="4" borderId="0" xfId="0" applyFont="1" applyFill="1"/>
    <xf numFmtId="0" fontId="2" fillId="0" borderId="8" xfId="0" applyFont="1" applyBorder="1" applyAlignment="1">
      <alignment horizontal="right" vertical="center" wrapText="1"/>
    </xf>
    <xf numFmtId="0" fontId="5" fillId="0" borderId="10" xfId="0" applyFont="1" applyBorder="1" applyAlignment="1">
      <alignment horizontal="center" vertical="center"/>
    </xf>
    <xf numFmtId="2" fontId="15" fillId="0" borderId="11" xfId="0" applyNumberFormat="1" applyFont="1" applyBorder="1" applyAlignment="1">
      <alignment horizontal="center" vertical="center"/>
    </xf>
    <xf numFmtId="0" fontId="5" fillId="0" borderId="0" xfId="1" applyFont="1" applyAlignment="1">
      <alignment horizontal="center"/>
    </xf>
    <xf numFmtId="0" fontId="1" fillId="0" borderId="12" xfId="0" applyFont="1" applyBorder="1" applyAlignment="1">
      <alignment horizontal="center" vertical="center" wrapText="1"/>
    </xf>
    <xf numFmtId="0" fontId="2"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20"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24" xfId="0" applyFont="1" applyBorder="1" applyAlignment="1">
      <alignment horizontal="justify" vertical="top" wrapText="1"/>
    </xf>
    <xf numFmtId="2" fontId="5" fillId="0" borderId="17" xfId="0" applyNumberFormat="1" applyFont="1" applyBorder="1" applyAlignment="1">
      <alignment horizontal="center" vertical="center" wrapText="1"/>
    </xf>
    <xf numFmtId="0" fontId="20" fillId="0" borderId="0" xfId="1" applyFont="1"/>
    <xf numFmtId="2" fontId="5" fillId="0" borderId="0" xfId="1" applyNumberFormat="1" applyFont="1"/>
    <xf numFmtId="2" fontId="5" fillId="0" borderId="8"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xf>
    <xf numFmtId="0" fontId="1" fillId="0" borderId="20" xfId="0" applyFont="1" applyBorder="1" applyAlignment="1">
      <alignment horizontal="center" vertical="center" wrapText="1"/>
    </xf>
    <xf numFmtId="0" fontId="5" fillId="0" borderId="29" xfId="0" applyFont="1" applyBorder="1" applyAlignment="1">
      <alignment horizontal="justify" vertical="top" wrapText="1"/>
    </xf>
    <xf numFmtId="2" fontId="5"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2" fontId="3" fillId="0" borderId="11" xfId="0" applyNumberFormat="1" applyFont="1" applyBorder="1" applyAlignment="1">
      <alignment horizontal="center" vertical="center"/>
    </xf>
    <xf numFmtId="0" fontId="5" fillId="0" borderId="7" xfId="0" applyFont="1" applyBorder="1" applyAlignment="1">
      <alignment horizontal="center" vertical="center" wrapText="1"/>
    </xf>
    <xf numFmtId="0" fontId="1" fillId="0" borderId="1" xfId="0" applyFont="1" applyBorder="1" applyAlignment="1">
      <alignment horizontal="center" vertical="center" wrapText="1"/>
    </xf>
    <xf numFmtId="2" fontId="1" fillId="0" borderId="32"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0" fontId="1" fillId="0" borderId="31" xfId="0" applyFont="1" applyBorder="1" applyAlignment="1">
      <alignment vertical="top" wrapText="1"/>
    </xf>
    <xf numFmtId="2" fontId="1" fillId="0" borderId="11" xfId="0" applyNumberFormat="1" applyFont="1" applyBorder="1" applyAlignment="1">
      <alignment horizontal="center" vertical="center" wrapText="1"/>
    </xf>
    <xf numFmtId="0" fontId="1" fillId="0" borderId="8" xfId="0" applyFont="1" applyBorder="1" applyAlignment="1">
      <alignment vertical="top" wrapText="1"/>
    </xf>
    <xf numFmtId="0" fontId="5" fillId="0" borderId="20" xfId="0" applyFont="1" applyBorder="1" applyAlignment="1">
      <alignment horizontal="justify" vertical="top"/>
    </xf>
    <xf numFmtId="0" fontId="5" fillId="0" borderId="21" xfId="0" applyFont="1" applyBorder="1" applyAlignment="1">
      <alignment horizontal="justify" vertical="top"/>
    </xf>
    <xf numFmtId="0" fontId="5" fillId="0" borderId="22" xfId="0" applyFont="1" applyBorder="1" applyAlignment="1">
      <alignment horizontal="justify" vertical="top"/>
    </xf>
    <xf numFmtId="0" fontId="1" fillId="0" borderId="8" xfId="0" applyFont="1" applyBorder="1" applyAlignment="1">
      <alignment horizontal="justify" vertical="top"/>
    </xf>
    <xf numFmtId="0" fontId="2" fillId="0" borderId="8" xfId="0" applyFont="1" applyBorder="1" applyAlignment="1">
      <alignment vertical="top"/>
    </xf>
    <xf numFmtId="0" fontId="5" fillId="0" borderId="8" xfId="0" applyFont="1" applyBorder="1" applyAlignment="1">
      <alignment horizontal="justify" vertical="top"/>
    </xf>
    <xf numFmtId="0" fontId="5" fillId="4" borderId="8" xfId="0" applyFont="1" applyFill="1" applyBorder="1" applyAlignment="1">
      <alignment horizontal="justify" vertical="top"/>
    </xf>
    <xf numFmtId="0" fontId="1" fillId="0" borderId="8" xfId="0" applyFont="1" applyBorder="1" applyAlignment="1">
      <alignment horizontal="justify"/>
    </xf>
    <xf numFmtId="0" fontId="2" fillId="0" borderId="8" xfId="0" applyFont="1" applyBorder="1"/>
    <xf numFmtId="0" fontId="5" fillId="0" borderId="8" xfId="0" applyFont="1" applyBorder="1" applyAlignment="1">
      <alignment horizontal="justify"/>
    </xf>
    <xf numFmtId="0" fontId="2" fillId="0" borderId="13" xfId="0" applyFont="1" applyBorder="1" applyAlignment="1">
      <alignment vertical="center"/>
    </xf>
    <xf numFmtId="0" fontId="1" fillId="0" borderId="8" xfId="0" applyFont="1" applyBorder="1" applyAlignment="1">
      <alignment horizontal="justify" wrapText="1"/>
    </xf>
    <xf numFmtId="0" fontId="5" fillId="0" borderId="29" xfId="0" applyFont="1" applyBorder="1" applyAlignment="1">
      <alignment horizontal="justify" vertical="top"/>
    </xf>
    <xf numFmtId="0" fontId="5" fillId="0" borderId="3" xfId="0" applyFont="1" applyBorder="1" applyAlignment="1">
      <alignment horizontal="justify" vertical="top"/>
    </xf>
    <xf numFmtId="0" fontId="5" fillId="0" borderId="30" xfId="0" applyFont="1" applyBorder="1" applyAlignment="1">
      <alignment horizontal="justify" vertical="top"/>
    </xf>
    <xf numFmtId="0" fontId="5" fillId="0" borderId="29" xfId="0" applyFont="1" applyBorder="1" applyAlignment="1">
      <alignment horizontal="justify"/>
    </xf>
    <xf numFmtId="0" fontId="5" fillId="0" borderId="3" xfId="0" applyFont="1" applyBorder="1" applyAlignment="1">
      <alignment horizontal="justify"/>
    </xf>
    <xf numFmtId="0" fontId="5" fillId="0" borderId="30" xfId="0" applyFont="1" applyBorder="1" applyAlignment="1">
      <alignment horizontal="justify"/>
    </xf>
    <xf numFmtId="0" fontId="5" fillId="0" borderId="2" xfId="0" applyFont="1" applyBorder="1" applyAlignment="1">
      <alignment horizontal="justify" vertical="top"/>
    </xf>
    <xf numFmtId="0" fontId="1" fillId="0" borderId="31" xfId="0" applyFont="1" applyBorder="1" applyAlignment="1">
      <alignment horizontal="justify" vertical="top"/>
    </xf>
    <xf numFmtId="0" fontId="2" fillId="0" borderId="31" xfId="0" applyFont="1" applyBorder="1" applyAlignment="1">
      <alignment vertical="top"/>
    </xf>
    <xf numFmtId="0" fontId="5" fillId="0" borderId="31" xfId="0" applyFont="1" applyBorder="1" applyAlignment="1">
      <alignment horizontal="justify" vertical="top"/>
    </xf>
    <xf numFmtId="0" fontId="1" fillId="0" borderId="0" xfId="0" applyFont="1" applyAlignment="1">
      <alignment horizontal="center" vertical="center"/>
    </xf>
    <xf numFmtId="0" fontId="11"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5" xfId="0" applyFont="1" applyBorder="1" applyAlignment="1">
      <alignment horizontal="justify" vertical="top" wrapText="1"/>
    </xf>
    <xf numFmtId="0" fontId="1" fillId="0" borderId="27" xfId="0" applyFont="1" applyBorder="1" applyAlignment="1">
      <alignment horizontal="justify" vertical="top" wrapText="1"/>
    </xf>
    <xf numFmtId="2" fontId="1" fillId="0" borderId="26"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4" borderId="8" xfId="0" applyNumberFormat="1" applyFont="1" applyFill="1" applyBorder="1" applyAlignment="1">
      <alignment horizontal="center" vertical="center" wrapText="1"/>
    </xf>
    <xf numFmtId="2" fontId="11" fillId="0" borderId="0" xfId="0"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vertical="center"/>
    </xf>
    <xf numFmtId="0" fontId="11" fillId="0" borderId="13" xfId="0" applyFont="1" applyBorder="1" applyAlignment="1">
      <alignment horizontal="center" vertical="center" wrapText="1"/>
    </xf>
    <xf numFmtId="2" fontId="5" fillId="0" borderId="32" xfId="0" applyNumberFormat="1" applyFont="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35"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0" fontId="1" fillId="4" borderId="8" xfId="0" applyFont="1" applyFill="1" applyBorder="1" applyAlignment="1">
      <alignment horizontal="justify" vertical="top"/>
    </xf>
    <xf numFmtId="0" fontId="11" fillId="0" borderId="0" xfId="0" applyFont="1" applyAlignment="1">
      <alignment horizontal="left" wrapText="1"/>
    </xf>
    <xf numFmtId="2" fontId="5" fillId="0" borderId="0" xfId="1" applyNumberFormat="1" applyFont="1" applyAlignment="1">
      <alignment horizontal="right"/>
    </xf>
    <xf numFmtId="1" fontId="5" fillId="0" borderId="10" xfId="0" applyNumberFormat="1" applyFont="1" applyBorder="1" applyAlignment="1">
      <alignment horizontal="center" vertical="center"/>
    </xf>
    <xf numFmtId="0" fontId="5" fillId="0" borderId="0" xfId="1" applyFont="1" applyAlignment="1">
      <alignment horizontal="right"/>
    </xf>
    <xf numFmtId="0" fontId="9" fillId="0" borderId="0" xfId="0" applyFont="1"/>
    <xf numFmtId="0" fontId="11" fillId="0" borderId="0" xfId="0" applyFont="1" applyAlignment="1">
      <alignment horizontal="left" vertical="top" wrapText="1"/>
    </xf>
    <xf numFmtId="0" fontId="11" fillId="0" borderId="0" xfId="0" applyFont="1" applyAlignment="1">
      <alignment vertical="top"/>
    </xf>
    <xf numFmtId="2" fontId="11" fillId="0" borderId="0" xfId="0" applyNumberFormat="1" applyFont="1" applyBorder="1" applyAlignment="1">
      <alignment horizontal="center" vertical="center"/>
    </xf>
    <xf numFmtId="0" fontId="1" fillId="0" borderId="0" xfId="0" applyFont="1" applyBorder="1"/>
    <xf numFmtId="0" fontId="11" fillId="0" borderId="0" xfId="0" applyFont="1" applyBorder="1" applyAlignment="1">
      <alignment horizontal="center" vertical="center"/>
    </xf>
    <xf numFmtId="0" fontId="1" fillId="0" borderId="0" xfId="0" applyFont="1" applyBorder="1" applyAlignment="1">
      <alignment wrapText="1"/>
    </xf>
    <xf numFmtId="1" fontId="1" fillId="0" borderId="0" xfId="0" applyNumberFormat="1" applyFont="1" applyBorder="1"/>
    <xf numFmtId="2" fontId="1" fillId="0" borderId="0" xfId="0" applyNumberFormat="1" applyFont="1" applyBorder="1"/>
    <xf numFmtId="0" fontId="11" fillId="0" borderId="0" xfId="0" applyFont="1" applyBorder="1" applyAlignment="1">
      <alignment horizontal="center"/>
    </xf>
    <xf numFmtId="0" fontId="9" fillId="0" borderId="0" xfId="1" applyFont="1" applyBorder="1"/>
    <xf numFmtId="0" fontId="9" fillId="0" borderId="0" xfId="1" applyFont="1" applyBorder="1" applyAlignment="1">
      <alignment horizontal="center"/>
    </xf>
    <xf numFmtId="0" fontId="11" fillId="0" borderId="0" xfId="0" applyFont="1" applyFill="1"/>
    <xf numFmtId="0" fontId="10" fillId="0" borderId="0" xfId="0" applyFont="1" applyAlignment="1"/>
    <xf numFmtId="0" fontId="1" fillId="0" borderId="0" xfId="0" applyFont="1" applyAlignment="1">
      <alignment vertical="center"/>
    </xf>
    <xf numFmtId="0" fontId="3" fillId="5" borderId="1" xfId="0" applyFont="1" applyFill="1" applyBorder="1" applyAlignment="1">
      <alignment horizontal="left" vertical="center" wrapText="1"/>
    </xf>
    <xf numFmtId="0" fontId="1" fillId="4" borderId="0" xfId="0" applyFont="1" applyFill="1" applyAlignment="1">
      <alignment horizontal="left"/>
    </xf>
    <xf numFmtId="49" fontId="3" fillId="6" borderId="1" xfId="0" applyNumberFormat="1" applyFont="1" applyFill="1" applyBorder="1" applyAlignment="1">
      <alignment vertical="center" wrapText="1"/>
    </xf>
    <xf numFmtId="0" fontId="3"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0" xfId="0" applyFont="1" applyAlignment="1">
      <alignment horizontal="right"/>
    </xf>
    <xf numFmtId="0" fontId="1" fillId="0" borderId="0" xfId="0" applyFont="1" applyAlignment="1">
      <alignment horizontal="right"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5" fillId="0" borderId="0" xfId="1" applyFont="1" applyAlignment="1">
      <alignment horizontal="left"/>
    </xf>
    <xf numFmtId="0" fontId="6" fillId="0" borderId="0" xfId="1" applyFont="1" applyAlignment="1">
      <alignment horizontal="left"/>
    </xf>
    <xf numFmtId="0" fontId="1" fillId="0" borderId="0" xfId="0" applyFont="1" applyAlignment="1">
      <alignment horizontal="left" vertical="center" wrapText="1"/>
    </xf>
    <xf numFmtId="0" fontId="15" fillId="0" borderId="0" xfId="0" applyFont="1"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top" wrapText="1"/>
    </xf>
    <xf numFmtId="0" fontId="1" fillId="0" borderId="23" xfId="0" applyFont="1" applyBorder="1" applyAlignment="1">
      <alignment horizontal="center" vertical="center" wrapText="1"/>
    </xf>
    <xf numFmtId="0" fontId="5" fillId="0" borderId="0" xfId="1" applyFont="1" applyAlignment="1">
      <alignment horizontal="right"/>
    </xf>
    <xf numFmtId="0" fontId="1" fillId="0" borderId="0" xfId="0" applyFont="1" applyBorder="1" applyAlignment="1">
      <alignment horizontal="center" wrapText="1"/>
    </xf>
    <xf numFmtId="0" fontId="3" fillId="0" borderId="0" xfId="0" applyFont="1" applyAlignment="1">
      <alignment horizontal="left"/>
    </xf>
    <xf numFmtId="0" fontId="11" fillId="0" borderId="0" xfId="0" applyFont="1" applyAlignment="1">
      <alignment horizontal="left"/>
    </xf>
  </cellXfs>
  <cellStyles count="7">
    <cellStyle name="Hyperlink" xfId="2" builtinId="8"/>
    <cellStyle name="Normal" xfId="0" builtinId="0"/>
    <cellStyle name="Normal 2" xfId="1" xr:uid="{00000000-0005-0000-0000-000002000000}"/>
    <cellStyle name="Normal 2 2 2" xfId="3" xr:uid="{00000000-0005-0000-0000-000003000000}"/>
    <cellStyle name="Normal 3" xfId="4" xr:uid="{00000000-0005-0000-0000-000004000000}"/>
    <cellStyle name="Normal 4" xfId="5" xr:uid="{00000000-0005-0000-0000-000005000000}"/>
    <cellStyle name="Parastais_FMLikp01_p05_221205_pap_afp_makp"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77"/>
  <sheetViews>
    <sheetView tabSelected="1" workbookViewId="0">
      <selection activeCell="C2" sqref="C2:F5"/>
    </sheetView>
  </sheetViews>
  <sheetFormatPr defaultColWidth="8.85546875" defaultRowHeight="15.75"/>
  <cols>
    <col min="1" max="1" width="8.85546875" style="1"/>
    <col min="2" max="2" width="73.42578125" style="1" customWidth="1"/>
    <col min="3" max="3" width="16.28515625" style="1" customWidth="1"/>
    <col min="4" max="4" width="10.5703125" style="1" customWidth="1"/>
    <col min="5" max="5" width="12.7109375" style="1" customWidth="1"/>
    <col min="6" max="16384" width="8.85546875" style="1"/>
  </cols>
  <sheetData>
    <row r="1" spans="1:14">
      <c r="D1" s="137" t="s">
        <v>0</v>
      </c>
      <c r="E1" s="137"/>
      <c r="F1" s="137"/>
    </row>
    <row r="2" spans="1:14">
      <c r="C2" s="138" t="s">
        <v>343</v>
      </c>
      <c r="D2" s="138"/>
      <c r="E2" s="138"/>
      <c r="F2" s="138"/>
    </row>
    <row r="3" spans="1:14">
      <c r="C3" s="138"/>
      <c r="D3" s="138"/>
      <c r="E3" s="138"/>
      <c r="F3" s="138"/>
    </row>
    <row r="4" spans="1:14">
      <c r="C4" s="138"/>
      <c r="D4" s="138"/>
      <c r="E4" s="138"/>
      <c r="F4" s="138"/>
    </row>
    <row r="5" spans="1:14">
      <c r="C5" s="138"/>
      <c r="D5" s="138"/>
      <c r="E5" s="138"/>
      <c r="F5" s="138"/>
    </row>
    <row r="7" spans="1:14">
      <c r="A7" s="139" t="s">
        <v>30</v>
      </c>
      <c r="B7" s="139"/>
      <c r="C7" s="139"/>
      <c r="D7" s="139"/>
      <c r="E7" s="139"/>
      <c r="F7" s="139"/>
    </row>
    <row r="10" spans="1:14" ht="23.25" customHeight="1">
      <c r="A10" s="140" t="s">
        <v>1</v>
      </c>
      <c r="B10" s="140" t="s">
        <v>2</v>
      </c>
      <c r="C10" s="140" t="s">
        <v>3</v>
      </c>
      <c r="D10" s="140" t="s">
        <v>4</v>
      </c>
      <c r="E10" s="140" t="s">
        <v>5</v>
      </c>
      <c r="F10" s="140" t="s">
        <v>6</v>
      </c>
      <c r="N10" s="2"/>
    </row>
    <row r="11" spans="1:14" ht="60.75" customHeight="1">
      <c r="A11" s="140"/>
      <c r="B11" s="140"/>
      <c r="C11" s="140"/>
      <c r="D11" s="140"/>
      <c r="E11" s="140"/>
      <c r="F11" s="140"/>
    </row>
    <row r="12" spans="1:14">
      <c r="A12" s="22" t="s">
        <v>7</v>
      </c>
      <c r="B12" s="132" t="s">
        <v>275</v>
      </c>
      <c r="C12" s="132"/>
      <c r="D12" s="132"/>
      <c r="E12" s="132"/>
      <c r="F12" s="132"/>
    </row>
    <row r="13" spans="1:14" ht="42" customHeight="1">
      <c r="A13" s="3" t="s">
        <v>8</v>
      </c>
      <c r="B13" s="4" t="s">
        <v>276</v>
      </c>
      <c r="C13" s="3" t="s">
        <v>314</v>
      </c>
      <c r="D13" s="53">
        <f>'1.1.'!C38</f>
        <v>62.203905403268827</v>
      </c>
      <c r="E13" s="5">
        <v>0</v>
      </c>
      <c r="F13" s="5">
        <f>D13+E13</f>
        <v>62.203905403268827</v>
      </c>
    </row>
    <row r="14" spans="1:14" ht="50.25">
      <c r="A14" s="3" t="s">
        <v>9</v>
      </c>
      <c r="B14" s="4" t="s">
        <v>277</v>
      </c>
      <c r="C14" s="3" t="s">
        <v>314</v>
      </c>
      <c r="D14" s="53">
        <f>'1.2.'!C39</f>
        <v>144.51163302970295</v>
      </c>
      <c r="E14" s="5">
        <v>0</v>
      </c>
      <c r="F14" s="5">
        <f t="shared" ref="F14:F15" si="0">D14+E14</f>
        <v>144.51163302970295</v>
      </c>
    </row>
    <row r="15" spans="1:14" ht="47.25">
      <c r="A15" s="3" t="s">
        <v>10</v>
      </c>
      <c r="B15" s="4" t="s">
        <v>278</v>
      </c>
      <c r="C15" s="3" t="s">
        <v>314</v>
      </c>
      <c r="D15" s="53">
        <f>'1.3.'!C37</f>
        <v>56.381598158219532</v>
      </c>
      <c r="E15" s="5">
        <v>0</v>
      </c>
      <c r="F15" s="5">
        <f t="shared" si="0"/>
        <v>56.381598158219532</v>
      </c>
    </row>
    <row r="16" spans="1:14">
      <c r="A16" s="22" t="s">
        <v>11</v>
      </c>
      <c r="B16" s="133" t="s">
        <v>279</v>
      </c>
      <c r="C16" s="133"/>
      <c r="D16" s="133"/>
      <c r="E16" s="133"/>
      <c r="F16" s="133"/>
    </row>
    <row r="17" spans="1:6" ht="34.5">
      <c r="A17" s="7" t="s">
        <v>12</v>
      </c>
      <c r="B17" s="8" t="s">
        <v>280</v>
      </c>
      <c r="C17" s="7" t="s">
        <v>315</v>
      </c>
      <c r="D17" s="53">
        <f>'2.1.'!C38</f>
        <v>53.599565289872885</v>
      </c>
      <c r="E17" s="5">
        <v>0</v>
      </c>
      <c r="F17" s="6">
        <f t="shared" ref="F17:F24" si="1">D17+E17</f>
        <v>53.599565289872885</v>
      </c>
    </row>
    <row r="18" spans="1:6" ht="37.5">
      <c r="A18" s="7" t="s">
        <v>13</v>
      </c>
      <c r="B18" s="8" t="s">
        <v>281</v>
      </c>
      <c r="C18" s="7" t="s">
        <v>315</v>
      </c>
      <c r="D18" s="53">
        <f>'2.2.'!C38</f>
        <v>81.352718749999994</v>
      </c>
      <c r="E18" s="5">
        <v>0</v>
      </c>
      <c r="F18" s="6">
        <f t="shared" si="1"/>
        <v>81.352718749999994</v>
      </c>
    </row>
    <row r="19" spans="1:6" ht="34.5">
      <c r="A19" s="7" t="s">
        <v>14</v>
      </c>
      <c r="B19" s="8" t="s">
        <v>282</v>
      </c>
      <c r="C19" s="7" t="s">
        <v>315</v>
      </c>
      <c r="D19" s="53">
        <f>'2.3.'!C38</f>
        <v>66.899658117162446</v>
      </c>
      <c r="E19" s="5">
        <v>0</v>
      </c>
      <c r="F19" s="6">
        <f t="shared" si="1"/>
        <v>66.899658117162446</v>
      </c>
    </row>
    <row r="20" spans="1:6" ht="37.5">
      <c r="A20" s="7" t="s">
        <v>15</v>
      </c>
      <c r="B20" s="8" t="s">
        <v>283</v>
      </c>
      <c r="C20" s="7" t="s">
        <v>315</v>
      </c>
      <c r="D20" s="53">
        <f>'2.4.'!C38</f>
        <v>100.81088916010496</v>
      </c>
      <c r="E20" s="5">
        <v>0</v>
      </c>
      <c r="F20" s="6">
        <f t="shared" si="1"/>
        <v>100.81088916010496</v>
      </c>
    </row>
    <row r="21" spans="1:6" ht="18.75">
      <c r="A21" s="7" t="s">
        <v>16</v>
      </c>
      <c r="B21" s="8" t="s">
        <v>284</v>
      </c>
      <c r="C21" s="7" t="s">
        <v>315</v>
      </c>
      <c r="D21" s="53">
        <f>'2.5.'!C38</f>
        <v>70.818619346383798</v>
      </c>
      <c r="E21" s="5">
        <v>0</v>
      </c>
      <c r="F21" s="6">
        <f t="shared" si="1"/>
        <v>70.818619346383798</v>
      </c>
    </row>
    <row r="22" spans="1:6" ht="18.75">
      <c r="A22" s="7" t="s">
        <v>17</v>
      </c>
      <c r="B22" s="8" t="s">
        <v>285</v>
      </c>
      <c r="C22" s="7" t="s">
        <v>315</v>
      </c>
      <c r="D22" s="53">
        <f>'2.6.'!C38</f>
        <v>103.12130063210849</v>
      </c>
      <c r="E22" s="5">
        <v>0</v>
      </c>
      <c r="F22" s="6">
        <f t="shared" si="1"/>
        <v>103.12130063210849</v>
      </c>
    </row>
    <row r="23" spans="1:6" ht="18.75">
      <c r="A23" s="7" t="s">
        <v>18</v>
      </c>
      <c r="B23" s="8" t="s">
        <v>286</v>
      </c>
      <c r="C23" s="7" t="s">
        <v>315</v>
      </c>
      <c r="D23" s="53">
        <f>'2.7.'!C38</f>
        <v>74.028758230898219</v>
      </c>
      <c r="E23" s="5">
        <v>0</v>
      </c>
      <c r="F23" s="6">
        <f t="shared" si="1"/>
        <v>74.028758230898219</v>
      </c>
    </row>
    <row r="24" spans="1:6" ht="18.75">
      <c r="A24" s="7" t="s">
        <v>19</v>
      </c>
      <c r="B24" s="8" t="s">
        <v>287</v>
      </c>
      <c r="C24" s="7" t="s">
        <v>315</v>
      </c>
      <c r="D24" s="53">
        <f>'2.8.'!C38</f>
        <v>106.92077960447652</v>
      </c>
      <c r="E24" s="5">
        <v>0</v>
      </c>
      <c r="F24" s="6">
        <f t="shared" si="1"/>
        <v>106.92077960447652</v>
      </c>
    </row>
    <row r="25" spans="1:6">
      <c r="A25" s="23" t="s">
        <v>41</v>
      </c>
      <c r="B25" s="130" t="s">
        <v>288</v>
      </c>
      <c r="C25" s="130"/>
      <c r="D25" s="130"/>
      <c r="E25" s="130"/>
      <c r="F25" s="130"/>
    </row>
    <row r="26" spans="1:6" ht="18.75">
      <c r="A26" s="7" t="s">
        <v>20</v>
      </c>
      <c r="B26" s="8" t="s">
        <v>289</v>
      </c>
      <c r="C26" s="7" t="s">
        <v>315</v>
      </c>
      <c r="D26" s="53">
        <f>'3.1.'!C38</f>
        <v>73.417087116971999</v>
      </c>
      <c r="E26" s="5">
        <v>0</v>
      </c>
      <c r="F26" s="6">
        <f>SUM(D26:E26)</f>
        <v>73.417087116971999</v>
      </c>
    </row>
    <row r="27" spans="1:6" ht="34.5">
      <c r="A27" s="7" t="s">
        <v>21</v>
      </c>
      <c r="B27" s="8" t="s">
        <v>290</v>
      </c>
      <c r="C27" s="7" t="s">
        <v>315</v>
      </c>
      <c r="D27" s="53">
        <f>'3.2.'!C38</f>
        <v>81.081219509667534</v>
      </c>
      <c r="E27" s="5">
        <v>0</v>
      </c>
      <c r="F27" s="6">
        <f>SUM(D27:E27)</f>
        <v>81.081219509667534</v>
      </c>
    </row>
    <row r="28" spans="1:6" ht="18.75">
      <c r="A28" s="7" t="s">
        <v>22</v>
      </c>
      <c r="B28" s="8" t="s">
        <v>291</v>
      </c>
      <c r="C28" s="7" t="s">
        <v>315</v>
      </c>
      <c r="D28" s="53">
        <f>'3.3.'!C38</f>
        <v>85.520010754884808</v>
      </c>
      <c r="E28" s="5">
        <v>0</v>
      </c>
      <c r="F28" s="6">
        <f>SUM(D28:E28)</f>
        <v>85.520010754884808</v>
      </c>
    </row>
    <row r="29" spans="1:6" ht="18.75">
      <c r="A29" s="7" t="s">
        <v>31</v>
      </c>
      <c r="B29" s="8" t="s">
        <v>292</v>
      </c>
      <c r="C29" s="7" t="s">
        <v>315</v>
      </c>
      <c r="D29" s="53">
        <f>'3.4.'!C39</f>
        <v>101.96919749117315</v>
      </c>
      <c r="E29" s="5">
        <v>0</v>
      </c>
      <c r="F29" s="6">
        <f>D29+E29</f>
        <v>101.96919749117315</v>
      </c>
    </row>
    <row r="30" spans="1:6">
      <c r="A30" s="23" t="s">
        <v>42</v>
      </c>
      <c r="B30" s="130" t="s">
        <v>293</v>
      </c>
      <c r="C30" s="130"/>
      <c r="D30" s="130"/>
      <c r="E30" s="130"/>
      <c r="F30" s="130"/>
    </row>
    <row r="31" spans="1:6" ht="34.5">
      <c r="A31" s="7" t="s">
        <v>23</v>
      </c>
      <c r="B31" s="8" t="s">
        <v>294</v>
      </c>
      <c r="C31" s="7" t="s">
        <v>315</v>
      </c>
      <c r="D31" s="53">
        <f>'4.1.'!C33</f>
        <v>51.128737327150773</v>
      </c>
      <c r="E31" s="5">
        <v>0</v>
      </c>
      <c r="F31" s="6">
        <f>D31+E31</f>
        <v>51.128737327150773</v>
      </c>
    </row>
    <row r="32" spans="1:6" ht="29.25" customHeight="1">
      <c r="A32" s="7" t="s">
        <v>24</v>
      </c>
      <c r="B32" s="8" t="s">
        <v>295</v>
      </c>
      <c r="C32" s="7" t="s">
        <v>315</v>
      </c>
      <c r="D32" s="53">
        <f>'4.2.'!C33</f>
        <v>47.499193400000003</v>
      </c>
      <c r="E32" s="5">
        <v>0</v>
      </c>
      <c r="F32" s="6">
        <f t="shared" ref="F32:F41" si="2">D32+E32</f>
        <v>47.499193400000003</v>
      </c>
    </row>
    <row r="33" spans="1:6" ht="38.25">
      <c r="A33" s="7" t="s">
        <v>32</v>
      </c>
      <c r="B33" s="8" t="s">
        <v>296</v>
      </c>
      <c r="C33" s="7" t="s">
        <v>315</v>
      </c>
      <c r="D33" s="53">
        <f>'4.3.'!C33</f>
        <v>42.829260699999999</v>
      </c>
      <c r="E33" s="5">
        <v>0</v>
      </c>
      <c r="F33" s="6">
        <f t="shared" si="2"/>
        <v>42.829260699999999</v>
      </c>
    </row>
    <row r="34" spans="1:6" ht="38.25">
      <c r="A34" s="7" t="s">
        <v>33</v>
      </c>
      <c r="B34" s="8" t="s">
        <v>297</v>
      </c>
      <c r="C34" s="7" t="s">
        <v>315</v>
      </c>
      <c r="D34" s="53">
        <f>'4.4.'!C33</f>
        <v>30.822102189393934</v>
      </c>
      <c r="E34" s="5">
        <v>0</v>
      </c>
      <c r="F34" s="6">
        <f t="shared" si="2"/>
        <v>30.822102189393934</v>
      </c>
    </row>
    <row r="35" spans="1:6" ht="45">
      <c r="A35" s="7" t="s">
        <v>34</v>
      </c>
      <c r="B35" s="8" t="s">
        <v>320</v>
      </c>
      <c r="C35" s="7" t="s">
        <v>315</v>
      </c>
      <c r="D35" s="53">
        <f>'4.5.'!C34</f>
        <v>31.751944739803356</v>
      </c>
      <c r="E35" s="5">
        <v>0</v>
      </c>
      <c r="F35" s="6">
        <f t="shared" si="2"/>
        <v>31.751944739803356</v>
      </c>
    </row>
    <row r="36" spans="1:6" ht="18.75">
      <c r="A36" s="7" t="s">
        <v>35</v>
      </c>
      <c r="B36" s="8" t="s">
        <v>321</v>
      </c>
      <c r="C36" s="7" t="s">
        <v>315</v>
      </c>
      <c r="D36" s="53">
        <f>'4.6.'!C23</f>
        <v>28.125667</v>
      </c>
      <c r="E36" s="5">
        <v>0</v>
      </c>
      <c r="F36" s="6">
        <f t="shared" si="2"/>
        <v>28.125667</v>
      </c>
    </row>
    <row r="37" spans="1:6" ht="38.25">
      <c r="A37" s="7" t="s">
        <v>36</v>
      </c>
      <c r="B37" s="8" t="s">
        <v>298</v>
      </c>
      <c r="C37" s="7" t="s">
        <v>315</v>
      </c>
      <c r="D37" s="53">
        <f>'4.7.'!C23</f>
        <v>26.920999999999999</v>
      </c>
      <c r="E37" s="5">
        <v>0</v>
      </c>
      <c r="F37" s="6">
        <f t="shared" si="2"/>
        <v>26.920999999999999</v>
      </c>
    </row>
    <row r="38" spans="1:6" ht="38.25">
      <c r="A38" s="7" t="s">
        <v>37</v>
      </c>
      <c r="B38" s="8" t="s">
        <v>299</v>
      </c>
      <c r="C38" s="7" t="s">
        <v>315</v>
      </c>
      <c r="D38" s="53">
        <f>'4.8.'!C23</f>
        <v>17.872499999999999</v>
      </c>
      <c r="E38" s="5">
        <v>0</v>
      </c>
      <c r="F38" s="6">
        <f t="shared" si="2"/>
        <v>17.872499999999999</v>
      </c>
    </row>
    <row r="39" spans="1:6" ht="38.25">
      <c r="A39" s="7" t="s">
        <v>38</v>
      </c>
      <c r="B39" s="8" t="s">
        <v>322</v>
      </c>
      <c r="C39" s="7" t="s">
        <v>315</v>
      </c>
      <c r="D39" s="53">
        <f>'4.9.'!C22</f>
        <v>11.954285714285714</v>
      </c>
      <c r="E39" s="5">
        <v>0</v>
      </c>
      <c r="F39" s="6">
        <f t="shared" si="2"/>
        <v>11.954285714285714</v>
      </c>
    </row>
    <row r="40" spans="1:6" ht="38.25">
      <c r="A40" s="7" t="s">
        <v>39</v>
      </c>
      <c r="B40" s="8" t="s">
        <v>300</v>
      </c>
      <c r="C40" s="7" t="s">
        <v>315</v>
      </c>
      <c r="D40" s="53">
        <f>'4.10.'!C39</f>
        <v>150.18244538478359</v>
      </c>
      <c r="E40" s="5">
        <v>0</v>
      </c>
      <c r="F40" s="6">
        <f t="shared" si="2"/>
        <v>150.18244538478359</v>
      </c>
    </row>
    <row r="41" spans="1:6" ht="22.5">
      <c r="A41" s="7" t="s">
        <v>40</v>
      </c>
      <c r="B41" s="8" t="s">
        <v>323</v>
      </c>
      <c r="C41" s="7" t="s">
        <v>316</v>
      </c>
      <c r="D41" s="53">
        <f>'4.11.'!C18</f>
        <v>0.26000011295180719</v>
      </c>
      <c r="E41" s="5">
        <v>0</v>
      </c>
      <c r="F41" s="6">
        <f t="shared" si="2"/>
        <v>0.26000011295180719</v>
      </c>
    </row>
    <row r="42" spans="1:6">
      <c r="A42" s="23" t="s">
        <v>25</v>
      </c>
      <c r="B42" s="130" t="s">
        <v>301</v>
      </c>
      <c r="C42" s="130"/>
      <c r="D42" s="130"/>
      <c r="E42" s="130"/>
      <c r="F42" s="130"/>
    </row>
    <row r="43" spans="1:6" ht="22.5">
      <c r="A43" s="7" t="s">
        <v>43</v>
      </c>
      <c r="B43" s="8" t="s">
        <v>324</v>
      </c>
      <c r="C43" s="7" t="s">
        <v>315</v>
      </c>
      <c r="D43" s="53">
        <f>'5.1.'!C38</f>
        <v>101.46631035</v>
      </c>
      <c r="E43" s="5">
        <v>0</v>
      </c>
      <c r="F43" s="6">
        <f>D43+E43</f>
        <v>101.46631035</v>
      </c>
    </row>
    <row r="44" spans="1:6" ht="22.5">
      <c r="A44" s="7" t="s">
        <v>44</v>
      </c>
      <c r="B44" s="8" t="s">
        <v>325</v>
      </c>
      <c r="C44" s="7" t="s">
        <v>315</v>
      </c>
      <c r="D44" s="53">
        <f>'5.2.'!C37</f>
        <v>78.703915670898567</v>
      </c>
      <c r="E44" s="5">
        <v>0</v>
      </c>
      <c r="F44" s="6">
        <f t="shared" ref="F44:F47" si="3">D44+E44</f>
        <v>78.703915670898567</v>
      </c>
    </row>
    <row r="45" spans="1:6" ht="45">
      <c r="A45" s="7" t="s">
        <v>45</v>
      </c>
      <c r="B45" s="8" t="s">
        <v>326</v>
      </c>
      <c r="C45" s="7" t="s">
        <v>315</v>
      </c>
      <c r="D45" s="53">
        <f>'5.3.'!C33</f>
        <v>50.083283840740734</v>
      </c>
      <c r="E45" s="5">
        <v>0</v>
      </c>
      <c r="F45" s="6">
        <f t="shared" si="3"/>
        <v>50.083283840740734</v>
      </c>
    </row>
    <row r="46" spans="1:6" ht="45">
      <c r="A46" s="7" t="s">
        <v>46</v>
      </c>
      <c r="B46" s="8" t="s">
        <v>327</v>
      </c>
      <c r="C46" s="7" t="s">
        <v>315</v>
      </c>
      <c r="D46" s="53">
        <f>'5.4.'!C38</f>
        <v>72.470002605351411</v>
      </c>
      <c r="E46" s="5">
        <v>0</v>
      </c>
      <c r="F46" s="6">
        <f t="shared" si="3"/>
        <v>72.470002605351411</v>
      </c>
    </row>
    <row r="47" spans="1:6" ht="38.25">
      <c r="A47" s="7" t="s">
        <v>47</v>
      </c>
      <c r="B47" s="8" t="s">
        <v>328</v>
      </c>
      <c r="C47" s="7" t="s">
        <v>317</v>
      </c>
      <c r="D47" s="53">
        <f>'5.5.'!C19</f>
        <v>29.963333333333338</v>
      </c>
      <c r="E47" s="5">
        <v>0</v>
      </c>
      <c r="F47" s="6">
        <f t="shared" si="3"/>
        <v>29.963333333333338</v>
      </c>
    </row>
    <row r="48" spans="1:6" ht="17.25" customHeight="1">
      <c r="A48" s="23" t="s">
        <v>26</v>
      </c>
      <c r="B48" s="134" t="s">
        <v>329</v>
      </c>
      <c r="C48" s="135"/>
      <c r="D48" s="135"/>
      <c r="E48" s="135"/>
      <c r="F48" s="136"/>
    </row>
    <row r="49" spans="1:6" ht="47.25">
      <c r="A49" s="11" t="s">
        <v>27</v>
      </c>
      <c r="B49" s="10" t="s">
        <v>302</v>
      </c>
      <c r="C49" s="7" t="s">
        <v>315</v>
      </c>
      <c r="D49" s="53">
        <f>'6.1.'!C19</f>
        <v>1.80005875</v>
      </c>
      <c r="E49" s="5">
        <v>0</v>
      </c>
      <c r="F49" s="6">
        <f t="shared" ref="F49:F60" si="4">D49+E49</f>
        <v>1.80005875</v>
      </c>
    </row>
    <row r="50" spans="1:6" ht="47.25">
      <c r="A50" s="11" t="s">
        <v>28</v>
      </c>
      <c r="B50" s="10" t="s">
        <v>303</v>
      </c>
      <c r="C50" s="7" t="s">
        <v>315</v>
      </c>
      <c r="D50" s="53">
        <f>'6.2.'!C19</f>
        <v>1.1700000000000002</v>
      </c>
      <c r="E50" s="5">
        <v>0</v>
      </c>
      <c r="F50" s="6">
        <f t="shared" si="4"/>
        <v>1.1700000000000002</v>
      </c>
    </row>
    <row r="51" spans="1:6" ht="47.25">
      <c r="A51" s="11" t="s">
        <v>29</v>
      </c>
      <c r="B51" s="10" t="s">
        <v>304</v>
      </c>
      <c r="C51" s="7" t="s">
        <v>315</v>
      </c>
      <c r="D51" s="53">
        <f>'6.3.'!C19</f>
        <v>1.0299995818882466</v>
      </c>
      <c r="E51" s="5">
        <v>0</v>
      </c>
      <c r="F51" s="6">
        <f t="shared" si="4"/>
        <v>1.0299995818882466</v>
      </c>
    </row>
    <row r="52" spans="1:6">
      <c r="A52" s="11" t="s">
        <v>48</v>
      </c>
      <c r="B52" s="10" t="s">
        <v>305</v>
      </c>
      <c r="C52" s="7" t="s">
        <v>318</v>
      </c>
      <c r="D52" s="53">
        <f>'6.4.'!C19</f>
        <v>6.69</v>
      </c>
      <c r="E52" s="5">
        <v>0</v>
      </c>
      <c r="F52" s="6">
        <f t="shared" si="4"/>
        <v>6.69</v>
      </c>
    </row>
    <row r="53" spans="1:6">
      <c r="A53" s="11" t="s">
        <v>49</v>
      </c>
      <c r="B53" s="10" t="s">
        <v>306</v>
      </c>
      <c r="C53" s="7" t="s">
        <v>319</v>
      </c>
      <c r="D53" s="53">
        <f>'6.5.'!C26</f>
        <v>440.9270602727272</v>
      </c>
      <c r="E53" s="5">
        <v>0</v>
      </c>
      <c r="F53" s="6">
        <f t="shared" si="4"/>
        <v>440.9270602727272</v>
      </c>
    </row>
    <row r="54" spans="1:6">
      <c r="A54" s="11" t="s">
        <v>50</v>
      </c>
      <c r="B54" s="10" t="s">
        <v>307</v>
      </c>
      <c r="C54" s="7" t="s">
        <v>319</v>
      </c>
      <c r="D54" s="53">
        <f>'6.6.'!C26</f>
        <v>43.408879999999996</v>
      </c>
      <c r="E54" s="5">
        <v>0</v>
      </c>
      <c r="F54" s="6">
        <f t="shared" si="4"/>
        <v>43.408879999999996</v>
      </c>
    </row>
    <row r="55" spans="1:6">
      <c r="A55" s="11" t="s">
        <v>51</v>
      </c>
      <c r="B55" s="10" t="s">
        <v>308</v>
      </c>
      <c r="C55" s="7" t="s">
        <v>319</v>
      </c>
      <c r="D55" s="53">
        <f>'6.7.'!C26</f>
        <v>122.53583333333334</v>
      </c>
      <c r="E55" s="5">
        <v>0</v>
      </c>
      <c r="F55" s="6">
        <f t="shared" si="4"/>
        <v>122.53583333333334</v>
      </c>
    </row>
    <row r="56" spans="1:6" ht="31.5">
      <c r="A56" s="11" t="s">
        <v>52</v>
      </c>
      <c r="B56" s="10" t="s">
        <v>309</v>
      </c>
      <c r="C56" s="7" t="s">
        <v>319</v>
      </c>
      <c r="D56" s="53">
        <f>'6.8.'!C20</f>
        <v>1033.1200000000001</v>
      </c>
      <c r="E56" s="5">
        <v>0</v>
      </c>
      <c r="F56" s="6">
        <f t="shared" si="4"/>
        <v>1033.1200000000001</v>
      </c>
    </row>
    <row r="57" spans="1:6" ht="31.5">
      <c r="A57" s="11" t="s">
        <v>53</v>
      </c>
      <c r="B57" s="10" t="s">
        <v>310</v>
      </c>
      <c r="C57" s="7" t="s">
        <v>319</v>
      </c>
      <c r="D57" s="53">
        <f>'6.9.'!C20</f>
        <v>516.56000000000006</v>
      </c>
      <c r="E57" s="5">
        <v>0</v>
      </c>
      <c r="F57" s="6">
        <f t="shared" si="4"/>
        <v>516.56000000000006</v>
      </c>
    </row>
    <row r="58" spans="1:6" ht="31.5">
      <c r="A58" s="11" t="s">
        <v>54</v>
      </c>
      <c r="B58" s="10" t="s">
        <v>311</v>
      </c>
      <c r="C58" s="7" t="s">
        <v>319</v>
      </c>
      <c r="D58" s="53">
        <f>'6.10.'!C25</f>
        <v>195.23874125874127</v>
      </c>
      <c r="E58" s="5">
        <v>0</v>
      </c>
      <c r="F58" s="6">
        <f t="shared" si="4"/>
        <v>195.23874125874127</v>
      </c>
    </row>
    <row r="59" spans="1:6" ht="31.5">
      <c r="A59" s="11" t="s">
        <v>55</v>
      </c>
      <c r="B59" s="10" t="s">
        <v>312</v>
      </c>
      <c r="C59" s="7" t="s">
        <v>319</v>
      </c>
      <c r="D59" s="53">
        <f>'6.11.'!C25</f>
        <v>110.98</v>
      </c>
      <c r="E59" s="5">
        <v>0</v>
      </c>
      <c r="F59" s="6">
        <f t="shared" si="4"/>
        <v>110.98</v>
      </c>
    </row>
    <row r="60" spans="1:6">
      <c r="A60" s="11" t="s">
        <v>56</v>
      </c>
      <c r="B60" s="10" t="s">
        <v>313</v>
      </c>
      <c r="C60" s="7" t="s">
        <v>330</v>
      </c>
      <c r="D60" s="54">
        <f>'6.12.'!C18</f>
        <v>1.1499999999999999</v>
      </c>
      <c r="E60" s="5">
        <v>0</v>
      </c>
      <c r="F60" s="12">
        <f t="shared" si="4"/>
        <v>1.1499999999999999</v>
      </c>
    </row>
    <row r="61" spans="1:6">
      <c r="A61" s="131"/>
      <c r="B61" s="131"/>
      <c r="C61" s="131"/>
      <c r="D61" s="131"/>
      <c r="E61" s="131"/>
      <c r="F61" s="131"/>
    </row>
    <row r="62" spans="1:6">
      <c r="A62" s="1" t="s">
        <v>263</v>
      </c>
    </row>
    <row r="63" spans="1:6" s="20" customFormat="1" ht="28.5">
      <c r="B63" s="111" t="s">
        <v>265</v>
      </c>
    </row>
    <row r="64" spans="1:6" s="20" customFormat="1" ht="28.5">
      <c r="B64" s="111" t="s">
        <v>266</v>
      </c>
    </row>
    <row r="65" spans="2:2" s="20" customFormat="1" ht="38.25">
      <c r="B65" s="111" t="s">
        <v>264</v>
      </c>
    </row>
    <row r="66" spans="2:2" s="20" customFormat="1" ht="54">
      <c r="B66" s="111" t="s">
        <v>267</v>
      </c>
    </row>
    <row r="67" spans="2:2" s="20" customFormat="1" ht="18.75" customHeight="1">
      <c r="B67" s="111" t="s">
        <v>268</v>
      </c>
    </row>
    <row r="68" spans="2:2" s="20" customFormat="1" ht="27" customHeight="1">
      <c r="B68" s="111" t="s">
        <v>269</v>
      </c>
    </row>
    <row r="69" spans="2:2" s="20" customFormat="1" ht="30" customHeight="1">
      <c r="B69" s="116" t="s">
        <v>270</v>
      </c>
    </row>
    <row r="70" spans="2:2" s="20" customFormat="1" ht="30.75" customHeight="1">
      <c r="B70" s="116" t="s">
        <v>271</v>
      </c>
    </row>
    <row r="71" spans="2:2" s="20" customFormat="1" ht="28.5">
      <c r="B71" s="111" t="s">
        <v>272</v>
      </c>
    </row>
    <row r="72" spans="2:2" s="20" customFormat="1" ht="28.5">
      <c r="B72" s="111" t="s">
        <v>273</v>
      </c>
    </row>
    <row r="73" spans="2:2" s="20" customFormat="1">
      <c r="B73" s="111" t="s">
        <v>274</v>
      </c>
    </row>
    <row r="74" spans="2:2" s="20" customFormat="1">
      <c r="B74" s="111" t="s">
        <v>331</v>
      </c>
    </row>
    <row r="75" spans="2:2" s="117" customFormat="1" ht="44.25" customHeight="1">
      <c r="B75" s="116" t="s">
        <v>332</v>
      </c>
    </row>
    <row r="76" spans="2:2" s="20" customFormat="1" ht="28.5">
      <c r="B76" s="111" t="s">
        <v>333</v>
      </c>
    </row>
    <row r="77" spans="2:2" s="20" customFormat="1" ht="28.5">
      <c r="B77" s="111" t="s">
        <v>334</v>
      </c>
    </row>
  </sheetData>
  <mergeCells count="16">
    <mergeCell ref="D1:F1"/>
    <mergeCell ref="C2:F5"/>
    <mergeCell ref="A7:F7"/>
    <mergeCell ref="A10:A11"/>
    <mergeCell ref="B10:B11"/>
    <mergeCell ref="C10:C11"/>
    <mergeCell ref="D10:D11"/>
    <mergeCell ref="E10:E11"/>
    <mergeCell ref="F10:F11"/>
    <mergeCell ref="B42:F42"/>
    <mergeCell ref="A61:F61"/>
    <mergeCell ref="B12:F12"/>
    <mergeCell ref="B16:F16"/>
    <mergeCell ref="B25:F25"/>
    <mergeCell ref="B30:F30"/>
    <mergeCell ref="B48:F48"/>
  </mergeCells>
  <pageMargins left="0.70866141732283472" right="0.70866141732283472" top="0.74803149606299213" bottom="0.74803149606299213" header="0.31496062992125984" footer="0.31496062992125984"/>
  <pageSetup paperSize="9" scale="58"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F42"/>
  <sheetViews>
    <sheetView topLeftCell="A5" zoomScaleNormal="100" workbookViewId="0">
      <selection activeCell="D5" sqref="D1:D1048576"/>
    </sheetView>
  </sheetViews>
  <sheetFormatPr defaultColWidth="8.85546875" defaultRowHeight="15.75"/>
  <cols>
    <col min="1" max="1" width="14.85546875" style="1" customWidth="1"/>
    <col min="2" max="2" width="100" style="1" customWidth="1"/>
    <col min="3" max="3" width="19.85546875" style="1" customWidth="1"/>
    <col min="4" max="16384" width="8.85546875" style="1"/>
  </cols>
  <sheetData>
    <row r="1" spans="1:4">
      <c r="A1" s="139" t="s">
        <v>57</v>
      </c>
      <c r="B1" s="139"/>
      <c r="C1" s="139"/>
      <c r="D1" s="24"/>
    </row>
    <row r="3" spans="1:4">
      <c r="A3" s="145" t="s">
        <v>69</v>
      </c>
      <c r="B3" s="145"/>
      <c r="C3" s="145"/>
    </row>
    <row r="4" spans="1:4" ht="33.75" customHeight="1">
      <c r="A4" s="145" t="s">
        <v>104</v>
      </c>
      <c r="B4" s="145"/>
      <c r="C4" s="145"/>
    </row>
    <row r="5" spans="1:4">
      <c r="A5" s="145" t="s">
        <v>58</v>
      </c>
      <c r="B5" s="145"/>
      <c r="C5" s="145"/>
    </row>
    <row r="6" spans="1:4" ht="16.5" thickBot="1">
      <c r="A6" s="146" t="s">
        <v>220</v>
      </c>
      <c r="B6" s="146"/>
    </row>
    <row r="7" spans="1:4" ht="85.5" customHeight="1" thickBot="1">
      <c r="A7" s="25" t="s">
        <v>59</v>
      </c>
      <c r="B7" s="26" t="s">
        <v>60</v>
      </c>
      <c r="C7" s="26" t="s">
        <v>61</v>
      </c>
    </row>
    <row r="8" spans="1:4" ht="16.5" thickBot="1">
      <c r="A8" s="41"/>
      <c r="B8" s="42" t="s">
        <v>62</v>
      </c>
      <c r="C8" s="43"/>
      <c r="D8" s="100"/>
    </row>
    <row r="9" spans="1:4">
      <c r="A9" s="147" t="s">
        <v>75</v>
      </c>
      <c r="B9" s="45" t="s">
        <v>103</v>
      </c>
      <c r="C9" s="49">
        <f>20.66*7</f>
        <v>144.62</v>
      </c>
      <c r="D9" s="100"/>
    </row>
    <row r="10" spans="1:4">
      <c r="A10" s="148"/>
      <c r="B10" s="46" t="s">
        <v>72</v>
      </c>
      <c r="C10" s="108">
        <f>13.37*7</f>
        <v>93.589999999999989</v>
      </c>
      <c r="D10" s="100"/>
    </row>
    <row r="11" spans="1:4" ht="16.5" thickBot="1">
      <c r="A11" s="149"/>
      <c r="B11" s="47" t="s">
        <v>73</v>
      </c>
      <c r="C11" s="109">
        <f>9.01*7</f>
        <v>63.07</v>
      </c>
      <c r="D11" s="100"/>
    </row>
    <row r="12" spans="1:4" ht="39" customHeight="1" thickBot="1">
      <c r="A12" s="27" t="s">
        <v>76</v>
      </c>
      <c r="B12" s="71" t="s">
        <v>74</v>
      </c>
      <c r="C12" s="33">
        <f>(C9+C10+C11)*0.2409</f>
        <v>72.578351999999995</v>
      </c>
    </row>
    <row r="13" spans="1:4" ht="32.25" thickBot="1">
      <c r="A13" s="27" t="s">
        <v>77</v>
      </c>
      <c r="B13" s="30" t="s">
        <v>167</v>
      </c>
      <c r="C13" s="33">
        <f>0.84*7</f>
        <v>5.88</v>
      </c>
    </row>
    <row r="14" spans="1:4" ht="32.25" thickBot="1">
      <c r="A14" s="27" t="s">
        <v>79</v>
      </c>
      <c r="B14" s="30" t="s">
        <v>183</v>
      </c>
      <c r="C14" s="52">
        <f>(1.36+9.22)*7</f>
        <v>74.06</v>
      </c>
    </row>
    <row r="15" spans="1:4" ht="32.25" thickBot="1">
      <c r="A15" s="27" t="s">
        <v>80</v>
      </c>
      <c r="B15" s="71" t="s">
        <v>169</v>
      </c>
      <c r="C15" s="33">
        <f>1.03*7</f>
        <v>7.21</v>
      </c>
    </row>
    <row r="16" spans="1:4" ht="32.25" thickBot="1">
      <c r="A16" s="27" t="s">
        <v>82</v>
      </c>
      <c r="B16" s="30" t="s">
        <v>171</v>
      </c>
      <c r="C16" s="33">
        <f>1.42*7</f>
        <v>9.94</v>
      </c>
    </row>
    <row r="17" spans="1:6" ht="32.25" thickBot="1">
      <c r="A17" s="27" t="s">
        <v>170</v>
      </c>
      <c r="B17" s="30" t="s">
        <v>172</v>
      </c>
      <c r="C17" s="33">
        <f>1.14*7</f>
        <v>7.9799999999999995</v>
      </c>
    </row>
    <row r="18" spans="1:6" ht="32.25" thickBot="1">
      <c r="A18" s="27" t="s">
        <v>81</v>
      </c>
      <c r="B18" s="30" t="s">
        <v>182</v>
      </c>
      <c r="C18" s="52">
        <f>11.45*7</f>
        <v>80.149999999999991</v>
      </c>
    </row>
    <row r="19" spans="1:6" ht="16.5" thickBot="1">
      <c r="A19" s="27"/>
      <c r="B19" s="31" t="s">
        <v>63</v>
      </c>
      <c r="C19" s="32">
        <f>SUM(C9:C18)</f>
        <v>559.078352</v>
      </c>
    </row>
    <row r="20" spans="1:6" ht="16.5" thickBot="1">
      <c r="A20" s="27"/>
      <c r="B20" s="31" t="s">
        <v>64</v>
      </c>
      <c r="C20" s="33"/>
    </row>
    <row r="21" spans="1:6" ht="32.25" thickBot="1">
      <c r="A21" s="27" t="s">
        <v>84</v>
      </c>
      <c r="B21" s="34" t="s">
        <v>152</v>
      </c>
      <c r="C21" s="33">
        <f>(C9+C10+C11)*0.25</f>
        <v>75.319999999999993</v>
      </c>
    </row>
    <row r="22" spans="1:6" ht="32.25" thickBot="1">
      <c r="A22" s="27" t="s">
        <v>76</v>
      </c>
      <c r="B22" s="71" t="s">
        <v>74</v>
      </c>
      <c r="C22" s="33">
        <f>C21*0.2409</f>
        <v>18.144587999999999</v>
      </c>
    </row>
    <row r="23" spans="1:6" ht="32.25" thickBot="1">
      <c r="A23" s="27" t="s">
        <v>88</v>
      </c>
      <c r="B23" s="29" t="s">
        <v>162</v>
      </c>
      <c r="C23" s="33">
        <f>(39708/438912)*7</f>
        <v>0.63328412073490814</v>
      </c>
      <c r="D23" s="36"/>
    </row>
    <row r="24" spans="1:6" ht="32.25" thickBot="1">
      <c r="A24" s="27" t="s">
        <v>85</v>
      </c>
      <c r="B24" s="30" t="s">
        <v>164</v>
      </c>
      <c r="C24" s="33">
        <f>1.85*7</f>
        <v>12.950000000000001</v>
      </c>
    </row>
    <row r="25" spans="1:6" ht="32.25" thickBot="1">
      <c r="A25" s="27" t="s">
        <v>86</v>
      </c>
      <c r="B25" s="73" t="s">
        <v>161</v>
      </c>
      <c r="C25" s="33">
        <f>(234731/438912)*7</f>
        <v>3.7436137540099157</v>
      </c>
    </row>
    <row r="26" spans="1:6" ht="32.25" thickBot="1">
      <c r="A26" s="27" t="s">
        <v>82</v>
      </c>
      <c r="B26" s="35" t="s">
        <v>163</v>
      </c>
      <c r="C26" s="33">
        <f>1.28*7</f>
        <v>8.9600000000000009</v>
      </c>
    </row>
    <row r="27" spans="1:6" ht="32.25" thickBot="1">
      <c r="A27" s="27" t="s">
        <v>78</v>
      </c>
      <c r="B27" s="71" t="s">
        <v>166</v>
      </c>
      <c r="C27" s="33">
        <f>1.43*7</f>
        <v>10.01</v>
      </c>
    </row>
    <row r="28" spans="1:6" ht="32.25" thickBot="1">
      <c r="A28" s="27" t="s">
        <v>136</v>
      </c>
      <c r="B28" s="30" t="s">
        <v>228</v>
      </c>
      <c r="C28" s="33">
        <f>(286606/438912)*7</f>
        <v>4.5709436060075825</v>
      </c>
    </row>
    <row r="29" spans="1:6" ht="32.25" thickBot="1">
      <c r="A29" s="27" t="s">
        <v>134</v>
      </c>
      <c r="B29" s="30" t="s">
        <v>173</v>
      </c>
      <c r="C29" s="33">
        <f>(157571/438912)*7</f>
        <v>2.51302539005541</v>
      </c>
    </row>
    <row r="30" spans="1:6" ht="32.25" thickBot="1">
      <c r="A30" s="27" t="s">
        <v>87</v>
      </c>
      <c r="B30" s="30" t="s">
        <v>156</v>
      </c>
      <c r="C30" s="33">
        <f>(46423/438912)*7</f>
        <v>0.74037848133566642</v>
      </c>
    </row>
    <row r="31" spans="1:6" ht="32.25" thickBot="1">
      <c r="A31" s="27" t="s">
        <v>83</v>
      </c>
      <c r="B31" s="30" t="s">
        <v>165</v>
      </c>
      <c r="C31" s="33">
        <f>( 21000/438912)*7</f>
        <v>0.33491907261592302</v>
      </c>
    </row>
    <row r="32" spans="1:6" ht="32.25" thickBot="1">
      <c r="A32" s="27" t="s">
        <v>175</v>
      </c>
      <c r="B32" s="30" t="s">
        <v>176</v>
      </c>
      <c r="C32" s="33">
        <f>3.55*7</f>
        <v>24.849999999999998</v>
      </c>
      <c r="F32" s="9"/>
    </row>
    <row r="33" spans="1:5" ht="16.5" thickBot="1">
      <c r="A33" s="27"/>
      <c r="B33" s="28" t="s">
        <v>65</v>
      </c>
      <c r="C33" s="32">
        <f>SUM(C21:C32)</f>
        <v>162.77075242475937</v>
      </c>
    </row>
    <row r="34" spans="1:5" ht="16.5" thickBot="1">
      <c r="A34" s="27"/>
      <c r="B34" s="37" t="s">
        <v>66</v>
      </c>
      <c r="C34" s="32">
        <f>C33+C19</f>
        <v>721.84910442475939</v>
      </c>
    </row>
    <row r="35" spans="1:5">
      <c r="C35" s="9"/>
    </row>
    <row r="36" spans="1:5" ht="16.5" thickBot="1">
      <c r="C36" s="9"/>
    </row>
    <row r="37" spans="1:5" ht="16.5" thickBot="1">
      <c r="A37" s="141" t="s">
        <v>67</v>
      </c>
      <c r="B37" s="142"/>
      <c r="C37" s="38">
        <v>7</v>
      </c>
    </row>
    <row r="38" spans="1:5" ht="16.5" thickBot="1">
      <c r="A38" s="141" t="s">
        <v>68</v>
      </c>
      <c r="B38" s="142"/>
      <c r="C38" s="39">
        <f>C34/C37</f>
        <v>103.12130063210849</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F42"/>
  <sheetViews>
    <sheetView topLeftCell="A3" zoomScaleNormal="100" workbookViewId="0">
      <selection activeCell="D3" sqref="D1:D1048576"/>
    </sheetView>
  </sheetViews>
  <sheetFormatPr defaultColWidth="8.85546875" defaultRowHeight="15.75"/>
  <cols>
    <col min="1" max="1" width="16.7109375" style="1" customWidth="1"/>
    <col min="2" max="2" width="106.85546875" style="1" customWidth="1"/>
    <col min="3" max="3" width="19.85546875" style="1" customWidth="1"/>
    <col min="4" max="4" width="7.85546875" style="1" customWidth="1"/>
    <col min="5" max="16384" width="8.85546875" style="1"/>
  </cols>
  <sheetData>
    <row r="1" spans="1:4">
      <c r="A1" s="139" t="s">
        <v>57</v>
      </c>
      <c r="B1" s="139"/>
      <c r="C1" s="139"/>
      <c r="D1" s="24"/>
    </row>
    <row r="3" spans="1:4">
      <c r="A3" s="145" t="s">
        <v>69</v>
      </c>
      <c r="B3" s="145"/>
      <c r="C3" s="145"/>
    </row>
    <row r="4" spans="1:4" ht="33.75" customHeight="1">
      <c r="A4" s="145" t="s">
        <v>105</v>
      </c>
      <c r="B4" s="145"/>
      <c r="C4" s="145"/>
    </row>
    <row r="5" spans="1:4">
      <c r="A5" s="145" t="s">
        <v>58</v>
      </c>
      <c r="B5" s="145"/>
      <c r="C5" s="145"/>
    </row>
    <row r="6" spans="1:4" ht="16.5" thickBot="1">
      <c r="A6" s="146" t="s">
        <v>212</v>
      </c>
      <c r="B6" s="146"/>
    </row>
    <row r="7" spans="1:4" ht="93" customHeight="1" thickBot="1">
      <c r="A7" s="25" t="s">
        <v>59</v>
      </c>
      <c r="B7" s="26" t="s">
        <v>60</v>
      </c>
      <c r="C7" s="26" t="s">
        <v>61</v>
      </c>
    </row>
    <row r="8" spans="1:4" ht="16.5" thickBot="1">
      <c r="A8" s="41"/>
      <c r="B8" s="42" t="s">
        <v>62</v>
      </c>
      <c r="C8" s="43"/>
      <c r="D8" s="100"/>
    </row>
    <row r="9" spans="1:4">
      <c r="A9" s="147" t="s">
        <v>75</v>
      </c>
      <c r="B9" s="45" t="s">
        <v>91</v>
      </c>
      <c r="C9" s="49">
        <f>12.97*97</f>
        <v>1258.0900000000001</v>
      </c>
      <c r="D9" s="100"/>
    </row>
    <row r="10" spans="1:4">
      <c r="A10" s="148"/>
      <c r="B10" s="46" t="s">
        <v>72</v>
      </c>
      <c r="C10" s="108">
        <f>8.02*97</f>
        <v>777.93999999999994</v>
      </c>
      <c r="D10" s="100"/>
    </row>
    <row r="11" spans="1:4" ht="16.5" thickBot="1">
      <c r="A11" s="149"/>
      <c r="B11" s="47" t="s">
        <v>73</v>
      </c>
      <c r="C11" s="109">
        <f>5.4*97</f>
        <v>523.80000000000007</v>
      </c>
      <c r="D11" s="100"/>
    </row>
    <row r="12" spans="1:4" ht="33.75" customHeight="1" thickBot="1">
      <c r="A12" s="27" t="s">
        <v>76</v>
      </c>
      <c r="B12" s="71" t="s">
        <v>74</v>
      </c>
      <c r="C12" s="33">
        <f>(C9+C10+C11)*0.2409</f>
        <v>616.66304700000012</v>
      </c>
    </row>
    <row r="13" spans="1:4" ht="32.25" thickBot="1">
      <c r="A13" s="27" t="s">
        <v>77</v>
      </c>
      <c r="B13" s="30" t="s">
        <v>167</v>
      </c>
      <c r="C13" s="33">
        <f>0.84*97</f>
        <v>81.48</v>
      </c>
    </row>
    <row r="14" spans="1:4" ht="32.25" thickBot="1">
      <c r="A14" s="27" t="s">
        <v>79</v>
      </c>
      <c r="B14" s="30" t="s">
        <v>180</v>
      </c>
      <c r="C14" s="52">
        <f>(1.36+11.52)*97</f>
        <v>1249.3599999999999</v>
      </c>
    </row>
    <row r="15" spans="1:4" ht="32.25" thickBot="1">
      <c r="A15" s="27" t="s">
        <v>80</v>
      </c>
      <c r="B15" s="71" t="s">
        <v>169</v>
      </c>
      <c r="C15" s="33">
        <f>(452717/438912)*97</f>
        <v>100.05091909084283</v>
      </c>
    </row>
    <row r="16" spans="1:4" ht="32.25" thickBot="1">
      <c r="A16" s="27" t="s">
        <v>82</v>
      </c>
      <c r="B16" s="30" t="s">
        <v>171</v>
      </c>
      <c r="C16" s="33">
        <f>1.42*97</f>
        <v>137.73999999999998</v>
      </c>
    </row>
    <row r="17" spans="1:6" ht="32.25" thickBot="1">
      <c r="A17" s="27" t="s">
        <v>170</v>
      </c>
      <c r="B17" s="30" t="s">
        <v>172</v>
      </c>
      <c r="C17" s="33">
        <f>1.14*97</f>
        <v>110.57999999999998</v>
      </c>
    </row>
    <row r="18" spans="1:6" ht="32.25" thickBot="1">
      <c r="A18" s="27" t="s">
        <v>81</v>
      </c>
      <c r="B18" s="30" t="s">
        <v>179</v>
      </c>
      <c r="C18" s="52">
        <f>5.88*97</f>
        <v>570.36</v>
      </c>
    </row>
    <row r="19" spans="1:6" ht="16.5" thickBot="1">
      <c r="A19" s="27"/>
      <c r="B19" s="31" t="s">
        <v>63</v>
      </c>
      <c r="C19" s="32">
        <f>SUM(C9:C18)</f>
        <v>5426.0639660908419</v>
      </c>
    </row>
    <row r="20" spans="1:6" ht="16.5" thickBot="1">
      <c r="A20" s="27"/>
      <c r="B20" s="31" t="s">
        <v>64</v>
      </c>
      <c r="C20" s="33"/>
    </row>
    <row r="21" spans="1:6" ht="33.75" customHeight="1" thickBot="1">
      <c r="A21" s="27" t="s">
        <v>84</v>
      </c>
      <c r="B21" s="34" t="s">
        <v>152</v>
      </c>
      <c r="C21" s="33">
        <f>(C9+C10+C11)*0.25</f>
        <v>639.9575000000001</v>
      </c>
    </row>
    <row r="22" spans="1:6" ht="36.75" customHeight="1" thickBot="1">
      <c r="A22" s="27" t="s">
        <v>76</v>
      </c>
      <c r="B22" s="71" t="s">
        <v>74</v>
      </c>
      <c r="C22" s="33">
        <f>C21*0.2409</f>
        <v>154.16576175000003</v>
      </c>
    </row>
    <row r="23" spans="1:6" ht="32.25" thickBot="1">
      <c r="A23" s="27" t="s">
        <v>88</v>
      </c>
      <c r="B23" s="29" t="s">
        <v>162</v>
      </c>
      <c r="C23" s="33">
        <f>(39708/438912)*97</f>
        <v>8.7755085301837266</v>
      </c>
      <c r="D23" s="36"/>
    </row>
    <row r="24" spans="1:6" ht="32.25" thickBot="1">
      <c r="A24" s="27" t="s">
        <v>85</v>
      </c>
      <c r="B24" s="30" t="s">
        <v>164</v>
      </c>
      <c r="C24" s="33">
        <f>1.85*97</f>
        <v>179.45000000000002</v>
      </c>
    </row>
    <row r="25" spans="1:6" ht="32.25" thickBot="1">
      <c r="A25" s="27" t="s">
        <v>86</v>
      </c>
      <c r="B25" s="73" t="s">
        <v>161</v>
      </c>
      <c r="C25" s="33">
        <f>(234731/438912)*97</f>
        <v>51.875790591280257</v>
      </c>
    </row>
    <row r="26" spans="1:6" ht="32.25" thickBot="1">
      <c r="A26" s="27" t="s">
        <v>82</v>
      </c>
      <c r="B26" s="35" t="s">
        <v>163</v>
      </c>
      <c r="C26" s="33">
        <f>1.28*97</f>
        <v>124.16</v>
      </c>
    </row>
    <row r="27" spans="1:6" ht="32.25" thickBot="1">
      <c r="A27" s="27" t="s">
        <v>78</v>
      </c>
      <c r="B27" s="71" t="s">
        <v>166</v>
      </c>
      <c r="C27" s="33">
        <f>1.43*97</f>
        <v>138.71</v>
      </c>
    </row>
    <row r="28" spans="1:6" ht="34.5" customHeight="1" thickBot="1">
      <c r="A28" s="27" t="s">
        <v>136</v>
      </c>
      <c r="B28" s="71" t="s">
        <v>228</v>
      </c>
      <c r="C28" s="33">
        <f>0.65*97</f>
        <v>63.050000000000004</v>
      </c>
    </row>
    <row r="29" spans="1:6" ht="32.25" thickBot="1">
      <c r="A29" s="27" t="s">
        <v>134</v>
      </c>
      <c r="B29" s="30" t="s">
        <v>173</v>
      </c>
      <c r="C29" s="33">
        <f>0.36*97</f>
        <v>34.92</v>
      </c>
    </row>
    <row r="30" spans="1:6" ht="32.25" thickBot="1">
      <c r="A30" s="27" t="s">
        <v>87</v>
      </c>
      <c r="B30" s="30" t="s">
        <v>156</v>
      </c>
      <c r="C30" s="33">
        <f>0.11*97</f>
        <v>10.67</v>
      </c>
    </row>
    <row r="31" spans="1:6" ht="32.25" thickBot="1">
      <c r="A31" s="27" t="s">
        <v>83</v>
      </c>
      <c r="B31" s="30" t="s">
        <v>165</v>
      </c>
      <c r="C31" s="33">
        <f>(21000/438912)*97</f>
        <v>4.6410214348206473</v>
      </c>
    </row>
    <row r="32" spans="1:6" ht="32.25" thickBot="1">
      <c r="A32" s="27" t="s">
        <v>175</v>
      </c>
      <c r="B32" s="30" t="s">
        <v>176</v>
      </c>
      <c r="C32" s="33">
        <f>3.55*97</f>
        <v>344.34999999999997</v>
      </c>
      <c r="F32" s="9"/>
    </row>
    <row r="33" spans="1:5" ht="16.5" thickBot="1">
      <c r="A33" s="27"/>
      <c r="B33" s="28" t="s">
        <v>65</v>
      </c>
      <c r="C33" s="32">
        <f>SUM(C21:C32)</f>
        <v>1754.7255823062849</v>
      </c>
    </row>
    <row r="34" spans="1:5" ht="16.5" thickBot="1">
      <c r="A34" s="27"/>
      <c r="B34" s="37" t="s">
        <v>66</v>
      </c>
      <c r="C34" s="32">
        <f>C33+C19</f>
        <v>7180.789548397127</v>
      </c>
    </row>
    <row r="35" spans="1:5">
      <c r="C35" s="9"/>
    </row>
    <row r="36" spans="1:5" ht="16.5" thickBot="1">
      <c r="C36" s="9"/>
    </row>
    <row r="37" spans="1:5" ht="16.5" thickBot="1">
      <c r="A37" s="141" t="s">
        <v>67</v>
      </c>
      <c r="B37" s="142"/>
      <c r="C37" s="38">
        <v>97</v>
      </c>
    </row>
    <row r="38" spans="1:5" ht="16.5" thickBot="1">
      <c r="A38" s="141" t="s">
        <v>68</v>
      </c>
      <c r="B38" s="142"/>
      <c r="C38" s="39">
        <f>C34/C37</f>
        <v>74.028758230898219</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F42"/>
  <sheetViews>
    <sheetView topLeftCell="A2" zoomScaleNormal="100" workbookViewId="0">
      <selection activeCell="D2" sqref="D1:D1048576"/>
    </sheetView>
  </sheetViews>
  <sheetFormatPr defaultColWidth="8.85546875" defaultRowHeight="15.75"/>
  <cols>
    <col min="1" max="1" width="13.85546875" style="1" customWidth="1"/>
    <col min="2" max="2" width="99.42578125" style="1" customWidth="1"/>
    <col min="3" max="3" width="19.85546875" style="1" customWidth="1"/>
    <col min="4" max="4" width="8.28515625" style="1" customWidth="1"/>
    <col min="5" max="16384" width="8.85546875" style="1"/>
  </cols>
  <sheetData>
    <row r="1" spans="1:4">
      <c r="A1" s="139" t="s">
        <v>57</v>
      </c>
      <c r="B1" s="139"/>
      <c r="C1" s="139"/>
      <c r="D1" s="24"/>
    </row>
    <row r="3" spans="1:4">
      <c r="A3" s="145" t="s">
        <v>69</v>
      </c>
      <c r="B3" s="145"/>
      <c r="C3" s="145"/>
    </row>
    <row r="4" spans="1:4" ht="33.75" customHeight="1">
      <c r="A4" s="145" t="s">
        <v>106</v>
      </c>
      <c r="B4" s="145"/>
      <c r="C4" s="145"/>
    </row>
    <row r="5" spans="1:4">
      <c r="A5" s="145" t="s">
        <v>58</v>
      </c>
      <c r="B5" s="145"/>
      <c r="C5" s="145"/>
    </row>
    <row r="6" spans="1:4" ht="16.5" thickBot="1">
      <c r="A6" s="146" t="s">
        <v>220</v>
      </c>
      <c r="B6" s="146"/>
    </row>
    <row r="7" spans="1:4" ht="85.5" customHeight="1" thickBot="1">
      <c r="A7" s="25" t="s">
        <v>59</v>
      </c>
      <c r="B7" s="26" t="s">
        <v>60</v>
      </c>
      <c r="C7" s="26" t="s">
        <v>61</v>
      </c>
    </row>
    <row r="8" spans="1:4" ht="16.5" thickBot="1">
      <c r="A8" s="41"/>
      <c r="B8" s="42" t="s">
        <v>62</v>
      </c>
      <c r="C8" s="43"/>
      <c r="D8" s="100"/>
    </row>
    <row r="9" spans="1:4">
      <c r="A9" s="147" t="s">
        <v>75</v>
      </c>
      <c r="B9" s="45" t="s">
        <v>91</v>
      </c>
      <c r="C9" s="49">
        <f>21.63*7</f>
        <v>151.41</v>
      </c>
      <c r="D9" s="100"/>
    </row>
    <row r="10" spans="1:4">
      <c r="A10" s="148"/>
      <c r="B10" s="46" t="s">
        <v>72</v>
      </c>
      <c r="C10" s="108">
        <f>13.37*7</f>
        <v>93.589999999999989</v>
      </c>
      <c r="D10" s="100"/>
    </row>
    <row r="11" spans="1:4" ht="16.5" thickBot="1">
      <c r="A11" s="149"/>
      <c r="B11" s="47" t="s">
        <v>73</v>
      </c>
      <c r="C11" s="109">
        <f>9.01*7</f>
        <v>63.07</v>
      </c>
      <c r="D11" s="100"/>
    </row>
    <row r="12" spans="1:4" ht="32.25" thickBot="1">
      <c r="A12" s="27" t="s">
        <v>76</v>
      </c>
      <c r="B12" s="34" t="s">
        <v>74</v>
      </c>
      <c r="C12" s="33">
        <f>(C9+C10+C11)*0.2409</f>
        <v>74.214062999999996</v>
      </c>
    </row>
    <row r="13" spans="1:4" ht="32.25" thickBot="1">
      <c r="A13" s="27" t="s">
        <v>77</v>
      </c>
      <c r="B13" s="30" t="s">
        <v>167</v>
      </c>
      <c r="C13" s="33">
        <f>0.84*7</f>
        <v>5.88</v>
      </c>
    </row>
    <row r="14" spans="1:4" ht="32.25" thickBot="1">
      <c r="A14" s="27" t="s">
        <v>79</v>
      </c>
      <c r="B14" s="30" t="s">
        <v>180</v>
      </c>
      <c r="C14" s="52">
        <f>(1.36+11.52)*7</f>
        <v>90.16</v>
      </c>
    </row>
    <row r="15" spans="1:4" ht="32.25" thickBot="1">
      <c r="A15" s="27" t="s">
        <v>80</v>
      </c>
      <c r="B15" s="71" t="s">
        <v>169</v>
      </c>
      <c r="C15" s="33">
        <f>1.03*7</f>
        <v>7.21</v>
      </c>
    </row>
    <row r="16" spans="1:4" ht="32.25" thickBot="1">
      <c r="A16" s="27" t="s">
        <v>82</v>
      </c>
      <c r="B16" s="30" t="s">
        <v>171</v>
      </c>
      <c r="C16" s="33">
        <f>1.42*7</f>
        <v>9.94</v>
      </c>
    </row>
    <row r="17" spans="1:6" ht="32.25" thickBot="1">
      <c r="A17" s="27" t="s">
        <v>170</v>
      </c>
      <c r="B17" s="30" t="s">
        <v>172</v>
      </c>
      <c r="C17" s="33">
        <f>1.14*7</f>
        <v>7.9799999999999995</v>
      </c>
    </row>
    <row r="18" spans="1:6" ht="32.25" thickBot="1">
      <c r="A18" s="27" t="s">
        <v>81</v>
      </c>
      <c r="B18" s="30" t="s">
        <v>182</v>
      </c>
      <c r="C18" s="52">
        <f>11.45*7</f>
        <v>80.149999999999991</v>
      </c>
    </row>
    <row r="19" spans="1:6" ht="16.5" thickBot="1">
      <c r="A19" s="27"/>
      <c r="B19" s="31" t="s">
        <v>63</v>
      </c>
      <c r="C19" s="32">
        <f>SUM(C9:C18)</f>
        <v>583.604063</v>
      </c>
    </row>
    <row r="20" spans="1:6" ht="16.5" thickBot="1">
      <c r="A20" s="27"/>
      <c r="B20" s="31" t="s">
        <v>64</v>
      </c>
      <c r="C20" s="33"/>
    </row>
    <row r="21" spans="1:6" ht="32.25" thickBot="1">
      <c r="A21" s="27" t="s">
        <v>84</v>
      </c>
      <c r="B21" s="34" t="s">
        <v>152</v>
      </c>
      <c r="C21" s="33">
        <f>(C9+C10+C11)*0.25</f>
        <v>77.017499999999998</v>
      </c>
    </row>
    <row r="22" spans="1:6" ht="32.25" thickBot="1">
      <c r="A22" s="27" t="s">
        <v>76</v>
      </c>
      <c r="B22" s="30" t="s">
        <v>74</v>
      </c>
      <c r="C22" s="33">
        <f>C21*0.2409</f>
        <v>18.553515749999999</v>
      </c>
    </row>
    <row r="23" spans="1:6" ht="32.25" thickBot="1">
      <c r="A23" s="27" t="s">
        <v>88</v>
      </c>
      <c r="B23" s="29" t="s">
        <v>162</v>
      </c>
      <c r="C23" s="33">
        <f>0.09*7</f>
        <v>0.63</v>
      </c>
      <c r="D23" s="36"/>
    </row>
    <row r="24" spans="1:6" ht="32.25" thickBot="1">
      <c r="A24" s="27" t="s">
        <v>85</v>
      </c>
      <c r="B24" s="30" t="s">
        <v>164</v>
      </c>
      <c r="C24" s="33">
        <f>1.85*7</f>
        <v>12.950000000000001</v>
      </c>
    </row>
    <row r="25" spans="1:6" ht="32.25" thickBot="1">
      <c r="A25" s="27" t="s">
        <v>86</v>
      </c>
      <c r="B25" s="73" t="s">
        <v>161</v>
      </c>
      <c r="C25" s="33">
        <f>0.53*7</f>
        <v>3.71</v>
      </c>
    </row>
    <row r="26" spans="1:6" ht="32.25" thickBot="1">
      <c r="A26" s="27" t="s">
        <v>82</v>
      </c>
      <c r="B26" s="35" t="s">
        <v>163</v>
      </c>
      <c r="C26" s="33">
        <f>1.28*7</f>
        <v>8.9600000000000009</v>
      </c>
    </row>
    <row r="27" spans="1:6" ht="32.25" thickBot="1">
      <c r="A27" s="27" t="s">
        <v>78</v>
      </c>
      <c r="B27" s="30" t="s">
        <v>166</v>
      </c>
      <c r="C27" s="33">
        <f>1.43*7</f>
        <v>10.01</v>
      </c>
    </row>
    <row r="28" spans="1:6" ht="32.25" thickBot="1">
      <c r="A28" s="27" t="s">
        <v>136</v>
      </c>
      <c r="B28" s="71" t="s">
        <v>228</v>
      </c>
      <c r="C28" s="33">
        <f>0.65*7</f>
        <v>4.55</v>
      </c>
    </row>
    <row r="29" spans="1:6" ht="32.25" thickBot="1">
      <c r="A29" s="27" t="s">
        <v>134</v>
      </c>
      <c r="B29" s="30" t="s">
        <v>173</v>
      </c>
      <c r="C29" s="33">
        <f>0.36*7</f>
        <v>2.52</v>
      </c>
    </row>
    <row r="30" spans="1:6" ht="32.25" thickBot="1">
      <c r="A30" s="27" t="s">
        <v>87</v>
      </c>
      <c r="B30" s="30" t="s">
        <v>156</v>
      </c>
      <c r="C30" s="33">
        <f>(46423/438912)*7</f>
        <v>0.74037848133566642</v>
      </c>
    </row>
    <row r="31" spans="1:6" ht="32.25" thickBot="1">
      <c r="A31" s="27" t="s">
        <v>83</v>
      </c>
      <c r="B31" s="30" t="s">
        <v>165</v>
      </c>
      <c r="C31" s="33">
        <f>0.05*7</f>
        <v>0.35000000000000003</v>
      </c>
    </row>
    <row r="32" spans="1:6" ht="32.25" thickBot="1">
      <c r="A32" s="27" t="s">
        <v>175</v>
      </c>
      <c r="B32" s="30" t="s">
        <v>176</v>
      </c>
      <c r="C32" s="33">
        <f>3.55*7</f>
        <v>24.849999999999998</v>
      </c>
      <c r="F32" s="9"/>
    </row>
    <row r="33" spans="1:5" ht="16.5" thickBot="1">
      <c r="A33" s="27"/>
      <c r="B33" s="28" t="s">
        <v>65</v>
      </c>
      <c r="C33" s="32">
        <f>SUM(C21:C32)</f>
        <v>164.84139423133564</v>
      </c>
    </row>
    <row r="34" spans="1:5" ht="16.5" thickBot="1">
      <c r="A34" s="27"/>
      <c r="B34" s="37" t="s">
        <v>66</v>
      </c>
      <c r="C34" s="32">
        <f>C33+C19</f>
        <v>748.44545723133569</v>
      </c>
    </row>
    <row r="35" spans="1:5">
      <c r="C35" s="9"/>
    </row>
    <row r="36" spans="1:5" ht="16.5" thickBot="1">
      <c r="C36" s="9"/>
    </row>
    <row r="37" spans="1:5" ht="16.5" thickBot="1">
      <c r="A37" s="141" t="s">
        <v>67</v>
      </c>
      <c r="B37" s="142"/>
      <c r="C37" s="38">
        <v>7</v>
      </c>
    </row>
    <row r="38" spans="1:5" ht="16.5" thickBot="1">
      <c r="A38" s="141" t="s">
        <v>68</v>
      </c>
      <c r="B38" s="142"/>
      <c r="C38" s="39">
        <f>C34/C37</f>
        <v>106.92077960447652</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E45"/>
  <sheetViews>
    <sheetView topLeftCell="A25" zoomScaleNormal="100" workbookViewId="0">
      <selection activeCell="C10" sqref="C10"/>
    </sheetView>
  </sheetViews>
  <sheetFormatPr defaultColWidth="8.85546875" defaultRowHeight="15.75"/>
  <cols>
    <col min="1" max="1" width="15.5703125" style="1" customWidth="1"/>
    <col min="2" max="2" width="98.140625" style="1" customWidth="1"/>
    <col min="3" max="3" width="19.85546875" style="1" customWidth="1"/>
    <col min="4" max="16384" width="8.85546875" style="1"/>
  </cols>
  <sheetData>
    <row r="1" spans="1:3">
      <c r="A1" s="139" t="s">
        <v>57</v>
      </c>
      <c r="B1" s="139"/>
      <c r="C1" s="139"/>
    </row>
    <row r="3" spans="1:3">
      <c r="A3" s="145" t="s">
        <v>69</v>
      </c>
      <c r="B3" s="145"/>
      <c r="C3" s="145"/>
    </row>
    <row r="4" spans="1:3" ht="33.75" customHeight="1">
      <c r="A4" s="145" t="s">
        <v>107</v>
      </c>
      <c r="B4" s="145"/>
      <c r="C4" s="145"/>
    </row>
    <row r="5" spans="1:3">
      <c r="A5" s="145" t="s">
        <v>58</v>
      </c>
      <c r="B5" s="145"/>
      <c r="C5" s="145"/>
    </row>
    <row r="6" spans="1:3" ht="16.5" thickBot="1">
      <c r="A6" s="146" t="s">
        <v>340</v>
      </c>
      <c r="B6" s="146"/>
    </row>
    <row r="7" spans="1:3" ht="94.5" customHeight="1" thickBot="1">
      <c r="A7" s="25" t="s">
        <v>59</v>
      </c>
      <c r="B7" s="26" t="s">
        <v>60</v>
      </c>
      <c r="C7" s="26" t="s">
        <v>61</v>
      </c>
    </row>
    <row r="8" spans="1:3" ht="16.5" thickBot="1">
      <c r="A8" s="41"/>
      <c r="B8" s="42" t="s">
        <v>62</v>
      </c>
      <c r="C8" s="43"/>
    </row>
    <row r="9" spans="1:3">
      <c r="A9" s="147" t="s">
        <v>75</v>
      </c>
      <c r="B9" s="45" t="s">
        <v>72</v>
      </c>
      <c r="C9" s="49">
        <f>13.37*2666</f>
        <v>35644.42</v>
      </c>
    </row>
    <row r="10" spans="1:3">
      <c r="A10" s="148"/>
      <c r="B10" s="46" t="s">
        <v>72</v>
      </c>
      <c r="C10" s="108">
        <f>13.37*2666</f>
        <v>35644.42</v>
      </c>
    </row>
    <row r="11" spans="1:3" ht="16.5" thickBot="1">
      <c r="A11" s="149"/>
      <c r="B11" s="47" t="s">
        <v>73</v>
      </c>
      <c r="C11" s="109">
        <f>9.01*2666</f>
        <v>24020.66</v>
      </c>
    </row>
    <row r="12" spans="1:3" ht="32.25" thickBot="1">
      <c r="A12" s="27" t="s">
        <v>76</v>
      </c>
      <c r="B12" s="71" t="s">
        <v>74</v>
      </c>
      <c r="C12" s="33">
        <f>ROUNDUP((C9+C10+C11)*0.2409,1)</f>
        <v>22960.1</v>
      </c>
    </row>
    <row r="13" spans="1:3" ht="32.25" thickBot="1">
      <c r="A13" s="27" t="s">
        <v>77</v>
      </c>
      <c r="B13" s="30" t="s">
        <v>167</v>
      </c>
      <c r="C13" s="33">
        <f>0.84*2666</f>
        <v>2239.44</v>
      </c>
    </row>
    <row r="14" spans="1:3" ht="32.25" thickBot="1">
      <c r="A14" s="27" t="s">
        <v>79</v>
      </c>
      <c r="B14" s="30" t="s">
        <v>225</v>
      </c>
      <c r="C14" s="52">
        <f>1.36*2666</f>
        <v>3625.76</v>
      </c>
    </row>
    <row r="15" spans="1:3" ht="32.25" thickBot="1">
      <c r="A15" s="27" t="s">
        <v>80</v>
      </c>
      <c r="B15" s="71" t="s">
        <v>169</v>
      </c>
      <c r="C15" s="33">
        <f>1.03*2666</f>
        <v>2745.98</v>
      </c>
    </row>
    <row r="16" spans="1:3" ht="32.25" thickBot="1">
      <c r="A16" s="27" t="s">
        <v>82</v>
      </c>
      <c r="B16" s="30" t="s">
        <v>171</v>
      </c>
      <c r="C16" s="33">
        <f>1.42*2666</f>
        <v>3785.72</v>
      </c>
    </row>
    <row r="17" spans="1:5" ht="32.25" thickBot="1">
      <c r="A17" s="27" t="s">
        <v>170</v>
      </c>
      <c r="B17" s="30" t="s">
        <v>172</v>
      </c>
      <c r="C17" s="33">
        <f>1.14*2666</f>
        <v>3039.24</v>
      </c>
    </row>
    <row r="18" spans="1:5" ht="32.25" thickBot="1">
      <c r="A18" s="27" t="s">
        <v>81</v>
      </c>
      <c r="B18" s="30" t="s">
        <v>184</v>
      </c>
      <c r="C18" s="52">
        <f>7.95*2666</f>
        <v>21194.7</v>
      </c>
    </row>
    <row r="19" spans="1:5" ht="16.5" thickBot="1">
      <c r="A19" s="27"/>
      <c r="B19" s="31" t="s">
        <v>63</v>
      </c>
      <c r="C19" s="32">
        <f>SUM(C9:C18)</f>
        <v>154900.44</v>
      </c>
    </row>
    <row r="20" spans="1:5" ht="16.5" thickBot="1">
      <c r="A20" s="27"/>
      <c r="B20" s="31" t="s">
        <v>64</v>
      </c>
      <c r="C20" s="33"/>
    </row>
    <row r="21" spans="1:5" ht="32.25" thickBot="1">
      <c r="A21" s="27" t="s">
        <v>84</v>
      </c>
      <c r="B21" s="34" t="s">
        <v>342</v>
      </c>
      <c r="C21" s="33">
        <f>(C9+C10+C11)*0.15</f>
        <v>14296.424999999999</v>
      </c>
    </row>
    <row r="22" spans="1:5" ht="32.25" thickBot="1">
      <c r="A22" s="27" t="s">
        <v>76</v>
      </c>
      <c r="B22" s="30" t="s">
        <v>74</v>
      </c>
      <c r="C22" s="33">
        <f>C21*0.2409</f>
        <v>3444.0087825000001</v>
      </c>
    </row>
    <row r="23" spans="1:5" ht="32.25" thickBot="1">
      <c r="A23" s="27" t="s">
        <v>88</v>
      </c>
      <c r="B23" s="29" t="s">
        <v>162</v>
      </c>
      <c r="C23" s="33">
        <f>0.09*2666</f>
        <v>239.94</v>
      </c>
    </row>
    <row r="24" spans="1:5" ht="32.25" thickBot="1">
      <c r="A24" s="27" t="s">
        <v>85</v>
      </c>
      <c r="B24" s="30" t="s">
        <v>164</v>
      </c>
      <c r="C24" s="33">
        <f>1.85*2666</f>
        <v>4932.1000000000004</v>
      </c>
    </row>
    <row r="25" spans="1:5" ht="32.25" thickBot="1">
      <c r="A25" s="27" t="s">
        <v>86</v>
      </c>
      <c r="B25" s="73" t="s">
        <v>161</v>
      </c>
      <c r="C25" s="33">
        <f>((234731/438912)*2666)</f>
        <v>1425.7820383129192</v>
      </c>
    </row>
    <row r="26" spans="1:5" ht="32.25" thickBot="1">
      <c r="A26" s="27" t="s">
        <v>82</v>
      </c>
      <c r="B26" s="35" t="s">
        <v>163</v>
      </c>
      <c r="C26" s="33">
        <f>1.28*2666</f>
        <v>3412.48</v>
      </c>
    </row>
    <row r="27" spans="1:5" ht="32.25" thickBot="1">
      <c r="A27" s="27" t="s">
        <v>78</v>
      </c>
      <c r="B27" s="71" t="s">
        <v>166</v>
      </c>
      <c r="C27" s="33">
        <f>1.43*2666</f>
        <v>3812.3799999999997</v>
      </c>
    </row>
    <row r="28" spans="1:5" ht="32.25" thickBot="1">
      <c r="A28" s="27" t="s">
        <v>136</v>
      </c>
      <c r="B28" s="71" t="s">
        <v>228</v>
      </c>
      <c r="C28" s="33">
        <f>0.65*2666</f>
        <v>1732.9</v>
      </c>
    </row>
    <row r="29" spans="1:5" ht="32.25" thickBot="1">
      <c r="A29" s="27" t="s">
        <v>134</v>
      </c>
      <c r="B29" s="30" t="s">
        <v>213</v>
      </c>
      <c r="C29" s="33">
        <f>0.36*2666</f>
        <v>959.76</v>
      </c>
    </row>
    <row r="30" spans="1:5" ht="32.25" thickBot="1">
      <c r="A30" s="27" t="s">
        <v>87</v>
      </c>
      <c r="B30" s="30" t="s">
        <v>156</v>
      </c>
      <c r="C30" s="33">
        <f>(46423/438912)*2666</f>
        <v>281.97843303441238</v>
      </c>
    </row>
    <row r="31" spans="1:5" ht="32.25" thickBot="1">
      <c r="A31" s="27" t="s">
        <v>83</v>
      </c>
      <c r="B31" s="30" t="s">
        <v>165</v>
      </c>
      <c r="C31" s="33">
        <f>0.05*2666</f>
        <v>133.30000000000001</v>
      </c>
    </row>
    <row r="32" spans="1:5" ht="32.25" thickBot="1">
      <c r="A32" s="27" t="s">
        <v>175</v>
      </c>
      <c r="B32" s="30" t="s">
        <v>178</v>
      </c>
      <c r="C32" s="33">
        <f>2.31*2666</f>
        <v>6158.46</v>
      </c>
      <c r="E32" s="9"/>
    </row>
    <row r="33" spans="1:4" ht="16.5" thickBot="1">
      <c r="A33" s="27"/>
      <c r="B33" s="28" t="s">
        <v>65</v>
      </c>
      <c r="C33" s="32">
        <f>SUM(C21:C32)</f>
        <v>40829.51425384733</v>
      </c>
    </row>
    <row r="34" spans="1:4" ht="16.5" thickBot="1">
      <c r="A34" s="27"/>
      <c r="B34" s="37" t="s">
        <v>66</v>
      </c>
      <c r="C34" s="32">
        <f>C33+C19</f>
        <v>195729.95425384733</v>
      </c>
    </row>
    <row r="35" spans="1:4">
      <c r="C35" s="9"/>
    </row>
    <row r="36" spans="1:4" ht="16.5" thickBot="1">
      <c r="C36" s="9"/>
    </row>
    <row r="37" spans="1:4" ht="16.5" thickBot="1">
      <c r="A37" s="141" t="s">
        <v>67</v>
      </c>
      <c r="B37" s="142"/>
      <c r="C37" s="113">
        <v>2666</v>
      </c>
    </row>
    <row r="38" spans="1:4" ht="16.5" thickBot="1">
      <c r="A38" s="141" t="s">
        <v>68</v>
      </c>
      <c r="B38" s="142"/>
      <c r="C38" s="39">
        <f>C34/C37</f>
        <v>73.417087116971999</v>
      </c>
    </row>
    <row r="40" spans="1:4">
      <c r="A40" s="13"/>
      <c r="C40" s="13"/>
      <c r="D40" s="13"/>
    </row>
    <row r="41" spans="1:4">
      <c r="A41" s="13"/>
      <c r="C41" s="13"/>
      <c r="D41" s="13"/>
    </row>
    <row r="42" spans="1:4" ht="18.75" hidden="1" customHeight="1">
      <c r="A42" s="13">
        <v>1000</v>
      </c>
      <c r="C42" s="13"/>
      <c r="D42" s="13"/>
    </row>
    <row r="43" spans="1:4">
      <c r="A43" s="13"/>
      <c r="C43" s="13"/>
    </row>
    <row r="44" spans="1:4">
      <c r="C44" s="13"/>
    </row>
    <row r="45" spans="1:4">
      <c r="C45" s="13"/>
    </row>
  </sheetData>
  <mergeCells count="8">
    <mergeCell ref="A37:B37"/>
    <mergeCell ref="A38:B38"/>
    <mergeCell ref="A1:C1"/>
    <mergeCell ref="A3:C3"/>
    <mergeCell ref="A4:C4"/>
    <mergeCell ref="A5:C5"/>
    <mergeCell ref="A6:B6"/>
    <mergeCell ref="A9:A11"/>
  </mergeCells>
  <pageMargins left="0.7" right="0.7" top="0.75" bottom="0.75" header="0.3" footer="0.3"/>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F42"/>
  <sheetViews>
    <sheetView topLeftCell="A30" zoomScaleNormal="100" workbookViewId="0">
      <selection activeCell="D3" sqref="D1:D1048576"/>
    </sheetView>
  </sheetViews>
  <sheetFormatPr defaultColWidth="8.85546875" defaultRowHeight="15.75"/>
  <cols>
    <col min="1" max="1" width="14.140625" style="1" customWidth="1"/>
    <col min="2" max="2" width="93.5703125" style="1" customWidth="1"/>
    <col min="3" max="3" width="19.85546875" style="1" customWidth="1"/>
    <col min="4" max="16384" width="8.85546875" style="1"/>
  </cols>
  <sheetData>
    <row r="1" spans="1:4">
      <c r="A1" s="139" t="s">
        <v>57</v>
      </c>
      <c r="B1" s="139"/>
      <c r="C1" s="139"/>
      <c r="D1" s="24"/>
    </row>
    <row r="3" spans="1:4">
      <c r="A3" s="145" t="s">
        <v>69</v>
      </c>
      <c r="B3" s="145"/>
      <c r="C3" s="145"/>
    </row>
    <row r="4" spans="1:4" ht="33.75" customHeight="1">
      <c r="A4" s="145" t="s">
        <v>108</v>
      </c>
      <c r="B4" s="145"/>
      <c r="C4" s="145"/>
    </row>
    <row r="5" spans="1:4">
      <c r="A5" s="145" t="s">
        <v>58</v>
      </c>
      <c r="B5" s="145"/>
      <c r="C5" s="145"/>
    </row>
    <row r="6" spans="1:4" ht="16.5" thickBot="1">
      <c r="A6" s="146" t="s">
        <v>335</v>
      </c>
      <c r="B6" s="146"/>
    </row>
    <row r="7" spans="1:4" ht="92.25" customHeight="1" thickBot="1">
      <c r="A7" s="25" t="s">
        <v>59</v>
      </c>
      <c r="B7" s="26" t="s">
        <v>60</v>
      </c>
      <c r="C7" s="26" t="s">
        <v>61</v>
      </c>
    </row>
    <row r="8" spans="1:4" ht="16.5" thickBot="1">
      <c r="A8" s="41"/>
      <c r="B8" s="42" t="s">
        <v>62</v>
      </c>
      <c r="C8" s="43"/>
      <c r="D8" s="100"/>
    </row>
    <row r="9" spans="1:4">
      <c r="A9" s="147" t="s">
        <v>75</v>
      </c>
      <c r="B9" s="45" t="s">
        <v>96</v>
      </c>
      <c r="C9" s="49">
        <f>16.39*60</f>
        <v>983.40000000000009</v>
      </c>
      <c r="D9" s="100"/>
    </row>
    <row r="10" spans="1:4">
      <c r="A10" s="148"/>
      <c r="B10" s="46" t="s">
        <v>72</v>
      </c>
      <c r="C10" s="108">
        <f>11.58*60</f>
        <v>694.8</v>
      </c>
      <c r="D10" s="100"/>
    </row>
    <row r="11" spans="1:4" ht="16.5" thickBot="1">
      <c r="A11" s="149"/>
      <c r="B11" s="47" t="s">
        <v>73</v>
      </c>
      <c r="C11" s="109">
        <f>7.44*60</f>
        <v>446.40000000000003</v>
      </c>
      <c r="D11" s="100"/>
    </row>
    <row r="12" spans="1:4" ht="32.25" thickBot="1">
      <c r="A12" s="27" t="s">
        <v>76</v>
      </c>
      <c r="B12" s="71" t="s">
        <v>74</v>
      </c>
      <c r="C12" s="33">
        <f>(C9+C10+C11)*0.2409</f>
        <v>511.81613999999996</v>
      </c>
    </row>
    <row r="13" spans="1:4" ht="32.25" thickBot="1">
      <c r="A13" s="27" t="s">
        <v>77</v>
      </c>
      <c r="B13" s="30" t="s">
        <v>167</v>
      </c>
      <c r="C13" s="33">
        <f>ROUND((367899/438912)*60,2)</f>
        <v>50.29</v>
      </c>
    </row>
    <row r="14" spans="1:4" ht="32.25" thickBot="1">
      <c r="A14" s="27" t="s">
        <v>79</v>
      </c>
      <c r="B14" s="30" t="s">
        <v>181</v>
      </c>
      <c r="C14" s="52">
        <f>(1.36+6.91)*60</f>
        <v>496.2</v>
      </c>
    </row>
    <row r="15" spans="1:4" ht="32.25" thickBot="1">
      <c r="A15" s="27" t="s">
        <v>80</v>
      </c>
      <c r="B15" s="71" t="s">
        <v>169</v>
      </c>
      <c r="C15" s="33">
        <f>ROUND((452717/438912)*60,2)</f>
        <v>61.89</v>
      </c>
    </row>
    <row r="16" spans="1:4" ht="32.25" thickBot="1">
      <c r="A16" s="27" t="s">
        <v>82</v>
      </c>
      <c r="B16" s="30" t="s">
        <v>171</v>
      </c>
      <c r="C16" s="33">
        <f>1.42*60</f>
        <v>85.199999999999989</v>
      </c>
    </row>
    <row r="17" spans="1:6" ht="32.25" thickBot="1">
      <c r="A17" s="27" t="s">
        <v>170</v>
      </c>
      <c r="B17" s="30" t="s">
        <v>172</v>
      </c>
      <c r="C17" s="33">
        <f>(500471/438912)*60</f>
        <v>68.415217629046367</v>
      </c>
    </row>
    <row r="18" spans="1:6" ht="32.25" thickBot="1">
      <c r="A18" s="27" t="s">
        <v>81</v>
      </c>
      <c r="B18" s="30" t="s">
        <v>184</v>
      </c>
      <c r="C18" s="52">
        <f>7.95*60</f>
        <v>477</v>
      </c>
    </row>
    <row r="19" spans="1:6" ht="16.5" thickBot="1">
      <c r="A19" s="27"/>
      <c r="B19" s="31" t="s">
        <v>63</v>
      </c>
      <c r="C19" s="32">
        <f>SUM(C9:C18)</f>
        <v>3875.4113576290456</v>
      </c>
    </row>
    <row r="20" spans="1:6" ht="16.5" thickBot="1">
      <c r="A20" s="27"/>
      <c r="B20" s="31" t="s">
        <v>64</v>
      </c>
      <c r="C20" s="33"/>
    </row>
    <row r="21" spans="1:6" ht="32.25" thickBot="1">
      <c r="A21" s="27" t="s">
        <v>84</v>
      </c>
      <c r="B21" s="34" t="s">
        <v>151</v>
      </c>
      <c r="C21" s="33">
        <f>(C9+C10+C11)*0.15</f>
        <v>318.69</v>
      </c>
    </row>
    <row r="22" spans="1:6" ht="32.25" thickBot="1">
      <c r="A22" s="27" t="s">
        <v>76</v>
      </c>
      <c r="B22" s="71" t="s">
        <v>74</v>
      </c>
      <c r="C22" s="33">
        <f>C21*0.2409</f>
        <v>76.772420999999994</v>
      </c>
    </row>
    <row r="23" spans="1:6" ht="32.25" thickBot="1">
      <c r="A23" s="27" t="s">
        <v>88</v>
      </c>
      <c r="B23" s="29" t="s">
        <v>162</v>
      </c>
      <c r="C23" s="33">
        <f>ROUND((39708/438912)*60,2)</f>
        <v>5.43</v>
      </c>
      <c r="D23" s="36"/>
    </row>
    <row r="24" spans="1:6" ht="32.25" thickBot="1">
      <c r="A24" s="27" t="s">
        <v>85</v>
      </c>
      <c r="B24" s="30" t="s">
        <v>164</v>
      </c>
      <c r="C24" s="33">
        <f>1.85*60</f>
        <v>111</v>
      </c>
    </row>
    <row r="25" spans="1:6" ht="32.25" thickBot="1">
      <c r="A25" s="27" t="s">
        <v>86</v>
      </c>
      <c r="B25" s="29" t="s">
        <v>161</v>
      </c>
      <c r="C25" s="33">
        <f>ROUND((234731/438912)*60,2)</f>
        <v>32.090000000000003</v>
      </c>
    </row>
    <row r="26" spans="1:6" ht="32.25" thickBot="1">
      <c r="A26" s="27" t="s">
        <v>82</v>
      </c>
      <c r="B26" s="35" t="s">
        <v>163</v>
      </c>
      <c r="C26" s="33">
        <f>(561364/438912)*60</f>
        <v>76.739391951006127</v>
      </c>
    </row>
    <row r="27" spans="1:6" ht="32.25" thickBot="1">
      <c r="A27" s="27" t="s">
        <v>78</v>
      </c>
      <c r="B27" s="71" t="s">
        <v>166</v>
      </c>
      <c r="C27" s="33">
        <f>ROUND((627676/438912)*60,2)</f>
        <v>85.8</v>
      </c>
    </row>
    <row r="28" spans="1:6" ht="32.25" thickBot="1">
      <c r="A28" s="27" t="s">
        <v>136</v>
      </c>
      <c r="B28" s="71" t="s">
        <v>228</v>
      </c>
      <c r="C28" s="33">
        <f>ROUND((286606/438912)*60,2)</f>
        <v>39.18</v>
      </c>
    </row>
    <row r="29" spans="1:6" ht="52.5" customHeight="1" thickBot="1">
      <c r="A29" s="27" t="s">
        <v>134</v>
      </c>
      <c r="B29" s="71" t="s">
        <v>213</v>
      </c>
      <c r="C29" s="33">
        <f>ROUND((157571/438912)*60,2)</f>
        <v>21.54</v>
      </c>
    </row>
    <row r="30" spans="1:6" ht="32.25" thickBot="1">
      <c r="A30" s="27" t="s">
        <v>87</v>
      </c>
      <c r="B30" s="79" t="s">
        <v>156</v>
      </c>
      <c r="C30" s="33">
        <f>ROUND((46423/438912)*60,2)</f>
        <v>6.35</v>
      </c>
    </row>
    <row r="31" spans="1:6" ht="32.25" thickBot="1">
      <c r="A31" s="27" t="s">
        <v>83</v>
      </c>
      <c r="B31" s="79" t="s">
        <v>165</v>
      </c>
      <c r="C31" s="33">
        <f>ROUND((21000/438912)*60,2)</f>
        <v>2.87</v>
      </c>
    </row>
    <row r="32" spans="1:6" ht="32.25" thickBot="1">
      <c r="A32" s="27" t="s">
        <v>175</v>
      </c>
      <c r="B32" s="79" t="s">
        <v>176</v>
      </c>
      <c r="C32" s="33">
        <f>3.55*60</f>
        <v>213</v>
      </c>
      <c r="F32" s="9"/>
    </row>
    <row r="33" spans="1:5" ht="16.5" thickBot="1">
      <c r="A33" s="27"/>
      <c r="B33" s="28" t="s">
        <v>65</v>
      </c>
      <c r="C33" s="32">
        <f>SUM(C21:C32)</f>
        <v>989.4618129510061</v>
      </c>
    </row>
    <row r="34" spans="1:5" ht="16.5" thickBot="1">
      <c r="A34" s="27"/>
      <c r="B34" s="37" t="s">
        <v>66</v>
      </c>
      <c r="C34" s="32">
        <f>C33+C19</f>
        <v>4864.8731705800519</v>
      </c>
    </row>
    <row r="35" spans="1:5">
      <c r="C35" s="9"/>
    </row>
    <row r="36" spans="1:5" ht="16.5" thickBot="1">
      <c r="C36" s="9"/>
    </row>
    <row r="37" spans="1:5" ht="16.5" thickBot="1">
      <c r="A37" s="141" t="s">
        <v>67</v>
      </c>
      <c r="B37" s="142"/>
      <c r="C37" s="38">
        <v>60</v>
      </c>
    </row>
    <row r="38" spans="1:5" ht="16.5" thickBot="1">
      <c r="A38" s="141" t="s">
        <v>68</v>
      </c>
      <c r="B38" s="142"/>
      <c r="C38" s="39">
        <f>C34/C37</f>
        <v>81.081219509667534</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A1:F42"/>
  <sheetViews>
    <sheetView topLeftCell="A28" zoomScaleNormal="100" workbookViewId="0">
      <selection activeCell="D7" sqref="D1:D1048576"/>
    </sheetView>
  </sheetViews>
  <sheetFormatPr defaultColWidth="8.85546875" defaultRowHeight="15.75"/>
  <cols>
    <col min="1" max="1" width="15.5703125" style="1" customWidth="1"/>
    <col min="2" max="2" width="96.7109375" style="1" customWidth="1"/>
    <col min="3" max="3" width="19.85546875" style="1" customWidth="1"/>
    <col min="4" max="16384" width="8.85546875" style="1"/>
  </cols>
  <sheetData>
    <row r="1" spans="1:4">
      <c r="A1" s="139" t="s">
        <v>57</v>
      </c>
      <c r="B1" s="139"/>
      <c r="C1" s="139"/>
      <c r="D1" s="24"/>
    </row>
    <row r="3" spans="1:4">
      <c r="A3" s="145" t="s">
        <v>69</v>
      </c>
      <c r="B3" s="145"/>
      <c r="C3" s="145"/>
    </row>
    <row r="4" spans="1:4" ht="33.75" customHeight="1">
      <c r="A4" s="145" t="s">
        <v>109</v>
      </c>
      <c r="B4" s="145"/>
      <c r="C4" s="145"/>
    </row>
    <row r="5" spans="1:4">
      <c r="A5" s="145" t="s">
        <v>58</v>
      </c>
      <c r="B5" s="145"/>
      <c r="C5" s="145"/>
    </row>
    <row r="6" spans="1:4" ht="16.5" thickBot="1">
      <c r="A6" s="146" t="s">
        <v>110</v>
      </c>
      <c r="B6" s="146"/>
    </row>
    <row r="7" spans="1:4" ht="84.75" customHeight="1" thickBot="1">
      <c r="A7" s="25" t="s">
        <v>59</v>
      </c>
      <c r="B7" s="26" t="s">
        <v>60</v>
      </c>
      <c r="C7" s="26" t="s">
        <v>61</v>
      </c>
    </row>
    <row r="8" spans="1:4" ht="16.5" thickBot="1">
      <c r="A8" s="41"/>
      <c r="B8" s="42" t="s">
        <v>62</v>
      </c>
      <c r="C8" s="43"/>
      <c r="D8" s="100"/>
    </row>
    <row r="9" spans="1:4">
      <c r="A9" s="147" t="s">
        <v>75</v>
      </c>
      <c r="B9" s="45" t="s">
        <v>102</v>
      </c>
      <c r="C9" s="49">
        <f>17.88*5</f>
        <v>89.399999999999991</v>
      </c>
      <c r="D9" s="99"/>
    </row>
    <row r="10" spans="1:4">
      <c r="A10" s="148"/>
      <c r="B10" s="46" t="s">
        <v>72</v>
      </c>
      <c r="C10" s="108">
        <f>11.58*5</f>
        <v>57.9</v>
      </c>
      <c r="D10" s="100"/>
    </row>
    <row r="11" spans="1:4" ht="16.5" thickBot="1">
      <c r="A11" s="149"/>
      <c r="B11" s="47" t="s">
        <v>73</v>
      </c>
      <c r="C11" s="109">
        <f>7.44*5</f>
        <v>37.200000000000003</v>
      </c>
      <c r="D11" s="99"/>
    </row>
    <row r="12" spans="1:4" ht="32.25" thickBot="1">
      <c r="A12" s="27" t="s">
        <v>76</v>
      </c>
      <c r="B12" s="71" t="s">
        <v>74</v>
      </c>
      <c r="C12" s="33">
        <f>(C9+C10+C11)*0.2409</f>
        <v>44.44605</v>
      </c>
    </row>
    <row r="13" spans="1:4" ht="32.25" thickBot="1">
      <c r="A13" s="27" t="s">
        <v>77</v>
      </c>
      <c r="B13" s="30" t="s">
        <v>167</v>
      </c>
      <c r="C13" s="33">
        <f>(367899/438912 )*5</f>
        <v>4.1910337379702538</v>
      </c>
    </row>
    <row r="14" spans="1:4" ht="32.25" thickBot="1">
      <c r="A14" s="27" t="s">
        <v>79</v>
      </c>
      <c r="B14" s="30" t="s">
        <v>183</v>
      </c>
      <c r="C14" s="52">
        <f>(1.36+9.22)*5</f>
        <v>52.9</v>
      </c>
    </row>
    <row r="15" spans="1:4" ht="32.25" thickBot="1">
      <c r="A15" s="27" t="s">
        <v>80</v>
      </c>
      <c r="B15" s="71" t="s">
        <v>169</v>
      </c>
      <c r="C15" s="33">
        <f>(452717/438912)*5</f>
        <v>5.1572638706620015</v>
      </c>
    </row>
    <row r="16" spans="1:4" ht="32.25" thickBot="1">
      <c r="A16" s="27" t="s">
        <v>82</v>
      </c>
      <c r="B16" s="30" t="s">
        <v>171</v>
      </c>
      <c r="C16" s="33">
        <f>(624380/438912)*5</f>
        <v>7.1128153251676878</v>
      </c>
    </row>
    <row r="17" spans="1:6" ht="32.25" thickBot="1">
      <c r="A17" s="27" t="s">
        <v>170</v>
      </c>
      <c r="B17" s="30" t="s">
        <v>172</v>
      </c>
      <c r="C17" s="33">
        <f>(500471/438912)*5</f>
        <v>5.7012681357538639</v>
      </c>
    </row>
    <row r="18" spans="1:6" ht="32.25" thickBot="1">
      <c r="A18" s="27" t="s">
        <v>81</v>
      </c>
      <c r="B18" s="30" t="s">
        <v>184</v>
      </c>
      <c r="C18" s="52">
        <f>7.95*5</f>
        <v>39.75</v>
      </c>
    </row>
    <row r="19" spans="1:6" ht="16.5" thickBot="1">
      <c r="A19" s="27"/>
      <c r="B19" s="31" t="s">
        <v>63</v>
      </c>
      <c r="C19" s="32">
        <f>SUM(C9:C18)</f>
        <v>343.75843106955381</v>
      </c>
    </row>
    <row r="20" spans="1:6" ht="16.5" thickBot="1">
      <c r="A20" s="27"/>
      <c r="B20" s="31" t="s">
        <v>64</v>
      </c>
      <c r="C20" s="33"/>
    </row>
    <row r="21" spans="1:6" ht="32.25" thickBot="1">
      <c r="A21" s="27" t="s">
        <v>84</v>
      </c>
      <c r="B21" s="34" t="s">
        <v>151</v>
      </c>
      <c r="C21" s="33">
        <f>(C9+C10+C11)*0.15</f>
        <v>27.675000000000001</v>
      </c>
    </row>
    <row r="22" spans="1:6" ht="32.25" thickBot="1">
      <c r="A22" s="27" t="s">
        <v>76</v>
      </c>
      <c r="B22" s="71" t="s">
        <v>74</v>
      </c>
      <c r="C22" s="33">
        <f>C21*0.2409</f>
        <v>6.6669075000000007</v>
      </c>
    </row>
    <row r="23" spans="1:6" ht="32.25" thickBot="1">
      <c r="A23" s="27" t="s">
        <v>88</v>
      </c>
      <c r="B23" s="29" t="s">
        <v>162</v>
      </c>
      <c r="C23" s="33">
        <f>(39708/438912)*5</f>
        <v>0.45234580052493434</v>
      </c>
      <c r="D23" s="36"/>
    </row>
    <row r="24" spans="1:6" ht="32.25" thickBot="1">
      <c r="A24" s="27" t="s">
        <v>85</v>
      </c>
      <c r="B24" s="30" t="s">
        <v>164</v>
      </c>
      <c r="C24" s="33">
        <f>1.85*5</f>
        <v>9.25</v>
      </c>
    </row>
    <row r="25" spans="1:6" ht="32.25" thickBot="1">
      <c r="A25" s="27" t="s">
        <v>86</v>
      </c>
      <c r="B25" s="73" t="s">
        <v>161</v>
      </c>
      <c r="C25" s="33">
        <f>(234731/438912)*5</f>
        <v>2.6740098242927965</v>
      </c>
    </row>
    <row r="26" spans="1:6" ht="32.25" thickBot="1">
      <c r="A26" s="27" t="s">
        <v>82</v>
      </c>
      <c r="B26" s="35" t="s">
        <v>163</v>
      </c>
      <c r="C26" s="33">
        <f>(561364/438912)*5</f>
        <v>6.39494932925051</v>
      </c>
    </row>
    <row r="27" spans="1:6" ht="32.25" thickBot="1">
      <c r="A27" s="27" t="s">
        <v>78</v>
      </c>
      <c r="B27" s="71" t="s">
        <v>166</v>
      </c>
      <c r="C27" s="33">
        <f>(627676/438912)*5</f>
        <v>7.1503627150772822</v>
      </c>
    </row>
    <row r="28" spans="1:6" ht="32.25" thickBot="1">
      <c r="A28" s="27" t="s">
        <v>136</v>
      </c>
      <c r="B28" s="71" t="s">
        <v>228</v>
      </c>
      <c r="C28" s="33">
        <f>(286606/438912)*5</f>
        <v>3.2649597185768449</v>
      </c>
    </row>
    <row r="29" spans="1:6" ht="54.75" customHeight="1" thickBot="1">
      <c r="A29" s="27" t="s">
        <v>134</v>
      </c>
      <c r="B29" s="30" t="s">
        <v>213</v>
      </c>
      <c r="C29" s="33">
        <f>(157571/438912)*5</f>
        <v>1.7950181357538642</v>
      </c>
    </row>
    <row r="30" spans="1:6" ht="38.25" customHeight="1" thickBot="1">
      <c r="A30" s="27" t="s">
        <v>87</v>
      </c>
      <c r="B30" s="30" t="s">
        <v>156</v>
      </c>
      <c r="C30" s="33">
        <f>(46423/438912)*5</f>
        <v>0.52884177238261887</v>
      </c>
    </row>
    <row r="31" spans="1:6" ht="32.25" thickBot="1">
      <c r="A31" s="27" t="s">
        <v>83</v>
      </c>
      <c r="B31" s="30" t="s">
        <v>165</v>
      </c>
      <c r="C31" s="33">
        <f>(21000/438912)*5</f>
        <v>0.23922790901137359</v>
      </c>
    </row>
    <row r="32" spans="1:6" ht="32.25" thickBot="1">
      <c r="A32" s="27" t="s">
        <v>175</v>
      </c>
      <c r="B32" s="30" t="s">
        <v>176</v>
      </c>
      <c r="C32" s="33">
        <f>3.55*5</f>
        <v>17.75</v>
      </c>
      <c r="F32" s="9"/>
    </row>
    <row r="33" spans="1:5" ht="16.5" thickBot="1">
      <c r="A33" s="27"/>
      <c r="B33" s="28" t="s">
        <v>65</v>
      </c>
      <c r="C33" s="32">
        <f>SUM(C21:C32)</f>
        <v>83.841622704870232</v>
      </c>
    </row>
    <row r="34" spans="1:5" ht="16.5" thickBot="1">
      <c r="A34" s="27"/>
      <c r="B34" s="37" t="s">
        <v>66</v>
      </c>
      <c r="C34" s="32">
        <f>C33+C19</f>
        <v>427.60005377442405</v>
      </c>
    </row>
    <row r="35" spans="1:5">
      <c r="C35" s="9"/>
    </row>
    <row r="36" spans="1:5" ht="16.5" thickBot="1">
      <c r="C36" s="9"/>
    </row>
    <row r="37" spans="1:5" ht="16.5" thickBot="1">
      <c r="A37" s="141" t="s">
        <v>67</v>
      </c>
      <c r="B37" s="142"/>
      <c r="C37" s="38">
        <v>5</v>
      </c>
    </row>
    <row r="38" spans="1:5" ht="16.5" thickBot="1">
      <c r="A38" s="141" t="s">
        <v>68</v>
      </c>
      <c r="B38" s="142"/>
      <c r="C38" s="39">
        <f>C34/C37</f>
        <v>85.520010754884808</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F46"/>
  <sheetViews>
    <sheetView topLeftCell="A5" zoomScaleNormal="100" workbookViewId="0">
      <selection activeCell="G18" sqref="G18"/>
    </sheetView>
  </sheetViews>
  <sheetFormatPr defaultColWidth="8.85546875" defaultRowHeight="15.75"/>
  <cols>
    <col min="1" max="1" width="15.5703125" style="1" customWidth="1"/>
    <col min="2" max="2" width="104" style="1" customWidth="1"/>
    <col min="3" max="3" width="19.85546875" style="1" customWidth="1"/>
    <col min="4" max="4" width="8.28515625" style="1" customWidth="1"/>
    <col min="5" max="16384" width="8.85546875" style="1"/>
  </cols>
  <sheetData>
    <row r="1" spans="1:4">
      <c r="A1" s="139" t="s">
        <v>57</v>
      </c>
      <c r="B1" s="139"/>
      <c r="C1" s="139"/>
      <c r="D1" s="24"/>
    </row>
    <row r="3" spans="1:4">
      <c r="A3" s="145" t="s">
        <v>69</v>
      </c>
      <c r="B3" s="145"/>
      <c r="C3" s="145"/>
    </row>
    <row r="4" spans="1:4" ht="33.75" customHeight="1">
      <c r="A4" s="145" t="s">
        <v>111</v>
      </c>
      <c r="B4" s="145"/>
      <c r="C4" s="145"/>
    </row>
    <row r="5" spans="1:4">
      <c r="A5" s="145" t="s">
        <v>58</v>
      </c>
      <c r="B5" s="145"/>
      <c r="C5" s="145"/>
    </row>
    <row r="6" spans="1:4" ht="16.5" thickBot="1">
      <c r="A6" s="146" t="s">
        <v>336</v>
      </c>
      <c r="B6" s="146"/>
    </row>
    <row r="7" spans="1:4" ht="92.25" customHeight="1" thickBot="1">
      <c r="A7" s="25" t="s">
        <v>59</v>
      </c>
      <c r="B7" s="26" t="s">
        <v>60</v>
      </c>
      <c r="C7" s="26" t="s">
        <v>61</v>
      </c>
    </row>
    <row r="8" spans="1:4" ht="16.5" thickBot="1">
      <c r="A8" s="41"/>
      <c r="B8" s="42" t="s">
        <v>62</v>
      </c>
      <c r="C8" s="43"/>
    </row>
    <row r="9" spans="1:4">
      <c r="A9" s="147" t="s">
        <v>75</v>
      </c>
      <c r="B9" s="45" t="s">
        <v>91</v>
      </c>
      <c r="C9" s="49">
        <f>19.6*121</f>
        <v>2371.6000000000004</v>
      </c>
    </row>
    <row r="10" spans="1:4">
      <c r="A10" s="148"/>
      <c r="B10" s="46" t="s">
        <v>72</v>
      </c>
      <c r="C10" s="108">
        <f>12.11*121</f>
        <v>1465.31</v>
      </c>
    </row>
    <row r="11" spans="1:4">
      <c r="A11" s="151"/>
      <c r="B11" s="48" t="s">
        <v>98</v>
      </c>
      <c r="C11" s="108">
        <f>6.94*121</f>
        <v>839.74</v>
      </c>
    </row>
    <row r="12" spans="1:4" ht="16.5" thickBot="1">
      <c r="A12" s="149"/>
      <c r="B12" s="47" t="s">
        <v>73</v>
      </c>
      <c r="C12" s="109">
        <f>8.16*121</f>
        <v>987.36</v>
      </c>
    </row>
    <row r="13" spans="1:4" ht="18.75" customHeight="1" thickBot="1">
      <c r="A13" s="27" t="s">
        <v>76</v>
      </c>
      <c r="B13" s="71" t="s">
        <v>74</v>
      </c>
      <c r="C13" s="33">
        <f>(C9+C10+C11+C12)*0.2409</f>
        <v>1364.4600090000001</v>
      </c>
    </row>
    <row r="14" spans="1:4" ht="32.25" thickBot="1">
      <c r="A14" s="27" t="s">
        <v>77</v>
      </c>
      <c r="B14" s="30" t="s">
        <v>167</v>
      </c>
      <c r="C14" s="33">
        <f>0.84*121</f>
        <v>101.64</v>
      </c>
    </row>
    <row r="15" spans="1:4" ht="32.25" thickBot="1">
      <c r="A15" s="27" t="s">
        <v>79</v>
      </c>
      <c r="B15" s="30" t="s">
        <v>180</v>
      </c>
      <c r="C15" s="52">
        <f>((596554/438912)+11.52)*121</f>
        <v>1558.3790122849225</v>
      </c>
    </row>
    <row r="16" spans="1:4" ht="32.25" thickBot="1">
      <c r="A16" s="27" t="s">
        <v>80</v>
      </c>
      <c r="B16" s="71" t="s">
        <v>169</v>
      </c>
      <c r="C16" s="33">
        <f>(452717/438912)*121</f>
        <v>124.80578567002043</v>
      </c>
    </row>
    <row r="17" spans="1:3" ht="32.25" thickBot="1">
      <c r="A17" s="27" t="s">
        <v>82</v>
      </c>
      <c r="B17" s="30" t="s">
        <v>171</v>
      </c>
      <c r="C17" s="33">
        <f>(624380/438912 )*121</f>
        <v>172.13013086905804</v>
      </c>
    </row>
    <row r="18" spans="1:3" ht="32.25" thickBot="1">
      <c r="A18" s="27" t="s">
        <v>170</v>
      </c>
      <c r="B18" s="30" t="s">
        <v>172</v>
      </c>
      <c r="C18" s="33">
        <f>(500471/438912)*121</f>
        <v>137.9706888852435</v>
      </c>
    </row>
    <row r="19" spans="1:3" ht="32.25" thickBot="1">
      <c r="A19" s="27" t="s">
        <v>81</v>
      </c>
      <c r="B19" s="30" t="s">
        <v>184</v>
      </c>
      <c r="C19" s="52">
        <f>ROUND((15/100*50*1.06)*121,2)</f>
        <v>961.95</v>
      </c>
    </row>
    <row r="20" spans="1:3" ht="16.5" thickBot="1">
      <c r="A20" s="27"/>
      <c r="B20" s="31" t="s">
        <v>63</v>
      </c>
      <c r="C20" s="32">
        <f>SUM(C9:C19)</f>
        <v>10085.345626709246</v>
      </c>
    </row>
    <row r="21" spans="1:3" ht="16.5" thickBot="1">
      <c r="A21" s="27"/>
      <c r="B21" s="31" t="s">
        <v>64</v>
      </c>
      <c r="C21" s="33"/>
    </row>
    <row r="22" spans="1:3" ht="19.5" customHeight="1" thickBot="1">
      <c r="A22" s="27" t="s">
        <v>84</v>
      </c>
      <c r="B22" s="34" t="s">
        <v>151</v>
      </c>
      <c r="C22" s="33">
        <f>(C9+C10+C11+C12)*0.15</f>
        <v>849.60149999999999</v>
      </c>
    </row>
    <row r="23" spans="1:3" ht="18.75" customHeight="1" thickBot="1">
      <c r="A23" s="27" t="s">
        <v>76</v>
      </c>
      <c r="B23" s="71" t="s">
        <v>74</v>
      </c>
      <c r="C23" s="33">
        <f>C22*0.2409</f>
        <v>204.66900135</v>
      </c>
    </row>
    <row r="24" spans="1:3" ht="32.25" thickBot="1">
      <c r="A24" s="27" t="s">
        <v>88</v>
      </c>
      <c r="B24" s="29" t="s">
        <v>162</v>
      </c>
      <c r="C24" s="33">
        <f>(39708/438912)*121</f>
        <v>10.946768372703412</v>
      </c>
    </row>
    <row r="25" spans="1:3" ht="32.25" thickBot="1">
      <c r="A25" s="27" t="s">
        <v>85</v>
      </c>
      <c r="B25" s="30" t="s">
        <v>164</v>
      </c>
      <c r="C25" s="33">
        <f>ROUNDUP((813902/438912)*121,1)</f>
        <v>224.4</v>
      </c>
    </row>
    <row r="26" spans="1:3" ht="32.25" thickBot="1">
      <c r="A26" s="27" t="s">
        <v>86</v>
      </c>
      <c r="B26" s="73" t="s">
        <v>161</v>
      </c>
      <c r="C26" s="33">
        <f>ROUNDUP((234731/438912 )*121,2)</f>
        <v>64.72</v>
      </c>
    </row>
    <row r="27" spans="1:3" ht="32.25" thickBot="1">
      <c r="A27" s="27" t="s">
        <v>82</v>
      </c>
      <c r="B27" s="35" t="s">
        <v>163</v>
      </c>
      <c r="C27" s="33">
        <f>ROUNDUP((561364/438912)*121,1)</f>
        <v>154.79999999999998</v>
      </c>
    </row>
    <row r="28" spans="1:3" ht="32.25" thickBot="1">
      <c r="A28" s="27" t="s">
        <v>78</v>
      </c>
      <c r="B28" s="71" t="s">
        <v>166</v>
      </c>
      <c r="C28" s="33">
        <f>ROUNDUP((627676/438912)*121,2)</f>
        <v>173.04</v>
      </c>
    </row>
    <row r="29" spans="1:3" ht="33" customHeight="1" thickBot="1">
      <c r="A29" s="27" t="s">
        <v>136</v>
      </c>
      <c r="B29" s="71" t="s">
        <v>228</v>
      </c>
      <c r="C29" s="33">
        <f>ROUNDUP((286606/438912)*121,1)</f>
        <v>79.099999999999994</v>
      </c>
    </row>
    <row r="30" spans="1:3" ht="32.25" thickBot="1">
      <c r="A30" s="27" t="s">
        <v>134</v>
      </c>
      <c r="B30" s="30" t="s">
        <v>173</v>
      </c>
      <c r="C30" s="33">
        <f>ROUNDUP((157571/438912)*121,1)</f>
        <v>43.5</v>
      </c>
    </row>
    <row r="31" spans="1:3" ht="32.25" thickBot="1">
      <c r="A31" s="27" t="s">
        <v>87</v>
      </c>
      <c r="B31" s="30" t="s">
        <v>156</v>
      </c>
      <c r="C31" s="33">
        <f>ROUNDUP((46423/438912)*121,1)</f>
        <v>12.799999999999999</v>
      </c>
    </row>
    <row r="32" spans="1:3" ht="32.25" thickBot="1">
      <c r="A32" s="27" t="s">
        <v>83</v>
      </c>
      <c r="B32" s="30" t="s">
        <v>165</v>
      </c>
      <c r="C32" s="33">
        <f>ROUNDUP((21000/438912)*121,1)</f>
        <v>5.8</v>
      </c>
    </row>
    <row r="33" spans="1:6" ht="32.25" thickBot="1">
      <c r="A33" s="27" t="s">
        <v>175</v>
      </c>
      <c r="B33" s="30" t="s">
        <v>176</v>
      </c>
      <c r="C33" s="33">
        <f>3.55*121</f>
        <v>429.54999999999995</v>
      </c>
      <c r="F33" s="9"/>
    </row>
    <row r="34" spans="1:6" ht="16.5" thickBot="1">
      <c r="A34" s="27"/>
      <c r="B34" s="28" t="s">
        <v>65</v>
      </c>
      <c r="C34" s="32">
        <f>SUM(C22:C33)</f>
        <v>2252.9272697227034</v>
      </c>
    </row>
    <row r="35" spans="1:6" ht="16.5" thickBot="1">
      <c r="A35" s="27"/>
      <c r="B35" s="37" t="s">
        <v>66</v>
      </c>
      <c r="C35" s="32">
        <f>C34+C20</f>
        <v>12338.27289643195</v>
      </c>
    </row>
    <row r="36" spans="1:6">
      <c r="C36" s="9"/>
    </row>
    <row r="37" spans="1:6" ht="16.5" thickBot="1">
      <c r="C37" s="9"/>
    </row>
    <row r="38" spans="1:6" ht="16.5" thickBot="1">
      <c r="A38" s="141" t="s">
        <v>67</v>
      </c>
      <c r="B38" s="142"/>
      <c r="C38" s="38">
        <v>121</v>
      </c>
    </row>
    <row r="39" spans="1:6" ht="16.5" thickBot="1">
      <c r="A39" s="141" t="s">
        <v>68</v>
      </c>
      <c r="B39" s="142"/>
      <c r="C39" s="39">
        <f>C35/C38</f>
        <v>101.96919749117315</v>
      </c>
    </row>
    <row r="41" spans="1:6">
      <c r="A41" s="13"/>
      <c r="B41" s="13"/>
      <c r="C41" s="13"/>
      <c r="D41" s="13"/>
      <c r="E41" s="13"/>
    </row>
    <row r="42" spans="1:6">
      <c r="A42" s="13"/>
      <c r="B42" s="13"/>
      <c r="C42" s="13"/>
      <c r="D42" s="13"/>
      <c r="E42" s="13"/>
    </row>
    <row r="43" spans="1:6" ht="18.75" hidden="1" customHeight="1">
      <c r="A43" s="13"/>
      <c r="B43" s="13"/>
      <c r="C43" s="13"/>
      <c r="D43" s="13"/>
      <c r="E43" s="13"/>
    </row>
    <row r="44" spans="1:6">
      <c r="A44" s="13"/>
      <c r="B44" s="13"/>
      <c r="C44" s="13"/>
      <c r="D44" s="13"/>
    </row>
    <row r="45" spans="1:6">
      <c r="B45" s="13"/>
      <c r="C45" s="13"/>
      <c r="D45" s="13"/>
    </row>
    <row r="46" spans="1:6">
      <c r="B46" s="13"/>
      <c r="C46" s="13"/>
      <c r="D46" s="13"/>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sheetPr>
  <dimension ref="A1:F38"/>
  <sheetViews>
    <sheetView topLeftCell="A2" zoomScaleNormal="100" workbookViewId="0">
      <selection activeCell="D2" sqref="D1:D1048576"/>
    </sheetView>
  </sheetViews>
  <sheetFormatPr defaultColWidth="8.85546875" defaultRowHeight="15.75"/>
  <cols>
    <col min="1" max="1" width="15.28515625" style="1" customWidth="1"/>
    <col min="2" max="2" width="94.85546875" style="1" customWidth="1"/>
    <col min="3" max="3" width="19.85546875" style="1" customWidth="1"/>
    <col min="4" max="16384" width="8.85546875" style="1"/>
  </cols>
  <sheetData>
    <row r="1" spans="1:4">
      <c r="A1" s="139" t="s">
        <v>57</v>
      </c>
      <c r="B1" s="139"/>
      <c r="C1" s="139"/>
      <c r="D1" s="24"/>
    </row>
    <row r="3" spans="1:4">
      <c r="A3" s="145" t="s">
        <v>69</v>
      </c>
      <c r="B3" s="145"/>
      <c r="C3" s="145"/>
    </row>
    <row r="4" spans="1:4" ht="34.5" customHeight="1">
      <c r="A4" s="145" t="s">
        <v>112</v>
      </c>
      <c r="B4" s="145"/>
      <c r="C4" s="145"/>
    </row>
    <row r="5" spans="1:4">
      <c r="A5" s="145" t="s">
        <v>58</v>
      </c>
      <c r="B5" s="145"/>
      <c r="C5" s="145"/>
    </row>
    <row r="6" spans="1:4" ht="16.5" thickBot="1">
      <c r="A6" s="146" t="s">
        <v>101</v>
      </c>
      <c r="B6" s="146"/>
    </row>
    <row r="7" spans="1:4" ht="93" customHeight="1" thickBot="1">
      <c r="A7" s="25" t="s">
        <v>59</v>
      </c>
      <c r="B7" s="26" t="s">
        <v>60</v>
      </c>
      <c r="C7" s="26" t="s">
        <v>61</v>
      </c>
    </row>
    <row r="8" spans="1:4" ht="16.5" thickBot="1">
      <c r="A8" s="41"/>
      <c r="B8" s="42" t="s">
        <v>62</v>
      </c>
      <c r="C8" s="43"/>
      <c r="D8" s="100"/>
    </row>
    <row r="9" spans="1:4">
      <c r="A9" s="44" t="s">
        <v>75</v>
      </c>
      <c r="B9" s="45" t="s">
        <v>113</v>
      </c>
      <c r="C9" s="49">
        <f>21.63*4</f>
        <v>86.52</v>
      </c>
      <c r="D9" s="100"/>
    </row>
    <row r="10" spans="1:4" ht="32.25" thickBot="1">
      <c r="A10" s="27" t="s">
        <v>76</v>
      </c>
      <c r="B10" s="71" t="s">
        <v>74</v>
      </c>
      <c r="C10" s="33">
        <f>C9*0.2409</f>
        <v>20.842668</v>
      </c>
    </row>
    <row r="11" spans="1:4" ht="32.25" thickBot="1">
      <c r="A11" s="27" t="s">
        <v>77</v>
      </c>
      <c r="B11" s="30" t="s">
        <v>167</v>
      </c>
      <c r="C11" s="33">
        <f>0.84*4</f>
        <v>3.36</v>
      </c>
    </row>
    <row r="12" spans="1:4" ht="32.25" thickBot="1">
      <c r="A12" s="27" t="s">
        <v>79</v>
      </c>
      <c r="B12" s="30" t="s">
        <v>180</v>
      </c>
      <c r="C12" s="52">
        <f>(1.36+11.52)*4</f>
        <v>51.519999999999996</v>
      </c>
    </row>
    <row r="13" spans="1:4" ht="32.25" thickBot="1">
      <c r="A13" s="27" t="s">
        <v>80</v>
      </c>
      <c r="B13" s="71" t="s">
        <v>169</v>
      </c>
      <c r="C13" s="33">
        <f>1.03*4</f>
        <v>4.12</v>
      </c>
    </row>
    <row r="14" spans="1:4" ht="16.5" thickBot="1">
      <c r="A14" s="27"/>
      <c r="B14" s="31" t="s">
        <v>63</v>
      </c>
      <c r="C14" s="32">
        <f>SUM(C9:C13)</f>
        <v>166.36266799999999</v>
      </c>
    </row>
    <row r="15" spans="1:4" ht="16.5" thickBot="1">
      <c r="A15" s="27"/>
      <c r="B15" s="31" t="s">
        <v>64</v>
      </c>
      <c r="C15" s="33"/>
    </row>
    <row r="16" spans="1:4" ht="32.25" thickBot="1">
      <c r="A16" s="27" t="s">
        <v>84</v>
      </c>
      <c r="B16" s="34" t="s">
        <v>153</v>
      </c>
      <c r="C16" s="33">
        <f>C9*0.1</f>
        <v>8.6519999999999992</v>
      </c>
    </row>
    <row r="17" spans="1:6" ht="32.25" thickBot="1">
      <c r="A17" s="27" t="s">
        <v>76</v>
      </c>
      <c r="B17" s="30" t="s">
        <v>74</v>
      </c>
      <c r="C17" s="33">
        <f>C16*0.2409</f>
        <v>2.0842668</v>
      </c>
    </row>
    <row r="18" spans="1:6" ht="32.25" thickBot="1">
      <c r="A18" s="27" t="s">
        <v>88</v>
      </c>
      <c r="B18" s="29" t="s">
        <v>162</v>
      </c>
      <c r="C18" s="33">
        <f>ROUND((39708/438912)*4,2)</f>
        <v>0.36</v>
      </c>
      <c r="D18" s="36"/>
    </row>
    <row r="19" spans="1:6" ht="32.25" thickBot="1">
      <c r="A19" s="27" t="s">
        <v>85</v>
      </c>
      <c r="B19" s="30" t="s">
        <v>164</v>
      </c>
      <c r="C19" s="33">
        <f>1.85*4</f>
        <v>7.4</v>
      </c>
    </row>
    <row r="20" spans="1:6" ht="32.25" thickBot="1">
      <c r="A20" s="27" t="s">
        <v>86</v>
      </c>
      <c r="B20" s="73" t="s">
        <v>161</v>
      </c>
      <c r="C20" s="33">
        <f>ROUND((234731/438912)*4,2)</f>
        <v>2.14</v>
      </c>
    </row>
    <row r="21" spans="1:6" ht="32.25" thickBot="1">
      <c r="A21" s="27" t="s">
        <v>82</v>
      </c>
      <c r="B21" s="35" t="s">
        <v>163</v>
      </c>
      <c r="C21" s="33">
        <f>1.28*4</f>
        <v>5.12</v>
      </c>
    </row>
    <row r="22" spans="1:6" ht="32.25" thickBot="1">
      <c r="A22" s="27" t="s">
        <v>78</v>
      </c>
      <c r="B22" s="71" t="s">
        <v>166</v>
      </c>
      <c r="C22" s="33">
        <f>1.43*4</f>
        <v>5.72</v>
      </c>
    </row>
    <row r="23" spans="1:6" ht="32.25" thickBot="1">
      <c r="A23" s="27" t="s">
        <v>136</v>
      </c>
      <c r="B23" s="71" t="s">
        <v>228</v>
      </c>
      <c r="C23" s="33">
        <f>0.65*4</f>
        <v>2.6</v>
      </c>
    </row>
    <row r="24" spans="1:6" ht="32.25" thickBot="1">
      <c r="A24" s="27" t="s">
        <v>134</v>
      </c>
      <c r="B24" s="30" t="s">
        <v>173</v>
      </c>
      <c r="C24" s="33">
        <f>(157571/438912)*4</f>
        <v>1.4360145086030913</v>
      </c>
    </row>
    <row r="25" spans="1:6" ht="32.25" thickBot="1">
      <c r="A25" s="27" t="s">
        <v>87</v>
      </c>
      <c r="B25" s="30" t="s">
        <v>156</v>
      </c>
      <c r="C25" s="33">
        <f>0.11*4</f>
        <v>0.44</v>
      </c>
    </row>
    <row r="26" spans="1:6" ht="32.25" thickBot="1">
      <c r="A26" s="27" t="s">
        <v>83</v>
      </c>
      <c r="B26" s="30" t="s">
        <v>165</v>
      </c>
      <c r="C26" s="33">
        <f>0.05*4</f>
        <v>0.2</v>
      </c>
    </row>
    <row r="27" spans="1:6" ht="19.5" customHeight="1" thickBot="1">
      <c r="A27" s="27" t="s">
        <v>175</v>
      </c>
      <c r="B27" s="71" t="s">
        <v>148</v>
      </c>
      <c r="C27" s="33">
        <f>0.5*4</f>
        <v>2</v>
      </c>
      <c r="F27" s="9"/>
    </row>
    <row r="28" spans="1:6" ht="16.5" thickBot="1">
      <c r="A28" s="27"/>
      <c r="B28" s="28" t="s">
        <v>65</v>
      </c>
      <c r="C28" s="32">
        <f>SUM(C16:C27)</f>
        <v>38.152281308603094</v>
      </c>
    </row>
    <row r="29" spans="1:6" ht="16.5" thickBot="1">
      <c r="A29" s="27"/>
      <c r="B29" s="37" t="s">
        <v>66</v>
      </c>
      <c r="C29" s="32">
        <f>C28+C14</f>
        <v>204.51494930860309</v>
      </c>
    </row>
    <row r="30" spans="1:6">
      <c r="C30" s="9"/>
    </row>
    <row r="31" spans="1:6" ht="16.5" thickBot="1">
      <c r="C31" s="9"/>
    </row>
    <row r="32" spans="1:6" ht="16.5" thickBot="1">
      <c r="A32" s="141" t="s">
        <v>67</v>
      </c>
      <c r="B32" s="142"/>
      <c r="C32" s="38">
        <v>4</v>
      </c>
    </row>
    <row r="33" spans="1:5" ht="16.5" thickBot="1">
      <c r="A33" s="141" t="s">
        <v>68</v>
      </c>
      <c r="B33" s="142"/>
      <c r="C33" s="39">
        <f>C29/C32</f>
        <v>51.128737327150773</v>
      </c>
    </row>
    <row r="35" spans="1:5">
      <c r="A35" s="13"/>
      <c r="B35" s="13">
        <v>1000</v>
      </c>
      <c r="C35" s="51" t="e">
        <f>#REF!+#REF!+#REF!+#REF!</f>
        <v>#REF!</v>
      </c>
      <c r="D35" s="13"/>
      <c r="E35" s="13"/>
    </row>
    <row r="36" spans="1:5">
      <c r="A36" s="152">
        <v>2000</v>
      </c>
      <c r="B36" s="152"/>
      <c r="C36" s="51" t="e">
        <f>C33-C35-C37</f>
        <v>#REF!</v>
      </c>
      <c r="D36" s="13"/>
      <c r="E36" s="13"/>
    </row>
    <row r="37" spans="1:5">
      <c r="A37" s="152">
        <v>5000</v>
      </c>
      <c r="B37" s="152"/>
      <c r="C37" s="112" t="e">
        <f>#REF!+#REF!</f>
        <v>#REF!</v>
      </c>
      <c r="D37" s="13"/>
      <c r="E37" s="13"/>
    </row>
    <row r="38" spans="1:5">
      <c r="C38" s="9" t="e">
        <f>SUM(C35:C37)</f>
        <v>#REF!</v>
      </c>
    </row>
  </sheetData>
  <mergeCells count="9">
    <mergeCell ref="A32:B32"/>
    <mergeCell ref="A33:B33"/>
    <mergeCell ref="A36:B36"/>
    <mergeCell ref="A37:B37"/>
    <mergeCell ref="A1:C1"/>
    <mergeCell ref="A3:C3"/>
    <mergeCell ref="A4:C4"/>
    <mergeCell ref="A5:C5"/>
    <mergeCell ref="A6:B6"/>
  </mergeCells>
  <pageMargins left="0.70866141732283472" right="0.70866141732283472" top="0.74803149606299213" bottom="0.74803149606299213"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sheetPr>
  <dimension ref="A1:F37"/>
  <sheetViews>
    <sheetView topLeftCell="A2" zoomScaleNormal="100" workbookViewId="0">
      <selection activeCell="D2" sqref="D1:D1048576"/>
    </sheetView>
  </sheetViews>
  <sheetFormatPr defaultColWidth="8.85546875" defaultRowHeight="15.75"/>
  <cols>
    <col min="1" max="1" width="13.85546875" style="1" customWidth="1"/>
    <col min="2" max="2" width="100" style="1" customWidth="1"/>
    <col min="3" max="3" width="19.85546875" style="1" customWidth="1"/>
    <col min="4" max="4" width="8" style="1" customWidth="1"/>
    <col min="5" max="16384" width="8.85546875" style="1"/>
  </cols>
  <sheetData>
    <row r="1" spans="1:4">
      <c r="A1" s="139" t="s">
        <v>57</v>
      </c>
      <c r="B1" s="139"/>
      <c r="C1" s="139"/>
      <c r="D1" s="24"/>
    </row>
    <row r="3" spans="1:4">
      <c r="A3" s="145" t="s">
        <v>69</v>
      </c>
      <c r="B3" s="145"/>
      <c r="C3" s="145"/>
    </row>
    <row r="4" spans="1:4">
      <c r="A4" s="145" t="s">
        <v>193</v>
      </c>
      <c r="B4" s="145"/>
      <c r="C4" s="145"/>
    </row>
    <row r="5" spans="1:4">
      <c r="A5" s="145" t="s">
        <v>58</v>
      </c>
      <c r="B5" s="145"/>
      <c r="C5" s="145"/>
    </row>
    <row r="6" spans="1:4" ht="16.5" thickBot="1">
      <c r="A6" s="146" t="s">
        <v>221</v>
      </c>
      <c r="B6" s="146"/>
    </row>
    <row r="7" spans="1:4" ht="85.5" customHeight="1" thickBot="1">
      <c r="A7" s="25" t="s">
        <v>59</v>
      </c>
      <c r="B7" s="26" t="s">
        <v>60</v>
      </c>
      <c r="C7" s="26" t="s">
        <v>61</v>
      </c>
    </row>
    <row r="8" spans="1:4" ht="16.5" thickBot="1">
      <c r="A8" s="41"/>
      <c r="B8" s="42" t="s">
        <v>62</v>
      </c>
      <c r="C8" s="43"/>
      <c r="D8" s="100"/>
    </row>
    <row r="9" spans="1:4">
      <c r="A9" s="44" t="s">
        <v>75</v>
      </c>
      <c r="B9" s="45" t="s">
        <v>115</v>
      </c>
      <c r="C9" s="49">
        <f>20.66*40</f>
        <v>826.4</v>
      </c>
      <c r="D9" s="99"/>
    </row>
    <row r="10" spans="1:4" ht="32.25" thickBot="1">
      <c r="A10" s="27" t="s">
        <v>76</v>
      </c>
      <c r="B10" s="71" t="s">
        <v>74</v>
      </c>
      <c r="C10" s="33">
        <f>C9*0.2409</f>
        <v>199.07975999999999</v>
      </c>
    </row>
    <row r="11" spans="1:4" ht="32.25" thickBot="1">
      <c r="A11" s="27" t="s">
        <v>77</v>
      </c>
      <c r="B11" s="30" t="s">
        <v>167</v>
      </c>
      <c r="C11" s="33">
        <f>ROUND((367899/438912)*40,2)</f>
        <v>33.53</v>
      </c>
    </row>
    <row r="12" spans="1:4" ht="32.25" thickBot="1">
      <c r="A12" s="27" t="s">
        <v>79</v>
      </c>
      <c r="B12" s="30" t="s">
        <v>183</v>
      </c>
      <c r="C12" s="52">
        <f>(1.36+9.22)*40</f>
        <v>423.2</v>
      </c>
    </row>
    <row r="13" spans="1:4" ht="32.25" thickBot="1">
      <c r="A13" s="27" t="s">
        <v>80</v>
      </c>
      <c r="B13" s="71" t="s">
        <v>169</v>
      </c>
      <c r="C13" s="33">
        <f>ROUND((452717/438912)*40,2)</f>
        <v>41.26</v>
      </c>
    </row>
    <row r="14" spans="1:4" ht="16.5" thickBot="1">
      <c r="A14" s="27"/>
      <c r="B14" s="31" t="s">
        <v>63</v>
      </c>
      <c r="C14" s="32">
        <f>SUM(C9:C13)</f>
        <v>1523.46976</v>
      </c>
    </row>
    <row r="15" spans="1:4" ht="16.5" thickBot="1">
      <c r="A15" s="27"/>
      <c r="B15" s="31" t="s">
        <v>64</v>
      </c>
      <c r="C15" s="33"/>
    </row>
    <row r="16" spans="1:4" ht="32.25" thickBot="1">
      <c r="A16" s="27" t="s">
        <v>84</v>
      </c>
      <c r="B16" s="34" t="s">
        <v>153</v>
      </c>
      <c r="C16" s="33">
        <f>C9*0.1</f>
        <v>82.64</v>
      </c>
    </row>
    <row r="17" spans="1:6" ht="32.25" thickBot="1">
      <c r="A17" s="27" t="s">
        <v>76</v>
      </c>
      <c r="B17" s="71" t="s">
        <v>74</v>
      </c>
      <c r="C17" s="33">
        <f>C16*0.2409</f>
        <v>19.907976000000001</v>
      </c>
    </row>
    <row r="18" spans="1:6" ht="32.25" thickBot="1">
      <c r="A18" s="27" t="s">
        <v>88</v>
      </c>
      <c r="B18" s="29" t="s">
        <v>162</v>
      </c>
      <c r="C18" s="33">
        <f>ROUND((39708/438912)*40,1)</f>
        <v>3.6</v>
      </c>
      <c r="D18" s="36"/>
    </row>
    <row r="19" spans="1:6" ht="32.25" thickBot="1">
      <c r="A19" s="27" t="s">
        <v>85</v>
      </c>
      <c r="B19" s="30" t="s">
        <v>164</v>
      </c>
      <c r="C19" s="33">
        <f>ROUND((813902/438912)*40,2)</f>
        <v>74.17</v>
      </c>
    </row>
    <row r="20" spans="1:6" ht="32.25" thickBot="1">
      <c r="A20" s="27" t="s">
        <v>86</v>
      </c>
      <c r="B20" s="73" t="s">
        <v>157</v>
      </c>
      <c r="C20" s="33">
        <f>0.53*40</f>
        <v>21.200000000000003</v>
      </c>
    </row>
    <row r="21" spans="1:6" ht="32.25" thickBot="1">
      <c r="A21" s="27" t="s">
        <v>82</v>
      </c>
      <c r="B21" s="35" t="s">
        <v>163</v>
      </c>
      <c r="C21" s="33">
        <f>ROUND((561364/438912)*40,2)</f>
        <v>51.16</v>
      </c>
    </row>
    <row r="22" spans="1:6" ht="32.25" thickBot="1">
      <c r="A22" s="27" t="s">
        <v>78</v>
      </c>
      <c r="B22" s="71" t="s">
        <v>166</v>
      </c>
      <c r="C22" s="33">
        <f>1.43*40</f>
        <v>57.199999999999996</v>
      </c>
    </row>
    <row r="23" spans="1:6" ht="32.25" thickBot="1">
      <c r="A23" s="27" t="s">
        <v>136</v>
      </c>
      <c r="B23" s="71" t="s">
        <v>228</v>
      </c>
      <c r="C23" s="33">
        <f>ROUND((286606/438912)*40,2)</f>
        <v>26.12</v>
      </c>
    </row>
    <row r="24" spans="1:6" ht="32.25" thickBot="1">
      <c r="A24" s="27" t="s">
        <v>134</v>
      </c>
      <c r="B24" s="30" t="s">
        <v>213</v>
      </c>
      <c r="C24" s="33">
        <f>ROUND((157571/438912)*40,2)</f>
        <v>14.36</v>
      </c>
    </row>
    <row r="25" spans="1:6" ht="32.25" thickBot="1">
      <c r="A25" s="27" t="s">
        <v>87</v>
      </c>
      <c r="B25" s="30" t="s">
        <v>156</v>
      </c>
      <c r="C25" s="33">
        <f>ROUND((46423/438912)*40,2)</f>
        <v>4.2300000000000004</v>
      </c>
    </row>
    <row r="26" spans="1:6" ht="32.25" thickBot="1">
      <c r="A26" s="27" t="s">
        <v>83</v>
      </c>
      <c r="B26" s="30" t="s">
        <v>165</v>
      </c>
      <c r="C26" s="33">
        <f>ROUND((21000/438912)*40,2)</f>
        <v>1.91</v>
      </c>
    </row>
    <row r="27" spans="1:6" ht="16.5" thickBot="1">
      <c r="A27" s="27" t="s">
        <v>175</v>
      </c>
      <c r="B27" s="30" t="s">
        <v>148</v>
      </c>
      <c r="C27" s="33">
        <f>0.5*40</f>
        <v>20</v>
      </c>
      <c r="F27" s="9"/>
    </row>
    <row r="28" spans="1:6" ht="16.5" thickBot="1">
      <c r="A28" s="27"/>
      <c r="B28" s="28" t="s">
        <v>65</v>
      </c>
      <c r="C28" s="32">
        <f>SUM(C16:C27)</f>
        <v>376.49797600000005</v>
      </c>
    </row>
    <row r="29" spans="1:6" ht="16.5" thickBot="1">
      <c r="A29" s="27"/>
      <c r="B29" s="37" t="s">
        <v>66</v>
      </c>
      <c r="C29" s="32">
        <f>C28+C14</f>
        <v>1899.9677360000001</v>
      </c>
    </row>
    <row r="30" spans="1:6">
      <c r="C30" s="9"/>
    </row>
    <row r="31" spans="1:6" ht="16.5" thickBot="1">
      <c r="C31" s="9"/>
    </row>
    <row r="32" spans="1:6" ht="16.5" thickBot="1">
      <c r="A32" s="141" t="s">
        <v>67</v>
      </c>
      <c r="B32" s="142"/>
      <c r="C32" s="38">
        <v>40</v>
      </c>
    </row>
    <row r="33" spans="1:5" ht="16.5" thickBot="1">
      <c r="A33" s="141" t="s">
        <v>68</v>
      </c>
      <c r="B33" s="142"/>
      <c r="C33" s="39">
        <f>C29/C32</f>
        <v>47.499193400000003</v>
      </c>
    </row>
    <row r="35" spans="1:5">
      <c r="A35" s="13"/>
      <c r="B35" s="13"/>
      <c r="C35" s="51"/>
      <c r="D35" s="13"/>
      <c r="E35" s="13"/>
    </row>
    <row r="36" spans="1:5">
      <c r="A36" s="143"/>
      <c r="B36" s="143"/>
      <c r="C36" s="13"/>
      <c r="D36" s="13"/>
      <c r="E36" s="13"/>
    </row>
    <row r="37" spans="1:5" ht="18.75">
      <c r="A37" s="144"/>
      <c r="B37" s="144"/>
      <c r="C37" s="40"/>
      <c r="D37" s="13"/>
      <c r="E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F37"/>
  <sheetViews>
    <sheetView topLeftCell="A8" zoomScaleNormal="100" workbookViewId="0">
      <selection activeCell="D5" sqref="D1:D1048576"/>
    </sheetView>
  </sheetViews>
  <sheetFormatPr defaultColWidth="8.85546875" defaultRowHeight="15.75"/>
  <cols>
    <col min="1" max="1" width="15.28515625" style="1" customWidth="1"/>
    <col min="2" max="2" width="98" style="1" customWidth="1"/>
    <col min="3" max="3" width="19.85546875" style="1" customWidth="1"/>
    <col min="4" max="4" width="7" style="1" customWidth="1"/>
    <col min="5" max="16384" width="8.85546875" style="1"/>
  </cols>
  <sheetData>
    <row r="1" spans="1:4">
      <c r="A1" s="139" t="s">
        <v>57</v>
      </c>
      <c r="B1" s="139"/>
      <c r="C1" s="139"/>
      <c r="D1" s="24"/>
    </row>
    <row r="3" spans="1:4">
      <c r="A3" s="145" t="s">
        <v>69</v>
      </c>
      <c r="B3" s="145"/>
      <c r="C3" s="145"/>
    </row>
    <row r="4" spans="1:4">
      <c r="A4" s="145" t="s">
        <v>194</v>
      </c>
      <c r="B4" s="145"/>
      <c r="C4" s="145"/>
    </row>
    <row r="5" spans="1:4">
      <c r="A5" s="145" t="s">
        <v>58</v>
      </c>
      <c r="B5" s="145"/>
      <c r="C5" s="145"/>
    </row>
    <row r="6" spans="1:4" ht="16.5" thickBot="1">
      <c r="A6" s="146" t="s">
        <v>101</v>
      </c>
      <c r="B6" s="146"/>
    </row>
    <row r="7" spans="1:4" ht="87" customHeight="1" thickBot="1">
      <c r="A7" s="25" t="s">
        <v>59</v>
      </c>
      <c r="B7" s="26" t="s">
        <v>60</v>
      </c>
      <c r="C7" s="26" t="s">
        <v>61</v>
      </c>
    </row>
    <row r="8" spans="1:4" ht="16.5" thickBot="1">
      <c r="A8" s="41"/>
      <c r="B8" s="42" t="s">
        <v>62</v>
      </c>
      <c r="C8" s="43"/>
      <c r="D8" s="20"/>
    </row>
    <row r="9" spans="1:4">
      <c r="A9" s="44" t="s">
        <v>75</v>
      </c>
      <c r="B9" s="45" t="s">
        <v>116</v>
      </c>
      <c r="C9" s="49">
        <f>18.93*4</f>
        <v>75.72</v>
      </c>
      <c r="D9" s="100"/>
    </row>
    <row r="10" spans="1:4" ht="32.25" thickBot="1">
      <c r="A10" s="27" t="s">
        <v>76</v>
      </c>
      <c r="B10" s="71" t="s">
        <v>74</v>
      </c>
      <c r="C10" s="33">
        <f>C9*0.2409</f>
        <v>18.240947999999999</v>
      </c>
    </row>
    <row r="11" spans="1:4" ht="32.25" thickBot="1">
      <c r="A11" s="27" t="s">
        <v>77</v>
      </c>
      <c r="B11" s="30" t="s">
        <v>167</v>
      </c>
      <c r="C11" s="33">
        <f>0.84*4</f>
        <v>3.36</v>
      </c>
    </row>
    <row r="12" spans="1:4" ht="32.25" thickBot="1">
      <c r="A12" s="27" t="s">
        <v>79</v>
      </c>
      <c r="B12" s="30" t="s">
        <v>181</v>
      </c>
      <c r="C12" s="52">
        <f>(1.36+6.91)*4</f>
        <v>33.08</v>
      </c>
    </row>
    <row r="13" spans="1:4" ht="32.25" thickBot="1">
      <c r="A13" s="27" t="s">
        <v>80</v>
      </c>
      <c r="B13" s="71" t="s">
        <v>169</v>
      </c>
      <c r="C13" s="33">
        <f>1.03*4</f>
        <v>4.12</v>
      </c>
    </row>
    <row r="14" spans="1:4" ht="16.5" thickBot="1">
      <c r="A14" s="27"/>
      <c r="B14" s="31" t="s">
        <v>63</v>
      </c>
      <c r="C14" s="32">
        <f>SUM(C9:C13)</f>
        <v>134.520948</v>
      </c>
    </row>
    <row r="15" spans="1:4" ht="16.5" thickBot="1">
      <c r="A15" s="27"/>
      <c r="B15" s="31" t="s">
        <v>64</v>
      </c>
      <c r="C15" s="33"/>
    </row>
    <row r="16" spans="1:4" ht="32.25" thickBot="1">
      <c r="A16" s="27" t="s">
        <v>84</v>
      </c>
      <c r="B16" s="34" t="s">
        <v>153</v>
      </c>
      <c r="C16" s="33">
        <f>C9*0.1</f>
        <v>7.5720000000000001</v>
      </c>
    </row>
    <row r="17" spans="1:6" ht="32.25" thickBot="1">
      <c r="A17" s="27" t="s">
        <v>76</v>
      </c>
      <c r="B17" s="71" t="s">
        <v>74</v>
      </c>
      <c r="C17" s="33">
        <f>C16*0.2409</f>
        <v>1.8240948000000001</v>
      </c>
    </row>
    <row r="18" spans="1:6" ht="32.25" thickBot="1">
      <c r="A18" s="27" t="s">
        <v>88</v>
      </c>
      <c r="B18" s="29" t="s">
        <v>162</v>
      </c>
      <c r="C18" s="33">
        <f>0.09*4</f>
        <v>0.36</v>
      </c>
      <c r="D18" s="36"/>
    </row>
    <row r="19" spans="1:6" ht="32.25" thickBot="1">
      <c r="A19" s="27" t="s">
        <v>85</v>
      </c>
      <c r="B19" s="30" t="s">
        <v>164</v>
      </c>
      <c r="C19" s="33">
        <f>1.85*4</f>
        <v>7.4</v>
      </c>
    </row>
    <row r="20" spans="1:6" ht="32.25" thickBot="1">
      <c r="A20" s="27" t="s">
        <v>86</v>
      </c>
      <c r="B20" s="73" t="s">
        <v>161</v>
      </c>
      <c r="C20" s="33">
        <f>0.53*4</f>
        <v>2.12</v>
      </c>
    </row>
    <row r="21" spans="1:6" ht="32.25" thickBot="1">
      <c r="A21" s="27" t="s">
        <v>82</v>
      </c>
      <c r="B21" s="35" t="s">
        <v>163</v>
      </c>
      <c r="C21" s="33">
        <f>1.28*4</f>
        <v>5.12</v>
      </c>
    </row>
    <row r="22" spans="1:6" ht="32.25" thickBot="1">
      <c r="A22" s="27" t="s">
        <v>78</v>
      </c>
      <c r="B22" s="71" t="s">
        <v>166</v>
      </c>
      <c r="C22" s="33">
        <f>1.43*4</f>
        <v>5.72</v>
      </c>
    </row>
    <row r="23" spans="1:6" ht="32.25" thickBot="1">
      <c r="A23" s="27" t="s">
        <v>136</v>
      </c>
      <c r="B23" s="30" t="s">
        <v>228</v>
      </c>
      <c r="C23" s="33">
        <f>0.65*4</f>
        <v>2.6</v>
      </c>
    </row>
    <row r="24" spans="1:6" ht="32.25" thickBot="1">
      <c r="A24" s="27" t="s">
        <v>134</v>
      </c>
      <c r="B24" s="30" t="s">
        <v>173</v>
      </c>
      <c r="C24" s="33">
        <f>0.36*4</f>
        <v>1.44</v>
      </c>
    </row>
    <row r="25" spans="1:6" ht="32.25" thickBot="1">
      <c r="A25" s="27" t="s">
        <v>87</v>
      </c>
      <c r="B25" s="30" t="s">
        <v>156</v>
      </c>
      <c r="C25" s="33">
        <f>0.11*4</f>
        <v>0.44</v>
      </c>
    </row>
    <row r="26" spans="1:6" ht="32.25" thickBot="1">
      <c r="A26" s="27" t="s">
        <v>83</v>
      </c>
      <c r="B26" s="30" t="s">
        <v>165</v>
      </c>
      <c r="C26" s="33">
        <f>0.05*4</f>
        <v>0.2</v>
      </c>
    </row>
    <row r="27" spans="1:6" ht="16.5" thickBot="1">
      <c r="A27" s="27" t="s">
        <v>175</v>
      </c>
      <c r="B27" s="30" t="s">
        <v>148</v>
      </c>
      <c r="C27" s="33">
        <f>0.5*4</f>
        <v>2</v>
      </c>
      <c r="F27" s="9"/>
    </row>
    <row r="28" spans="1:6" ht="16.5" thickBot="1">
      <c r="A28" s="27"/>
      <c r="B28" s="28" t="s">
        <v>65</v>
      </c>
      <c r="C28" s="32">
        <f>SUM(C16:C27)</f>
        <v>36.796094799999999</v>
      </c>
    </row>
    <row r="29" spans="1:6" ht="16.5" thickBot="1">
      <c r="A29" s="27"/>
      <c r="B29" s="37" t="s">
        <v>66</v>
      </c>
      <c r="C29" s="32">
        <f>C28+C14</f>
        <v>171.3170428</v>
      </c>
    </row>
    <row r="30" spans="1:6">
      <c r="C30" s="9"/>
    </row>
    <row r="31" spans="1:6" ht="16.5" thickBot="1">
      <c r="C31" s="9"/>
    </row>
    <row r="32" spans="1:6" ht="16.5" thickBot="1">
      <c r="A32" s="141" t="s">
        <v>67</v>
      </c>
      <c r="B32" s="142"/>
      <c r="C32" s="38">
        <v>4</v>
      </c>
    </row>
    <row r="33" spans="1:5" ht="16.5" thickBot="1">
      <c r="A33" s="141" t="s">
        <v>68</v>
      </c>
      <c r="B33" s="142"/>
      <c r="C33" s="39">
        <f>C29/C32</f>
        <v>42.829260699999999</v>
      </c>
    </row>
    <row r="35" spans="1:5">
      <c r="A35" s="13"/>
      <c r="B35" s="13"/>
      <c r="C35" s="51"/>
      <c r="D35" s="13"/>
      <c r="E35" s="13"/>
    </row>
    <row r="36" spans="1:5">
      <c r="A36" s="143"/>
      <c r="B36" s="143"/>
      <c r="C36" s="13"/>
      <c r="D36" s="13"/>
      <c r="E36" s="13"/>
    </row>
    <row r="37" spans="1:5" ht="18.75">
      <c r="A37" s="144"/>
      <c r="B37" s="144"/>
      <c r="C37" s="40"/>
      <c r="D37" s="13"/>
      <c r="E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zoomScaleNormal="100" workbookViewId="0">
      <selection activeCell="F7" sqref="F7"/>
    </sheetView>
  </sheetViews>
  <sheetFormatPr defaultColWidth="8.85546875" defaultRowHeight="15.75"/>
  <cols>
    <col min="1" max="1" width="15.5703125" style="1" customWidth="1"/>
    <col min="2" max="2" width="91.42578125" style="1" customWidth="1"/>
    <col min="3" max="3" width="19.85546875" style="1" customWidth="1"/>
    <col min="4" max="16384" width="8.85546875" style="1"/>
  </cols>
  <sheetData>
    <row r="1" spans="1:4">
      <c r="A1" s="139" t="s">
        <v>57</v>
      </c>
      <c r="B1" s="139"/>
      <c r="C1" s="139"/>
      <c r="D1" s="24"/>
    </row>
    <row r="3" spans="1:4">
      <c r="A3" s="145" t="s">
        <v>69</v>
      </c>
      <c r="B3" s="145"/>
      <c r="C3" s="145"/>
    </row>
    <row r="4" spans="1:4" ht="33.75" customHeight="1">
      <c r="A4" s="145" t="s">
        <v>70</v>
      </c>
      <c r="B4" s="145"/>
      <c r="C4" s="145"/>
    </row>
    <row r="5" spans="1:4">
      <c r="A5" s="145" t="s">
        <v>58</v>
      </c>
      <c r="B5" s="145"/>
      <c r="C5" s="145"/>
    </row>
    <row r="6" spans="1:4" ht="16.5" thickBot="1">
      <c r="A6" s="146" t="s">
        <v>71</v>
      </c>
      <c r="B6" s="146"/>
    </row>
    <row r="7" spans="1:4" ht="79.5" thickBot="1">
      <c r="A7" s="25" t="s">
        <v>59</v>
      </c>
      <c r="B7" s="26" t="s">
        <v>60</v>
      </c>
      <c r="C7" s="26" t="s">
        <v>61</v>
      </c>
    </row>
    <row r="8" spans="1:4" ht="16.5" thickBot="1">
      <c r="A8" s="41"/>
      <c r="B8" s="42" t="s">
        <v>62</v>
      </c>
      <c r="C8" s="43"/>
    </row>
    <row r="9" spans="1:4" ht="31.5">
      <c r="A9" s="147" t="s">
        <v>75</v>
      </c>
      <c r="B9" s="68" t="s">
        <v>262</v>
      </c>
      <c r="C9" s="49">
        <f>((12.39+8.02)/2)*204</f>
        <v>2081.8200000000002</v>
      </c>
    </row>
    <row r="10" spans="1:4">
      <c r="A10" s="148"/>
      <c r="B10" s="69" t="s">
        <v>72</v>
      </c>
      <c r="C10" s="108">
        <f>8.02*204</f>
        <v>1636.08</v>
      </c>
    </row>
    <row r="11" spans="1:4" ht="16.5" thickBot="1">
      <c r="A11" s="149"/>
      <c r="B11" s="70" t="s">
        <v>73</v>
      </c>
      <c r="C11" s="109">
        <f>5.4*204</f>
        <v>1101.6000000000001</v>
      </c>
    </row>
    <row r="12" spans="1:4" ht="32.25" thickBot="1">
      <c r="A12" s="27" t="s">
        <v>76</v>
      </c>
      <c r="B12" s="71" t="s">
        <v>74</v>
      </c>
      <c r="C12" s="33">
        <f>ROUNDUP((C9+C10+C11)*0.2409,2)</f>
        <v>1161.02</v>
      </c>
    </row>
    <row r="13" spans="1:4" ht="32.25" thickBot="1">
      <c r="A13" s="27" t="s">
        <v>77</v>
      </c>
      <c r="B13" s="71" t="s">
        <v>167</v>
      </c>
      <c r="C13" s="33">
        <f>ROUNDUP((367899/438912)*204,2)</f>
        <v>171</v>
      </c>
    </row>
    <row r="14" spans="1:4" ht="32.25" thickBot="1">
      <c r="A14" s="27" t="s">
        <v>79</v>
      </c>
      <c r="B14" s="71" t="s">
        <v>181</v>
      </c>
      <c r="C14" s="52">
        <f>ROUNDUP(((596554/438912)+6.91)*204,2)</f>
        <v>1686.91</v>
      </c>
    </row>
    <row r="15" spans="1:4" ht="32.25" thickBot="1">
      <c r="A15" s="27" t="s">
        <v>80</v>
      </c>
      <c r="B15" s="71" t="s">
        <v>169</v>
      </c>
      <c r="C15" s="33">
        <f>ROUNDUP((452717/438912)*204,2)</f>
        <v>210.42</v>
      </c>
    </row>
    <row r="16" spans="1:4" ht="32.25" thickBot="1">
      <c r="A16" s="27" t="s">
        <v>82</v>
      </c>
      <c r="B16" s="71" t="s">
        <v>171</v>
      </c>
      <c r="C16" s="33">
        <f>(624380/438912)*204</f>
        <v>290.20286526684163</v>
      </c>
    </row>
    <row r="17" spans="1:6" ht="32.25" thickBot="1">
      <c r="A17" s="27" t="s">
        <v>170</v>
      </c>
      <c r="B17" s="71" t="s">
        <v>172</v>
      </c>
      <c r="C17" s="33">
        <f>ROUNDUP((500471/438912)*204,1)</f>
        <v>232.7</v>
      </c>
    </row>
    <row r="18" spans="1:6" ht="32.25" thickBot="1">
      <c r="A18" s="27" t="s">
        <v>81</v>
      </c>
      <c r="B18" s="71" t="s">
        <v>179</v>
      </c>
      <c r="C18" s="52">
        <f>ROUNDUP((15/100)*37*1.06*204,2)</f>
        <v>1200.1400000000001</v>
      </c>
    </row>
    <row r="19" spans="1:6" ht="16.5" thickBot="1">
      <c r="A19" s="27"/>
      <c r="B19" s="72" t="s">
        <v>63</v>
      </c>
      <c r="C19" s="32">
        <f>SUM(C9:C18)</f>
        <v>9771.8928652668419</v>
      </c>
    </row>
    <row r="20" spans="1:6" ht="16.5" thickBot="1">
      <c r="A20" s="27"/>
      <c r="B20" s="72" t="s">
        <v>64</v>
      </c>
      <c r="C20" s="33"/>
    </row>
    <row r="21" spans="1:6" ht="32.25" thickBot="1">
      <c r="A21" s="27" t="s">
        <v>84</v>
      </c>
      <c r="B21" s="34" t="s">
        <v>151</v>
      </c>
      <c r="C21" s="33">
        <f>ROUNDUP((C9+C10+C11)*0.15,2)</f>
        <v>722.93</v>
      </c>
    </row>
    <row r="22" spans="1:6" ht="32.25" thickBot="1">
      <c r="A22" s="27" t="s">
        <v>76</v>
      </c>
      <c r="B22" s="71" t="s">
        <v>74</v>
      </c>
      <c r="C22" s="33">
        <f>C21*0.2409</f>
        <v>174.15383699999998</v>
      </c>
    </row>
    <row r="23" spans="1:6" ht="32.25" thickBot="1">
      <c r="A23" s="27" t="s">
        <v>88</v>
      </c>
      <c r="B23" s="73" t="s">
        <v>162</v>
      </c>
      <c r="C23" s="33">
        <f>ROUNDUP((39708/438912)*204,1)</f>
        <v>18.5</v>
      </c>
    </row>
    <row r="24" spans="1:6" ht="32.25" thickBot="1">
      <c r="A24" s="27" t="s">
        <v>85</v>
      </c>
      <c r="B24" s="71" t="s">
        <v>164</v>
      </c>
      <c r="C24" s="33">
        <f>ROUNDUP((813902/438912)*204,1)</f>
        <v>378.3</v>
      </c>
    </row>
    <row r="25" spans="1:6" ht="32.25" thickBot="1">
      <c r="A25" s="27" t="s">
        <v>86</v>
      </c>
      <c r="B25" s="73" t="s">
        <v>161</v>
      </c>
      <c r="C25" s="33">
        <f>ROUNDUP((234731/438912)*204,2)</f>
        <v>109.10000000000001</v>
      </c>
    </row>
    <row r="26" spans="1:6" ht="32.25" thickBot="1">
      <c r="A26" s="27" t="s">
        <v>82</v>
      </c>
      <c r="B26" s="74" t="s">
        <v>163</v>
      </c>
      <c r="C26" s="33">
        <f>ROUNDUP((561364/438912)*204,2)</f>
        <v>260.92</v>
      </c>
    </row>
    <row r="27" spans="1:6" ht="32.25" thickBot="1">
      <c r="A27" s="27" t="s">
        <v>78</v>
      </c>
      <c r="B27" s="71" t="s">
        <v>166</v>
      </c>
      <c r="C27" s="33">
        <f>ROUNDUP((627676/438912)*204,1)</f>
        <v>291.8</v>
      </c>
    </row>
    <row r="28" spans="1:6" ht="32.25" thickBot="1">
      <c r="A28" s="27" t="s">
        <v>136</v>
      </c>
      <c r="B28" s="71" t="s">
        <v>227</v>
      </c>
      <c r="C28" s="33">
        <f>ROUND((286606/438912)*204,2)</f>
        <v>133.21</v>
      </c>
    </row>
    <row r="29" spans="1:6" ht="35.25" customHeight="1" thickBot="1">
      <c r="A29" s="27" t="s">
        <v>134</v>
      </c>
      <c r="B29" s="71" t="s">
        <v>173</v>
      </c>
      <c r="C29" s="33">
        <f>ROUNDUP((157571/438912)*204,2)</f>
        <v>73.240000000000009</v>
      </c>
    </row>
    <row r="30" spans="1:6" ht="32.25" thickBot="1">
      <c r="A30" s="27" t="s">
        <v>87</v>
      </c>
      <c r="B30" s="71" t="s">
        <v>156</v>
      </c>
      <c r="C30" s="33">
        <f>ROUNDUP((46423/438912)*204,2)</f>
        <v>21.580000000000002</v>
      </c>
    </row>
    <row r="31" spans="1:6" ht="32.25" thickBot="1">
      <c r="A31" s="27" t="s">
        <v>83</v>
      </c>
      <c r="B31" s="71" t="s">
        <v>165</v>
      </c>
      <c r="C31" s="33">
        <f>ROUNDUP((21000/438912)*204,2)</f>
        <v>9.77</v>
      </c>
    </row>
    <row r="32" spans="1:6" ht="32.25" thickBot="1">
      <c r="A32" s="27" t="s">
        <v>175</v>
      </c>
      <c r="B32" s="71" t="s">
        <v>176</v>
      </c>
      <c r="C32" s="33">
        <f>(1.75+1.8)*204</f>
        <v>724.19999999999993</v>
      </c>
      <c r="F32" s="9"/>
    </row>
    <row r="33" spans="1:5" ht="16.5" thickBot="1">
      <c r="A33" s="27"/>
      <c r="B33" s="72" t="s">
        <v>65</v>
      </c>
      <c r="C33" s="32">
        <f>SUM(C21:C32)</f>
        <v>2917.7038369999996</v>
      </c>
    </row>
    <row r="34" spans="1:5" ht="16.5" thickBot="1">
      <c r="A34" s="27"/>
      <c r="B34" s="37" t="s">
        <v>66</v>
      </c>
      <c r="C34" s="32">
        <f>C33+C19</f>
        <v>12689.596702266841</v>
      </c>
    </row>
    <row r="35" spans="1:5">
      <c r="C35" s="9"/>
    </row>
    <row r="36" spans="1:5" ht="16.5" thickBot="1">
      <c r="C36" s="9"/>
    </row>
    <row r="37" spans="1:5" ht="16.5" thickBot="1">
      <c r="A37" s="141" t="s">
        <v>67</v>
      </c>
      <c r="B37" s="142"/>
      <c r="C37" s="38">
        <v>204</v>
      </c>
    </row>
    <row r="38" spans="1:5" ht="16.5" thickBot="1">
      <c r="A38" s="141" t="s">
        <v>68</v>
      </c>
      <c r="B38" s="142"/>
      <c r="C38" s="39">
        <f>C34/C37</f>
        <v>62.203905403268827</v>
      </c>
    </row>
    <row r="40" spans="1:5">
      <c r="A40" s="13"/>
      <c r="B40" s="13"/>
      <c r="C40" s="13"/>
      <c r="D40" s="13"/>
      <c r="E40" s="13"/>
    </row>
    <row r="41" spans="1:5">
      <c r="A41" s="143"/>
      <c r="B41" s="143"/>
      <c r="C41" s="13"/>
      <c r="D41" s="13"/>
      <c r="E41" s="13"/>
    </row>
    <row r="42" spans="1:5" ht="18.75" hidden="1">
      <c r="A42" s="144"/>
      <c r="B42" s="144"/>
      <c r="C42" s="40"/>
      <c r="D42" s="13"/>
      <c r="E42" s="13"/>
    </row>
  </sheetData>
  <mergeCells count="10">
    <mergeCell ref="A38:B38"/>
    <mergeCell ref="A41:B41"/>
    <mergeCell ref="A42:B42"/>
    <mergeCell ref="A1:C1"/>
    <mergeCell ref="A3:C3"/>
    <mergeCell ref="A4:C4"/>
    <mergeCell ref="A5:C5"/>
    <mergeCell ref="A6:B6"/>
    <mergeCell ref="A37:B37"/>
    <mergeCell ref="A9:A11"/>
  </mergeCell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F38"/>
  <sheetViews>
    <sheetView zoomScale="85" zoomScaleNormal="85" workbookViewId="0">
      <selection activeCell="D1" sqref="D1:D1048576"/>
    </sheetView>
  </sheetViews>
  <sheetFormatPr defaultColWidth="8.85546875" defaultRowHeight="15.75"/>
  <cols>
    <col min="1" max="1" width="15.5703125" style="1" customWidth="1"/>
    <col min="2" max="2" width="90.42578125" style="1" customWidth="1"/>
    <col min="3" max="3" width="19.85546875" style="1" customWidth="1"/>
    <col min="4" max="16384" width="8.85546875" style="1"/>
  </cols>
  <sheetData>
    <row r="1" spans="1:4">
      <c r="A1" s="139" t="s">
        <v>57</v>
      </c>
      <c r="B1" s="139"/>
      <c r="C1" s="139"/>
      <c r="D1" s="24"/>
    </row>
    <row r="3" spans="1:4">
      <c r="A3" s="145" t="s">
        <v>69</v>
      </c>
      <c r="B3" s="145"/>
      <c r="C3" s="145"/>
    </row>
    <row r="4" spans="1:4">
      <c r="A4" s="145" t="s">
        <v>195</v>
      </c>
      <c r="B4" s="145"/>
      <c r="C4" s="145"/>
    </row>
    <row r="5" spans="1:4">
      <c r="A5" s="145" t="s">
        <v>58</v>
      </c>
      <c r="B5" s="145"/>
      <c r="C5" s="145"/>
    </row>
    <row r="6" spans="1:4" ht="16.5" thickBot="1">
      <c r="A6" s="146" t="s">
        <v>114</v>
      </c>
      <c r="B6" s="146"/>
    </row>
    <row r="7" spans="1:4" ht="89.25" customHeight="1" thickBot="1">
      <c r="A7" s="25" t="s">
        <v>59</v>
      </c>
      <c r="B7" s="26" t="s">
        <v>60</v>
      </c>
      <c r="C7" s="26" t="s">
        <v>61</v>
      </c>
    </row>
    <row r="8" spans="1:4" ht="16.5" thickBot="1">
      <c r="A8" s="41"/>
      <c r="B8" s="42" t="s">
        <v>62</v>
      </c>
      <c r="C8" s="43"/>
      <c r="D8" s="100"/>
    </row>
    <row r="9" spans="1:4">
      <c r="A9" s="44" t="s">
        <v>75</v>
      </c>
      <c r="B9" s="45" t="s">
        <v>117</v>
      </c>
      <c r="C9" s="49">
        <f>13.37*198</f>
        <v>2647.2599999999998</v>
      </c>
      <c r="D9" s="100"/>
    </row>
    <row r="10" spans="1:4" ht="32.25" thickBot="1">
      <c r="A10" s="27" t="s">
        <v>76</v>
      </c>
      <c r="B10" s="71" t="s">
        <v>74</v>
      </c>
      <c r="C10" s="33">
        <f>ROUNDUP(C9*0.2409,2)</f>
        <v>637.73</v>
      </c>
    </row>
    <row r="11" spans="1:4" ht="32.25" thickBot="1">
      <c r="A11" s="27" t="s">
        <v>77</v>
      </c>
      <c r="B11" s="30" t="s">
        <v>167</v>
      </c>
      <c r="C11" s="33">
        <f>ROUNDUP((367899/438912)*198,1)</f>
        <v>166</v>
      </c>
    </row>
    <row r="12" spans="1:4" ht="32.25" thickBot="1">
      <c r="A12" s="27" t="s">
        <v>79</v>
      </c>
      <c r="B12" s="71" t="s">
        <v>225</v>
      </c>
      <c r="C12" s="52">
        <f>ROUNDUP((596554/438912)*198,2)</f>
        <v>269.12</v>
      </c>
    </row>
    <row r="13" spans="1:4" ht="32.25" thickBot="1">
      <c r="A13" s="27" t="s">
        <v>80</v>
      </c>
      <c r="B13" s="71" t="s">
        <v>169</v>
      </c>
      <c r="C13" s="33">
        <f>ROUND((452717/438912)*198,2)</f>
        <v>204.23</v>
      </c>
    </row>
    <row r="14" spans="1:4" ht="16.5" thickBot="1">
      <c r="A14" s="27"/>
      <c r="B14" s="31" t="s">
        <v>63</v>
      </c>
      <c r="C14" s="32">
        <f>SUM(C9:C13)</f>
        <v>3924.3399999999997</v>
      </c>
    </row>
    <row r="15" spans="1:4" ht="16.5" thickBot="1">
      <c r="A15" s="27"/>
      <c r="B15" s="31" t="s">
        <v>64</v>
      </c>
      <c r="C15" s="33"/>
    </row>
    <row r="16" spans="1:4" ht="32.25" thickBot="1">
      <c r="A16" s="27" t="s">
        <v>84</v>
      </c>
      <c r="B16" s="34" t="s">
        <v>152</v>
      </c>
      <c r="C16" s="33">
        <f>C9*0.25</f>
        <v>661.81499999999994</v>
      </c>
    </row>
    <row r="17" spans="1:6" ht="32.25" thickBot="1">
      <c r="A17" s="27" t="s">
        <v>76</v>
      </c>
      <c r="B17" s="71" t="s">
        <v>74</v>
      </c>
      <c r="C17" s="33">
        <f>C16*0.2409</f>
        <v>159.43123349999999</v>
      </c>
    </row>
    <row r="18" spans="1:6" ht="32.25" thickBot="1">
      <c r="A18" s="27" t="s">
        <v>88</v>
      </c>
      <c r="B18" s="73" t="s">
        <v>162</v>
      </c>
      <c r="C18" s="33">
        <f>ROUNDUP((39708/438912)*198,2)</f>
        <v>17.920000000000002</v>
      </c>
      <c r="D18" s="36"/>
    </row>
    <row r="19" spans="1:6" ht="32.25" thickBot="1">
      <c r="A19" s="27" t="s">
        <v>85</v>
      </c>
      <c r="B19" s="30" t="s">
        <v>164</v>
      </c>
      <c r="C19" s="33">
        <f>ROUNDUP((813902/438912)*198,2)</f>
        <v>367.17</v>
      </c>
    </row>
    <row r="20" spans="1:6" ht="32.25" thickBot="1">
      <c r="A20" s="27" t="s">
        <v>86</v>
      </c>
      <c r="B20" s="73" t="s">
        <v>161</v>
      </c>
      <c r="C20" s="33">
        <f>ROUNDUP((234731/438912)*198,2)</f>
        <v>105.9</v>
      </c>
    </row>
    <row r="21" spans="1:6" ht="32.25" thickBot="1">
      <c r="A21" s="27" t="s">
        <v>82</v>
      </c>
      <c r="B21" s="35" t="s">
        <v>163</v>
      </c>
      <c r="C21" s="33">
        <f>ROUNDUP((561364/438912)*198,2)</f>
        <v>253.23999999999998</v>
      </c>
    </row>
    <row r="22" spans="1:6" ht="32.25" thickBot="1">
      <c r="A22" s="27" t="s">
        <v>78</v>
      </c>
      <c r="B22" s="71" t="s">
        <v>166</v>
      </c>
      <c r="C22" s="33">
        <f>ROUNDUP((627676/438912)*198,2)</f>
        <v>283.15999999999997</v>
      </c>
    </row>
    <row r="23" spans="1:6" ht="32.25" thickBot="1">
      <c r="A23" s="27" t="s">
        <v>136</v>
      </c>
      <c r="B23" s="71" t="s">
        <v>228</v>
      </c>
      <c r="C23" s="33">
        <f>ROUND((286606/438912)*198,2)</f>
        <v>129.29</v>
      </c>
    </row>
    <row r="24" spans="1:6" ht="48" thickBot="1">
      <c r="A24" s="27" t="s">
        <v>134</v>
      </c>
      <c r="B24" s="30" t="s">
        <v>173</v>
      </c>
      <c r="C24" s="33">
        <f>ROUNDUP((157571/438912)*198,2)</f>
        <v>71.09</v>
      </c>
    </row>
    <row r="25" spans="1:6" ht="32.25" thickBot="1">
      <c r="A25" s="27" t="s">
        <v>87</v>
      </c>
      <c r="B25" s="30" t="s">
        <v>156</v>
      </c>
      <c r="C25" s="33">
        <f>ROUNDUP((46423/438912)*198,2)</f>
        <v>20.950000000000003</v>
      </c>
    </row>
    <row r="26" spans="1:6" ht="32.25" thickBot="1">
      <c r="A26" s="27" t="s">
        <v>83</v>
      </c>
      <c r="B26" s="30" t="s">
        <v>165</v>
      </c>
      <c r="C26" s="33">
        <f>ROUND((21000/438912)*198,2)</f>
        <v>9.4700000000000006</v>
      </c>
    </row>
    <row r="27" spans="1:6" ht="16.5" thickBot="1">
      <c r="A27" s="27" t="s">
        <v>175</v>
      </c>
      <c r="B27" s="30" t="s">
        <v>148</v>
      </c>
      <c r="C27" s="33">
        <f>0.5*198</f>
        <v>99</v>
      </c>
      <c r="F27" s="9"/>
    </row>
    <row r="28" spans="1:6" ht="16.5" thickBot="1">
      <c r="A28" s="27"/>
      <c r="B28" s="28" t="s">
        <v>65</v>
      </c>
      <c r="C28" s="32">
        <f>SUM(C16:C27)</f>
        <v>2178.4362334999996</v>
      </c>
    </row>
    <row r="29" spans="1:6" ht="16.5" thickBot="1">
      <c r="A29" s="27"/>
      <c r="B29" s="37" t="s">
        <v>66</v>
      </c>
      <c r="C29" s="32">
        <f>C28+C14</f>
        <v>6102.7762334999989</v>
      </c>
    </row>
    <row r="30" spans="1:6">
      <c r="C30" s="9"/>
    </row>
    <row r="31" spans="1:6" ht="16.5" thickBot="1">
      <c r="C31" s="9"/>
    </row>
    <row r="32" spans="1:6" ht="16.5" thickBot="1">
      <c r="A32" s="141" t="s">
        <v>67</v>
      </c>
      <c r="B32" s="142"/>
      <c r="C32" s="38">
        <v>198</v>
      </c>
    </row>
    <row r="33" spans="1:5" ht="16.5" thickBot="1">
      <c r="A33" s="141" t="s">
        <v>68</v>
      </c>
      <c r="B33" s="142"/>
      <c r="C33" s="39">
        <f>C29/C32</f>
        <v>30.822102189393934</v>
      </c>
    </row>
    <row r="35" spans="1:5">
      <c r="A35" s="13"/>
      <c r="B35" s="13">
        <v>1000</v>
      </c>
      <c r="C35" s="112" t="e">
        <f>#REF!+#REF!+#REF!+#REF!</f>
        <v>#REF!</v>
      </c>
      <c r="D35" s="13"/>
      <c r="E35" s="13"/>
    </row>
    <row r="36" spans="1:5">
      <c r="A36" s="13"/>
      <c r="B36" s="13">
        <v>2000</v>
      </c>
      <c r="C36" s="112" t="e">
        <f>#REF!-C35-C37</f>
        <v>#REF!</v>
      </c>
      <c r="D36" s="13"/>
      <c r="E36" s="13"/>
    </row>
    <row r="37" spans="1:5">
      <c r="A37" s="13"/>
      <c r="B37" s="13">
        <v>5000</v>
      </c>
      <c r="C37" s="112" t="e">
        <f>#REF!+#REF!</f>
        <v>#REF!</v>
      </c>
      <c r="D37" s="13"/>
      <c r="E37" s="13"/>
    </row>
    <row r="38" spans="1:5">
      <c r="C38" s="9" t="e">
        <f>SUM(C35:C37)</f>
        <v>#REF!</v>
      </c>
    </row>
  </sheetData>
  <mergeCells count="7">
    <mergeCell ref="A33:B33"/>
    <mergeCell ref="A1:C1"/>
    <mergeCell ref="A3:C3"/>
    <mergeCell ref="A4:C4"/>
    <mergeCell ref="A5:C5"/>
    <mergeCell ref="A6:B6"/>
    <mergeCell ref="A32:B32"/>
  </mergeCells>
  <pageMargins left="0.70866141732283472" right="0.70866141732283472" top="0.74803149606299213" bottom="0.74803149606299213"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F39"/>
  <sheetViews>
    <sheetView topLeftCell="A13" zoomScaleNormal="100" workbookViewId="0">
      <selection activeCell="G33" sqref="G33"/>
    </sheetView>
  </sheetViews>
  <sheetFormatPr defaultColWidth="8.85546875" defaultRowHeight="15.75"/>
  <cols>
    <col min="1" max="1" width="15.28515625" style="1" customWidth="1"/>
    <col min="2" max="2" width="92.5703125" style="1" customWidth="1"/>
    <col min="3" max="3" width="19.85546875" style="1" customWidth="1"/>
    <col min="4" max="16384" width="8.85546875" style="1"/>
  </cols>
  <sheetData>
    <row r="1" spans="1:4">
      <c r="A1" s="139" t="s">
        <v>57</v>
      </c>
      <c r="B1" s="139"/>
      <c r="C1" s="139"/>
      <c r="D1" s="24"/>
    </row>
    <row r="3" spans="1:4">
      <c r="A3" s="145" t="s">
        <v>69</v>
      </c>
      <c r="B3" s="145"/>
      <c r="C3" s="145"/>
    </row>
    <row r="4" spans="1:4">
      <c r="A4" s="145" t="s">
        <v>196</v>
      </c>
      <c r="B4" s="145"/>
      <c r="C4" s="145"/>
    </row>
    <row r="5" spans="1:4">
      <c r="A5" s="145" t="s">
        <v>58</v>
      </c>
      <c r="B5" s="145"/>
      <c r="C5" s="145"/>
    </row>
    <row r="6" spans="1:4" ht="16.5" thickBot="1">
      <c r="A6" s="146" t="s">
        <v>118</v>
      </c>
      <c r="B6" s="146"/>
    </row>
    <row r="7" spans="1:4" ht="83.25" customHeight="1" thickBot="1">
      <c r="A7" s="25" t="s">
        <v>59</v>
      </c>
      <c r="B7" s="26" t="s">
        <v>60</v>
      </c>
      <c r="C7" s="26" t="s">
        <v>61</v>
      </c>
    </row>
    <row r="8" spans="1:4" ht="16.5" thickBot="1">
      <c r="A8" s="41"/>
      <c r="B8" s="42" t="s">
        <v>62</v>
      </c>
      <c r="C8" s="43"/>
      <c r="D8" s="100"/>
    </row>
    <row r="9" spans="1:4">
      <c r="A9" s="44" t="s">
        <v>75</v>
      </c>
      <c r="B9" s="45" t="s">
        <v>73</v>
      </c>
      <c r="C9" s="49">
        <f>9.01*294</f>
        <v>2648.94</v>
      </c>
      <c r="D9" s="100"/>
    </row>
    <row r="10" spans="1:4" ht="32.25" thickBot="1">
      <c r="A10" s="27" t="s">
        <v>76</v>
      </c>
      <c r="B10" s="71" t="s">
        <v>74</v>
      </c>
      <c r="C10" s="52">
        <f>C9*0.2409</f>
        <v>638.12964599999998</v>
      </c>
    </row>
    <row r="11" spans="1:4" ht="32.25" thickBot="1">
      <c r="A11" s="27" t="s">
        <v>77</v>
      </c>
      <c r="B11" s="30" t="s">
        <v>167</v>
      </c>
      <c r="C11" s="33">
        <f>ROUND((367899/438912)*294,2)</f>
        <v>246.43</v>
      </c>
    </row>
    <row r="12" spans="1:4" ht="32.25" thickBot="1">
      <c r="A12" s="27" t="s">
        <v>82</v>
      </c>
      <c r="B12" s="30" t="s">
        <v>171</v>
      </c>
      <c r="C12" s="33">
        <f>(624380/438912)*294</f>
        <v>418.23354111986004</v>
      </c>
    </row>
    <row r="13" spans="1:4" ht="32.25" thickBot="1">
      <c r="A13" s="27" t="s">
        <v>170</v>
      </c>
      <c r="B13" s="30" t="s">
        <v>172</v>
      </c>
      <c r="C13" s="33">
        <f>(500471/438912)*294</f>
        <v>335.23456638232722</v>
      </c>
    </row>
    <row r="14" spans="1:4" ht="32.25" thickBot="1">
      <c r="A14" s="27" t="s">
        <v>81</v>
      </c>
      <c r="B14" s="30" t="s">
        <v>184</v>
      </c>
      <c r="C14" s="52">
        <f>(15/100)*50*1.06*294</f>
        <v>2337.3000000000002</v>
      </c>
    </row>
    <row r="15" spans="1:4" ht="16.5" thickBot="1">
      <c r="A15" s="27"/>
      <c r="B15" s="31" t="s">
        <v>63</v>
      </c>
      <c r="C15" s="32">
        <f>SUM(C9:C14)</f>
        <v>6624.2677535021876</v>
      </c>
    </row>
    <row r="16" spans="1:4" ht="16.5" thickBot="1">
      <c r="A16" s="27"/>
      <c r="B16" s="31" t="s">
        <v>64</v>
      </c>
      <c r="C16" s="33"/>
    </row>
    <row r="17" spans="1:6" ht="32.25" thickBot="1">
      <c r="A17" s="27" t="s">
        <v>84</v>
      </c>
      <c r="B17" s="34" t="s">
        <v>153</v>
      </c>
      <c r="C17" s="33">
        <f>C9*0.1</f>
        <v>264.89400000000001</v>
      </c>
    </row>
    <row r="18" spans="1:6" ht="32.25" thickBot="1">
      <c r="A18" s="27" t="s">
        <v>76</v>
      </c>
      <c r="B18" s="71" t="s">
        <v>74</v>
      </c>
      <c r="C18" s="33">
        <f>ROUND(C17*0.2409,3)</f>
        <v>63.813000000000002</v>
      </c>
    </row>
    <row r="19" spans="1:6" ht="32.25" thickBot="1">
      <c r="A19" s="27" t="s">
        <v>88</v>
      </c>
      <c r="B19" s="29" t="s">
        <v>162</v>
      </c>
      <c r="C19" s="33">
        <f>0.09*294</f>
        <v>26.459999999999997</v>
      </c>
      <c r="D19" s="36"/>
    </row>
    <row r="20" spans="1:6" ht="32.25" thickBot="1">
      <c r="A20" s="27" t="s">
        <v>85</v>
      </c>
      <c r="B20" s="30" t="s">
        <v>164</v>
      </c>
      <c r="C20" s="33">
        <f>ROUND((813902/438912)*294,2)</f>
        <v>545.17999999999995</v>
      </c>
    </row>
    <row r="21" spans="1:6" ht="32.25" thickBot="1">
      <c r="A21" s="27" t="s">
        <v>86</v>
      </c>
      <c r="B21" s="73" t="s">
        <v>161</v>
      </c>
      <c r="C21" s="33">
        <f>ROUND((234731/438912)*294,2)</f>
        <v>157.22999999999999</v>
      </c>
    </row>
    <row r="22" spans="1:6" ht="32.25" thickBot="1">
      <c r="A22" s="27" t="s">
        <v>82</v>
      </c>
      <c r="B22" s="35" t="s">
        <v>163</v>
      </c>
      <c r="C22" s="33">
        <f>ROUNDUP((561364/438912)*294,2)</f>
        <v>376.03</v>
      </c>
    </row>
    <row r="23" spans="1:6" ht="32.25" thickBot="1">
      <c r="A23" s="27" t="s">
        <v>78</v>
      </c>
      <c r="B23" s="71" t="s">
        <v>166</v>
      </c>
      <c r="C23" s="33">
        <f>ROUND((627676/438912)*294,0)</f>
        <v>420</v>
      </c>
    </row>
    <row r="24" spans="1:6" ht="32.25" thickBot="1">
      <c r="A24" s="27" t="s">
        <v>136</v>
      </c>
      <c r="B24" s="71" t="s">
        <v>228</v>
      </c>
      <c r="C24" s="33">
        <f>ROUND((286606/438912)*294,2)</f>
        <v>191.98</v>
      </c>
    </row>
    <row r="25" spans="1:6" ht="32.25" thickBot="1">
      <c r="A25" s="27" t="s">
        <v>134</v>
      </c>
      <c r="B25" s="30" t="s">
        <v>213</v>
      </c>
      <c r="C25" s="33">
        <f>ROUND((157571/438912)*294,3)</f>
        <v>105.547</v>
      </c>
    </row>
    <row r="26" spans="1:6" ht="32.25" thickBot="1">
      <c r="A26" s="27" t="s">
        <v>87</v>
      </c>
      <c r="B26" s="30" t="s">
        <v>156</v>
      </c>
      <c r="C26" s="33">
        <f>ROUND((46423/438912)*294,2)</f>
        <v>31.1</v>
      </c>
    </row>
    <row r="27" spans="1:6" ht="32.25" thickBot="1">
      <c r="A27" s="27" t="s">
        <v>83</v>
      </c>
      <c r="B27" s="30" t="s">
        <v>165</v>
      </c>
      <c r="C27" s="33">
        <f>ROUND((21000/438912)*294,2)</f>
        <v>14.07</v>
      </c>
    </row>
    <row r="28" spans="1:6" ht="16.5" thickBot="1">
      <c r="A28" s="27" t="s">
        <v>175</v>
      </c>
      <c r="B28" s="30" t="s">
        <v>149</v>
      </c>
      <c r="C28" s="33">
        <f>1.75*294</f>
        <v>514.5</v>
      </c>
      <c r="F28" s="9"/>
    </row>
    <row r="29" spans="1:6" ht="16.5" thickBot="1">
      <c r="A29" s="27"/>
      <c r="B29" s="28" t="s">
        <v>65</v>
      </c>
      <c r="C29" s="32">
        <f>SUM(C17:C28)</f>
        <v>2710.8040000000001</v>
      </c>
    </row>
    <row r="30" spans="1:6" ht="16.5" thickBot="1">
      <c r="A30" s="27"/>
      <c r="B30" s="37" t="s">
        <v>66</v>
      </c>
      <c r="C30" s="32">
        <f>C29+C15</f>
        <v>9335.0717535021868</v>
      </c>
    </row>
    <row r="31" spans="1:6">
      <c r="C31" s="9"/>
    </row>
    <row r="32" spans="1:6" ht="16.5" thickBot="1">
      <c r="C32" s="9"/>
    </row>
    <row r="33" spans="1:5" ht="16.5" thickBot="1">
      <c r="A33" s="141" t="s">
        <v>67</v>
      </c>
      <c r="B33" s="142"/>
      <c r="C33" s="38">
        <v>294</v>
      </c>
    </row>
    <row r="34" spans="1:5" ht="16.5" thickBot="1">
      <c r="A34" s="141" t="s">
        <v>68</v>
      </c>
      <c r="B34" s="142"/>
      <c r="C34" s="39">
        <f>C30/C33</f>
        <v>31.751944739803356</v>
      </c>
    </row>
    <row r="36" spans="1:5">
      <c r="A36" s="13"/>
      <c r="B36" s="13"/>
      <c r="C36" s="13"/>
      <c r="D36" s="13"/>
      <c r="E36" s="13"/>
    </row>
    <row r="37" spans="1:5">
      <c r="A37" s="13"/>
      <c r="B37" s="13"/>
      <c r="C37" s="13"/>
      <c r="D37" s="13"/>
      <c r="E37" s="13"/>
    </row>
    <row r="38" spans="1:5">
      <c r="A38" s="13"/>
      <c r="B38" s="13"/>
      <c r="C38" s="13"/>
      <c r="D38" s="13"/>
      <c r="E38" s="13"/>
    </row>
    <row r="39" spans="1:5">
      <c r="C39" s="13"/>
    </row>
  </sheetData>
  <mergeCells count="7">
    <mergeCell ref="A34:B34"/>
    <mergeCell ref="A1:C1"/>
    <mergeCell ref="A3:C3"/>
    <mergeCell ref="A4:C4"/>
    <mergeCell ref="A5:C5"/>
    <mergeCell ref="A6:B6"/>
    <mergeCell ref="A33:B33"/>
  </mergeCells>
  <pageMargins left="0.7086614173228347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A1:G27"/>
  <sheetViews>
    <sheetView zoomScaleNormal="100" workbookViewId="0">
      <selection activeCell="D7" sqref="D7:E19"/>
    </sheetView>
  </sheetViews>
  <sheetFormatPr defaultColWidth="8.85546875" defaultRowHeight="15.75"/>
  <cols>
    <col min="1" max="1" width="14.42578125" style="1" customWidth="1"/>
    <col min="2" max="2" width="99.5703125" style="1" customWidth="1"/>
    <col min="3" max="3" width="19.85546875" style="1" customWidth="1"/>
    <col min="4" max="4" width="9.85546875" style="1" customWidth="1"/>
    <col min="5" max="16384" width="8.85546875" style="1"/>
  </cols>
  <sheetData>
    <row r="1" spans="1:5">
      <c r="A1" s="139" t="s">
        <v>57</v>
      </c>
      <c r="B1" s="139"/>
      <c r="C1" s="139"/>
      <c r="D1" s="24"/>
      <c r="E1" s="24"/>
    </row>
    <row r="3" spans="1:5">
      <c r="A3" s="145" t="s">
        <v>69</v>
      </c>
      <c r="B3" s="145"/>
      <c r="C3" s="145"/>
    </row>
    <row r="4" spans="1:5">
      <c r="A4" s="145" t="s">
        <v>197</v>
      </c>
      <c r="B4" s="145"/>
      <c r="C4" s="145"/>
    </row>
    <row r="5" spans="1:5">
      <c r="A5" s="145" t="s">
        <v>58</v>
      </c>
      <c r="B5" s="145"/>
      <c r="C5" s="145"/>
    </row>
    <row r="6" spans="1:5" ht="16.5" thickBot="1">
      <c r="A6" s="146" t="s">
        <v>133</v>
      </c>
      <c r="B6" s="146"/>
    </row>
    <row r="7" spans="1:5" ht="85.5" customHeight="1" thickBot="1">
      <c r="A7" s="25" t="s">
        <v>59</v>
      </c>
      <c r="B7" s="26" t="s">
        <v>60</v>
      </c>
      <c r="C7" s="26" t="s">
        <v>61</v>
      </c>
    </row>
    <row r="8" spans="1:5" ht="16.5" thickBot="1">
      <c r="A8" s="41"/>
      <c r="B8" s="42" t="s">
        <v>62</v>
      </c>
      <c r="C8" s="43"/>
      <c r="D8" s="20"/>
      <c r="E8" s="100"/>
    </row>
    <row r="9" spans="1:5">
      <c r="A9" s="44" t="s">
        <v>75</v>
      </c>
      <c r="B9" s="45" t="s">
        <v>113</v>
      </c>
      <c r="C9" s="49">
        <f>21.63*10</f>
        <v>216.29999999999998</v>
      </c>
      <c r="D9" s="99"/>
      <c r="E9" s="100"/>
    </row>
    <row r="10" spans="1:5" ht="35.25" customHeight="1" thickBot="1">
      <c r="A10" s="27" t="s">
        <v>76</v>
      </c>
      <c r="B10" s="71" t="s">
        <v>74</v>
      </c>
      <c r="C10" s="33">
        <f>C9*0.2409</f>
        <v>52.106669999999994</v>
      </c>
      <c r="D10" s="99"/>
    </row>
    <row r="11" spans="1:5" ht="16.5" thickBot="1">
      <c r="A11" s="27"/>
      <c r="B11" s="31" t="s">
        <v>63</v>
      </c>
      <c r="C11" s="32">
        <f>SUM(C9:C10)</f>
        <v>268.40666999999996</v>
      </c>
      <c r="D11" s="99"/>
    </row>
    <row r="12" spans="1:5" ht="16.5" thickBot="1">
      <c r="A12" s="27"/>
      <c r="B12" s="31" t="s">
        <v>64</v>
      </c>
      <c r="C12" s="33"/>
      <c r="D12" s="99"/>
    </row>
    <row r="13" spans="1:5" ht="32.25" thickBot="1">
      <c r="A13" s="27" t="s">
        <v>88</v>
      </c>
      <c r="B13" s="29" t="s">
        <v>162</v>
      </c>
      <c r="C13" s="33">
        <f>ROUND((39708/438912)*10,2)</f>
        <v>0.9</v>
      </c>
      <c r="D13" s="99"/>
      <c r="E13" s="36"/>
    </row>
    <row r="14" spans="1:5" ht="32.25" thickBot="1">
      <c r="A14" s="27" t="s">
        <v>86</v>
      </c>
      <c r="B14" s="73" t="s">
        <v>161</v>
      </c>
      <c r="C14" s="33">
        <f>ROUND((234731/438912)*10,2)</f>
        <v>5.35</v>
      </c>
      <c r="D14" s="99"/>
    </row>
    <row r="15" spans="1:5" ht="32.25" thickBot="1">
      <c r="A15" s="27" t="s">
        <v>87</v>
      </c>
      <c r="B15" s="30" t="s">
        <v>156</v>
      </c>
      <c r="C15" s="33">
        <f>ROUND((46423/438912)*10,1)</f>
        <v>1.1000000000000001</v>
      </c>
      <c r="D15" s="99"/>
    </row>
    <row r="16" spans="1:5" ht="32.25" thickBot="1">
      <c r="A16" s="27" t="s">
        <v>83</v>
      </c>
      <c r="B16" s="30" t="s">
        <v>165</v>
      </c>
      <c r="C16" s="33">
        <f>ROUND((21000/438912)*10,1)</f>
        <v>0.5</v>
      </c>
      <c r="D16" s="99"/>
    </row>
    <row r="17" spans="1:7" ht="16.5" thickBot="1">
      <c r="A17" s="27" t="s">
        <v>175</v>
      </c>
      <c r="B17" s="71" t="s">
        <v>148</v>
      </c>
      <c r="C17" s="33">
        <f>0.5*10</f>
        <v>5</v>
      </c>
      <c r="D17" s="99"/>
      <c r="G17" s="9"/>
    </row>
    <row r="18" spans="1:7" ht="16.5" thickBot="1">
      <c r="A18" s="27"/>
      <c r="B18" s="28" t="s">
        <v>65</v>
      </c>
      <c r="C18" s="32">
        <f>SUM(C13:C17)</f>
        <v>12.85</v>
      </c>
      <c r="D18" s="99"/>
    </row>
    <row r="19" spans="1:7" ht="16.5" thickBot="1">
      <c r="A19" s="27"/>
      <c r="B19" s="37" t="s">
        <v>66</v>
      </c>
      <c r="C19" s="32">
        <f>C18+C11</f>
        <v>281.25666999999999</v>
      </c>
      <c r="D19" s="99"/>
    </row>
    <row r="20" spans="1:7">
      <c r="C20" s="9"/>
    </row>
    <row r="21" spans="1:7" ht="16.5" thickBot="1">
      <c r="C21" s="9"/>
    </row>
    <row r="22" spans="1:7" ht="16.5" thickBot="1">
      <c r="A22" s="141" t="s">
        <v>67</v>
      </c>
      <c r="B22" s="142"/>
      <c r="C22" s="38">
        <v>10</v>
      </c>
    </row>
    <row r="23" spans="1:7" ht="16.5" thickBot="1">
      <c r="A23" s="141" t="s">
        <v>68</v>
      </c>
      <c r="B23" s="142"/>
      <c r="C23" s="39">
        <f>C19/C22</f>
        <v>28.125667</v>
      </c>
    </row>
    <row r="25" spans="1:7">
      <c r="A25" s="13"/>
      <c r="B25" s="13"/>
      <c r="C25" s="51"/>
      <c r="D25" s="13"/>
      <c r="E25" s="13"/>
      <c r="F25" s="13"/>
    </row>
    <row r="26" spans="1:7">
      <c r="A26" s="143"/>
      <c r="B26" s="143"/>
      <c r="C26" s="13"/>
      <c r="D26" s="13"/>
      <c r="E26" s="13"/>
      <c r="F26" s="13"/>
    </row>
    <row r="27" spans="1:7" ht="18.75">
      <c r="A27" s="144"/>
      <c r="B27" s="144"/>
      <c r="C27" s="40"/>
      <c r="D27" s="40"/>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G28"/>
  <sheetViews>
    <sheetView zoomScaleNormal="100" workbookViewId="0">
      <selection activeCell="G17" sqref="G17"/>
    </sheetView>
  </sheetViews>
  <sheetFormatPr defaultColWidth="8.85546875" defaultRowHeight="15.75"/>
  <cols>
    <col min="1" max="1" width="14.28515625" style="1" customWidth="1"/>
    <col min="2" max="2" width="102.140625" style="1" customWidth="1"/>
    <col min="3" max="3" width="19.85546875" style="1" customWidth="1"/>
    <col min="4" max="4" width="12.140625" style="1" customWidth="1"/>
    <col min="5" max="16384" width="8.85546875" style="1"/>
  </cols>
  <sheetData>
    <row r="1" spans="1:5">
      <c r="A1" s="139" t="s">
        <v>57</v>
      </c>
      <c r="B1" s="139"/>
      <c r="C1" s="139"/>
      <c r="D1" s="24"/>
      <c r="E1" s="24"/>
    </row>
    <row r="3" spans="1:5">
      <c r="A3" s="145" t="s">
        <v>69</v>
      </c>
      <c r="B3" s="145"/>
      <c r="C3" s="145"/>
    </row>
    <row r="4" spans="1:5">
      <c r="A4" s="145" t="s">
        <v>198</v>
      </c>
      <c r="B4" s="145"/>
      <c r="C4" s="145"/>
    </row>
    <row r="5" spans="1:5">
      <c r="A5" s="145" t="s">
        <v>58</v>
      </c>
      <c r="B5" s="145"/>
      <c r="C5" s="145"/>
    </row>
    <row r="6" spans="1:5" ht="16.5" thickBot="1">
      <c r="A6" s="146" t="s">
        <v>133</v>
      </c>
      <c r="B6" s="146"/>
    </row>
    <row r="7" spans="1:5" ht="96" customHeight="1" thickBot="1">
      <c r="A7" s="25" t="s">
        <v>59</v>
      </c>
      <c r="B7" s="26" t="s">
        <v>60</v>
      </c>
      <c r="C7" s="26" t="s">
        <v>61</v>
      </c>
    </row>
    <row r="8" spans="1:5" ht="16.5" thickBot="1">
      <c r="A8" s="41"/>
      <c r="B8" s="42" t="s">
        <v>62</v>
      </c>
      <c r="C8" s="43"/>
      <c r="E8" s="100"/>
    </row>
    <row r="9" spans="1:5">
      <c r="A9" s="44" t="s">
        <v>75</v>
      </c>
      <c r="B9" s="45" t="s">
        <v>115</v>
      </c>
      <c r="C9" s="49">
        <f>20.66*10</f>
        <v>206.6</v>
      </c>
      <c r="E9" s="99"/>
    </row>
    <row r="10" spans="1:5" ht="32.25" thickBot="1">
      <c r="A10" s="27" t="s">
        <v>76</v>
      </c>
      <c r="B10" s="71" t="s">
        <v>74</v>
      </c>
      <c r="C10" s="33">
        <f>ROUND(C9*0.2409,2)</f>
        <v>49.77</v>
      </c>
    </row>
    <row r="11" spans="1:5" ht="16.5" thickBot="1">
      <c r="A11" s="27"/>
      <c r="B11" s="31" t="s">
        <v>63</v>
      </c>
      <c r="C11" s="32">
        <f>SUM(C9:C10)</f>
        <v>256.37</v>
      </c>
    </row>
    <row r="12" spans="1:5" ht="16.5" thickBot="1">
      <c r="A12" s="27"/>
      <c r="B12" s="31" t="s">
        <v>64</v>
      </c>
      <c r="C12" s="33"/>
    </row>
    <row r="13" spans="1:5" ht="32.25" thickBot="1">
      <c r="A13" s="27" t="s">
        <v>88</v>
      </c>
      <c r="B13" s="29" t="s">
        <v>162</v>
      </c>
      <c r="C13" s="33">
        <f>ROUND((39708/438912)*10,2)</f>
        <v>0.9</v>
      </c>
      <c r="E13" s="36"/>
    </row>
    <row r="14" spans="1:5" ht="32.25" thickBot="1">
      <c r="A14" s="27" t="s">
        <v>86</v>
      </c>
      <c r="B14" s="73" t="s">
        <v>161</v>
      </c>
      <c r="C14" s="33">
        <f>ROUNDUP((234731/438912)*10,1)</f>
        <v>5.3999999999999995</v>
      </c>
    </row>
    <row r="15" spans="1:5" ht="32.25" thickBot="1">
      <c r="A15" s="27" t="s">
        <v>87</v>
      </c>
      <c r="B15" s="30" t="s">
        <v>156</v>
      </c>
      <c r="C15" s="33">
        <f>ROUND((46423/438912)*10,2)</f>
        <v>1.06</v>
      </c>
    </row>
    <row r="16" spans="1:5" ht="32.25" thickBot="1">
      <c r="A16" s="27" t="s">
        <v>83</v>
      </c>
      <c r="B16" s="30" t="s">
        <v>165</v>
      </c>
      <c r="C16" s="33">
        <f>ROUND((21000/438912)*10,2)</f>
        <v>0.48</v>
      </c>
    </row>
    <row r="17" spans="1:7" ht="16.5" thickBot="1">
      <c r="A17" s="27" t="s">
        <v>175</v>
      </c>
      <c r="B17" s="30" t="s">
        <v>148</v>
      </c>
      <c r="C17" s="33">
        <f>0.5*10</f>
        <v>5</v>
      </c>
      <c r="G17" s="9"/>
    </row>
    <row r="18" spans="1:7" ht="16.5" thickBot="1">
      <c r="A18" s="27"/>
      <c r="B18" s="28" t="s">
        <v>65</v>
      </c>
      <c r="C18" s="32">
        <f>SUM(C13:C17)</f>
        <v>12.84</v>
      </c>
    </row>
    <row r="19" spans="1:7" ht="16.5" thickBot="1">
      <c r="A19" s="27"/>
      <c r="B19" s="37" t="s">
        <v>66</v>
      </c>
      <c r="C19" s="32">
        <f>C18+C11</f>
        <v>269.20999999999998</v>
      </c>
    </row>
    <row r="20" spans="1:7">
      <c r="C20" s="9"/>
    </row>
    <row r="21" spans="1:7" ht="16.5" thickBot="1">
      <c r="C21" s="9"/>
    </row>
    <row r="22" spans="1:7" ht="16.5" thickBot="1">
      <c r="A22" s="141" t="s">
        <v>67</v>
      </c>
      <c r="B22" s="142"/>
      <c r="C22" s="38">
        <v>10</v>
      </c>
    </row>
    <row r="23" spans="1:7" ht="16.5" thickBot="1">
      <c r="A23" s="141" t="s">
        <v>68</v>
      </c>
      <c r="B23" s="142"/>
      <c r="C23" s="39">
        <f>C19/C22</f>
        <v>26.920999999999999</v>
      </c>
    </row>
    <row r="25" spans="1:7">
      <c r="A25" s="13"/>
      <c r="B25" s="13"/>
      <c r="C25" s="13"/>
      <c r="D25" s="13"/>
      <c r="E25" s="13"/>
      <c r="F25" s="13"/>
    </row>
    <row r="26" spans="1:7">
      <c r="A26" s="13"/>
      <c r="B26" s="13"/>
      <c r="C26" s="13"/>
      <c r="D26" s="13"/>
      <c r="E26" s="13"/>
      <c r="F26" s="13"/>
    </row>
    <row r="27" spans="1:7">
      <c r="A27" s="13"/>
      <c r="B27" s="13"/>
      <c r="C27" s="13"/>
      <c r="D27" s="40"/>
      <c r="E27" s="13"/>
      <c r="F27" s="13"/>
    </row>
    <row r="28" spans="1:7">
      <c r="C28" s="13"/>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4.9989318521683403E-2"/>
  </sheetPr>
  <dimension ref="A1:G28"/>
  <sheetViews>
    <sheetView topLeftCell="A7" zoomScaleNormal="100" workbookViewId="0">
      <selection activeCell="B25" sqref="B25:C28"/>
    </sheetView>
  </sheetViews>
  <sheetFormatPr defaultColWidth="8.85546875" defaultRowHeight="15.75"/>
  <cols>
    <col min="1" max="1" width="15.28515625" style="1" customWidth="1"/>
    <col min="2" max="2" width="114.28515625" style="1" customWidth="1"/>
    <col min="3" max="3" width="19.85546875" style="1" customWidth="1"/>
    <col min="4" max="4" width="11.42578125" style="1" customWidth="1"/>
    <col min="5" max="5" width="6.5703125" style="1" customWidth="1"/>
    <col min="6" max="16384" width="8.85546875" style="1"/>
  </cols>
  <sheetData>
    <row r="1" spans="1:5">
      <c r="A1" s="139" t="s">
        <v>57</v>
      </c>
      <c r="B1" s="139"/>
      <c r="C1" s="139"/>
      <c r="D1" s="24"/>
      <c r="E1" s="24"/>
    </row>
    <row r="3" spans="1:5">
      <c r="A3" s="145" t="s">
        <v>69</v>
      </c>
      <c r="B3" s="145"/>
      <c r="C3" s="145"/>
    </row>
    <row r="4" spans="1:5">
      <c r="A4" s="145" t="s">
        <v>199</v>
      </c>
      <c r="B4" s="145"/>
      <c r="C4" s="145"/>
    </row>
    <row r="5" spans="1:5">
      <c r="A5" s="145" t="s">
        <v>58</v>
      </c>
      <c r="B5" s="145"/>
      <c r="C5" s="145"/>
    </row>
    <row r="6" spans="1:5" ht="16.5" thickBot="1">
      <c r="A6" s="146" t="s">
        <v>120</v>
      </c>
      <c r="B6" s="146"/>
    </row>
    <row r="7" spans="1:5" ht="93" customHeight="1" thickBot="1">
      <c r="A7" s="25" t="s">
        <v>59</v>
      </c>
      <c r="B7" s="26" t="s">
        <v>60</v>
      </c>
      <c r="C7" s="26" t="s">
        <v>61</v>
      </c>
    </row>
    <row r="8" spans="1:5" ht="16.5" thickBot="1">
      <c r="A8" s="41"/>
      <c r="B8" s="42" t="s">
        <v>62</v>
      </c>
      <c r="C8" s="43"/>
      <c r="D8" s="20"/>
      <c r="E8" s="20"/>
    </row>
    <row r="9" spans="1:5">
      <c r="A9" s="44" t="s">
        <v>75</v>
      </c>
      <c r="B9" s="45" t="s">
        <v>72</v>
      </c>
      <c r="C9" s="49">
        <f>13.37*80</f>
        <v>1069.5999999999999</v>
      </c>
      <c r="D9" s="20"/>
      <c r="E9" s="99"/>
    </row>
    <row r="10" spans="1:5" ht="16.5" thickBot="1">
      <c r="A10" s="27" t="s">
        <v>76</v>
      </c>
      <c r="B10" s="30" t="s">
        <v>74</v>
      </c>
      <c r="C10" s="33">
        <f>ROUND(C9*0.2409,1)</f>
        <v>257.7</v>
      </c>
      <c r="D10" s="20"/>
    </row>
    <row r="11" spans="1:5" ht="16.5" thickBot="1">
      <c r="A11" s="27"/>
      <c r="B11" s="31" t="s">
        <v>63</v>
      </c>
      <c r="C11" s="32">
        <f>SUM(C9:C10)</f>
        <v>1327.3</v>
      </c>
      <c r="D11" s="20"/>
    </row>
    <row r="12" spans="1:5" ht="16.5" thickBot="1">
      <c r="A12" s="27"/>
      <c r="B12" s="31" t="s">
        <v>64</v>
      </c>
      <c r="C12" s="33"/>
      <c r="D12" s="20"/>
    </row>
    <row r="13" spans="1:5" ht="32.25" thickBot="1">
      <c r="A13" s="27" t="s">
        <v>88</v>
      </c>
      <c r="B13" s="29" t="s">
        <v>162</v>
      </c>
      <c r="C13" s="33">
        <f>ROUND((39708/438912)*80,2)</f>
        <v>7.24</v>
      </c>
      <c r="D13" s="20"/>
      <c r="E13" s="36"/>
    </row>
    <row r="14" spans="1:5" ht="32.25" thickBot="1">
      <c r="A14" s="27" t="s">
        <v>86</v>
      </c>
      <c r="B14" s="73" t="s">
        <v>161</v>
      </c>
      <c r="C14" s="33">
        <f>ROUNDUP((234731/438912)*80,2)</f>
        <v>42.79</v>
      </c>
      <c r="D14" s="20"/>
    </row>
    <row r="15" spans="1:5" ht="32.25" thickBot="1">
      <c r="A15" s="27" t="s">
        <v>87</v>
      </c>
      <c r="B15" s="30" t="s">
        <v>156</v>
      </c>
      <c r="C15" s="33">
        <f>ROUNDUP((46423/438912)*80,2)</f>
        <v>8.4700000000000006</v>
      </c>
      <c r="D15" s="20"/>
    </row>
    <row r="16" spans="1:5" ht="32.25" thickBot="1">
      <c r="A16" s="27" t="s">
        <v>83</v>
      </c>
      <c r="B16" s="30" t="s">
        <v>165</v>
      </c>
      <c r="C16" s="33">
        <f>ROUND((21000/438912)*80,0)</f>
        <v>4</v>
      </c>
      <c r="D16" s="20"/>
    </row>
    <row r="17" spans="1:7" ht="16.5" thickBot="1">
      <c r="A17" s="27" t="s">
        <v>175</v>
      </c>
      <c r="B17" s="30" t="s">
        <v>148</v>
      </c>
      <c r="C17" s="33">
        <f>0.5*80</f>
        <v>40</v>
      </c>
      <c r="D17" s="20"/>
      <c r="G17" s="9"/>
    </row>
    <row r="18" spans="1:7" ht="16.5" thickBot="1">
      <c r="A18" s="27"/>
      <c r="B18" s="28" t="s">
        <v>65</v>
      </c>
      <c r="C18" s="32">
        <f>SUM(C13:C17)</f>
        <v>102.5</v>
      </c>
      <c r="D18" s="20"/>
    </row>
    <row r="19" spans="1:7" ht="16.5" thickBot="1">
      <c r="A19" s="27"/>
      <c r="B19" s="37" t="s">
        <v>66</v>
      </c>
      <c r="C19" s="32">
        <f>C18+C11</f>
        <v>1429.8</v>
      </c>
      <c r="D19" s="20"/>
    </row>
    <row r="20" spans="1:7">
      <c r="C20" s="9"/>
      <c r="D20" s="20"/>
    </row>
    <row r="21" spans="1:7" ht="16.5" thickBot="1">
      <c r="C21" s="9"/>
      <c r="D21" s="20"/>
    </row>
    <row r="22" spans="1:7" ht="16.5" thickBot="1">
      <c r="A22" s="141" t="s">
        <v>67</v>
      </c>
      <c r="B22" s="142"/>
      <c r="C22" s="38">
        <v>80</v>
      </c>
      <c r="D22" s="20"/>
    </row>
    <row r="23" spans="1:7" ht="16.5" thickBot="1">
      <c r="A23" s="141" t="s">
        <v>68</v>
      </c>
      <c r="B23" s="142"/>
      <c r="C23" s="39">
        <f>C19/C22</f>
        <v>17.872499999999999</v>
      </c>
      <c r="D23" s="20"/>
    </row>
    <row r="24" spans="1:7">
      <c r="D24" s="20"/>
    </row>
    <row r="25" spans="1:7">
      <c r="A25" s="13"/>
      <c r="B25" s="13"/>
      <c r="C25" s="13"/>
      <c r="D25" s="13"/>
      <c r="E25" s="13"/>
      <c r="F25" s="13"/>
    </row>
    <row r="26" spans="1:7">
      <c r="A26" s="13"/>
      <c r="B26" s="13"/>
      <c r="C26" s="51"/>
      <c r="D26" s="13"/>
      <c r="E26" s="13"/>
      <c r="F26" s="13"/>
    </row>
    <row r="27" spans="1:7">
      <c r="A27" s="13"/>
      <c r="B27" s="13"/>
      <c r="C27" s="112"/>
      <c r="D27" s="40"/>
      <c r="E27" s="13"/>
      <c r="F27" s="13"/>
    </row>
    <row r="28" spans="1:7">
      <c r="C28" s="9"/>
    </row>
  </sheetData>
  <mergeCells count="7">
    <mergeCell ref="A23:B23"/>
    <mergeCell ref="A1:C1"/>
    <mergeCell ref="A3:C3"/>
    <mergeCell ref="A4:C4"/>
    <mergeCell ref="A5:C5"/>
    <mergeCell ref="A6:B6"/>
    <mergeCell ref="A22:B22"/>
  </mergeCells>
  <pageMargins left="0.70866141732283472" right="0.70866141732283472" top="0.74803149606299213" bottom="0.74803149606299213" header="0.31496062992125984" footer="0.31496062992125984"/>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4.9989318521683403E-2"/>
  </sheetPr>
  <dimension ref="A1:F26"/>
  <sheetViews>
    <sheetView zoomScaleNormal="100" workbookViewId="0">
      <selection activeCell="G20" sqref="G20"/>
    </sheetView>
  </sheetViews>
  <sheetFormatPr defaultColWidth="8.85546875" defaultRowHeight="15.75"/>
  <cols>
    <col min="1" max="1" width="15.28515625" style="1" customWidth="1"/>
    <col min="2" max="2" width="87.28515625" style="1" customWidth="1"/>
    <col min="3" max="3" width="19.85546875" style="1" customWidth="1"/>
    <col min="4" max="4" width="10.85546875" style="1" customWidth="1"/>
    <col min="5" max="16384" width="8.85546875" style="1"/>
  </cols>
  <sheetData>
    <row r="1" spans="1:5">
      <c r="A1" s="139" t="s">
        <v>57</v>
      </c>
      <c r="B1" s="139"/>
      <c r="C1" s="139"/>
      <c r="D1" s="24"/>
      <c r="E1" s="24"/>
    </row>
    <row r="3" spans="1:5">
      <c r="A3" s="145" t="s">
        <v>69</v>
      </c>
      <c r="B3" s="145"/>
      <c r="C3" s="145"/>
    </row>
    <row r="4" spans="1:5">
      <c r="A4" s="145" t="s">
        <v>200</v>
      </c>
      <c r="B4" s="145"/>
      <c r="C4" s="145"/>
    </row>
    <row r="5" spans="1:5">
      <c r="A5" s="145" t="s">
        <v>58</v>
      </c>
      <c r="B5" s="145"/>
      <c r="C5" s="145"/>
    </row>
    <row r="6" spans="1:5" ht="16.5" thickBot="1">
      <c r="A6" s="146" t="s">
        <v>121</v>
      </c>
      <c r="B6" s="146"/>
    </row>
    <row r="7" spans="1:5" ht="100.5" customHeight="1" thickBot="1">
      <c r="A7" s="25" t="s">
        <v>59</v>
      </c>
      <c r="B7" s="26" t="s">
        <v>60</v>
      </c>
      <c r="C7" s="26" t="s">
        <v>61</v>
      </c>
    </row>
    <row r="8" spans="1:5" ht="16.5" thickBot="1">
      <c r="A8" s="41"/>
      <c r="B8" s="42" t="s">
        <v>62</v>
      </c>
      <c r="C8" s="43"/>
      <c r="E8" s="100"/>
    </row>
    <row r="9" spans="1:5">
      <c r="A9" s="44" t="s">
        <v>75</v>
      </c>
      <c r="B9" s="45" t="s">
        <v>73</v>
      </c>
      <c r="C9" s="49">
        <f>9.01*140</f>
        <v>1261.3999999999999</v>
      </c>
      <c r="E9" s="99"/>
    </row>
    <row r="10" spans="1:5" ht="32.25" thickBot="1">
      <c r="A10" s="27" t="s">
        <v>76</v>
      </c>
      <c r="B10" s="71" t="s">
        <v>74</v>
      </c>
      <c r="C10" s="33">
        <f>ROUNDDOWN(C9*0.2409,1)</f>
        <v>303.8</v>
      </c>
    </row>
    <row r="11" spans="1:5" ht="16.5" thickBot="1">
      <c r="A11" s="27"/>
      <c r="B11" s="31" t="s">
        <v>63</v>
      </c>
      <c r="C11" s="32">
        <f>SUM(C9:C10)</f>
        <v>1565.1999999999998</v>
      </c>
    </row>
    <row r="12" spans="1:5" ht="16.5" thickBot="1">
      <c r="A12" s="27"/>
      <c r="B12" s="31" t="s">
        <v>64</v>
      </c>
      <c r="C12" s="33"/>
    </row>
    <row r="13" spans="1:5" ht="32.25" thickBot="1">
      <c r="A13" s="27" t="s">
        <v>88</v>
      </c>
      <c r="B13" s="29" t="s">
        <v>162</v>
      </c>
      <c r="C13" s="33">
        <f>0.09*140</f>
        <v>12.6</v>
      </c>
      <c r="E13" s="36"/>
    </row>
    <row r="14" spans="1:5" ht="32.25" thickBot="1">
      <c r="A14" s="27" t="s">
        <v>86</v>
      </c>
      <c r="B14" s="73" t="s">
        <v>161</v>
      </c>
      <c r="C14" s="33">
        <f>0.53*140</f>
        <v>74.2</v>
      </c>
    </row>
    <row r="15" spans="1:5" ht="32.25" thickBot="1">
      <c r="A15" s="27" t="s">
        <v>87</v>
      </c>
      <c r="B15" s="30" t="s">
        <v>156</v>
      </c>
      <c r="C15" s="33">
        <f>ROUNDUP((46423/438912)*140,1)</f>
        <v>14.9</v>
      </c>
    </row>
    <row r="16" spans="1:5" ht="32.25" thickBot="1">
      <c r="A16" s="27" t="s">
        <v>83</v>
      </c>
      <c r="B16" s="30" t="s">
        <v>165</v>
      </c>
      <c r="C16" s="33">
        <f>ROUNDUP((21000/438912)*140,2)</f>
        <v>6.7</v>
      </c>
    </row>
    <row r="17" spans="1:6" ht="16.5" thickBot="1">
      <c r="A17" s="27"/>
      <c r="B17" s="28" t="s">
        <v>65</v>
      </c>
      <c r="C17" s="32">
        <f>SUM(C13:C16)</f>
        <v>108.4</v>
      </c>
    </row>
    <row r="18" spans="1:6" ht="16.5" thickBot="1">
      <c r="A18" s="27"/>
      <c r="B18" s="37" t="s">
        <v>66</v>
      </c>
      <c r="C18" s="32">
        <f>C17+C11</f>
        <v>1673.6</v>
      </c>
    </row>
    <row r="19" spans="1:6">
      <c r="C19" s="9"/>
    </row>
    <row r="20" spans="1:6" ht="16.5" thickBot="1">
      <c r="C20" s="9"/>
    </row>
    <row r="21" spans="1:6" ht="16.5" thickBot="1">
      <c r="A21" s="141" t="s">
        <v>67</v>
      </c>
      <c r="B21" s="142"/>
      <c r="C21" s="38">
        <v>140</v>
      </c>
    </row>
    <row r="22" spans="1:6" ht="16.5" thickBot="1">
      <c r="A22" s="141" t="s">
        <v>68</v>
      </c>
      <c r="B22" s="142"/>
      <c r="C22" s="39">
        <f>C18/C21</f>
        <v>11.954285714285714</v>
      </c>
    </row>
    <row r="24" spans="1:6">
      <c r="A24" s="13"/>
      <c r="B24" s="13"/>
      <c r="C24" s="51"/>
      <c r="D24" s="13"/>
      <c r="E24" s="13"/>
      <c r="F24" s="13"/>
    </row>
    <row r="25" spans="1:6">
      <c r="A25" s="143"/>
      <c r="B25" s="143"/>
      <c r="C25" s="13"/>
      <c r="D25" s="13"/>
      <c r="E25" s="13"/>
      <c r="F25" s="13"/>
    </row>
    <row r="26" spans="1:6" ht="18.75">
      <c r="A26" s="144"/>
      <c r="B26" s="144"/>
      <c r="C26" s="40"/>
      <c r="D26" s="40"/>
      <c r="E26" s="13"/>
      <c r="F26" s="13"/>
    </row>
  </sheetData>
  <mergeCells count="9">
    <mergeCell ref="A22:B22"/>
    <mergeCell ref="A25:B25"/>
    <mergeCell ref="A26:B26"/>
    <mergeCell ref="A1:C1"/>
    <mergeCell ref="A3:C3"/>
    <mergeCell ref="A4:C4"/>
    <mergeCell ref="A5:C5"/>
    <mergeCell ref="A6:B6"/>
    <mergeCell ref="A21:B21"/>
  </mergeCells>
  <pageMargins left="0.7" right="0.7" top="0.75" bottom="0.75" header="0.3" footer="0.3"/>
  <pageSetup paperSize="9" scale="7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4.9989318521683403E-2"/>
  </sheetPr>
  <dimension ref="A1:F44"/>
  <sheetViews>
    <sheetView topLeftCell="A19" zoomScaleNormal="100" workbookViewId="0">
      <selection activeCell="B41" sqref="B41:C44"/>
    </sheetView>
  </sheetViews>
  <sheetFormatPr defaultColWidth="8.85546875" defaultRowHeight="15.75"/>
  <cols>
    <col min="1" max="1" width="14.140625" style="1" customWidth="1"/>
    <col min="2" max="2" width="104" style="1" customWidth="1"/>
    <col min="3" max="3" width="19.85546875" style="1" customWidth="1"/>
    <col min="4" max="16384" width="8.85546875" style="1"/>
  </cols>
  <sheetData>
    <row r="1" spans="1:4">
      <c r="A1" s="139" t="s">
        <v>57</v>
      </c>
      <c r="B1" s="139"/>
      <c r="C1" s="139"/>
      <c r="D1" s="24"/>
    </row>
    <row r="3" spans="1:4">
      <c r="A3" s="145" t="s">
        <v>69</v>
      </c>
      <c r="B3" s="145"/>
      <c r="C3" s="145"/>
    </row>
    <row r="4" spans="1:4">
      <c r="A4" s="145" t="s">
        <v>122</v>
      </c>
      <c r="B4" s="145"/>
      <c r="C4" s="145"/>
    </row>
    <row r="5" spans="1:4">
      <c r="A5" s="145" t="s">
        <v>58</v>
      </c>
      <c r="B5" s="145"/>
      <c r="C5" s="145"/>
    </row>
    <row r="6" spans="1:4" ht="16.5" thickBot="1">
      <c r="A6" s="146" t="s">
        <v>119</v>
      </c>
      <c r="B6" s="146"/>
    </row>
    <row r="7" spans="1:4" ht="96" customHeight="1" thickBot="1">
      <c r="A7" s="25" t="s">
        <v>59</v>
      </c>
      <c r="B7" s="26" t="s">
        <v>60</v>
      </c>
      <c r="C7" s="26" t="s">
        <v>61</v>
      </c>
    </row>
    <row r="8" spans="1:4" ht="16.5" thickBot="1">
      <c r="A8" s="41"/>
      <c r="B8" s="42" t="s">
        <v>62</v>
      </c>
      <c r="C8" s="43"/>
      <c r="D8" s="100"/>
    </row>
    <row r="9" spans="1:4">
      <c r="A9" s="147" t="s">
        <v>75</v>
      </c>
      <c r="B9" s="45" t="s">
        <v>113</v>
      </c>
      <c r="C9" s="49">
        <f>21.63*13</f>
        <v>281.19</v>
      </c>
      <c r="D9" s="100"/>
    </row>
    <row r="10" spans="1:4">
      <c r="A10" s="148"/>
      <c r="B10" s="46" t="s">
        <v>72</v>
      </c>
      <c r="C10" s="108">
        <f>13.37*13</f>
        <v>173.81</v>
      </c>
      <c r="D10" s="100"/>
    </row>
    <row r="11" spans="1:4">
      <c r="A11" s="151"/>
      <c r="B11" s="48" t="s">
        <v>72</v>
      </c>
      <c r="C11" s="108">
        <f>13.37*13</f>
        <v>173.81</v>
      </c>
      <c r="D11" s="100"/>
    </row>
    <row r="12" spans="1:4" ht="16.5" thickBot="1">
      <c r="A12" s="149"/>
      <c r="B12" s="47" t="s">
        <v>73</v>
      </c>
      <c r="C12" s="109">
        <f>9.01*13</f>
        <v>117.13</v>
      </c>
      <c r="D12" s="100"/>
    </row>
    <row r="13" spans="1:4" ht="15.75" customHeight="1" thickBot="1">
      <c r="A13" s="27" t="s">
        <v>76</v>
      </c>
      <c r="B13" s="71" t="s">
        <v>74</v>
      </c>
      <c r="C13" s="33">
        <f>(C9+C10+C11+C12)*0.2409</f>
        <v>179.696946</v>
      </c>
    </row>
    <row r="14" spans="1:4" ht="32.25" thickBot="1">
      <c r="A14" s="27" t="s">
        <v>77</v>
      </c>
      <c r="B14" s="30" t="s">
        <v>167</v>
      </c>
      <c r="C14" s="33">
        <f>(367899/438912)*13</f>
        <v>10.89668771872266</v>
      </c>
    </row>
    <row r="15" spans="1:4" ht="32.25" thickBot="1">
      <c r="A15" s="27" t="s">
        <v>79</v>
      </c>
      <c r="B15" s="30" t="s">
        <v>214</v>
      </c>
      <c r="C15" s="52">
        <f>(1.36+27.58)*13</f>
        <v>376.21999999999997</v>
      </c>
    </row>
    <row r="16" spans="1:4" ht="32.25" thickBot="1">
      <c r="A16" s="27" t="s">
        <v>80</v>
      </c>
      <c r="B16" s="71" t="s">
        <v>169</v>
      </c>
      <c r="C16" s="33">
        <f>(452717/438912)*13</f>
        <v>13.408886063721203</v>
      </c>
    </row>
    <row r="17" spans="1:4" ht="32.25" thickBot="1">
      <c r="A17" s="27" t="s">
        <v>82</v>
      </c>
      <c r="B17" s="30" t="s">
        <v>171</v>
      </c>
      <c r="C17" s="33">
        <f>(624380/438912)*13</f>
        <v>18.493319845435988</v>
      </c>
    </row>
    <row r="18" spans="1:4" ht="32.25" thickBot="1">
      <c r="A18" s="27" t="s">
        <v>170</v>
      </c>
      <c r="B18" s="30" t="s">
        <v>172</v>
      </c>
      <c r="C18" s="33">
        <f>1.14*13</f>
        <v>14.819999999999999</v>
      </c>
    </row>
    <row r="19" spans="1:4" ht="32.25" thickBot="1">
      <c r="A19" s="27" t="s">
        <v>81</v>
      </c>
      <c r="B19" s="29" t="s">
        <v>182</v>
      </c>
      <c r="C19" s="33">
        <f>11.45*13</f>
        <v>148.85</v>
      </c>
    </row>
    <row r="20" spans="1:4" ht="16.5" thickBot="1">
      <c r="A20" s="27"/>
      <c r="B20" s="31" t="s">
        <v>63</v>
      </c>
      <c r="C20" s="32">
        <f>SUM(C9:C19)</f>
        <v>1508.3258396278795</v>
      </c>
    </row>
    <row r="21" spans="1:4" ht="16.5" thickBot="1">
      <c r="A21" s="27"/>
      <c r="B21" s="31" t="s">
        <v>64</v>
      </c>
      <c r="C21" s="33"/>
    </row>
    <row r="22" spans="1:4" ht="15.75" customHeight="1" thickBot="1">
      <c r="A22" s="27" t="s">
        <v>84</v>
      </c>
      <c r="B22" s="34" t="s">
        <v>152</v>
      </c>
      <c r="C22" s="33">
        <f>(C9+C10+C11+C12)*0.25</f>
        <v>186.48499999999999</v>
      </c>
    </row>
    <row r="23" spans="1:4" ht="17.25" customHeight="1" thickBot="1">
      <c r="A23" s="27" t="s">
        <v>76</v>
      </c>
      <c r="B23" s="71" t="s">
        <v>74</v>
      </c>
      <c r="C23" s="33">
        <f>C22*0.2409</f>
        <v>44.924236499999999</v>
      </c>
    </row>
    <row r="24" spans="1:4" ht="32.25" thickBot="1">
      <c r="A24" s="27" t="s">
        <v>88</v>
      </c>
      <c r="B24" s="29" t="s">
        <v>162</v>
      </c>
      <c r="C24" s="33">
        <f>0.09*13</f>
        <v>1.17</v>
      </c>
      <c r="D24" s="36"/>
    </row>
    <row r="25" spans="1:4" ht="32.25" thickBot="1">
      <c r="A25" s="27" t="s">
        <v>85</v>
      </c>
      <c r="B25" s="30" t="s">
        <v>164</v>
      </c>
      <c r="C25" s="33">
        <f>(813902/438912)*13</f>
        <v>24.106713874307378</v>
      </c>
    </row>
    <row r="26" spans="1:4" ht="32.25" thickBot="1">
      <c r="A26" s="27" t="s">
        <v>86</v>
      </c>
      <c r="B26" s="73" t="s">
        <v>161</v>
      </c>
      <c r="C26" s="33">
        <f>ROUNDUP((234731/438912)*13,2)</f>
        <v>6.96</v>
      </c>
    </row>
    <row r="27" spans="1:4" ht="32.25" thickBot="1">
      <c r="A27" s="27" t="s">
        <v>82</v>
      </c>
      <c r="B27" s="35" t="s">
        <v>163</v>
      </c>
      <c r="C27" s="33">
        <f>1.28*13</f>
        <v>16.64</v>
      </c>
    </row>
    <row r="28" spans="1:4" ht="32.25" thickBot="1">
      <c r="A28" s="27" t="s">
        <v>78</v>
      </c>
      <c r="B28" s="30" t="s">
        <v>166</v>
      </c>
      <c r="C28" s="33">
        <f>1.43*13</f>
        <v>18.59</v>
      </c>
    </row>
    <row r="29" spans="1:4" ht="33" customHeight="1" thickBot="1">
      <c r="A29" s="27" t="s">
        <v>136</v>
      </c>
      <c r="B29" s="71" t="s">
        <v>228</v>
      </c>
      <c r="C29" s="33">
        <f>ROUNDUP((286606/438912)*13,2)</f>
        <v>8.49</v>
      </c>
    </row>
    <row r="30" spans="1:4" ht="32.25" thickBot="1">
      <c r="A30" s="27" t="s">
        <v>134</v>
      </c>
      <c r="B30" s="30" t="s">
        <v>173</v>
      </c>
      <c r="C30" s="33">
        <f>ROUND((157571/438912)*13,2)</f>
        <v>4.67</v>
      </c>
    </row>
    <row r="31" spans="1:4" ht="32.25" thickBot="1">
      <c r="A31" s="27" t="s">
        <v>87</v>
      </c>
      <c r="B31" s="30" t="s">
        <v>156</v>
      </c>
      <c r="C31" s="33">
        <f>ROUNDUP((46423/438912)*13,2)</f>
        <v>1.3800000000000001</v>
      </c>
    </row>
    <row r="32" spans="1:4" ht="32.25" thickBot="1">
      <c r="A32" s="27" t="s">
        <v>83</v>
      </c>
      <c r="B32" s="30" t="s">
        <v>165</v>
      </c>
      <c r="C32" s="33">
        <f>ROUNDUP((21000/438912)*13,2)</f>
        <v>0.63</v>
      </c>
    </row>
    <row r="33" spans="1:6" ht="32.25" thickBot="1">
      <c r="A33" s="27" t="s">
        <v>175</v>
      </c>
      <c r="B33" s="29" t="s">
        <v>150</v>
      </c>
      <c r="C33" s="52">
        <f>10*13</f>
        <v>130</v>
      </c>
      <c r="F33" s="9"/>
    </row>
    <row r="34" spans="1:6" ht="16.5" thickBot="1">
      <c r="A34" s="27"/>
      <c r="B34" s="28" t="s">
        <v>65</v>
      </c>
      <c r="C34" s="32">
        <f>SUM(C22:C33)</f>
        <v>444.04595037430732</v>
      </c>
    </row>
    <row r="35" spans="1:6" ht="16.5" thickBot="1">
      <c r="A35" s="27"/>
      <c r="B35" s="37" t="s">
        <v>66</v>
      </c>
      <c r="C35" s="32">
        <f>C34+C20</f>
        <v>1952.3717900021868</v>
      </c>
    </row>
    <row r="36" spans="1:6">
      <c r="C36" s="9"/>
    </row>
    <row r="37" spans="1:6" ht="16.5" thickBot="1">
      <c r="C37" s="9"/>
    </row>
    <row r="38" spans="1:6" ht="16.5" thickBot="1">
      <c r="A38" s="141" t="s">
        <v>67</v>
      </c>
      <c r="B38" s="142"/>
      <c r="C38" s="38">
        <v>13</v>
      </c>
    </row>
    <row r="39" spans="1:6" ht="16.5" thickBot="1">
      <c r="A39" s="141" t="s">
        <v>68</v>
      </c>
      <c r="B39" s="142"/>
      <c r="C39" s="39">
        <f>C35/C38</f>
        <v>150.18244538478359</v>
      </c>
    </row>
    <row r="41" spans="1:6">
      <c r="A41" s="13"/>
      <c r="B41" s="13"/>
      <c r="C41" s="51"/>
      <c r="D41" s="13"/>
      <c r="E41" s="13"/>
    </row>
    <row r="42" spans="1:6">
      <c r="A42" s="13"/>
      <c r="B42" s="13"/>
      <c r="C42" s="51"/>
      <c r="D42" s="13"/>
      <c r="E42" s="13"/>
    </row>
    <row r="43" spans="1:6">
      <c r="A43" s="13"/>
      <c r="B43" s="13"/>
      <c r="C43" s="112"/>
      <c r="D43" s="13"/>
      <c r="E43" s="13"/>
    </row>
    <row r="44" spans="1:6">
      <c r="C44" s="9"/>
    </row>
  </sheetData>
  <mergeCells count="8">
    <mergeCell ref="A38:B38"/>
    <mergeCell ref="A39:B39"/>
    <mergeCell ref="A1:C1"/>
    <mergeCell ref="A3:C3"/>
    <mergeCell ref="A4:C4"/>
    <mergeCell ref="A5:C5"/>
    <mergeCell ref="A6:B6"/>
    <mergeCell ref="A9:A12"/>
  </mergeCells>
  <pageMargins left="0.70866141732283472" right="0.70866141732283472" top="0.74803149606299213" bottom="0.74803149606299213" header="0.31496062992125984" footer="0.31496062992125984"/>
  <pageSetup paperSize="9" scale="5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sheetPr>
  <dimension ref="A1:F22"/>
  <sheetViews>
    <sheetView zoomScaleNormal="100" zoomScaleSheetLayoutView="100" workbookViewId="0">
      <selection activeCell="G15" sqref="G15"/>
    </sheetView>
  </sheetViews>
  <sheetFormatPr defaultColWidth="8.85546875" defaultRowHeight="15.75"/>
  <cols>
    <col min="1" max="1" width="17.140625" style="1" customWidth="1"/>
    <col min="2" max="2" width="91.570312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c r="A4" s="145" t="s">
        <v>123</v>
      </c>
      <c r="B4" s="145"/>
      <c r="C4" s="145"/>
    </row>
    <row r="5" spans="1:5">
      <c r="A5" s="145" t="s">
        <v>58</v>
      </c>
      <c r="B5" s="145"/>
      <c r="C5" s="145"/>
    </row>
    <row r="6" spans="1:5" ht="16.5" thickBot="1">
      <c r="A6" s="146" t="s">
        <v>222</v>
      </c>
      <c r="B6" s="146"/>
    </row>
    <row r="7" spans="1:5" ht="79.5" thickBot="1">
      <c r="A7" s="25" t="s">
        <v>59</v>
      </c>
      <c r="B7" s="26" t="s">
        <v>60</v>
      </c>
      <c r="C7" s="26" t="s">
        <v>61</v>
      </c>
    </row>
    <row r="8" spans="1:5" ht="16.5" thickBot="1">
      <c r="A8" s="41"/>
      <c r="B8" s="42" t="s">
        <v>62</v>
      </c>
      <c r="C8" s="43"/>
    </row>
    <row r="9" spans="1:5" ht="31.5">
      <c r="A9" s="92" t="s">
        <v>81</v>
      </c>
      <c r="B9" s="94" t="s">
        <v>217</v>
      </c>
      <c r="C9" s="96">
        <f>((15/100)*1.317)*10624</f>
        <v>2098.7711999999997</v>
      </c>
    </row>
    <row r="10" spans="1:5" ht="16.5" thickBot="1">
      <c r="A10" s="93" t="s">
        <v>82</v>
      </c>
      <c r="B10" s="95" t="s">
        <v>226</v>
      </c>
      <c r="C10" s="97">
        <v>663.47</v>
      </c>
    </row>
    <row r="11" spans="1:5" ht="16.5" thickBot="1">
      <c r="A11" s="27"/>
      <c r="B11" s="31" t="s">
        <v>63</v>
      </c>
      <c r="C11" s="32">
        <f>SUM(C9:C10)</f>
        <v>2762.2411999999995</v>
      </c>
    </row>
    <row r="12" spans="1:5" ht="16.5" thickBot="1">
      <c r="A12" s="27"/>
      <c r="B12" s="31" t="s">
        <v>64</v>
      </c>
      <c r="C12" s="33"/>
    </row>
    <row r="13" spans="1:5" ht="16.5" thickBot="1">
      <c r="A13" s="27"/>
      <c r="B13" s="28" t="s">
        <v>65</v>
      </c>
      <c r="C13" s="32">
        <v>0</v>
      </c>
    </row>
    <row r="14" spans="1:5" ht="16.5" thickBot="1">
      <c r="A14" s="27"/>
      <c r="B14" s="37" t="s">
        <v>66</v>
      </c>
      <c r="C14" s="32">
        <f>C13+C11</f>
        <v>2762.2411999999995</v>
      </c>
    </row>
    <row r="15" spans="1:5">
      <c r="C15" s="9"/>
    </row>
    <row r="16" spans="1:5" ht="16.5" thickBot="1">
      <c r="C16" s="9"/>
    </row>
    <row r="17" spans="1:6" ht="16.5" thickBot="1">
      <c r="A17" s="141" t="s">
        <v>67</v>
      </c>
      <c r="B17" s="142"/>
      <c r="C17" s="38">
        <v>10624</v>
      </c>
    </row>
    <row r="18" spans="1:6" ht="16.5" thickBot="1">
      <c r="A18" s="141" t="s">
        <v>68</v>
      </c>
      <c r="B18" s="142"/>
      <c r="C18" s="39">
        <f>C14/C17</f>
        <v>0.26000011295180719</v>
      </c>
    </row>
    <row r="20" spans="1:6">
      <c r="A20" s="13"/>
      <c r="B20" s="13"/>
      <c r="C20" s="51"/>
      <c r="D20" s="13"/>
      <c r="E20" s="13"/>
      <c r="F20" s="13"/>
    </row>
    <row r="21" spans="1:6">
      <c r="A21" s="143"/>
      <c r="B21" s="143"/>
      <c r="C21" s="13"/>
      <c r="D21" s="13"/>
      <c r="E21" s="13"/>
      <c r="F21" s="13"/>
    </row>
    <row r="22" spans="1:6" ht="18.75">
      <c r="A22" s="144"/>
      <c r="B22" s="144"/>
      <c r="C22" s="40"/>
      <c r="D22" s="40"/>
      <c r="E22" s="13"/>
      <c r="F22" s="13"/>
    </row>
  </sheetData>
  <mergeCells count="9">
    <mergeCell ref="A17:B17"/>
    <mergeCell ref="A18:B18"/>
    <mergeCell ref="A21:B21"/>
    <mergeCell ref="A22:B22"/>
    <mergeCell ref="A1:C1"/>
    <mergeCell ref="A3:C3"/>
    <mergeCell ref="A4:C4"/>
    <mergeCell ref="A5:C5"/>
    <mergeCell ref="A6:B6"/>
  </mergeCells>
  <pageMargins left="0.7" right="0.7" top="0.75" bottom="0.75" header="0.3" footer="0.3"/>
  <pageSetup paperSize="9" scale="6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2"/>
  <sheetViews>
    <sheetView topLeftCell="A20" zoomScaleNormal="100" zoomScaleSheetLayoutView="100" workbookViewId="0">
      <selection activeCell="D7" sqref="D7:D34"/>
    </sheetView>
  </sheetViews>
  <sheetFormatPr defaultColWidth="8.85546875" defaultRowHeight="15.75"/>
  <cols>
    <col min="1" max="1" width="11.7109375" style="1" customWidth="1"/>
    <col min="2" max="2" width="94.42578125" style="1" customWidth="1"/>
    <col min="3" max="3" width="19.85546875" style="1" customWidth="1"/>
    <col min="4" max="4" width="7.5703125" style="1" customWidth="1"/>
    <col min="5" max="5" width="7.42578125" style="1" customWidth="1"/>
    <col min="6" max="16384" width="8.85546875" style="1"/>
  </cols>
  <sheetData>
    <row r="1" spans="1:5">
      <c r="A1" s="139" t="s">
        <v>57</v>
      </c>
      <c r="B1" s="139"/>
      <c r="C1" s="139"/>
      <c r="D1" s="24"/>
      <c r="E1" s="24"/>
    </row>
    <row r="3" spans="1:5">
      <c r="A3" s="145" t="s">
        <v>69</v>
      </c>
      <c r="B3" s="145"/>
      <c r="C3" s="145"/>
    </row>
    <row r="4" spans="1:5">
      <c r="A4" s="145" t="s">
        <v>111</v>
      </c>
      <c r="B4" s="145"/>
      <c r="C4" s="145"/>
    </row>
    <row r="5" spans="1:5">
      <c r="A5" s="145" t="s">
        <v>58</v>
      </c>
      <c r="B5" s="145"/>
      <c r="C5" s="145"/>
    </row>
    <row r="6" spans="1:5" ht="16.5" thickBot="1">
      <c r="A6" s="146" t="s">
        <v>101</v>
      </c>
      <c r="B6" s="146"/>
    </row>
    <row r="7" spans="1:5" ht="79.5" thickBot="1">
      <c r="A7" s="25" t="s">
        <v>59</v>
      </c>
      <c r="B7" s="26" t="s">
        <v>60</v>
      </c>
      <c r="C7" s="26" t="s">
        <v>61</v>
      </c>
    </row>
    <row r="8" spans="1:5" ht="16.5" thickBot="1">
      <c r="A8" s="41"/>
      <c r="B8" s="42" t="s">
        <v>62</v>
      </c>
      <c r="C8" s="43"/>
      <c r="E8" s="100"/>
    </row>
    <row r="9" spans="1:5">
      <c r="A9" s="147" t="s">
        <v>75</v>
      </c>
      <c r="B9" s="45" t="s">
        <v>91</v>
      </c>
      <c r="C9" s="49">
        <f>21.63*4</f>
        <v>86.52</v>
      </c>
      <c r="E9" s="100"/>
    </row>
    <row r="10" spans="1:5">
      <c r="A10" s="148"/>
      <c r="B10" s="46" t="s">
        <v>72</v>
      </c>
      <c r="C10" s="108">
        <f>13.37*4</f>
        <v>53.48</v>
      </c>
      <c r="E10" s="100"/>
    </row>
    <row r="11" spans="1:5" ht="16.5" thickBot="1">
      <c r="A11" s="149"/>
      <c r="B11" s="47" t="s">
        <v>73</v>
      </c>
      <c r="C11" s="109">
        <f>9.01*4</f>
        <v>36.04</v>
      </c>
      <c r="E11" s="100"/>
    </row>
    <row r="12" spans="1:5" ht="32.25" thickBot="1">
      <c r="A12" s="27" t="s">
        <v>76</v>
      </c>
      <c r="B12" s="71" t="s">
        <v>74</v>
      </c>
      <c r="C12" s="33">
        <f>(C9+C10+C11)*0.2409</f>
        <v>42.408035999999996</v>
      </c>
    </row>
    <row r="13" spans="1:5" ht="32.25" thickBot="1">
      <c r="A13" s="27" t="s">
        <v>77</v>
      </c>
      <c r="B13" s="30" t="s">
        <v>167</v>
      </c>
      <c r="C13" s="33">
        <f>0.84*4</f>
        <v>3.36</v>
      </c>
    </row>
    <row r="14" spans="1:5" ht="32.25" thickBot="1">
      <c r="A14" s="27" t="s">
        <v>79</v>
      </c>
      <c r="B14" s="30" t="s">
        <v>215</v>
      </c>
      <c r="C14" s="52">
        <f>(1.36+11.52)*4</f>
        <v>51.519999999999996</v>
      </c>
    </row>
    <row r="15" spans="1:5" ht="32.25" thickBot="1">
      <c r="A15" s="27" t="s">
        <v>80</v>
      </c>
      <c r="B15" s="71" t="s">
        <v>169</v>
      </c>
      <c r="C15" s="33">
        <f>1.03*4</f>
        <v>4.12</v>
      </c>
    </row>
    <row r="16" spans="1:5" ht="32.25" thickBot="1">
      <c r="A16" s="27" t="s">
        <v>82</v>
      </c>
      <c r="B16" s="30" t="s">
        <v>171</v>
      </c>
      <c r="C16" s="33">
        <f>1.42*4</f>
        <v>5.68</v>
      </c>
    </row>
    <row r="17" spans="1:7" ht="32.25" thickBot="1">
      <c r="A17" s="27" t="s">
        <v>170</v>
      </c>
      <c r="B17" s="30" t="s">
        <v>172</v>
      </c>
      <c r="C17" s="33">
        <f>1.14*4</f>
        <v>4.5599999999999996</v>
      </c>
    </row>
    <row r="18" spans="1:7" ht="32.25" thickBot="1">
      <c r="A18" s="27" t="s">
        <v>81</v>
      </c>
      <c r="B18" s="30" t="s">
        <v>182</v>
      </c>
      <c r="C18" s="52">
        <f>11.45*4</f>
        <v>45.8</v>
      </c>
    </row>
    <row r="19" spans="1:7" ht="16.5" thickBot="1">
      <c r="A19" s="27"/>
      <c r="B19" s="31" t="s">
        <v>63</v>
      </c>
      <c r="C19" s="32">
        <f>SUM(C9:C18)</f>
        <v>333.48803600000002</v>
      </c>
    </row>
    <row r="20" spans="1:7" ht="16.5" thickBot="1">
      <c r="A20" s="27"/>
      <c r="B20" s="31" t="s">
        <v>64</v>
      </c>
      <c r="C20" s="33"/>
    </row>
    <row r="21" spans="1:7" ht="32.25" thickBot="1">
      <c r="A21" s="27" t="s">
        <v>84</v>
      </c>
      <c r="B21" s="34" t="s">
        <v>151</v>
      </c>
      <c r="C21" s="33">
        <f>(C9+C10+C11)*0.15</f>
        <v>26.405999999999999</v>
      </c>
    </row>
    <row r="22" spans="1:7" ht="32.25" thickBot="1">
      <c r="A22" s="27" t="s">
        <v>76</v>
      </c>
      <c r="B22" s="30" t="s">
        <v>74</v>
      </c>
      <c r="C22" s="33">
        <f>C21*0.2409</f>
        <v>6.3612054000000002</v>
      </c>
    </row>
    <row r="23" spans="1:7" ht="32.25" thickBot="1">
      <c r="A23" s="27" t="s">
        <v>88</v>
      </c>
      <c r="B23" s="29" t="s">
        <v>162</v>
      </c>
      <c r="C23" s="33">
        <f>ROUNDUP((39708/438912)*4,2)</f>
        <v>0.37</v>
      </c>
      <c r="E23" s="36"/>
    </row>
    <row r="24" spans="1:7" ht="32.25" thickBot="1">
      <c r="A24" s="27" t="s">
        <v>85</v>
      </c>
      <c r="B24" s="30" t="s">
        <v>164</v>
      </c>
      <c r="C24" s="33">
        <f>1.85*4</f>
        <v>7.4</v>
      </c>
    </row>
    <row r="25" spans="1:7" ht="32.25" thickBot="1">
      <c r="A25" s="27" t="s">
        <v>86</v>
      </c>
      <c r="B25" s="29" t="s">
        <v>161</v>
      </c>
      <c r="C25" s="33">
        <f>0.53*4</f>
        <v>2.12</v>
      </c>
    </row>
    <row r="26" spans="1:7" ht="32.25" thickBot="1">
      <c r="A26" s="27" t="s">
        <v>82</v>
      </c>
      <c r="B26" s="35" t="s">
        <v>163</v>
      </c>
      <c r="C26" s="33">
        <f>1.28*4</f>
        <v>5.12</v>
      </c>
    </row>
    <row r="27" spans="1:7" ht="32.25" thickBot="1">
      <c r="A27" s="27" t="s">
        <v>78</v>
      </c>
      <c r="B27" s="71" t="s">
        <v>166</v>
      </c>
      <c r="C27" s="33">
        <f>1.43*4</f>
        <v>5.72</v>
      </c>
    </row>
    <row r="28" spans="1:7" ht="32.25" thickBot="1">
      <c r="A28" s="27" t="s">
        <v>136</v>
      </c>
      <c r="B28" s="30" t="s">
        <v>228</v>
      </c>
      <c r="C28" s="33">
        <f>0.65*4</f>
        <v>2.6</v>
      </c>
    </row>
    <row r="29" spans="1:7" ht="32.25" thickBot="1">
      <c r="A29" s="27" t="s">
        <v>134</v>
      </c>
      <c r="B29" s="30" t="s">
        <v>173</v>
      </c>
      <c r="C29" s="33">
        <f>0.36*4</f>
        <v>1.44</v>
      </c>
    </row>
    <row r="30" spans="1:7" ht="32.25" thickBot="1">
      <c r="A30" s="27" t="s">
        <v>87</v>
      </c>
      <c r="B30" s="30" t="s">
        <v>156</v>
      </c>
      <c r="C30" s="33">
        <f>0.11*4</f>
        <v>0.44</v>
      </c>
    </row>
    <row r="31" spans="1:7" ht="32.25" thickBot="1">
      <c r="A31" s="27" t="s">
        <v>83</v>
      </c>
      <c r="B31" s="30" t="s">
        <v>165</v>
      </c>
      <c r="C31" s="33">
        <f>0.05*4</f>
        <v>0.2</v>
      </c>
    </row>
    <row r="32" spans="1:7" ht="32.25" thickBot="1">
      <c r="A32" s="27" t="s">
        <v>175</v>
      </c>
      <c r="B32" s="30" t="s">
        <v>176</v>
      </c>
      <c r="C32" s="33">
        <f>3.55*4</f>
        <v>14.2</v>
      </c>
      <c r="G32" s="9"/>
    </row>
    <row r="33" spans="1:6" ht="16.5" thickBot="1">
      <c r="A33" s="27"/>
      <c r="B33" s="28" t="s">
        <v>65</v>
      </c>
      <c r="C33" s="32">
        <f>SUM(C21:C32)</f>
        <v>72.377205399999994</v>
      </c>
    </row>
    <row r="34" spans="1:6" ht="16.5" thickBot="1">
      <c r="A34" s="27"/>
      <c r="B34" s="37" t="s">
        <v>66</v>
      </c>
      <c r="C34" s="32">
        <f>C33+C19</f>
        <v>405.8652414</v>
      </c>
    </row>
    <row r="35" spans="1:6">
      <c r="C35" s="9"/>
    </row>
    <row r="36" spans="1:6" ht="16.5" thickBot="1">
      <c r="C36" s="9"/>
    </row>
    <row r="37" spans="1:6" ht="16.5" thickBot="1">
      <c r="A37" s="141" t="s">
        <v>67</v>
      </c>
      <c r="B37" s="142"/>
      <c r="C37" s="38">
        <v>4</v>
      </c>
    </row>
    <row r="38" spans="1:6" ht="16.5" thickBot="1">
      <c r="A38" s="141" t="s">
        <v>68</v>
      </c>
      <c r="B38" s="142"/>
      <c r="C38" s="39">
        <f>C34/C37</f>
        <v>101.46631035</v>
      </c>
    </row>
    <row r="40" spans="1:6">
      <c r="A40" s="13"/>
      <c r="B40" s="13"/>
      <c r="C40" s="51"/>
      <c r="D40" s="13"/>
      <c r="E40" s="13"/>
      <c r="F40" s="13"/>
    </row>
    <row r="41" spans="1:6">
      <c r="A41" s="143"/>
      <c r="B41" s="143"/>
      <c r="C41" s="13"/>
      <c r="D41" s="13"/>
      <c r="E41" s="13"/>
      <c r="F41" s="13"/>
    </row>
    <row r="42" spans="1:6" ht="18.75">
      <c r="A42" s="144"/>
      <c r="B42" s="144"/>
      <c r="C42" s="40"/>
      <c r="D42" s="40"/>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G41"/>
  <sheetViews>
    <sheetView topLeftCell="A12" zoomScaleNormal="100" workbookViewId="0">
      <selection activeCell="D7" sqref="D7:D33"/>
    </sheetView>
  </sheetViews>
  <sheetFormatPr defaultColWidth="8.85546875" defaultRowHeight="15.75"/>
  <cols>
    <col min="1" max="1" width="14.5703125" style="1" customWidth="1"/>
    <col min="2" max="2" width="106" style="1" customWidth="1"/>
    <col min="3" max="3" width="19.85546875" style="1" customWidth="1"/>
    <col min="4" max="4" width="8" style="1" customWidth="1"/>
    <col min="5" max="16384" width="8.85546875" style="1"/>
  </cols>
  <sheetData>
    <row r="1" spans="1:5">
      <c r="A1" s="139" t="s">
        <v>57</v>
      </c>
      <c r="B1" s="139"/>
      <c r="C1" s="139"/>
      <c r="D1" s="24"/>
      <c r="E1" s="24"/>
    </row>
    <row r="3" spans="1:5">
      <c r="A3" s="145" t="s">
        <v>69</v>
      </c>
      <c r="B3" s="145"/>
      <c r="C3" s="145"/>
    </row>
    <row r="4" spans="1:5">
      <c r="A4" s="145" t="s">
        <v>124</v>
      </c>
      <c r="B4" s="145"/>
      <c r="C4" s="145"/>
    </row>
    <row r="5" spans="1:5">
      <c r="A5" s="145" t="s">
        <v>58</v>
      </c>
      <c r="B5" s="145"/>
      <c r="C5" s="145"/>
    </row>
    <row r="6" spans="1:5" ht="16.5" thickBot="1">
      <c r="A6" s="146" t="s">
        <v>125</v>
      </c>
      <c r="B6" s="146"/>
    </row>
    <row r="7" spans="1:5" ht="96" customHeight="1" thickBot="1">
      <c r="A7" s="25" t="s">
        <v>59</v>
      </c>
      <c r="B7" s="26" t="s">
        <v>60</v>
      </c>
      <c r="C7" s="26" t="s">
        <v>61</v>
      </c>
    </row>
    <row r="8" spans="1:5" ht="16.5" thickBot="1">
      <c r="A8" s="41"/>
      <c r="B8" s="42" t="s">
        <v>62</v>
      </c>
      <c r="C8" s="43"/>
      <c r="E8" s="100"/>
    </row>
    <row r="9" spans="1:5">
      <c r="A9" s="147" t="s">
        <v>75</v>
      </c>
      <c r="B9" s="45" t="s">
        <v>126</v>
      </c>
      <c r="C9" s="49">
        <f>20.66*206</f>
        <v>4255.96</v>
      </c>
      <c r="E9" s="100"/>
    </row>
    <row r="10" spans="1:5" ht="16.5" thickBot="1">
      <c r="A10" s="149"/>
      <c r="B10" s="47" t="s">
        <v>73</v>
      </c>
      <c r="C10" s="109">
        <f>9.01*206</f>
        <v>1856.06</v>
      </c>
      <c r="E10" s="100"/>
    </row>
    <row r="11" spans="1:5" ht="35.25" customHeight="1" thickBot="1">
      <c r="A11" s="27" t="s">
        <v>76</v>
      </c>
      <c r="B11" s="71" t="s">
        <v>74</v>
      </c>
      <c r="C11" s="33">
        <f>(C9+C10)*0.2409</f>
        <v>1472.385618</v>
      </c>
    </row>
    <row r="12" spans="1:5" ht="32.25" thickBot="1">
      <c r="A12" s="27" t="s">
        <v>77</v>
      </c>
      <c r="B12" s="30" t="s">
        <v>167</v>
      </c>
      <c r="C12" s="33">
        <f>(367899/438912)*206</f>
        <v>172.67059000437447</v>
      </c>
    </row>
    <row r="13" spans="1:5" ht="32.25" thickBot="1">
      <c r="A13" s="27" t="s">
        <v>79</v>
      </c>
      <c r="B13" s="30" t="s">
        <v>183</v>
      </c>
      <c r="C13" s="52">
        <f>((596554/438912)+9.22)*206</f>
        <v>2179.3080705016041</v>
      </c>
    </row>
    <row r="14" spans="1:5" ht="32.25" thickBot="1">
      <c r="A14" s="27" t="s">
        <v>80</v>
      </c>
      <c r="B14" s="71" t="s">
        <v>169</v>
      </c>
      <c r="C14" s="33">
        <f>ROUND((452717/438912)*206,2)</f>
        <v>212.48</v>
      </c>
    </row>
    <row r="15" spans="1:5" ht="32.25" thickBot="1">
      <c r="A15" s="27" t="s">
        <v>82</v>
      </c>
      <c r="B15" s="30" t="s">
        <v>171</v>
      </c>
      <c r="C15" s="33">
        <f>(624380/438912)*206</f>
        <v>293.04799139690874</v>
      </c>
    </row>
    <row r="16" spans="1:5" ht="32.25" thickBot="1">
      <c r="A16" s="27" t="s">
        <v>170</v>
      </c>
      <c r="B16" s="30" t="s">
        <v>172</v>
      </c>
      <c r="C16" s="33">
        <f>(500471/438912)*206</f>
        <v>234.89224719305921</v>
      </c>
    </row>
    <row r="17" spans="1:7" ht="32.25" thickBot="1">
      <c r="A17" s="27" t="s">
        <v>81</v>
      </c>
      <c r="B17" s="30" t="s">
        <v>182</v>
      </c>
      <c r="C17" s="52">
        <f>11.45*206</f>
        <v>2358.6999999999998</v>
      </c>
    </row>
    <row r="18" spans="1:7" ht="16.5" thickBot="1">
      <c r="A18" s="27"/>
      <c r="B18" s="31" t="s">
        <v>63</v>
      </c>
      <c r="C18" s="32">
        <f>SUM(C9:C17)</f>
        <v>13035.504517095946</v>
      </c>
    </row>
    <row r="19" spans="1:7" ht="16.5" thickBot="1">
      <c r="A19" s="27"/>
      <c r="B19" s="31" t="s">
        <v>64</v>
      </c>
      <c r="C19" s="33"/>
    </row>
    <row r="20" spans="1:7" ht="19.5" customHeight="1" thickBot="1">
      <c r="A20" s="27" t="s">
        <v>84</v>
      </c>
      <c r="B20" s="34" t="s">
        <v>151</v>
      </c>
      <c r="C20" s="33">
        <f>(C9+C10)*0.15</f>
        <v>916.803</v>
      </c>
    </row>
    <row r="21" spans="1:7" ht="18.75" customHeight="1" thickBot="1">
      <c r="A21" s="27" t="s">
        <v>76</v>
      </c>
      <c r="B21" s="71" t="s">
        <v>74</v>
      </c>
      <c r="C21" s="33">
        <f>C20*0.2409</f>
        <v>220.85784269999999</v>
      </c>
    </row>
    <row r="22" spans="1:7" ht="32.25" thickBot="1">
      <c r="A22" s="27" t="s">
        <v>88</v>
      </c>
      <c r="B22" s="29" t="s">
        <v>162</v>
      </c>
      <c r="C22" s="33">
        <f>(39708/438912)*206</f>
        <v>18.636646981627297</v>
      </c>
      <c r="E22" s="36"/>
    </row>
    <row r="23" spans="1:7" ht="32.25" thickBot="1">
      <c r="A23" s="27" t="s">
        <v>85</v>
      </c>
      <c r="B23" s="30" t="s">
        <v>164</v>
      </c>
      <c r="C23" s="33">
        <f>1.85*206</f>
        <v>381.1</v>
      </c>
    </row>
    <row r="24" spans="1:7" ht="32.25" thickBot="1">
      <c r="A24" s="27" t="s">
        <v>86</v>
      </c>
      <c r="B24" s="73" t="s">
        <v>161</v>
      </c>
      <c r="C24" s="33">
        <f>ROUND((234731/438912)*206,2)</f>
        <v>110.17</v>
      </c>
    </row>
    <row r="25" spans="1:7" ht="32.25" thickBot="1">
      <c r="A25" s="27" t="s">
        <v>82</v>
      </c>
      <c r="B25" s="35" t="s">
        <v>163</v>
      </c>
      <c r="C25" s="33">
        <f>ROUND((561364/438912)*206,2)</f>
        <v>263.47000000000003</v>
      </c>
    </row>
    <row r="26" spans="1:7" ht="32.25" thickBot="1">
      <c r="A26" s="27" t="s">
        <v>78</v>
      </c>
      <c r="B26" s="71" t="s">
        <v>166</v>
      </c>
      <c r="C26" s="33">
        <f>ROUNDUP((627676/438912)*206,2)</f>
        <v>294.59999999999997</v>
      </c>
    </row>
    <row r="27" spans="1:7" ht="33" customHeight="1" thickBot="1">
      <c r="A27" s="27" t="s">
        <v>136</v>
      </c>
      <c r="B27" s="71" t="s">
        <v>228</v>
      </c>
      <c r="C27" s="33">
        <f>(286606/438912)*206</f>
        <v>134.51634040536601</v>
      </c>
    </row>
    <row r="28" spans="1:7" ht="32.25" thickBot="1">
      <c r="A28" s="27" t="s">
        <v>134</v>
      </c>
      <c r="B28" s="30" t="s">
        <v>213</v>
      </c>
      <c r="C28" s="33">
        <f>ROUNDUP((157571/438912)*206,2)</f>
        <v>73.960000000000008</v>
      </c>
    </row>
    <row r="29" spans="1:7" ht="32.25" thickBot="1">
      <c r="A29" s="27" t="s">
        <v>87</v>
      </c>
      <c r="B29" s="30" t="s">
        <v>156</v>
      </c>
      <c r="C29" s="33">
        <f>(46423/438912)*206</f>
        <v>21.788281022163897</v>
      </c>
    </row>
    <row r="30" spans="1:7" ht="32.25" thickBot="1">
      <c r="A30" s="27" t="s">
        <v>83</v>
      </c>
      <c r="B30" s="30" t="s">
        <v>165</v>
      </c>
      <c r="C30" s="33">
        <f>0.05*206</f>
        <v>10.3</v>
      </c>
    </row>
    <row r="31" spans="1:7" ht="32.25" thickBot="1">
      <c r="A31" s="27" t="s">
        <v>175</v>
      </c>
      <c r="B31" s="30" t="s">
        <v>176</v>
      </c>
      <c r="C31" s="33">
        <f>3.55*206</f>
        <v>731.3</v>
      </c>
      <c r="G31" s="9"/>
    </row>
    <row r="32" spans="1:7" ht="16.5" thickBot="1">
      <c r="A32" s="27"/>
      <c r="B32" s="28" t="s">
        <v>65</v>
      </c>
      <c r="C32" s="32">
        <f>SUM(C20:C31)</f>
        <v>3177.5021111091582</v>
      </c>
    </row>
    <row r="33" spans="1:6" ht="16.5" thickBot="1">
      <c r="A33" s="27"/>
      <c r="B33" s="37" t="s">
        <v>66</v>
      </c>
      <c r="C33" s="32">
        <f>C32+C18</f>
        <v>16213.006628205105</v>
      </c>
    </row>
    <row r="34" spans="1:6">
      <c r="C34" s="9"/>
    </row>
    <row r="35" spans="1:6" ht="16.5" thickBot="1">
      <c r="C35" s="9"/>
    </row>
    <row r="36" spans="1:6" ht="16.5" thickBot="1">
      <c r="A36" s="141" t="s">
        <v>67</v>
      </c>
      <c r="B36" s="142"/>
      <c r="C36" s="38">
        <v>206</v>
      </c>
    </row>
    <row r="37" spans="1:6" ht="16.5" thickBot="1">
      <c r="A37" s="141" t="s">
        <v>68</v>
      </c>
      <c r="B37" s="142"/>
      <c r="C37" s="39">
        <f>C33/C36</f>
        <v>78.703915670898567</v>
      </c>
    </row>
    <row r="39" spans="1:6">
      <c r="A39" s="13"/>
      <c r="B39" s="13"/>
      <c r="C39" s="51"/>
      <c r="D39" s="13"/>
      <c r="E39" s="13"/>
      <c r="F39" s="13"/>
    </row>
    <row r="40" spans="1:6">
      <c r="A40" s="143"/>
      <c r="B40" s="143"/>
      <c r="C40" s="13"/>
      <c r="D40" s="13"/>
      <c r="E40" s="13"/>
      <c r="F40" s="13"/>
    </row>
    <row r="41" spans="1:6" ht="18.75">
      <c r="A41" s="144"/>
      <c r="B41" s="144"/>
      <c r="C41" s="40"/>
      <c r="D41" s="40"/>
      <c r="E41" s="13"/>
      <c r="F41" s="13"/>
    </row>
  </sheetData>
  <mergeCells count="10">
    <mergeCell ref="A36:B36"/>
    <mergeCell ref="A37:B37"/>
    <mergeCell ref="A40:B40"/>
    <mergeCell ref="A41:B41"/>
    <mergeCell ref="A1:C1"/>
    <mergeCell ref="A3:C3"/>
    <mergeCell ref="A4:C4"/>
    <mergeCell ref="A5:C5"/>
    <mergeCell ref="A6:B6"/>
    <mergeCell ref="A9:A10"/>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topLeftCell="A4" zoomScale="85" zoomScaleNormal="85" workbookViewId="0">
      <selection activeCell="D4" sqref="D1:D1048576"/>
    </sheetView>
  </sheetViews>
  <sheetFormatPr defaultColWidth="8.85546875" defaultRowHeight="15.75"/>
  <cols>
    <col min="1" max="1" width="15" style="1" customWidth="1"/>
    <col min="2" max="2" width="106.7109375" style="1" customWidth="1"/>
    <col min="3" max="3" width="19.85546875" style="1" customWidth="1"/>
    <col min="4" max="5" width="13.42578125" style="1" customWidth="1"/>
    <col min="6" max="16384" width="8.85546875" style="1"/>
  </cols>
  <sheetData>
    <row r="1" spans="1:5">
      <c r="A1" s="139" t="s">
        <v>57</v>
      </c>
      <c r="B1" s="139"/>
      <c r="C1" s="139"/>
      <c r="D1" s="24"/>
    </row>
    <row r="3" spans="1:5">
      <c r="A3" s="145" t="s">
        <v>69</v>
      </c>
      <c r="B3" s="145"/>
      <c r="C3" s="145"/>
    </row>
    <row r="4" spans="1:5" ht="31.5" customHeight="1">
      <c r="A4" s="145" t="s">
        <v>90</v>
      </c>
      <c r="B4" s="145"/>
      <c r="C4" s="145"/>
    </row>
    <row r="5" spans="1:5">
      <c r="A5" s="145" t="s">
        <v>58</v>
      </c>
      <c r="B5" s="145"/>
      <c r="C5" s="145"/>
    </row>
    <row r="6" spans="1:5" ht="16.5" thickBot="1">
      <c r="A6" s="146" t="s">
        <v>218</v>
      </c>
      <c r="B6" s="146"/>
    </row>
    <row r="7" spans="1:5" ht="84.75" customHeight="1" thickBot="1">
      <c r="A7" s="25" t="s">
        <v>59</v>
      </c>
      <c r="B7" s="26" t="s">
        <v>60</v>
      </c>
      <c r="C7" s="26" t="s">
        <v>61</v>
      </c>
    </row>
    <row r="8" spans="1:5" ht="16.5" thickBot="1">
      <c r="A8" s="41"/>
      <c r="B8" s="42" t="s">
        <v>62</v>
      </c>
      <c r="C8" s="43"/>
      <c r="D8" s="20"/>
      <c r="E8" s="20"/>
    </row>
    <row r="9" spans="1:5">
      <c r="A9" s="147" t="s">
        <v>75</v>
      </c>
      <c r="B9" s="68" t="s">
        <v>91</v>
      </c>
      <c r="C9" s="49">
        <f>20.66*1010</f>
        <v>20866.599999999999</v>
      </c>
      <c r="D9" s="99"/>
      <c r="E9" s="99"/>
    </row>
    <row r="10" spans="1:5">
      <c r="A10" s="148"/>
      <c r="B10" s="69" t="s">
        <v>72</v>
      </c>
      <c r="C10" s="108">
        <f>13.37*1010</f>
        <v>13503.699999999999</v>
      </c>
      <c r="D10" s="99"/>
      <c r="E10" s="99"/>
    </row>
    <row r="11" spans="1:5" ht="16.5" thickBot="1">
      <c r="A11" s="149"/>
      <c r="B11" s="70" t="s">
        <v>73</v>
      </c>
      <c r="C11" s="109">
        <f>9.01*1010</f>
        <v>9100.1</v>
      </c>
      <c r="D11" s="99"/>
      <c r="E11" s="99"/>
    </row>
    <row r="12" spans="1:5" ht="36.75" customHeight="1" thickBot="1">
      <c r="A12" s="27" t="s">
        <v>76</v>
      </c>
      <c r="B12" s="71" t="s">
        <v>74</v>
      </c>
      <c r="C12" s="33">
        <f>(C9+C10+C11)*0.2409</f>
        <v>10472.019359999998</v>
      </c>
    </row>
    <row r="13" spans="1:5" ht="32.25" thickBot="1">
      <c r="A13" s="27" t="s">
        <v>77</v>
      </c>
      <c r="B13" s="71" t="s">
        <v>167</v>
      </c>
      <c r="C13" s="33">
        <f>ROUNDUP((367899/438912)*1010,1)</f>
        <v>846.6</v>
      </c>
    </row>
    <row r="14" spans="1:5" ht="32.25" thickBot="1">
      <c r="A14" s="27" t="s">
        <v>79</v>
      </c>
      <c r="B14" s="71" t="s">
        <v>180</v>
      </c>
      <c r="C14" s="52">
        <f>ROUNDUP(((596554/438912)+11.52)*1010,1)</f>
        <v>13008</v>
      </c>
    </row>
    <row r="15" spans="1:5" ht="32.25" thickBot="1">
      <c r="A15" s="27" t="s">
        <v>80</v>
      </c>
      <c r="B15" s="71" t="s">
        <v>169</v>
      </c>
      <c r="C15" s="33">
        <f>ROUNDUP((452717/438912)*1010,1)</f>
        <v>1041.8</v>
      </c>
    </row>
    <row r="16" spans="1:5" ht="32.25" thickBot="1">
      <c r="A16" s="27" t="s">
        <v>82</v>
      </c>
      <c r="B16" s="71" t="s">
        <v>171</v>
      </c>
      <c r="C16" s="33">
        <f>ROUNDUP((624380/438912)*1010,1)</f>
        <v>1436.8</v>
      </c>
    </row>
    <row r="17" spans="1:4" ht="32.25" thickBot="1">
      <c r="A17" s="27" t="s">
        <v>170</v>
      </c>
      <c r="B17" s="71" t="s">
        <v>172</v>
      </c>
      <c r="C17" s="33">
        <f>ROUNDUP((500471/438912)*1010,1)</f>
        <v>1151.6999999999998</v>
      </c>
    </row>
    <row r="18" spans="1:4" ht="32.25" thickBot="1">
      <c r="A18" s="27" t="s">
        <v>81</v>
      </c>
      <c r="B18" s="71" t="s">
        <v>179</v>
      </c>
      <c r="C18" s="33">
        <f>ROUNDUP(((15/100)*37*1.06)*1010,1)</f>
        <v>5941.9000000000005</v>
      </c>
    </row>
    <row r="19" spans="1:4" ht="16.5" thickBot="1">
      <c r="A19" s="27"/>
      <c r="B19" s="72" t="s">
        <v>63</v>
      </c>
      <c r="C19" s="32">
        <f>SUM(C9:C18)</f>
        <v>77369.219359999988</v>
      </c>
    </row>
    <row r="20" spans="1:4" ht="16.5" thickBot="1">
      <c r="A20" s="27"/>
      <c r="B20" s="72" t="s">
        <v>64</v>
      </c>
      <c r="C20" s="33"/>
    </row>
    <row r="21" spans="1:4" ht="36.75" customHeight="1" thickBot="1">
      <c r="A21" s="27" t="s">
        <v>84</v>
      </c>
      <c r="B21" s="34" t="s">
        <v>152</v>
      </c>
      <c r="C21" s="33">
        <f>(C9+C10+C11)*0.25</f>
        <v>10867.599999999999</v>
      </c>
    </row>
    <row r="22" spans="1:4" ht="35.25" customHeight="1" thickBot="1">
      <c r="A22" s="27" t="s">
        <v>76</v>
      </c>
      <c r="B22" s="30" t="s">
        <v>74</v>
      </c>
      <c r="C22" s="33">
        <f>ROUNDUP(C21*0.2409,1)</f>
        <v>2618.1</v>
      </c>
    </row>
    <row r="23" spans="1:4" ht="32.25" thickBot="1">
      <c r="A23" s="27" t="s">
        <v>88</v>
      </c>
      <c r="B23" s="73" t="s">
        <v>162</v>
      </c>
      <c r="C23" s="33">
        <f>ROUNDUP((39708/438912)*1010,0)</f>
        <v>92</v>
      </c>
      <c r="D23" s="36"/>
    </row>
    <row r="24" spans="1:4" ht="32.25" thickBot="1">
      <c r="A24" s="27" t="s">
        <v>85</v>
      </c>
      <c r="B24" s="71" t="s">
        <v>164</v>
      </c>
      <c r="C24" s="33">
        <f>ROUNDUP((813902/438912)*1010,1)</f>
        <v>1873</v>
      </c>
    </row>
    <row r="25" spans="1:4" ht="32.25" thickBot="1">
      <c r="A25" s="27" t="s">
        <v>86</v>
      </c>
      <c r="B25" s="73" t="s">
        <v>161</v>
      </c>
      <c r="C25" s="33">
        <f>ROUNDUP((234731/438912)*1010,1)</f>
        <v>540.20000000000005</v>
      </c>
    </row>
    <row r="26" spans="1:4" ht="32.25" thickBot="1">
      <c r="A26" s="27" t="s">
        <v>82</v>
      </c>
      <c r="B26" s="74" t="s">
        <v>163</v>
      </c>
      <c r="C26" s="33">
        <f>ROUNDUP((561364/438912)*1010,1)</f>
        <v>1291.8</v>
      </c>
    </row>
    <row r="27" spans="1:4" ht="32.25" thickBot="1">
      <c r="A27" s="27" t="s">
        <v>78</v>
      </c>
      <c r="B27" s="71" t="s">
        <v>166</v>
      </c>
      <c r="C27" s="33">
        <f>ROUNDUP((627676/438912)*1010,0)</f>
        <v>1445</v>
      </c>
    </row>
    <row r="28" spans="1:4" ht="39" customHeight="1" thickBot="1">
      <c r="A28" s="27" t="s">
        <v>136</v>
      </c>
      <c r="B28" s="71" t="s">
        <v>227</v>
      </c>
      <c r="C28" s="33">
        <f>ROUNDUP((286606/438912)*1010,0)</f>
        <v>660</v>
      </c>
    </row>
    <row r="29" spans="1:4" ht="38.25" customHeight="1" thickBot="1">
      <c r="A29" s="27" t="s">
        <v>134</v>
      </c>
      <c r="B29" s="71" t="s">
        <v>173</v>
      </c>
      <c r="C29" s="33">
        <f>ROUNDUP((157571/438912)*1010,1)</f>
        <v>362.6</v>
      </c>
    </row>
    <row r="30" spans="1:4" ht="32.25" thickBot="1">
      <c r="A30" s="27" t="s">
        <v>87</v>
      </c>
      <c r="B30" s="71" t="s">
        <v>156</v>
      </c>
      <c r="C30" s="33">
        <f>ROUNDUP((46423/438912)*1010,1)</f>
        <v>106.89999999999999</v>
      </c>
    </row>
    <row r="31" spans="1:4" ht="32.25" thickBot="1">
      <c r="A31" s="27" t="s">
        <v>154</v>
      </c>
      <c r="B31" s="110" t="s">
        <v>155</v>
      </c>
      <c r="C31" s="52">
        <f>44.65*1010</f>
        <v>45096.5</v>
      </c>
    </row>
    <row r="32" spans="1:4" ht="32.25" thickBot="1">
      <c r="A32" s="27" t="s">
        <v>83</v>
      </c>
      <c r="B32" s="71" t="s">
        <v>165</v>
      </c>
      <c r="C32" s="33">
        <f>ROUNDUP((21000/438912)*1010,2)</f>
        <v>48.33</v>
      </c>
    </row>
    <row r="33" spans="1:6" ht="32.25" thickBot="1">
      <c r="A33" s="27" t="s">
        <v>175</v>
      </c>
      <c r="B33" s="71" t="s">
        <v>176</v>
      </c>
      <c r="C33" s="33">
        <f>3.55*1010</f>
        <v>3585.5</v>
      </c>
      <c r="F33" s="9"/>
    </row>
    <row r="34" spans="1:6" ht="16.5" thickBot="1">
      <c r="A34" s="27"/>
      <c r="B34" s="28" t="s">
        <v>65</v>
      </c>
      <c r="C34" s="32">
        <f>SUM(C21:C33)</f>
        <v>68587.53</v>
      </c>
    </row>
    <row r="35" spans="1:6" ht="16.5" thickBot="1">
      <c r="A35" s="27"/>
      <c r="B35" s="37" t="s">
        <v>66</v>
      </c>
      <c r="C35" s="32">
        <f>C34+C19</f>
        <v>145956.74935999999</v>
      </c>
    </row>
    <row r="36" spans="1:6">
      <c r="C36" s="9"/>
    </row>
    <row r="37" spans="1:6" ht="16.5" thickBot="1">
      <c r="C37" s="9"/>
    </row>
    <row r="38" spans="1:6" ht="16.5" thickBot="1">
      <c r="A38" s="141" t="s">
        <v>67</v>
      </c>
      <c r="B38" s="142"/>
      <c r="C38" s="38">
        <v>1010</v>
      </c>
    </row>
    <row r="39" spans="1:6" ht="16.5" thickBot="1">
      <c r="A39" s="141" t="s">
        <v>68</v>
      </c>
      <c r="B39" s="142"/>
      <c r="C39" s="39">
        <f>C35/C38</f>
        <v>144.51163302970295</v>
      </c>
    </row>
    <row r="41" spans="1:6">
      <c r="A41" s="13"/>
      <c r="B41" s="13"/>
      <c r="C41" s="13"/>
      <c r="D41" s="13"/>
      <c r="E41" s="13"/>
    </row>
    <row r="42" spans="1:6">
      <c r="A42" s="143"/>
      <c r="B42" s="143"/>
      <c r="C42" s="50"/>
      <c r="D42" s="13"/>
      <c r="E42" s="13"/>
    </row>
    <row r="43" spans="1:6" ht="18.75" hidden="1">
      <c r="A43" s="144"/>
      <c r="B43" s="144"/>
      <c r="C43" s="40"/>
      <c r="D43" s="13"/>
      <c r="E43" s="13"/>
    </row>
    <row r="44" spans="1:6">
      <c r="C44" s="9"/>
    </row>
    <row r="45" spans="1:6">
      <c r="C45" s="9"/>
    </row>
    <row r="46" spans="1:6">
      <c r="C46" s="9"/>
    </row>
  </sheetData>
  <mergeCells count="10">
    <mergeCell ref="A38:B38"/>
    <mergeCell ref="A39:B39"/>
    <mergeCell ref="A42:B42"/>
    <mergeCell ref="A43:B43"/>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7"/>
  <sheetViews>
    <sheetView topLeftCell="A8" zoomScaleNormal="100" workbookViewId="0">
      <selection activeCell="D7" sqref="D7:D29"/>
    </sheetView>
  </sheetViews>
  <sheetFormatPr defaultColWidth="8.85546875" defaultRowHeight="15.75"/>
  <cols>
    <col min="1" max="1" width="16.28515625" style="1" customWidth="1"/>
    <col min="2" max="2" width="98.28515625" style="1" customWidth="1"/>
    <col min="3" max="3" width="19.85546875" style="1" customWidth="1"/>
    <col min="4" max="4" width="9.42578125" style="1" customWidth="1"/>
    <col min="5" max="16384" width="8.85546875" style="1"/>
  </cols>
  <sheetData>
    <row r="1" spans="1:5">
      <c r="A1" s="139" t="s">
        <v>57</v>
      </c>
      <c r="B1" s="139"/>
      <c r="C1" s="139"/>
      <c r="D1" s="24"/>
      <c r="E1" s="24"/>
    </row>
    <row r="3" spans="1:5">
      <c r="A3" s="145" t="s">
        <v>69</v>
      </c>
      <c r="B3" s="145"/>
      <c r="C3" s="145"/>
    </row>
    <row r="4" spans="1:5">
      <c r="A4" s="145" t="s">
        <v>127</v>
      </c>
      <c r="B4" s="145"/>
      <c r="C4" s="145"/>
    </row>
    <row r="5" spans="1:5">
      <c r="A5" s="145" t="s">
        <v>58</v>
      </c>
      <c r="B5" s="145"/>
      <c r="C5" s="145"/>
    </row>
    <row r="6" spans="1:5" ht="16.5" thickBot="1">
      <c r="A6" s="146" t="s">
        <v>128</v>
      </c>
      <c r="B6" s="146"/>
    </row>
    <row r="7" spans="1:5" ht="79.5" thickBot="1">
      <c r="A7" s="25" t="s">
        <v>59</v>
      </c>
      <c r="B7" s="26" t="s">
        <v>60</v>
      </c>
      <c r="C7" s="26" t="s">
        <v>61</v>
      </c>
    </row>
    <row r="8" spans="1:5" ht="16.5" thickBot="1">
      <c r="A8" s="41"/>
      <c r="B8" s="42" t="s">
        <v>62</v>
      </c>
      <c r="C8" s="43"/>
      <c r="E8" s="100"/>
    </row>
    <row r="9" spans="1:5">
      <c r="A9" s="44" t="s">
        <v>75</v>
      </c>
      <c r="B9" s="45" t="s">
        <v>126</v>
      </c>
      <c r="C9" s="49">
        <f>20.66*270</f>
        <v>5578.2</v>
      </c>
      <c r="E9" s="100"/>
    </row>
    <row r="10" spans="1:5" ht="32.25" thickBot="1">
      <c r="A10" s="27" t="s">
        <v>76</v>
      </c>
      <c r="B10" s="71" t="s">
        <v>74</v>
      </c>
      <c r="C10" s="33">
        <f>C9*0.2409</f>
        <v>1343.78838</v>
      </c>
    </row>
    <row r="11" spans="1:5" ht="32.25" thickBot="1">
      <c r="A11" s="27" t="s">
        <v>77</v>
      </c>
      <c r="B11" s="30" t="s">
        <v>167</v>
      </c>
      <c r="C11" s="33">
        <f>ROUNDUP((367899/438912)*270,2)</f>
        <v>226.32</v>
      </c>
    </row>
    <row r="12" spans="1:5" ht="32.25" thickBot="1">
      <c r="A12" s="27" t="s">
        <v>79</v>
      </c>
      <c r="B12" s="30" t="s">
        <v>183</v>
      </c>
      <c r="C12" s="52">
        <f>ROUNDUP(((596554/438912)+9.22)*270,2)</f>
        <v>2856.38</v>
      </c>
    </row>
    <row r="13" spans="1:5" ht="32.25" thickBot="1">
      <c r="A13" s="27" t="s">
        <v>80</v>
      </c>
      <c r="B13" s="71" t="s">
        <v>169</v>
      </c>
      <c r="C13" s="33">
        <f>ROUNDUP((452717/438912)*270,2)</f>
        <v>278.5</v>
      </c>
    </row>
    <row r="14" spans="1:5" ht="16.5" thickBot="1">
      <c r="A14" s="27"/>
      <c r="B14" s="31" t="s">
        <v>63</v>
      </c>
      <c r="C14" s="32">
        <f>SUM(C9:C13)</f>
        <v>10283.18838</v>
      </c>
    </row>
    <row r="15" spans="1:5" ht="16.5" thickBot="1">
      <c r="A15" s="27"/>
      <c r="B15" s="31" t="s">
        <v>64</v>
      </c>
      <c r="C15" s="33"/>
    </row>
    <row r="16" spans="1:5" ht="32.25" thickBot="1">
      <c r="A16" s="27" t="s">
        <v>84</v>
      </c>
      <c r="B16" s="34" t="s">
        <v>151</v>
      </c>
      <c r="C16" s="33">
        <f>C9*0.15</f>
        <v>836.7299999999999</v>
      </c>
    </row>
    <row r="17" spans="1:7" ht="32.25" thickBot="1">
      <c r="A17" s="27" t="s">
        <v>76</v>
      </c>
      <c r="B17" s="71" t="s">
        <v>74</v>
      </c>
      <c r="C17" s="33">
        <f>C16*0.2409</f>
        <v>201.56825699999999</v>
      </c>
    </row>
    <row r="18" spans="1:7" ht="32.25" thickBot="1">
      <c r="A18" s="27" t="s">
        <v>88</v>
      </c>
      <c r="B18" s="29" t="s">
        <v>162</v>
      </c>
      <c r="C18" s="33">
        <f>ROUNDUP((39708/438912)*270,2)</f>
        <v>24.430000000000003</v>
      </c>
      <c r="E18" s="36"/>
    </row>
    <row r="19" spans="1:7" ht="32.25" thickBot="1">
      <c r="A19" s="27" t="s">
        <v>85</v>
      </c>
      <c r="B19" s="30" t="s">
        <v>164</v>
      </c>
      <c r="C19" s="33">
        <f>ROUNDUP((813902/438912)*270,2)</f>
        <v>500.68</v>
      </c>
    </row>
    <row r="20" spans="1:7" ht="32.25" thickBot="1">
      <c r="A20" s="27" t="s">
        <v>86</v>
      </c>
      <c r="B20" s="73" t="s">
        <v>161</v>
      </c>
      <c r="C20" s="33">
        <f>0.53*270</f>
        <v>143.1</v>
      </c>
    </row>
    <row r="21" spans="1:7" ht="32.25" thickBot="1">
      <c r="A21" s="27" t="s">
        <v>82</v>
      </c>
      <c r="B21" s="35" t="s">
        <v>163</v>
      </c>
      <c r="C21" s="33">
        <f>ROUNDUP((561364/438912)*270,2)</f>
        <v>345.33</v>
      </c>
    </row>
    <row r="22" spans="1:7" ht="32.25" thickBot="1">
      <c r="A22" s="27" t="s">
        <v>78</v>
      </c>
      <c r="B22" s="71" t="s">
        <v>166</v>
      </c>
      <c r="C22" s="33">
        <f>ROUNDUP((627676/438912)*270,2)</f>
        <v>386.12</v>
      </c>
    </row>
    <row r="23" spans="1:7" ht="32.25" thickBot="1">
      <c r="A23" s="27" t="s">
        <v>136</v>
      </c>
      <c r="B23" s="71" t="s">
        <v>229</v>
      </c>
      <c r="C23" s="33">
        <f>ROUNDUP((286606/438912)*270,2)</f>
        <v>176.31</v>
      </c>
    </row>
    <row r="24" spans="1:7" ht="32.25" thickBot="1">
      <c r="A24" s="27" t="s">
        <v>134</v>
      </c>
      <c r="B24" s="30" t="s">
        <v>213</v>
      </c>
      <c r="C24" s="33">
        <f>ROUND((157571/438912)*270,2)</f>
        <v>96.93</v>
      </c>
    </row>
    <row r="25" spans="1:7" ht="32.25" thickBot="1">
      <c r="A25" s="27" t="s">
        <v>87</v>
      </c>
      <c r="B25" s="30" t="s">
        <v>156</v>
      </c>
      <c r="C25" s="33">
        <f>ROUNDUP((46423/438912)*270,1)</f>
        <v>28.6</v>
      </c>
    </row>
    <row r="26" spans="1:7" ht="32.25" thickBot="1">
      <c r="A26" s="27" t="s">
        <v>83</v>
      </c>
      <c r="B26" s="30" t="s">
        <v>165</v>
      </c>
      <c r="C26" s="33">
        <f>0.05*270</f>
        <v>13.5</v>
      </c>
    </row>
    <row r="27" spans="1:7" ht="16.5" thickBot="1">
      <c r="A27" s="27" t="s">
        <v>175</v>
      </c>
      <c r="B27" s="30" t="s">
        <v>177</v>
      </c>
      <c r="C27" s="33">
        <f>1.8*270</f>
        <v>486</v>
      </c>
      <c r="G27" s="9"/>
    </row>
    <row r="28" spans="1:7" ht="16.5" thickBot="1">
      <c r="A28" s="27"/>
      <c r="B28" s="28" t="s">
        <v>65</v>
      </c>
      <c r="C28" s="32">
        <f>SUM(C16:C27)</f>
        <v>3239.2982569999995</v>
      </c>
    </row>
    <row r="29" spans="1:7" ht="16.5" thickBot="1">
      <c r="A29" s="27"/>
      <c r="B29" s="37" t="s">
        <v>66</v>
      </c>
      <c r="C29" s="32">
        <f>C28+C14</f>
        <v>13522.486636999998</v>
      </c>
    </row>
    <row r="30" spans="1:7">
      <c r="C30" s="9"/>
    </row>
    <row r="31" spans="1:7" ht="16.5" thickBot="1">
      <c r="C31" s="9"/>
    </row>
    <row r="32" spans="1:7" ht="16.5" thickBot="1">
      <c r="A32" s="141" t="s">
        <v>67</v>
      </c>
      <c r="B32" s="142"/>
      <c r="C32" s="38">
        <v>270</v>
      </c>
    </row>
    <row r="33" spans="1:6" ht="16.5" thickBot="1">
      <c r="A33" s="141" t="s">
        <v>68</v>
      </c>
      <c r="B33" s="142"/>
      <c r="C33" s="39">
        <f>C29/C32</f>
        <v>50.083283840740734</v>
      </c>
    </row>
    <row r="35" spans="1:6">
      <c r="A35" s="13"/>
      <c r="B35" s="13"/>
      <c r="C35" s="51"/>
      <c r="D35" s="13"/>
      <c r="E35" s="13"/>
      <c r="F35" s="13"/>
    </row>
    <row r="36" spans="1:6">
      <c r="A36" s="143"/>
      <c r="B36" s="143"/>
      <c r="C36" s="13"/>
      <c r="D36" s="13"/>
      <c r="E36" s="13"/>
      <c r="F36" s="13"/>
    </row>
    <row r="37" spans="1:6" ht="18.75">
      <c r="A37" s="144"/>
      <c r="B37" s="144"/>
      <c r="C37" s="40"/>
      <c r="D37" s="40"/>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42"/>
  <sheetViews>
    <sheetView topLeftCell="A18" zoomScaleNormal="100" workbookViewId="0">
      <selection activeCell="D7" sqref="D7:D35"/>
    </sheetView>
  </sheetViews>
  <sheetFormatPr defaultColWidth="8.85546875" defaultRowHeight="15.75"/>
  <cols>
    <col min="1" max="1" width="14.5703125" style="1" customWidth="1"/>
    <col min="2" max="2" width="95.140625" style="1" customWidth="1"/>
    <col min="3" max="3" width="19.85546875" style="1" customWidth="1"/>
    <col min="4" max="4" width="9" style="1" customWidth="1"/>
    <col min="5" max="16384" width="8.85546875" style="1"/>
  </cols>
  <sheetData>
    <row r="1" spans="1:5">
      <c r="A1" s="139" t="s">
        <v>57</v>
      </c>
      <c r="B1" s="139"/>
      <c r="C1" s="139"/>
      <c r="D1" s="24"/>
      <c r="E1" s="24"/>
    </row>
    <row r="3" spans="1:5">
      <c r="A3" s="145" t="s">
        <v>69</v>
      </c>
      <c r="B3" s="145"/>
      <c r="C3" s="145"/>
    </row>
    <row r="4" spans="1:5" ht="32.25" customHeight="1">
      <c r="A4" s="145" t="s">
        <v>108</v>
      </c>
      <c r="B4" s="145"/>
      <c r="C4" s="145"/>
    </row>
    <row r="5" spans="1:5">
      <c r="A5" s="145" t="s">
        <v>58</v>
      </c>
      <c r="B5" s="145"/>
      <c r="C5" s="145"/>
    </row>
    <row r="6" spans="1:5" ht="16.5" thickBot="1">
      <c r="A6" s="146" t="s">
        <v>129</v>
      </c>
      <c r="B6" s="146"/>
    </row>
    <row r="7" spans="1:5" ht="79.5" thickBot="1">
      <c r="A7" s="25" t="s">
        <v>59</v>
      </c>
      <c r="B7" s="26" t="s">
        <v>60</v>
      </c>
      <c r="C7" s="26" t="s">
        <v>61</v>
      </c>
    </row>
    <row r="8" spans="1:5" ht="16.5" thickBot="1">
      <c r="A8" s="41"/>
      <c r="B8" s="42" t="s">
        <v>62</v>
      </c>
      <c r="C8" s="43"/>
      <c r="E8" s="100"/>
    </row>
    <row r="9" spans="1:5">
      <c r="A9" s="147" t="s">
        <v>75</v>
      </c>
      <c r="B9" s="45" t="s">
        <v>116</v>
      </c>
      <c r="C9" s="49">
        <f>11.35*8</f>
        <v>90.8</v>
      </c>
      <c r="E9" s="100"/>
    </row>
    <row r="10" spans="1:5">
      <c r="A10" s="148"/>
      <c r="B10" s="46" t="s">
        <v>72</v>
      </c>
      <c r="C10" s="108">
        <f>8.02*8</f>
        <v>64.16</v>
      </c>
      <c r="E10" s="100"/>
    </row>
    <row r="11" spans="1:5" ht="16.5" thickBot="1">
      <c r="A11" s="149"/>
      <c r="B11" s="47" t="s">
        <v>73</v>
      </c>
      <c r="C11" s="109">
        <f>5.4*8</f>
        <v>43.2</v>
      </c>
      <c r="E11" s="99"/>
    </row>
    <row r="12" spans="1:5" ht="38.25" customHeight="1" thickBot="1">
      <c r="A12" s="27" t="s">
        <v>76</v>
      </c>
      <c r="B12" s="30" t="s">
        <v>74</v>
      </c>
      <c r="C12" s="33">
        <f>(C9+C10+C11)*0.2409</f>
        <v>47.736743999999995</v>
      </c>
    </row>
    <row r="13" spans="1:5" ht="32.25" thickBot="1">
      <c r="A13" s="27" t="s">
        <v>77</v>
      </c>
      <c r="B13" s="30" t="s">
        <v>167</v>
      </c>
      <c r="C13" s="33">
        <f>0.84*8</f>
        <v>6.72</v>
      </c>
    </row>
    <row r="14" spans="1:5" ht="32.25" thickBot="1">
      <c r="A14" s="27" t="s">
        <v>79</v>
      </c>
      <c r="B14" s="30" t="s">
        <v>181</v>
      </c>
      <c r="C14" s="52">
        <f>(1.36+6.91)*8</f>
        <v>66.16</v>
      </c>
    </row>
    <row r="15" spans="1:5" ht="32.25" thickBot="1">
      <c r="A15" s="27" t="s">
        <v>80</v>
      </c>
      <c r="B15" s="71" t="s">
        <v>169</v>
      </c>
      <c r="C15" s="33">
        <f>1.03*8</f>
        <v>8.24</v>
      </c>
    </row>
    <row r="16" spans="1:5" ht="36" customHeight="1" thickBot="1">
      <c r="A16" s="27" t="s">
        <v>82</v>
      </c>
      <c r="B16" s="30" t="s">
        <v>171</v>
      </c>
      <c r="C16" s="33">
        <f>1.42*8</f>
        <v>11.36</v>
      </c>
    </row>
    <row r="17" spans="1:7" ht="38.25" customHeight="1" thickBot="1">
      <c r="A17" s="27" t="s">
        <v>170</v>
      </c>
      <c r="B17" s="30" t="s">
        <v>172</v>
      </c>
      <c r="C17" s="33">
        <f>1.14*8</f>
        <v>9.1199999999999992</v>
      </c>
    </row>
    <row r="18" spans="1:7" ht="32.25" thickBot="1">
      <c r="A18" s="27" t="s">
        <v>81</v>
      </c>
      <c r="B18" s="30" t="s">
        <v>182</v>
      </c>
      <c r="C18" s="33">
        <f>11.45*8</f>
        <v>91.6</v>
      </c>
    </row>
    <row r="19" spans="1:7" ht="16.5" thickBot="1">
      <c r="A19" s="27"/>
      <c r="B19" s="31" t="s">
        <v>63</v>
      </c>
      <c r="C19" s="32">
        <f>SUM(C9:C18)</f>
        <v>439.09674399999994</v>
      </c>
    </row>
    <row r="20" spans="1:7" ht="16.5" thickBot="1">
      <c r="A20" s="27"/>
      <c r="B20" s="31" t="s">
        <v>64</v>
      </c>
      <c r="C20" s="33"/>
    </row>
    <row r="21" spans="1:7" ht="32.25" thickBot="1">
      <c r="A21" s="27" t="s">
        <v>84</v>
      </c>
      <c r="B21" s="34" t="s">
        <v>152</v>
      </c>
      <c r="C21" s="33">
        <f>(C9+C10+C11)*0.25</f>
        <v>49.539999999999992</v>
      </c>
    </row>
    <row r="22" spans="1:7" ht="32.25" thickBot="1">
      <c r="A22" s="27" t="s">
        <v>76</v>
      </c>
      <c r="B22" s="71" t="s">
        <v>74</v>
      </c>
      <c r="C22" s="33">
        <f>C21*0.2409</f>
        <v>11.934185999999999</v>
      </c>
    </row>
    <row r="23" spans="1:7" ht="34.5" customHeight="1" thickBot="1">
      <c r="A23" s="27" t="s">
        <v>88</v>
      </c>
      <c r="B23" s="29" t="s">
        <v>162</v>
      </c>
      <c r="C23" s="33">
        <f>0.09*8</f>
        <v>0.72</v>
      </c>
      <c r="E23" s="36"/>
    </row>
    <row r="24" spans="1:7" ht="32.25" thickBot="1">
      <c r="A24" s="27" t="s">
        <v>85</v>
      </c>
      <c r="B24" s="30" t="s">
        <v>164</v>
      </c>
      <c r="C24" s="33">
        <f>1.85*8</f>
        <v>14.8</v>
      </c>
    </row>
    <row r="25" spans="1:7" ht="36" customHeight="1" thickBot="1">
      <c r="A25" s="27" t="s">
        <v>86</v>
      </c>
      <c r="B25" s="73" t="s">
        <v>161</v>
      </c>
      <c r="C25" s="33">
        <f>(234731/438912)*8</f>
        <v>4.2784157188684748</v>
      </c>
    </row>
    <row r="26" spans="1:7" ht="32.25" thickBot="1">
      <c r="A26" s="27" t="s">
        <v>82</v>
      </c>
      <c r="B26" s="35" t="s">
        <v>163</v>
      </c>
      <c r="C26" s="33">
        <f>(561364/438912)*8</f>
        <v>10.231918926800816</v>
      </c>
    </row>
    <row r="27" spans="1:7" ht="32.25" thickBot="1">
      <c r="A27" s="27" t="s">
        <v>78</v>
      </c>
      <c r="B27" s="71" t="s">
        <v>166</v>
      </c>
      <c r="C27" s="33">
        <f>(627676/438912)*8</f>
        <v>11.440580344123651</v>
      </c>
    </row>
    <row r="28" spans="1:7" ht="32.25" thickBot="1">
      <c r="A28" s="27" t="s">
        <v>136</v>
      </c>
      <c r="B28" s="71" t="s">
        <v>228</v>
      </c>
      <c r="C28" s="33">
        <f>0.65*8</f>
        <v>5.2</v>
      </c>
    </row>
    <row r="29" spans="1:7" ht="38.25" customHeight="1" thickBot="1">
      <c r="A29" s="27" t="s">
        <v>134</v>
      </c>
      <c r="B29" s="30" t="s">
        <v>173</v>
      </c>
      <c r="C29" s="33">
        <f>(157571/438912)*8</f>
        <v>2.8720290172061826</v>
      </c>
    </row>
    <row r="30" spans="1:7" ht="32.25" thickBot="1">
      <c r="A30" s="27" t="s">
        <v>87</v>
      </c>
      <c r="B30" s="30" t="s">
        <v>156</v>
      </c>
      <c r="C30" s="33">
        <f>(46423/438912)*8</f>
        <v>0.84614683581219019</v>
      </c>
    </row>
    <row r="31" spans="1:7" ht="32.25" thickBot="1">
      <c r="A31" s="27" t="s">
        <v>83</v>
      </c>
      <c r="B31" s="30" t="s">
        <v>165</v>
      </c>
      <c r="C31" s="33">
        <f>0.05*8</f>
        <v>0.4</v>
      </c>
    </row>
    <row r="32" spans="1:7" ht="32.25" thickBot="1">
      <c r="A32" s="27" t="s">
        <v>175</v>
      </c>
      <c r="B32" s="30" t="s">
        <v>176</v>
      </c>
      <c r="C32" s="33">
        <f>3.55*8</f>
        <v>28.4</v>
      </c>
      <c r="G32" s="9"/>
    </row>
    <row r="33" spans="1:6" ht="16.5" thickBot="1">
      <c r="A33" s="27"/>
      <c r="B33" s="28" t="s">
        <v>65</v>
      </c>
      <c r="C33" s="32">
        <f>SUM(C21:C32)</f>
        <v>140.66327684281131</v>
      </c>
    </row>
    <row r="34" spans="1:6" ht="16.5" thickBot="1">
      <c r="A34" s="27"/>
      <c r="B34" s="37" t="s">
        <v>66</v>
      </c>
      <c r="C34" s="32">
        <f>C33+C19</f>
        <v>579.76002084281129</v>
      </c>
    </row>
    <row r="35" spans="1:6">
      <c r="C35" s="9"/>
    </row>
    <row r="36" spans="1:6" ht="16.5" thickBot="1">
      <c r="C36" s="9"/>
    </row>
    <row r="37" spans="1:6" ht="16.5" thickBot="1">
      <c r="A37" s="141" t="s">
        <v>67</v>
      </c>
      <c r="B37" s="142"/>
      <c r="C37" s="38">
        <v>8</v>
      </c>
    </row>
    <row r="38" spans="1:6" ht="16.5" thickBot="1">
      <c r="A38" s="141" t="s">
        <v>68</v>
      </c>
      <c r="B38" s="142"/>
      <c r="C38" s="39">
        <f>C34/C37</f>
        <v>72.470002605351411</v>
      </c>
    </row>
    <row r="40" spans="1:6">
      <c r="A40" s="13"/>
      <c r="B40" s="13"/>
      <c r="C40" s="51"/>
      <c r="D40" s="13"/>
      <c r="E40" s="13"/>
      <c r="F40" s="13"/>
    </row>
    <row r="41" spans="1:6">
      <c r="A41" s="143"/>
      <c r="B41" s="143"/>
      <c r="C41" s="13"/>
      <c r="D41" s="13"/>
      <c r="E41" s="13"/>
      <c r="F41" s="13"/>
    </row>
    <row r="42" spans="1:6" ht="18.75">
      <c r="A42" s="144"/>
      <c r="B42" s="144"/>
      <c r="C42" s="40"/>
      <c r="D42" s="40"/>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3"/>
  <sheetViews>
    <sheetView zoomScaleNormal="100" workbookViewId="0">
      <selection activeCell="J19" sqref="J19"/>
    </sheetView>
  </sheetViews>
  <sheetFormatPr defaultColWidth="8.85546875" defaultRowHeight="15.75"/>
  <cols>
    <col min="1" max="1" width="16" style="1" customWidth="1"/>
    <col min="2" max="2" width="86" style="1" customWidth="1"/>
    <col min="3" max="3" width="19.85546875" style="1" customWidth="1"/>
    <col min="4" max="4" width="7" style="1" customWidth="1"/>
    <col min="5" max="5" width="7.85546875" style="1" customWidth="1"/>
    <col min="6" max="16384" width="8.85546875" style="1"/>
  </cols>
  <sheetData>
    <row r="1" spans="1:5">
      <c r="A1" s="139" t="s">
        <v>57</v>
      </c>
      <c r="B1" s="139"/>
      <c r="C1" s="139"/>
      <c r="D1" s="24"/>
      <c r="E1" s="24"/>
    </row>
    <row r="3" spans="1:5">
      <c r="A3" s="145" t="s">
        <v>69</v>
      </c>
      <c r="B3" s="145"/>
      <c r="C3" s="145"/>
    </row>
    <row r="4" spans="1:5">
      <c r="A4" s="145" t="s">
        <v>209</v>
      </c>
      <c r="B4" s="145"/>
      <c r="C4" s="145"/>
    </row>
    <row r="5" spans="1:5">
      <c r="A5" s="145" t="s">
        <v>58</v>
      </c>
      <c r="B5" s="145"/>
      <c r="C5" s="145"/>
    </row>
    <row r="6" spans="1:5" ht="16.5" thickBot="1">
      <c r="A6" s="146" t="s">
        <v>130</v>
      </c>
      <c r="B6" s="146"/>
    </row>
    <row r="7" spans="1:5" ht="92.25" customHeight="1" thickBot="1">
      <c r="A7" s="25" t="s">
        <v>59</v>
      </c>
      <c r="B7" s="26" t="s">
        <v>60</v>
      </c>
      <c r="C7" s="26" t="s">
        <v>61</v>
      </c>
    </row>
    <row r="8" spans="1:5" ht="16.5" thickBot="1">
      <c r="A8" s="41"/>
      <c r="B8" s="42" t="s">
        <v>62</v>
      </c>
      <c r="C8" s="43"/>
      <c r="E8" s="100"/>
    </row>
    <row r="9" spans="1:5">
      <c r="A9" s="44" t="s">
        <v>75</v>
      </c>
      <c r="B9" s="45" t="s">
        <v>131</v>
      </c>
      <c r="C9" s="49">
        <f>20.66*12</f>
        <v>247.92000000000002</v>
      </c>
      <c r="E9" s="100"/>
    </row>
    <row r="10" spans="1:5" ht="32.25" thickBot="1">
      <c r="A10" s="27" t="s">
        <v>76</v>
      </c>
      <c r="B10" s="71" t="s">
        <v>74</v>
      </c>
      <c r="C10" s="33">
        <f>ROUNDUP(C9*0.2409,1)</f>
        <v>59.800000000000004</v>
      </c>
    </row>
    <row r="11" spans="1:5" ht="32.25" thickBot="1">
      <c r="A11" s="27" t="s">
        <v>77</v>
      </c>
      <c r="B11" s="71" t="s">
        <v>168</v>
      </c>
      <c r="C11" s="33">
        <f>4.32*12</f>
        <v>51.84</v>
      </c>
    </row>
    <row r="12" spans="1:5" ht="16.5" thickBot="1">
      <c r="A12" s="27"/>
      <c r="B12" s="31" t="s">
        <v>63</v>
      </c>
      <c r="C12" s="32">
        <f>SUM(C9:C11)</f>
        <v>359.56000000000006</v>
      </c>
    </row>
    <row r="13" spans="1:5" ht="16.5" thickBot="1">
      <c r="A13" s="27"/>
      <c r="B13" s="31" t="s">
        <v>64</v>
      </c>
      <c r="C13" s="33"/>
    </row>
    <row r="14" spans="1:5" ht="16.5" thickBot="1">
      <c r="A14" s="27"/>
      <c r="B14" s="28" t="s">
        <v>65</v>
      </c>
      <c r="C14" s="32">
        <v>0</v>
      </c>
    </row>
    <row r="15" spans="1:5" ht="16.5" thickBot="1">
      <c r="A15" s="27"/>
      <c r="B15" s="37" t="s">
        <v>66</v>
      </c>
      <c r="C15" s="32">
        <f>C14+C12</f>
        <v>359.56000000000006</v>
      </c>
    </row>
    <row r="16" spans="1:5">
      <c r="C16" s="9"/>
    </row>
    <row r="17" spans="1:6" ht="16.5" thickBot="1">
      <c r="C17" s="9"/>
    </row>
    <row r="18" spans="1:6" ht="16.5" thickBot="1">
      <c r="A18" s="141" t="s">
        <v>67</v>
      </c>
      <c r="B18" s="142"/>
      <c r="C18" s="38">
        <v>12</v>
      </c>
    </row>
    <row r="19" spans="1:6" ht="16.5" thickBot="1">
      <c r="A19" s="141" t="s">
        <v>68</v>
      </c>
      <c r="B19" s="142"/>
      <c r="C19" s="39">
        <f>C15/C18</f>
        <v>29.963333333333338</v>
      </c>
    </row>
    <row r="21" spans="1:6">
      <c r="A21" s="13"/>
      <c r="B21" s="13"/>
      <c r="C21" s="51"/>
      <c r="D21" s="13"/>
      <c r="E21" s="13"/>
      <c r="F21" s="13"/>
    </row>
    <row r="22" spans="1:6">
      <c r="A22" s="143"/>
      <c r="B22" s="143"/>
      <c r="C22" s="13"/>
      <c r="D22" s="13"/>
      <c r="E22" s="13"/>
      <c r="F22" s="13"/>
    </row>
    <row r="23" spans="1:6" ht="18.75">
      <c r="A23" s="144"/>
      <c r="B23" s="144"/>
      <c r="C23" s="40"/>
      <c r="D23" s="40"/>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4.9989318521683403E-2"/>
  </sheetPr>
  <dimension ref="A1:F23"/>
  <sheetViews>
    <sheetView topLeftCell="A4" zoomScaleNormal="100" workbookViewId="0">
      <selection activeCell="H21" sqref="H21:H22"/>
    </sheetView>
  </sheetViews>
  <sheetFormatPr defaultColWidth="8.85546875" defaultRowHeight="15.75"/>
  <cols>
    <col min="1" max="1" width="14.140625" style="1" customWidth="1"/>
    <col min="2" max="2" width="82.570312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ht="34.5" customHeight="1">
      <c r="A4" s="145" t="s">
        <v>201</v>
      </c>
      <c r="B4" s="145"/>
      <c r="C4" s="145"/>
    </row>
    <row r="5" spans="1:5">
      <c r="A5" s="145" t="s">
        <v>58</v>
      </c>
      <c r="B5" s="145"/>
      <c r="C5" s="145"/>
    </row>
    <row r="6" spans="1:5" ht="16.5" thickBot="1">
      <c r="A6" s="146" t="s">
        <v>132</v>
      </c>
      <c r="B6" s="146"/>
    </row>
    <row r="7" spans="1:5" ht="84.75" customHeight="1" thickBot="1">
      <c r="A7" s="25" t="s">
        <v>59</v>
      </c>
      <c r="B7" s="26" t="s">
        <v>60</v>
      </c>
      <c r="C7" s="26" t="s">
        <v>61</v>
      </c>
    </row>
    <row r="8" spans="1:5" ht="16.5" thickBot="1">
      <c r="A8" s="41"/>
      <c r="B8" s="42" t="s">
        <v>62</v>
      </c>
      <c r="C8" s="43"/>
    </row>
    <row r="9" spans="1:5">
      <c r="A9" s="44" t="s">
        <v>75</v>
      </c>
      <c r="B9" s="45" t="s">
        <v>158</v>
      </c>
      <c r="C9" s="49">
        <f>(1.35*64)</f>
        <v>86.4</v>
      </c>
    </row>
    <row r="10" spans="1:5" ht="32.25" thickBot="1">
      <c r="A10" s="27" t="s">
        <v>76</v>
      </c>
      <c r="B10" s="71" t="s">
        <v>74</v>
      </c>
      <c r="C10" s="33">
        <f>C9*0.2409</f>
        <v>20.813760000000002</v>
      </c>
    </row>
    <row r="11" spans="1:5" ht="16.5" thickBot="1">
      <c r="A11" s="27"/>
      <c r="B11" s="31" t="s">
        <v>63</v>
      </c>
      <c r="C11" s="32">
        <f>SUM(C9:C10)</f>
        <v>107.21376000000001</v>
      </c>
    </row>
    <row r="12" spans="1:5" ht="16.5" thickBot="1">
      <c r="A12" s="27"/>
      <c r="B12" s="31" t="s">
        <v>64</v>
      </c>
      <c r="C12" s="33"/>
    </row>
    <row r="13" spans="1:5" ht="16.5" thickBot="1">
      <c r="A13" s="27" t="s">
        <v>86</v>
      </c>
      <c r="B13" s="29" t="s">
        <v>89</v>
      </c>
      <c r="C13" s="33">
        <f>(0.12*64)+0.31</f>
        <v>7.9899999999999993</v>
      </c>
    </row>
    <row r="14" spans="1:5" ht="16.5" thickBot="1">
      <c r="A14" s="27"/>
      <c r="B14" s="28" t="s">
        <v>65</v>
      </c>
      <c r="C14" s="32">
        <f>SUM(C13:C13)</f>
        <v>7.9899999999999993</v>
      </c>
    </row>
    <row r="15" spans="1:5" ht="16.5" thickBot="1">
      <c r="A15" s="27"/>
      <c r="B15" s="37" t="s">
        <v>66</v>
      </c>
      <c r="C15" s="32">
        <f>C14+C11</f>
        <v>115.20376</v>
      </c>
    </row>
    <row r="16" spans="1:5">
      <c r="C16" s="9"/>
    </row>
    <row r="17" spans="1:6" ht="16.5" thickBot="1">
      <c r="C17" s="9"/>
    </row>
    <row r="18" spans="1:6" ht="16.5" thickBot="1">
      <c r="A18" s="141" t="s">
        <v>67</v>
      </c>
      <c r="B18" s="142"/>
      <c r="C18" s="38">
        <v>64</v>
      </c>
    </row>
    <row r="19" spans="1:6" ht="16.5" thickBot="1">
      <c r="A19" s="141" t="s">
        <v>68</v>
      </c>
      <c r="B19" s="142"/>
      <c r="C19" s="39">
        <f>C15/C18</f>
        <v>1.80005875</v>
      </c>
    </row>
    <row r="21" spans="1:6">
      <c r="A21" s="13"/>
      <c r="B21" s="13"/>
      <c r="C21" s="51"/>
      <c r="D21" s="13"/>
      <c r="E21" s="13"/>
      <c r="F21" s="13"/>
    </row>
    <row r="22" spans="1:6">
      <c r="A22" s="143"/>
      <c r="B22" s="143"/>
      <c r="C22" s="13"/>
      <c r="D22" s="13"/>
      <c r="E22" s="13"/>
      <c r="F22" s="13"/>
    </row>
    <row r="23" spans="1:6" ht="18.75">
      <c r="A23" s="144"/>
      <c r="B23" s="144"/>
      <c r="C23" s="40"/>
      <c r="D23" s="40"/>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F23"/>
  <sheetViews>
    <sheetView topLeftCell="A7" zoomScaleNormal="100" workbookViewId="0">
      <selection activeCell="I24" sqref="I24:K29"/>
    </sheetView>
  </sheetViews>
  <sheetFormatPr defaultColWidth="8.85546875" defaultRowHeight="15.75"/>
  <cols>
    <col min="1" max="1" width="13.42578125" style="1" customWidth="1"/>
    <col min="2" max="2" width="92.14062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ht="34.5" customHeight="1">
      <c r="A4" s="145" t="s">
        <v>202</v>
      </c>
      <c r="B4" s="145"/>
      <c r="C4" s="145"/>
    </row>
    <row r="5" spans="1:5">
      <c r="A5" s="145" t="s">
        <v>58</v>
      </c>
      <c r="B5" s="145"/>
      <c r="C5" s="145"/>
    </row>
    <row r="6" spans="1:5" ht="16.5" thickBot="1">
      <c r="A6" s="146" t="s">
        <v>223</v>
      </c>
      <c r="B6" s="146"/>
    </row>
    <row r="7" spans="1:5" ht="85.5" customHeight="1" thickBot="1">
      <c r="A7" s="25" t="s">
        <v>59</v>
      </c>
      <c r="B7" s="26" t="s">
        <v>60</v>
      </c>
      <c r="C7" s="26" t="s">
        <v>61</v>
      </c>
    </row>
    <row r="8" spans="1:5" ht="16.5" thickBot="1">
      <c r="A8" s="41"/>
      <c r="B8" s="42" t="s">
        <v>62</v>
      </c>
      <c r="C8" s="43"/>
    </row>
    <row r="9" spans="1:5">
      <c r="A9" s="44" t="s">
        <v>75</v>
      </c>
      <c r="B9" s="45" t="s">
        <v>159</v>
      </c>
      <c r="C9" s="49">
        <f>ROUND(0.85*835,2)</f>
        <v>709.75</v>
      </c>
    </row>
    <row r="10" spans="1:5" ht="32.25" thickBot="1">
      <c r="A10" s="27" t="s">
        <v>76</v>
      </c>
      <c r="B10" s="71" t="s">
        <v>74</v>
      </c>
      <c r="C10" s="33">
        <f>ROUND(C9*0.2409,2)</f>
        <v>170.98</v>
      </c>
    </row>
    <row r="11" spans="1:5" ht="16.5" thickBot="1">
      <c r="A11" s="27"/>
      <c r="B11" s="31" t="s">
        <v>63</v>
      </c>
      <c r="C11" s="32">
        <f>SUM(C9:C10)</f>
        <v>880.73</v>
      </c>
    </row>
    <row r="12" spans="1:5" ht="16.5" thickBot="1">
      <c r="A12" s="27"/>
      <c r="B12" s="31" t="s">
        <v>64</v>
      </c>
      <c r="C12" s="33"/>
    </row>
    <row r="13" spans="1:5" ht="16.5" thickBot="1">
      <c r="A13" s="27" t="s">
        <v>86</v>
      </c>
      <c r="B13" s="29" t="s">
        <v>89</v>
      </c>
      <c r="C13" s="33">
        <f>ROUND(0.12*835,2)-3.98</f>
        <v>96.22</v>
      </c>
    </row>
    <row r="14" spans="1:5" ht="16.5" thickBot="1">
      <c r="A14" s="27"/>
      <c r="B14" s="28" t="s">
        <v>65</v>
      </c>
      <c r="C14" s="32">
        <f>SUM(C13:C13)</f>
        <v>96.22</v>
      </c>
    </row>
    <row r="15" spans="1:5" ht="16.5" thickBot="1">
      <c r="A15" s="27"/>
      <c r="B15" s="37" t="s">
        <v>66</v>
      </c>
      <c r="C15" s="32">
        <f>C14+C11</f>
        <v>976.95</v>
      </c>
    </row>
    <row r="16" spans="1:5">
      <c r="C16" s="9"/>
    </row>
    <row r="17" spans="1:6" ht="16.5" thickBot="1">
      <c r="C17" s="9"/>
    </row>
    <row r="18" spans="1:6" ht="16.5" thickBot="1">
      <c r="A18" s="141" t="s">
        <v>67</v>
      </c>
      <c r="B18" s="142"/>
      <c r="C18" s="38">
        <v>835</v>
      </c>
    </row>
    <row r="19" spans="1:6" ht="16.5" thickBot="1">
      <c r="A19" s="141" t="s">
        <v>68</v>
      </c>
      <c r="B19" s="142"/>
      <c r="C19" s="39">
        <f>C15/C18</f>
        <v>1.1700000000000002</v>
      </c>
    </row>
    <row r="21" spans="1:6">
      <c r="A21" s="13"/>
      <c r="B21" s="13"/>
      <c r="C21" s="51"/>
      <c r="D21" s="13"/>
      <c r="E21" s="13"/>
      <c r="F21" s="13"/>
    </row>
    <row r="22" spans="1:6">
      <c r="A22" s="143"/>
      <c r="B22" s="143"/>
      <c r="C22" s="13"/>
      <c r="D22" s="13"/>
      <c r="E22" s="13"/>
      <c r="F22" s="13"/>
    </row>
    <row r="23" spans="1:6" ht="18.75">
      <c r="A23" s="144"/>
      <c r="B23" s="144"/>
      <c r="C23" s="40"/>
      <c r="D23" s="40"/>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F23"/>
  <sheetViews>
    <sheetView topLeftCell="A4" zoomScaleNormal="100" workbookViewId="0">
      <selection activeCell="L23" sqref="L23"/>
    </sheetView>
  </sheetViews>
  <sheetFormatPr defaultColWidth="8.85546875" defaultRowHeight="15.75"/>
  <cols>
    <col min="1" max="1" width="15" style="1" customWidth="1"/>
    <col min="2" max="2" width="71.8554687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ht="52.5" customHeight="1">
      <c r="A4" s="150" t="s">
        <v>203</v>
      </c>
      <c r="B4" s="150"/>
      <c r="C4" s="150"/>
    </row>
    <row r="5" spans="1:5">
      <c r="A5" s="145" t="s">
        <v>58</v>
      </c>
      <c r="B5" s="145"/>
      <c r="C5" s="145"/>
    </row>
    <row r="6" spans="1:5" ht="16.5" thickBot="1">
      <c r="A6" s="146" t="s">
        <v>224</v>
      </c>
      <c r="B6" s="146"/>
    </row>
    <row r="7" spans="1:5" ht="79.5" thickBot="1">
      <c r="A7" s="25" t="s">
        <v>59</v>
      </c>
      <c r="B7" s="26" t="s">
        <v>60</v>
      </c>
      <c r="C7" s="26" t="s">
        <v>61</v>
      </c>
    </row>
    <row r="8" spans="1:5" ht="16.5" thickBot="1">
      <c r="A8" s="41"/>
      <c r="B8" s="42" t="s">
        <v>62</v>
      </c>
      <c r="C8" s="43"/>
    </row>
    <row r="9" spans="1:5">
      <c r="A9" s="44" t="s">
        <v>75</v>
      </c>
      <c r="B9" s="45" t="s">
        <v>160</v>
      </c>
      <c r="C9" s="49">
        <f>0.73*6747</f>
        <v>4925.3099999999995</v>
      </c>
    </row>
    <row r="10" spans="1:5" ht="32.25" thickBot="1">
      <c r="A10" s="27" t="s">
        <v>76</v>
      </c>
      <c r="B10" s="71" t="s">
        <v>74</v>
      </c>
      <c r="C10" s="33">
        <f>C9*0.2409</f>
        <v>1186.507179</v>
      </c>
    </row>
    <row r="11" spans="1:5" ht="16.5" thickBot="1">
      <c r="A11" s="27"/>
      <c r="B11" s="31" t="s">
        <v>63</v>
      </c>
      <c r="C11" s="32">
        <f>SUM(C9:C10)</f>
        <v>6111.8171789999997</v>
      </c>
    </row>
    <row r="12" spans="1:5" ht="16.5" thickBot="1">
      <c r="A12" s="27"/>
      <c r="B12" s="31" t="s">
        <v>64</v>
      </c>
      <c r="C12" s="33"/>
    </row>
    <row r="13" spans="1:5" ht="16.5" thickBot="1">
      <c r="A13" s="27" t="s">
        <v>86</v>
      </c>
      <c r="B13" s="29" t="s">
        <v>89</v>
      </c>
      <c r="C13" s="33">
        <f>(0.12*6747)+27.95</f>
        <v>837.59</v>
      </c>
    </row>
    <row r="14" spans="1:5" ht="16.5" thickBot="1">
      <c r="A14" s="27"/>
      <c r="B14" s="28" t="s">
        <v>65</v>
      </c>
      <c r="C14" s="32">
        <f>SUM(C13:C13)</f>
        <v>837.59</v>
      </c>
    </row>
    <row r="15" spans="1:5" ht="16.5" thickBot="1">
      <c r="A15" s="27"/>
      <c r="B15" s="37" t="s">
        <v>66</v>
      </c>
      <c r="C15" s="32">
        <f>C14+C11</f>
        <v>6949.4071789999998</v>
      </c>
    </row>
    <row r="16" spans="1:5">
      <c r="C16" s="9"/>
    </row>
    <row r="17" spans="1:6" ht="16.5" thickBot="1">
      <c r="C17" s="9"/>
    </row>
    <row r="18" spans="1:6" ht="16.5" thickBot="1">
      <c r="A18" s="141" t="s">
        <v>67</v>
      </c>
      <c r="B18" s="142"/>
      <c r="C18" s="38">
        <v>6747</v>
      </c>
    </row>
    <row r="19" spans="1:6" ht="16.5" thickBot="1">
      <c r="A19" s="141" t="s">
        <v>68</v>
      </c>
      <c r="B19" s="142"/>
      <c r="C19" s="39">
        <f>C15/C18</f>
        <v>1.0299995818882466</v>
      </c>
    </row>
    <row r="21" spans="1:6">
      <c r="A21" s="13"/>
      <c r="B21" s="13"/>
      <c r="C21" s="51"/>
      <c r="D21" s="13"/>
      <c r="E21" s="13"/>
      <c r="F21" s="13"/>
    </row>
    <row r="22" spans="1:6">
      <c r="A22" s="143"/>
      <c r="B22" s="143"/>
      <c r="C22" s="13"/>
      <c r="D22" s="13"/>
      <c r="E22" s="13"/>
      <c r="F22" s="13"/>
    </row>
    <row r="23" spans="1:6" ht="18.75">
      <c r="A23" s="144"/>
      <c r="B23" s="144"/>
      <c r="C23" s="40"/>
      <c r="D23" s="40"/>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82"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23"/>
  <sheetViews>
    <sheetView topLeftCell="A7" zoomScaleNormal="100" workbookViewId="0">
      <selection activeCell="I20" sqref="I20"/>
    </sheetView>
  </sheetViews>
  <sheetFormatPr defaultColWidth="8.85546875" defaultRowHeight="15.75"/>
  <cols>
    <col min="1" max="1" width="14.85546875" style="1" customWidth="1"/>
    <col min="2" max="2" width="79.570312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ht="21" customHeight="1">
      <c r="A4" s="150" t="s">
        <v>204</v>
      </c>
      <c r="B4" s="150"/>
      <c r="C4" s="150"/>
    </row>
    <row r="5" spans="1:5">
      <c r="A5" s="145" t="s">
        <v>58</v>
      </c>
      <c r="B5" s="145"/>
      <c r="C5" s="145"/>
    </row>
    <row r="6" spans="1:5" ht="16.5" thickBot="1">
      <c r="A6" s="146" t="s">
        <v>133</v>
      </c>
      <c r="B6" s="146"/>
    </row>
    <row r="7" spans="1:5" ht="98.25" customHeight="1" thickBot="1">
      <c r="A7" s="25" t="s">
        <v>59</v>
      </c>
      <c r="B7" s="26" t="s">
        <v>60</v>
      </c>
      <c r="C7" s="26" t="s">
        <v>61</v>
      </c>
    </row>
    <row r="8" spans="1:5" ht="16.5" thickBot="1">
      <c r="A8" s="41"/>
      <c r="B8" s="42" t="s">
        <v>62</v>
      </c>
      <c r="C8" s="43"/>
    </row>
    <row r="9" spans="1:5">
      <c r="A9" s="44" t="s">
        <v>75</v>
      </c>
      <c r="B9" s="45" t="s">
        <v>216</v>
      </c>
      <c r="C9" s="49">
        <v>35</v>
      </c>
    </row>
    <row r="10" spans="1:5" ht="32.25" thickBot="1">
      <c r="A10" s="27" t="s">
        <v>76</v>
      </c>
      <c r="B10" s="71" t="s">
        <v>74</v>
      </c>
      <c r="C10" s="33">
        <f>ROUND(C9*0.2409,1)</f>
        <v>8.4</v>
      </c>
    </row>
    <row r="11" spans="1:5" ht="16.5" thickBot="1">
      <c r="A11" s="27" t="s">
        <v>134</v>
      </c>
      <c r="B11" s="30" t="s">
        <v>135</v>
      </c>
      <c r="C11" s="33">
        <v>23.5</v>
      </c>
    </row>
    <row r="12" spans="1:5" ht="16.5" thickBot="1">
      <c r="A12" s="27"/>
      <c r="B12" s="31" t="s">
        <v>63</v>
      </c>
      <c r="C12" s="32">
        <f>SUM(C9:C11)</f>
        <v>66.900000000000006</v>
      </c>
    </row>
    <row r="13" spans="1:5" ht="16.5" thickBot="1">
      <c r="A13" s="27"/>
      <c r="B13" s="31" t="s">
        <v>64</v>
      </c>
      <c r="C13" s="33"/>
    </row>
    <row r="14" spans="1:5" ht="16.5" thickBot="1">
      <c r="A14" s="27"/>
      <c r="B14" s="28" t="s">
        <v>65</v>
      </c>
      <c r="C14" s="32">
        <v>0</v>
      </c>
    </row>
    <row r="15" spans="1:5" ht="16.5" thickBot="1">
      <c r="A15" s="27"/>
      <c r="B15" s="37" t="s">
        <v>66</v>
      </c>
      <c r="C15" s="32">
        <f>C14+C12</f>
        <v>66.900000000000006</v>
      </c>
    </row>
    <row r="16" spans="1:5">
      <c r="C16" s="9"/>
    </row>
    <row r="17" spans="1:6" ht="16.5" thickBot="1">
      <c r="C17" s="9"/>
    </row>
    <row r="18" spans="1:6" ht="16.5" thickBot="1">
      <c r="A18" s="141" t="s">
        <v>67</v>
      </c>
      <c r="B18" s="142"/>
      <c r="C18" s="38">
        <v>10</v>
      </c>
    </row>
    <row r="19" spans="1:6" ht="16.5" thickBot="1">
      <c r="A19" s="141" t="s">
        <v>68</v>
      </c>
      <c r="B19" s="142"/>
      <c r="C19" s="39">
        <f>C15/C18</f>
        <v>6.69</v>
      </c>
    </row>
    <row r="21" spans="1:6">
      <c r="A21" s="13"/>
      <c r="B21" s="13"/>
      <c r="C21" s="13"/>
      <c r="D21" s="13"/>
      <c r="E21" s="13"/>
      <c r="F21" s="13"/>
    </row>
    <row r="22" spans="1:6">
      <c r="A22" s="143"/>
      <c r="B22" s="143"/>
      <c r="C22" s="13"/>
      <c r="D22" s="13"/>
      <c r="E22" s="13"/>
      <c r="F22" s="13"/>
    </row>
    <row r="23" spans="1:6" ht="18.75">
      <c r="A23" s="144"/>
      <c r="B23" s="144"/>
      <c r="C23" s="40"/>
      <c r="D23" s="40"/>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7"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9.9978637043366805E-2"/>
  </sheetPr>
  <dimension ref="A1:N30"/>
  <sheetViews>
    <sheetView topLeftCell="A10" zoomScaleNormal="100" workbookViewId="0">
      <selection activeCell="M18" sqref="M18"/>
    </sheetView>
  </sheetViews>
  <sheetFormatPr defaultColWidth="8.85546875" defaultRowHeight="15.75"/>
  <cols>
    <col min="1" max="1" width="15" style="1" customWidth="1"/>
    <col min="2" max="2" width="82.85546875" style="1" customWidth="1"/>
    <col min="3" max="3" width="19.85546875" style="1" customWidth="1"/>
    <col min="4" max="4" width="9.28515625" style="1" customWidth="1"/>
    <col min="5" max="5" width="8.85546875" style="1"/>
    <col min="6" max="6" width="16.7109375" style="1" customWidth="1"/>
    <col min="7" max="7" width="8.85546875" style="1"/>
    <col min="8" max="8" width="10" style="1" bestFit="1" customWidth="1"/>
    <col min="9" max="9" width="13.140625" style="1" customWidth="1"/>
    <col min="10" max="16384" width="8.85546875" style="1"/>
  </cols>
  <sheetData>
    <row r="1" spans="1:14">
      <c r="A1" s="139" t="s">
        <v>57</v>
      </c>
      <c r="B1" s="139"/>
      <c r="C1" s="139"/>
      <c r="D1" s="24"/>
      <c r="E1" s="24"/>
    </row>
    <row r="3" spans="1:14">
      <c r="A3" s="145" t="s">
        <v>69</v>
      </c>
      <c r="B3" s="145"/>
      <c r="C3" s="145"/>
    </row>
    <row r="4" spans="1:14">
      <c r="A4" s="145" t="s">
        <v>205</v>
      </c>
      <c r="B4" s="145"/>
      <c r="C4" s="145"/>
    </row>
    <row r="5" spans="1:14">
      <c r="A5" s="145" t="s">
        <v>58</v>
      </c>
      <c r="B5" s="145"/>
      <c r="C5" s="145"/>
    </row>
    <row r="6" spans="1:14" ht="16.5" thickBot="1">
      <c r="A6" s="154" t="s">
        <v>130</v>
      </c>
      <c r="B6" s="154"/>
    </row>
    <row r="7" spans="1:14" ht="79.5" thickBot="1">
      <c r="A7" s="25" t="s">
        <v>59</v>
      </c>
      <c r="B7" s="26" t="s">
        <v>60</v>
      </c>
      <c r="C7" s="26" t="s">
        <v>61</v>
      </c>
    </row>
    <row r="8" spans="1:14" ht="16.5" thickBot="1">
      <c r="A8" s="41"/>
      <c r="B8" s="42" t="s">
        <v>62</v>
      </c>
      <c r="C8" s="43"/>
      <c r="E8" s="100"/>
    </row>
    <row r="9" spans="1:14" ht="31.5">
      <c r="A9" s="55" t="s">
        <v>75</v>
      </c>
      <c r="B9" s="83" t="s">
        <v>256</v>
      </c>
      <c r="C9" s="57">
        <f>123.64*12</f>
        <v>1483.68</v>
      </c>
      <c r="E9" s="91"/>
    </row>
    <row r="10" spans="1:14" ht="31.5">
      <c r="A10" s="58" t="s">
        <v>75</v>
      </c>
      <c r="B10" s="84" t="s">
        <v>257</v>
      </c>
      <c r="C10" s="104">
        <f>86.55*12</f>
        <v>1038.5999999999999</v>
      </c>
      <c r="E10" s="91"/>
    </row>
    <row r="11" spans="1:14" ht="32.25" thickBot="1">
      <c r="A11" s="59" t="s">
        <v>75</v>
      </c>
      <c r="B11" s="85" t="s">
        <v>258</v>
      </c>
      <c r="C11" s="105">
        <f>18.18*12</f>
        <v>218.16</v>
      </c>
      <c r="E11" s="91"/>
    </row>
    <row r="12" spans="1:14" ht="36" customHeight="1" thickBot="1">
      <c r="A12" s="27" t="s">
        <v>76</v>
      </c>
      <c r="B12" s="75" t="s">
        <v>74</v>
      </c>
      <c r="C12" s="33">
        <f>(C9+C10+C11)*0.2409</f>
        <v>660.17199599999992</v>
      </c>
    </row>
    <row r="13" spans="1:14" ht="16.5" thickBot="1">
      <c r="A13" s="27"/>
      <c r="B13" s="76" t="s">
        <v>63</v>
      </c>
      <c r="C13" s="32">
        <f>SUM(C9:C12)</f>
        <v>3400.6119959999996</v>
      </c>
      <c r="E13" s="91"/>
    </row>
    <row r="14" spans="1:14" ht="16.5" thickBot="1">
      <c r="A14" s="27"/>
      <c r="B14" s="76" t="s">
        <v>64</v>
      </c>
      <c r="C14" s="33"/>
      <c r="E14" s="90"/>
    </row>
    <row r="15" spans="1:14" ht="32.25" thickBot="1">
      <c r="A15" s="27" t="s">
        <v>86</v>
      </c>
      <c r="B15" s="77" t="s">
        <v>238</v>
      </c>
      <c r="C15" s="33">
        <f>50.91*12</f>
        <v>610.91999999999996</v>
      </c>
      <c r="E15" s="118"/>
      <c r="F15" s="119"/>
      <c r="G15" s="119"/>
      <c r="H15" s="119"/>
      <c r="I15" s="119"/>
      <c r="J15" s="119"/>
      <c r="K15" s="119"/>
      <c r="L15" s="119"/>
      <c r="M15" s="119"/>
      <c r="N15" s="119"/>
    </row>
    <row r="16" spans="1:14" ht="32.25" thickBot="1">
      <c r="A16" s="27" t="s">
        <v>136</v>
      </c>
      <c r="B16" s="77" t="s">
        <v>236</v>
      </c>
      <c r="C16" s="33">
        <f>(680/11)*12</f>
        <v>741.81818181818187</v>
      </c>
      <c r="E16" s="119"/>
      <c r="F16" s="119"/>
      <c r="G16" s="119"/>
      <c r="H16" s="119"/>
      <c r="I16" s="119"/>
      <c r="J16" s="119"/>
      <c r="K16" s="119"/>
      <c r="L16" s="119"/>
      <c r="M16" s="119"/>
      <c r="N16" s="119"/>
    </row>
    <row r="17" spans="1:14" ht="32.25" thickBot="1">
      <c r="A17" s="27" t="s">
        <v>137</v>
      </c>
      <c r="B17" s="77" t="s">
        <v>187</v>
      </c>
      <c r="C17" s="33">
        <f>(30/11)*12</f>
        <v>32.727272727272727</v>
      </c>
      <c r="E17" s="119"/>
      <c r="F17" s="119"/>
      <c r="G17" s="119"/>
      <c r="H17" s="119"/>
      <c r="I17" s="119"/>
      <c r="J17" s="119"/>
      <c r="K17" s="119"/>
      <c r="L17" s="119"/>
      <c r="M17" s="119"/>
      <c r="N17" s="119"/>
    </row>
    <row r="18" spans="1:14" ht="54" customHeight="1" thickBot="1">
      <c r="A18" s="27" t="s">
        <v>138</v>
      </c>
      <c r="B18" s="73" t="s">
        <v>239</v>
      </c>
      <c r="C18" s="33">
        <f>(128/11)*12</f>
        <v>139.63636363636363</v>
      </c>
      <c r="E18" s="120"/>
      <c r="F18" s="119"/>
      <c r="G18" s="119"/>
      <c r="H18" s="119"/>
      <c r="I18" s="121"/>
      <c r="J18" s="153"/>
      <c r="K18" s="153"/>
      <c r="L18" s="119"/>
      <c r="M18" s="119"/>
      <c r="N18" s="119"/>
    </row>
    <row r="19" spans="1:14" ht="51" customHeight="1" thickBot="1">
      <c r="A19" s="27" t="s">
        <v>186</v>
      </c>
      <c r="B19" s="73" t="s">
        <v>338</v>
      </c>
      <c r="C19" s="33">
        <f>(260.16/11)*$C$25</f>
        <v>283.81090909090909</v>
      </c>
      <c r="E19" s="119"/>
      <c r="F19" s="121"/>
      <c r="G19" s="119"/>
      <c r="H19" s="119"/>
      <c r="I19" s="122"/>
      <c r="J19" s="122"/>
      <c r="K19" s="123"/>
      <c r="L19" s="119"/>
      <c r="M19" s="119"/>
      <c r="N19" s="119"/>
    </row>
    <row r="20" spans="1:14" ht="32.25" thickBot="1">
      <c r="A20" s="27" t="s">
        <v>139</v>
      </c>
      <c r="B20" s="73" t="s">
        <v>188</v>
      </c>
      <c r="C20" s="33">
        <f>0.1*68*12</f>
        <v>81.600000000000009</v>
      </c>
      <c r="E20" s="119"/>
      <c r="F20" s="121"/>
      <c r="G20" s="119"/>
      <c r="H20" s="119"/>
      <c r="I20" s="122"/>
      <c r="J20" s="122"/>
      <c r="K20" s="123"/>
      <c r="L20" s="119"/>
      <c r="M20" s="119"/>
      <c r="N20" s="119"/>
    </row>
    <row r="21" spans="1:14" ht="16.5" thickBot="1">
      <c r="A21" s="27"/>
      <c r="B21" s="28" t="s">
        <v>65</v>
      </c>
      <c r="C21" s="32">
        <f>SUM(C15:C20)</f>
        <v>1890.512727272727</v>
      </c>
      <c r="E21" s="119"/>
      <c r="F21" s="119"/>
      <c r="G21" s="119"/>
      <c r="H21" s="119"/>
      <c r="I21" s="122"/>
      <c r="J21" s="122"/>
      <c r="K21" s="123"/>
      <c r="L21" s="119"/>
      <c r="M21" s="119"/>
      <c r="N21" s="119"/>
    </row>
    <row r="22" spans="1:14" ht="16.5" thickBot="1">
      <c r="A22" s="27"/>
      <c r="B22" s="37" t="s">
        <v>66</v>
      </c>
      <c r="C22" s="32">
        <f>C21+C13</f>
        <v>5291.1247232727264</v>
      </c>
      <c r="E22" s="119"/>
      <c r="F22" s="119"/>
      <c r="G22" s="119"/>
      <c r="H22" s="119"/>
      <c r="I22" s="122"/>
      <c r="J22" s="122"/>
      <c r="K22" s="123"/>
      <c r="L22" s="119"/>
      <c r="M22" s="119"/>
      <c r="N22" s="119"/>
    </row>
    <row r="23" spans="1:14">
      <c r="C23" s="9"/>
      <c r="E23" s="119"/>
      <c r="F23" s="119"/>
      <c r="G23" s="119"/>
      <c r="H23" s="119"/>
      <c r="I23" s="119"/>
      <c r="J23" s="119"/>
      <c r="K23" s="123"/>
      <c r="L23" s="119"/>
      <c r="M23" s="119"/>
      <c r="N23" s="119"/>
    </row>
    <row r="24" spans="1:14" ht="16.5" thickBot="1">
      <c r="C24" s="9"/>
      <c r="E24" s="119"/>
      <c r="F24" s="119"/>
      <c r="G24" s="119"/>
      <c r="H24" s="119"/>
      <c r="I24" s="119"/>
      <c r="J24" s="119"/>
      <c r="K24" s="119"/>
      <c r="L24" s="119"/>
      <c r="M24" s="119"/>
      <c r="N24" s="119"/>
    </row>
    <row r="25" spans="1:14" ht="16.5" thickBot="1">
      <c r="A25" s="141" t="s">
        <v>67</v>
      </c>
      <c r="B25" s="142"/>
      <c r="C25" s="38">
        <v>12</v>
      </c>
      <c r="E25" s="119"/>
      <c r="F25" s="119"/>
      <c r="G25" s="119"/>
      <c r="H25" s="119"/>
      <c r="I25" s="119"/>
      <c r="J25" s="119"/>
      <c r="K25" s="119"/>
      <c r="L25" s="119"/>
      <c r="M25" s="119"/>
      <c r="N25" s="119"/>
    </row>
    <row r="26" spans="1:14" ht="16.5" thickBot="1">
      <c r="A26" s="141" t="s">
        <v>68</v>
      </c>
      <c r="B26" s="142"/>
      <c r="C26" s="60">
        <f>C22/C25</f>
        <v>440.9270602727272</v>
      </c>
      <c r="E26" s="124"/>
      <c r="F26" s="119"/>
      <c r="G26" s="119"/>
      <c r="H26" s="119"/>
      <c r="I26" s="119"/>
      <c r="J26" s="119"/>
      <c r="K26" s="119"/>
      <c r="L26" s="119"/>
      <c r="M26" s="119"/>
      <c r="N26" s="119"/>
    </row>
    <row r="27" spans="1:14">
      <c r="E27" s="119"/>
      <c r="F27" s="119"/>
      <c r="G27" s="119"/>
      <c r="H27" s="119"/>
      <c r="I27" s="119"/>
      <c r="J27" s="119"/>
      <c r="K27" s="119"/>
      <c r="L27" s="119"/>
      <c r="M27" s="119"/>
      <c r="N27" s="119"/>
    </row>
    <row r="28" spans="1:14">
      <c r="A28" s="13"/>
      <c r="B28" s="14"/>
      <c r="C28" s="40"/>
      <c r="D28" s="13"/>
      <c r="E28" s="13"/>
      <c r="F28" s="13"/>
    </row>
    <row r="29" spans="1:14">
      <c r="A29" s="143"/>
      <c r="B29" s="143"/>
      <c r="C29" s="51"/>
      <c r="D29" s="13"/>
      <c r="E29" s="13"/>
      <c r="F29" s="13"/>
    </row>
    <row r="30" spans="1:14" ht="18.75">
      <c r="A30" s="144"/>
      <c r="B30" s="144"/>
      <c r="C30" s="40"/>
      <c r="D30" s="40"/>
      <c r="E30" s="13"/>
      <c r="F30" s="13"/>
    </row>
  </sheetData>
  <mergeCells count="10">
    <mergeCell ref="J18:K18"/>
    <mergeCell ref="A26:B26"/>
    <mergeCell ref="A29:B29"/>
    <mergeCell ref="A30:B30"/>
    <mergeCell ref="A1:C1"/>
    <mergeCell ref="A3:C3"/>
    <mergeCell ref="A4:C4"/>
    <mergeCell ref="A5:C5"/>
    <mergeCell ref="A6:B6"/>
    <mergeCell ref="A25:B25"/>
  </mergeCells>
  <pageMargins left="0.7" right="0.7" top="0.75" bottom="0.75" header="0.3" footer="0.3"/>
  <pageSetup paperSize="9" scale="74"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9.9978637043366805E-2"/>
  </sheetPr>
  <dimension ref="A1:N30"/>
  <sheetViews>
    <sheetView topLeftCell="A8" zoomScaleNormal="100" workbookViewId="0">
      <selection activeCell="F18" sqref="F18:N26"/>
    </sheetView>
  </sheetViews>
  <sheetFormatPr defaultColWidth="8.85546875" defaultRowHeight="15.75"/>
  <cols>
    <col min="1" max="1" width="16.7109375" style="1" customWidth="1"/>
    <col min="2" max="2" width="90" style="1" customWidth="1"/>
    <col min="3" max="3" width="19.85546875" style="1" customWidth="1"/>
    <col min="4" max="4" width="8.5703125" style="1" customWidth="1"/>
    <col min="5" max="6" width="8.85546875" style="1"/>
    <col min="7" max="7" width="12.85546875" style="1" customWidth="1"/>
    <col min="8" max="8" width="8.85546875" style="1"/>
    <col min="9" max="9" width="8.42578125" style="1" customWidth="1"/>
    <col min="10" max="10" width="11.42578125" style="1" customWidth="1"/>
    <col min="11" max="16384" width="8.85546875" style="1"/>
  </cols>
  <sheetData>
    <row r="1" spans="1:5">
      <c r="A1" s="139" t="s">
        <v>57</v>
      </c>
      <c r="B1" s="139"/>
      <c r="C1" s="139"/>
      <c r="D1" s="24"/>
      <c r="E1" s="24"/>
    </row>
    <row r="3" spans="1:5">
      <c r="A3" s="145" t="s">
        <v>69</v>
      </c>
      <c r="B3" s="145"/>
      <c r="C3" s="145"/>
    </row>
    <row r="4" spans="1:5">
      <c r="A4" s="145" t="s">
        <v>206</v>
      </c>
      <c r="B4" s="145"/>
      <c r="C4" s="145"/>
    </row>
    <row r="5" spans="1:5">
      <c r="A5" s="145" t="s">
        <v>58</v>
      </c>
      <c r="B5" s="145"/>
      <c r="C5" s="145"/>
    </row>
    <row r="6" spans="1:5" ht="16.5" thickBot="1">
      <c r="A6" s="154" t="s">
        <v>140</v>
      </c>
      <c r="B6" s="154"/>
    </row>
    <row r="7" spans="1:5" ht="79.5" thickBot="1">
      <c r="A7" s="25" t="s">
        <v>59</v>
      </c>
      <c r="B7" s="26" t="s">
        <v>60</v>
      </c>
      <c r="C7" s="26" t="s">
        <v>61</v>
      </c>
    </row>
    <row r="8" spans="1:5" ht="16.5" thickBot="1">
      <c r="A8" s="41"/>
      <c r="B8" s="42" t="s">
        <v>62</v>
      </c>
      <c r="C8" s="43"/>
      <c r="E8" s="100"/>
    </row>
    <row r="9" spans="1:5" ht="31.5">
      <c r="A9" s="55" t="s">
        <v>75</v>
      </c>
      <c r="B9" s="80" t="s">
        <v>240</v>
      </c>
      <c r="C9" s="57">
        <f>6.4*120</f>
        <v>768</v>
      </c>
      <c r="E9" s="101"/>
    </row>
    <row r="10" spans="1:5" ht="31.5">
      <c r="A10" s="58" t="s">
        <v>75</v>
      </c>
      <c r="B10" s="81" t="s">
        <v>241</v>
      </c>
      <c r="C10" s="104">
        <f>(20*(8/25))*120</f>
        <v>768</v>
      </c>
      <c r="E10" s="101"/>
    </row>
    <row r="11" spans="1:5" ht="32.25" thickBot="1">
      <c r="A11" s="59" t="s">
        <v>75</v>
      </c>
      <c r="B11" s="82" t="s">
        <v>242</v>
      </c>
      <c r="C11" s="105">
        <f>6.4*120</f>
        <v>768</v>
      </c>
      <c r="E11" s="101"/>
    </row>
    <row r="12" spans="1:5" ht="32.25" thickBot="1">
      <c r="A12" s="27" t="s">
        <v>76</v>
      </c>
      <c r="B12" s="71" t="s">
        <v>74</v>
      </c>
      <c r="C12" s="33">
        <f>(C9+C10+C11)*0.2409</f>
        <v>555.03359999999998</v>
      </c>
    </row>
    <row r="13" spans="1:5" ht="16.5" thickBot="1">
      <c r="A13" s="27"/>
      <c r="B13" s="72" t="s">
        <v>63</v>
      </c>
      <c r="C13" s="32">
        <f>SUM(C9:C12)</f>
        <v>2859.0335999999998</v>
      </c>
    </row>
    <row r="14" spans="1:5" ht="16.5" thickBot="1">
      <c r="A14" s="27"/>
      <c r="B14" s="72" t="s">
        <v>64</v>
      </c>
      <c r="C14" s="33"/>
    </row>
    <row r="15" spans="1:5" ht="32.25" thickBot="1">
      <c r="A15" s="27" t="s">
        <v>86</v>
      </c>
      <c r="B15" s="73" t="s">
        <v>243</v>
      </c>
      <c r="C15" s="33">
        <f>(140/25*120)</f>
        <v>672</v>
      </c>
      <c r="E15" s="91"/>
    </row>
    <row r="16" spans="1:5" ht="37.5" customHeight="1" thickBot="1">
      <c r="A16" s="27" t="s">
        <v>136</v>
      </c>
      <c r="B16" s="73" t="s">
        <v>235</v>
      </c>
      <c r="C16" s="33">
        <f>80/25*120</f>
        <v>384</v>
      </c>
    </row>
    <row r="17" spans="1:14" ht="35.25" customHeight="1" thickBot="1">
      <c r="A17" s="27" t="s">
        <v>137</v>
      </c>
      <c r="B17" s="73" t="s">
        <v>189</v>
      </c>
      <c r="C17" s="33">
        <f>30/25*120</f>
        <v>144</v>
      </c>
    </row>
    <row r="18" spans="1:14" ht="51" customHeight="1" thickBot="1">
      <c r="A18" s="27" t="s">
        <v>138</v>
      </c>
      <c r="B18" s="73" t="s">
        <v>341</v>
      </c>
      <c r="C18" s="52">
        <f>(137/25)*$C$25</f>
        <v>657.6</v>
      </c>
      <c r="F18" s="119"/>
      <c r="G18" s="119"/>
      <c r="H18" s="119"/>
      <c r="I18" s="119"/>
      <c r="J18" s="119"/>
      <c r="K18" s="119"/>
      <c r="L18" s="119"/>
      <c r="M18" s="119"/>
      <c r="N18" s="119"/>
    </row>
    <row r="19" spans="1:14" ht="53.25" customHeight="1" thickBot="1">
      <c r="A19" s="27" t="s">
        <v>186</v>
      </c>
      <c r="B19" s="73" t="s">
        <v>337</v>
      </c>
      <c r="C19" s="33">
        <f>82.59/25*$C$25</f>
        <v>396.43200000000002</v>
      </c>
      <c r="F19" s="119"/>
      <c r="G19" s="119"/>
      <c r="H19" s="119"/>
      <c r="I19" s="119"/>
      <c r="J19" s="121"/>
      <c r="K19" s="153"/>
      <c r="L19" s="153"/>
      <c r="M19" s="119"/>
      <c r="N19" s="119"/>
    </row>
    <row r="20" spans="1:14" ht="33.75" customHeight="1" thickBot="1">
      <c r="A20" s="27" t="s">
        <v>139</v>
      </c>
      <c r="B20" s="73" t="s">
        <v>188</v>
      </c>
      <c r="C20" s="98">
        <f>0.1*8*120</f>
        <v>96</v>
      </c>
      <c r="F20" s="119"/>
      <c r="G20" s="121"/>
      <c r="H20" s="119"/>
      <c r="I20" s="119"/>
      <c r="J20" s="122"/>
      <c r="K20" s="122"/>
      <c r="L20" s="123"/>
      <c r="M20" s="119"/>
      <c r="N20" s="119"/>
    </row>
    <row r="21" spans="1:14" ht="16.5" thickBot="1">
      <c r="A21" s="27"/>
      <c r="B21" s="28" t="s">
        <v>65</v>
      </c>
      <c r="C21" s="32">
        <f>SUM(C15:C20)</f>
        <v>2350.0320000000002</v>
      </c>
      <c r="F21" s="119"/>
      <c r="G21" s="121"/>
      <c r="H21" s="119"/>
      <c r="I21" s="119"/>
      <c r="J21" s="122"/>
      <c r="K21" s="122"/>
      <c r="L21" s="123"/>
      <c r="M21" s="119"/>
      <c r="N21" s="119"/>
    </row>
    <row r="22" spans="1:14" ht="16.5" thickBot="1">
      <c r="A22" s="27"/>
      <c r="B22" s="37" t="s">
        <v>66</v>
      </c>
      <c r="C22" s="32">
        <f>C21+C13</f>
        <v>5209.0655999999999</v>
      </c>
      <c r="F22" s="119"/>
      <c r="G22" s="119"/>
      <c r="H22" s="119"/>
      <c r="I22" s="119"/>
      <c r="J22" s="122"/>
      <c r="K22" s="122"/>
      <c r="L22" s="123"/>
      <c r="M22" s="119"/>
      <c r="N22" s="119"/>
    </row>
    <row r="23" spans="1:14">
      <c r="C23" s="9"/>
      <c r="F23" s="119"/>
      <c r="G23" s="119"/>
      <c r="H23" s="119"/>
      <c r="I23" s="119"/>
      <c r="J23" s="122"/>
      <c r="K23" s="122"/>
      <c r="L23" s="123"/>
      <c r="M23" s="119"/>
      <c r="N23" s="119"/>
    </row>
    <row r="24" spans="1:14" ht="16.5" thickBot="1">
      <c r="C24" s="9"/>
      <c r="F24" s="119"/>
      <c r="G24" s="119"/>
      <c r="H24" s="119"/>
      <c r="I24" s="119"/>
      <c r="J24" s="119"/>
      <c r="K24" s="119"/>
      <c r="L24" s="123"/>
      <c r="M24" s="119"/>
      <c r="N24" s="119"/>
    </row>
    <row r="25" spans="1:14" ht="16.5" thickBot="1">
      <c r="A25" s="141" t="s">
        <v>67</v>
      </c>
      <c r="B25" s="142"/>
      <c r="C25" s="38">
        <v>120</v>
      </c>
      <c r="F25" s="119"/>
      <c r="G25" s="119"/>
      <c r="H25" s="119"/>
      <c r="I25" s="119"/>
      <c r="J25" s="119"/>
      <c r="K25" s="119"/>
      <c r="L25" s="119"/>
      <c r="M25" s="119"/>
      <c r="N25" s="119"/>
    </row>
    <row r="26" spans="1:14" ht="16.5" thickBot="1">
      <c r="A26" s="141" t="s">
        <v>68</v>
      </c>
      <c r="B26" s="142"/>
      <c r="C26" s="60">
        <f>C22/C25</f>
        <v>43.408879999999996</v>
      </c>
      <c r="E26" s="100"/>
      <c r="F26" s="119"/>
      <c r="G26" s="119"/>
      <c r="H26" s="119"/>
      <c r="I26" s="119"/>
      <c r="J26" s="119"/>
      <c r="K26" s="119"/>
      <c r="L26" s="119"/>
      <c r="M26" s="119"/>
      <c r="N26" s="119"/>
    </row>
    <row r="28" spans="1:14">
      <c r="A28" s="13"/>
      <c r="B28" s="14"/>
      <c r="C28" s="40"/>
      <c r="D28" s="13"/>
      <c r="E28" s="13"/>
      <c r="F28" s="13"/>
    </row>
    <row r="29" spans="1:14">
      <c r="A29" s="143"/>
      <c r="B29" s="143"/>
      <c r="C29" s="51"/>
      <c r="D29" s="13"/>
      <c r="E29" s="13"/>
      <c r="F29" s="13"/>
    </row>
    <row r="30" spans="1:14" ht="18.75">
      <c r="A30" s="144"/>
      <c r="B30" s="144"/>
      <c r="C30" s="40"/>
      <c r="D30" s="40"/>
      <c r="E30" s="13"/>
      <c r="F30" s="13"/>
    </row>
  </sheetData>
  <mergeCells count="10">
    <mergeCell ref="K19:L19"/>
    <mergeCell ref="A26:B26"/>
    <mergeCell ref="A29:B29"/>
    <mergeCell ref="A30:B30"/>
    <mergeCell ref="A1:C1"/>
    <mergeCell ref="A3:C3"/>
    <mergeCell ref="A4:C4"/>
    <mergeCell ref="A5:C5"/>
    <mergeCell ref="A6:B6"/>
    <mergeCell ref="A25:B25"/>
  </mergeCells>
  <pageMargins left="0.7" right="0.7" top="0.75" bottom="0.75" header="0.3" footer="0.3"/>
  <pageSetup paperSize="9" scale="6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9.9978637043366805E-2"/>
  </sheetPr>
  <dimension ref="A1:K30"/>
  <sheetViews>
    <sheetView topLeftCell="A10" zoomScaleNormal="100" workbookViewId="0">
      <selection activeCell="E20" sqref="E20"/>
    </sheetView>
  </sheetViews>
  <sheetFormatPr defaultColWidth="8.85546875" defaultRowHeight="15.75"/>
  <cols>
    <col min="1" max="1" width="14.28515625" style="1" customWidth="1"/>
    <col min="2" max="2" width="100" style="1" customWidth="1"/>
    <col min="3" max="3" width="19.85546875" style="1" customWidth="1"/>
    <col min="4" max="4" width="9" style="1" customWidth="1"/>
    <col min="5" max="5" width="8.85546875" style="1"/>
    <col min="6" max="6" width="15.140625" style="1" bestFit="1" customWidth="1"/>
    <col min="7" max="8" width="8.85546875" style="1"/>
    <col min="9" max="9" width="9.42578125" style="1" bestFit="1" customWidth="1"/>
    <col min="10" max="10" width="8.7109375" style="1" bestFit="1" customWidth="1"/>
    <col min="11" max="16384" width="8.85546875" style="1"/>
  </cols>
  <sheetData>
    <row r="1" spans="1:11">
      <c r="A1" s="139" t="s">
        <v>57</v>
      </c>
      <c r="B1" s="139"/>
      <c r="C1" s="139"/>
      <c r="D1" s="24"/>
      <c r="E1" s="24"/>
    </row>
    <row r="3" spans="1:11">
      <c r="A3" s="145" t="s">
        <v>69</v>
      </c>
      <c r="B3" s="145"/>
      <c r="C3" s="145"/>
    </row>
    <row r="4" spans="1:11">
      <c r="A4" s="145" t="s">
        <v>207</v>
      </c>
      <c r="B4" s="145"/>
      <c r="C4" s="145"/>
    </row>
    <row r="5" spans="1:11">
      <c r="A5" s="145" t="s">
        <v>58</v>
      </c>
      <c r="B5" s="145"/>
      <c r="C5" s="145"/>
    </row>
    <row r="6" spans="1:11" ht="16.5" thickBot="1">
      <c r="A6" s="154" t="s">
        <v>130</v>
      </c>
      <c r="B6" s="154"/>
    </row>
    <row r="7" spans="1:11" ht="92.25" customHeight="1" thickBot="1">
      <c r="A7" s="25" t="s">
        <v>59</v>
      </c>
      <c r="B7" s="26" t="s">
        <v>60</v>
      </c>
      <c r="C7" s="26" t="s">
        <v>61</v>
      </c>
    </row>
    <row r="8" spans="1:11" ht="16.5" thickBot="1">
      <c r="A8" s="41"/>
      <c r="B8" s="42" t="s">
        <v>62</v>
      </c>
      <c r="C8" s="102"/>
      <c r="E8" s="91"/>
    </row>
    <row r="9" spans="1:11" ht="24" customHeight="1">
      <c r="A9" s="55" t="s">
        <v>75</v>
      </c>
      <c r="B9" s="80" t="s">
        <v>244</v>
      </c>
      <c r="C9" s="57">
        <f>26.67*12</f>
        <v>320.04000000000002</v>
      </c>
      <c r="E9" s="101"/>
    </row>
    <row r="10" spans="1:11" ht="31.5">
      <c r="A10" s="58" t="s">
        <v>75</v>
      </c>
      <c r="B10" s="81" t="s">
        <v>259</v>
      </c>
      <c r="C10" s="104">
        <f>18.67*12</f>
        <v>224.04000000000002</v>
      </c>
      <c r="E10" s="101"/>
    </row>
    <row r="11" spans="1:11" ht="32.25" thickBot="1">
      <c r="A11" s="59" t="s">
        <v>75</v>
      </c>
      <c r="B11" s="82" t="s">
        <v>245</v>
      </c>
      <c r="C11" s="105">
        <f>16.67*12</f>
        <v>200.04000000000002</v>
      </c>
      <c r="E11" s="101"/>
    </row>
    <row r="12" spans="1:11" ht="32.25" thickBot="1">
      <c r="A12" s="27" t="s">
        <v>76</v>
      </c>
      <c r="B12" s="71" t="s">
        <v>74</v>
      </c>
      <c r="C12" s="33">
        <f>ROUNDUP((C9+C10+C11)*0.2409,1)</f>
        <v>179.29999999999998</v>
      </c>
    </row>
    <row r="13" spans="1:11" ht="16.5" thickBot="1">
      <c r="A13" s="27"/>
      <c r="B13" s="72" t="s">
        <v>63</v>
      </c>
      <c r="C13" s="32">
        <f>SUM(C9:C12)</f>
        <v>923.42000000000007</v>
      </c>
    </row>
    <row r="14" spans="1:11" ht="16.5" thickBot="1">
      <c r="A14" s="27"/>
      <c r="B14" s="72" t="s">
        <v>64</v>
      </c>
      <c r="C14" s="33"/>
    </row>
    <row r="15" spans="1:11" ht="34.5" customHeight="1" thickBot="1">
      <c r="A15" s="27" t="s">
        <v>86</v>
      </c>
      <c r="B15" s="73" t="s">
        <v>246</v>
      </c>
      <c r="C15" s="33">
        <f>150/12*12</f>
        <v>150</v>
      </c>
      <c r="E15" s="91"/>
      <c r="F15" s="119"/>
      <c r="G15" s="119"/>
      <c r="H15" s="119"/>
      <c r="I15" s="119"/>
      <c r="J15" s="119"/>
      <c r="K15" s="119"/>
    </row>
    <row r="16" spans="1:11" ht="21.75" customHeight="1" thickBot="1">
      <c r="A16" s="27" t="s">
        <v>136</v>
      </c>
      <c r="B16" s="73" t="s">
        <v>234</v>
      </c>
      <c r="C16" s="33">
        <f>ROUND((160/12)*12,1)</f>
        <v>160</v>
      </c>
      <c r="F16" s="119"/>
      <c r="G16" s="119"/>
      <c r="H16" s="119"/>
      <c r="I16" s="119"/>
      <c r="J16" s="119"/>
      <c r="K16" s="119"/>
    </row>
    <row r="17" spans="1:11" ht="20.25" customHeight="1" thickBot="1">
      <c r="A17" s="27" t="s">
        <v>137</v>
      </c>
      <c r="B17" s="73" t="s">
        <v>190</v>
      </c>
      <c r="C17" s="33">
        <f>(30/12)*12</f>
        <v>30</v>
      </c>
      <c r="F17" s="119"/>
      <c r="G17" s="119"/>
      <c r="H17" s="119"/>
      <c r="I17" s="119"/>
      <c r="J17" s="119"/>
      <c r="K17" s="119"/>
    </row>
    <row r="18" spans="1:11" ht="55.5" customHeight="1" thickBot="1">
      <c r="A18" s="27" t="s">
        <v>138</v>
      </c>
      <c r="B18" s="73" t="s">
        <v>260</v>
      </c>
      <c r="C18" s="33">
        <f>(122/12)*12</f>
        <v>122</v>
      </c>
      <c r="E18" s="91"/>
      <c r="F18" s="119"/>
      <c r="G18" s="119"/>
      <c r="H18" s="119"/>
      <c r="I18" s="121"/>
      <c r="J18" s="153"/>
      <c r="K18" s="153"/>
    </row>
    <row r="19" spans="1:11" ht="37.5" customHeight="1" thickBot="1">
      <c r="A19" s="27" t="s">
        <v>186</v>
      </c>
      <c r="B19" s="73" t="s">
        <v>339</v>
      </c>
      <c r="C19" s="33">
        <f>(65.81/12)*$C$25</f>
        <v>65.81</v>
      </c>
      <c r="F19" s="121"/>
      <c r="G19" s="119"/>
      <c r="H19" s="119"/>
      <c r="I19" s="122"/>
      <c r="J19" s="122"/>
      <c r="K19" s="123"/>
    </row>
    <row r="20" spans="1:11" ht="32.25" thickBot="1">
      <c r="A20" s="27" t="s">
        <v>139</v>
      </c>
      <c r="B20" s="73" t="s">
        <v>188</v>
      </c>
      <c r="C20" s="33">
        <f>0.1*16*12</f>
        <v>19.200000000000003</v>
      </c>
      <c r="F20" s="119"/>
      <c r="G20" s="119"/>
      <c r="H20" s="119"/>
      <c r="I20" s="122"/>
      <c r="J20" s="122"/>
      <c r="K20" s="123"/>
    </row>
    <row r="21" spans="1:11" ht="16.5" thickBot="1">
      <c r="A21" s="27"/>
      <c r="B21" s="28" t="s">
        <v>65</v>
      </c>
      <c r="C21" s="32">
        <f>SUM(C15:C20)</f>
        <v>547.01</v>
      </c>
      <c r="F21" s="119"/>
      <c r="G21" s="119"/>
      <c r="H21" s="119"/>
      <c r="I21" s="122"/>
      <c r="J21" s="122"/>
      <c r="K21" s="123"/>
    </row>
    <row r="22" spans="1:11" ht="16.5" thickBot="1">
      <c r="A22" s="27"/>
      <c r="B22" s="37" t="s">
        <v>66</v>
      </c>
      <c r="C22" s="32">
        <f>C21+C13</f>
        <v>1470.43</v>
      </c>
      <c r="F22" s="119"/>
      <c r="G22" s="119"/>
      <c r="H22" s="119"/>
      <c r="I22" s="119"/>
      <c r="J22" s="119"/>
      <c r="K22" s="123"/>
    </row>
    <row r="23" spans="1:11">
      <c r="C23" s="9"/>
      <c r="F23" s="119"/>
      <c r="G23" s="119"/>
      <c r="H23" s="119"/>
      <c r="I23" s="119"/>
      <c r="J23" s="119"/>
      <c r="K23" s="119"/>
    </row>
    <row r="24" spans="1:11" ht="16.5" thickBot="1">
      <c r="C24" s="9"/>
      <c r="F24" s="119"/>
      <c r="G24" s="119"/>
      <c r="H24" s="119"/>
      <c r="I24" s="119"/>
      <c r="J24" s="119"/>
      <c r="K24" s="119"/>
    </row>
    <row r="25" spans="1:11" ht="16.5" thickBot="1">
      <c r="A25" s="141" t="s">
        <v>67</v>
      </c>
      <c r="B25" s="142"/>
      <c r="C25" s="38">
        <v>12</v>
      </c>
    </row>
    <row r="26" spans="1:11" ht="16.5" thickBot="1">
      <c r="A26" s="141" t="s">
        <v>68</v>
      </c>
      <c r="B26" s="142"/>
      <c r="C26" s="39">
        <f>C22/C25</f>
        <v>122.53583333333334</v>
      </c>
      <c r="E26" s="100"/>
      <c r="F26" s="13"/>
    </row>
    <row r="27" spans="1:11">
      <c r="F27" s="13"/>
    </row>
    <row r="28" spans="1:11">
      <c r="A28" s="13"/>
      <c r="B28" s="14"/>
      <c r="C28" s="40"/>
      <c r="D28" s="13"/>
      <c r="E28" s="13"/>
      <c r="F28" s="13"/>
    </row>
    <row r="29" spans="1:11">
      <c r="A29" s="143"/>
      <c r="B29" s="143"/>
      <c r="C29" s="51"/>
      <c r="D29" s="13"/>
      <c r="E29" s="13"/>
    </row>
    <row r="30" spans="1:11" ht="18.75">
      <c r="A30" s="144"/>
      <c r="B30" s="144"/>
      <c r="C30" s="40"/>
      <c r="D30" s="40"/>
      <c r="E30" s="13"/>
    </row>
  </sheetData>
  <mergeCells count="10">
    <mergeCell ref="J18:K18"/>
    <mergeCell ref="A26:B26"/>
    <mergeCell ref="A29:B29"/>
    <mergeCell ref="A30:B30"/>
    <mergeCell ref="A1:C1"/>
    <mergeCell ref="A3:C3"/>
    <mergeCell ref="A4:C4"/>
    <mergeCell ref="A5:C5"/>
    <mergeCell ref="A6:B6"/>
    <mergeCell ref="A25:B25"/>
  </mergeCell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topLeftCell="A7" zoomScaleNormal="100" workbookViewId="0">
      <selection activeCell="D7" sqref="D1:D1048576"/>
    </sheetView>
  </sheetViews>
  <sheetFormatPr defaultColWidth="8.85546875" defaultRowHeight="15.75"/>
  <cols>
    <col min="1" max="1" width="15.7109375" style="1" customWidth="1"/>
    <col min="2" max="2" width="105.5703125" style="1" customWidth="1"/>
    <col min="3" max="3" width="19.85546875" style="1" customWidth="1"/>
    <col min="4" max="4" width="10.7109375" style="1" customWidth="1"/>
    <col min="5" max="16384" width="8.85546875" style="1"/>
  </cols>
  <sheetData>
    <row r="1" spans="1:4">
      <c r="A1" s="139" t="s">
        <v>57</v>
      </c>
      <c r="B1" s="139"/>
      <c r="C1" s="139"/>
      <c r="D1" s="24"/>
    </row>
    <row r="3" spans="1:4">
      <c r="A3" s="145" t="s">
        <v>69</v>
      </c>
      <c r="B3" s="145"/>
      <c r="C3" s="145"/>
    </row>
    <row r="4" spans="1:4" ht="33.75" customHeight="1">
      <c r="A4" s="145" t="s">
        <v>92</v>
      </c>
      <c r="B4" s="145"/>
      <c r="C4" s="145"/>
    </row>
    <row r="5" spans="1:4">
      <c r="A5" s="145" t="s">
        <v>58</v>
      </c>
      <c r="B5" s="145"/>
      <c r="C5" s="145"/>
    </row>
    <row r="6" spans="1:4" ht="16.5" thickBot="1">
      <c r="A6" s="146" t="s">
        <v>219</v>
      </c>
      <c r="B6" s="146"/>
    </row>
    <row r="7" spans="1:4" ht="92.25" customHeight="1" thickBot="1">
      <c r="A7" s="25" t="s">
        <v>59</v>
      </c>
      <c r="B7" s="26" t="s">
        <v>60</v>
      </c>
      <c r="C7" s="26" t="s">
        <v>61</v>
      </c>
    </row>
    <row r="8" spans="1:4" ht="16.5" thickBot="1">
      <c r="A8" s="41"/>
      <c r="B8" s="42" t="s">
        <v>62</v>
      </c>
      <c r="C8" s="43"/>
      <c r="D8" s="20"/>
    </row>
    <row r="9" spans="1:4">
      <c r="A9" s="147" t="s">
        <v>75</v>
      </c>
      <c r="B9" s="45" t="s">
        <v>72</v>
      </c>
      <c r="C9" s="49">
        <f>8.02*460</f>
        <v>3689.2</v>
      </c>
      <c r="D9" s="99"/>
    </row>
    <row r="10" spans="1:4">
      <c r="A10" s="148"/>
      <c r="B10" s="46" t="s">
        <v>72</v>
      </c>
      <c r="C10" s="108">
        <f>8.02*460</f>
        <v>3689.2</v>
      </c>
      <c r="D10" s="99"/>
    </row>
    <row r="11" spans="1:4" ht="16.5" thickBot="1">
      <c r="A11" s="149"/>
      <c r="B11" s="47" t="s">
        <v>73</v>
      </c>
      <c r="C11" s="109">
        <f>5.4*460</f>
        <v>2484</v>
      </c>
      <c r="D11" s="99"/>
    </row>
    <row r="12" spans="1:4" ht="22.5" customHeight="1" thickBot="1">
      <c r="A12" s="27" t="s">
        <v>76</v>
      </c>
      <c r="B12" s="71" t="s">
        <v>74</v>
      </c>
      <c r="C12" s="33">
        <f>(C9+C10+C11)*0.2409</f>
        <v>2375.8521599999999</v>
      </c>
    </row>
    <row r="13" spans="1:4" ht="32.25" thickBot="1">
      <c r="A13" s="27" t="s">
        <v>77</v>
      </c>
      <c r="B13" s="71" t="s">
        <v>167</v>
      </c>
      <c r="C13" s="33">
        <f>ROUNDUP((367899/438912)*460,0)</f>
        <v>386</v>
      </c>
    </row>
    <row r="14" spans="1:4" ht="32.25" thickBot="1">
      <c r="A14" s="27" t="s">
        <v>80</v>
      </c>
      <c r="B14" s="71" t="s">
        <v>169</v>
      </c>
      <c r="C14" s="33">
        <f>(452717/438912)*460</f>
        <v>474.46827610090412</v>
      </c>
    </row>
    <row r="15" spans="1:4" ht="32.25" thickBot="1">
      <c r="A15" s="27" t="s">
        <v>82</v>
      </c>
      <c r="B15" s="71" t="s">
        <v>171</v>
      </c>
      <c r="C15" s="33">
        <f>ROUNDUP((624380/438912)*460,2)</f>
        <v>654.38</v>
      </c>
    </row>
    <row r="16" spans="1:4" ht="32.25" thickBot="1">
      <c r="A16" s="27" t="s">
        <v>170</v>
      </c>
      <c r="B16" s="71" t="s">
        <v>172</v>
      </c>
      <c r="C16" s="33">
        <f>(500471/438912)*460</f>
        <v>524.51666848935554</v>
      </c>
    </row>
    <row r="17" spans="1:6" ht="38.25" customHeight="1" thickBot="1">
      <c r="A17" s="27" t="s">
        <v>81</v>
      </c>
      <c r="B17" s="71" t="s">
        <v>182</v>
      </c>
      <c r="C17" s="52">
        <f>ROUNDUP((15/100*72*1.06)*460,1)</f>
        <v>5266.1</v>
      </c>
      <c r="D17" s="9"/>
    </row>
    <row r="18" spans="1:6" ht="16.5" thickBot="1">
      <c r="A18" s="27"/>
      <c r="B18" s="72" t="s">
        <v>63</v>
      </c>
      <c r="C18" s="32">
        <f>SUM(C9:C17)</f>
        <v>19543.717104590258</v>
      </c>
    </row>
    <row r="19" spans="1:6" ht="16.5" thickBot="1">
      <c r="A19" s="27"/>
      <c r="B19" s="72" t="s">
        <v>64</v>
      </c>
      <c r="C19" s="33"/>
    </row>
    <row r="20" spans="1:6" ht="40.5" customHeight="1" thickBot="1">
      <c r="A20" s="27" t="s">
        <v>84</v>
      </c>
      <c r="B20" s="34" t="s">
        <v>151</v>
      </c>
      <c r="C20" s="33">
        <f>(C9+C10+C11)*0.15</f>
        <v>1479.36</v>
      </c>
    </row>
    <row r="21" spans="1:6" ht="36.75" customHeight="1" thickBot="1">
      <c r="A21" s="27" t="s">
        <v>76</v>
      </c>
      <c r="B21" s="71" t="s">
        <v>74</v>
      </c>
      <c r="C21" s="33">
        <f>C20*0.2409</f>
        <v>356.37782399999998</v>
      </c>
    </row>
    <row r="22" spans="1:6" ht="37.5" customHeight="1" thickBot="1">
      <c r="A22" s="27" t="s">
        <v>88</v>
      </c>
      <c r="B22" s="73" t="s">
        <v>162</v>
      </c>
      <c r="C22" s="33">
        <f>(39708/438912)*460</f>
        <v>41.615813648293958</v>
      </c>
    </row>
    <row r="23" spans="1:6" ht="34.5" customHeight="1" thickBot="1">
      <c r="A23" s="27" t="s">
        <v>85</v>
      </c>
      <c r="B23" s="71" t="s">
        <v>164</v>
      </c>
      <c r="C23" s="33">
        <f>(813902/438912)*460</f>
        <v>853.00679862933794</v>
      </c>
    </row>
    <row r="24" spans="1:6" ht="37.5" customHeight="1" thickBot="1">
      <c r="A24" s="27" t="s">
        <v>86</v>
      </c>
      <c r="B24" s="73" t="s">
        <v>161</v>
      </c>
      <c r="C24" s="33">
        <f>(234731/438912)*460</f>
        <v>246.00890383493731</v>
      </c>
    </row>
    <row r="25" spans="1:6" ht="38.25" customHeight="1" thickBot="1">
      <c r="A25" s="27" t="s">
        <v>82</v>
      </c>
      <c r="B25" s="74" t="s">
        <v>163</v>
      </c>
      <c r="C25" s="33">
        <f>(561364/438912)*460</f>
        <v>588.33533829104692</v>
      </c>
    </row>
    <row r="26" spans="1:6" ht="36.75" customHeight="1" thickBot="1">
      <c r="A26" s="27" t="s">
        <v>78</v>
      </c>
      <c r="B26" s="71" t="s">
        <v>166</v>
      </c>
      <c r="C26" s="33">
        <f>(627676/438912)*460</f>
        <v>657.83336978710997</v>
      </c>
    </row>
    <row r="27" spans="1:6" ht="35.25" customHeight="1" thickBot="1">
      <c r="A27" s="27" t="s">
        <v>136</v>
      </c>
      <c r="B27" s="71" t="s">
        <v>228</v>
      </c>
      <c r="C27" s="33">
        <f>ROUNDUP((286606/438912)*460,2)</f>
        <v>300.38</v>
      </c>
    </row>
    <row r="28" spans="1:6" ht="32.25" thickBot="1">
      <c r="A28" s="27" t="s">
        <v>134</v>
      </c>
      <c r="B28" s="71" t="s">
        <v>213</v>
      </c>
      <c r="C28" s="33">
        <f>ROUNDUP((157571/438912)*460,2)</f>
        <v>165.14999999999998</v>
      </c>
    </row>
    <row r="29" spans="1:6" ht="32.25" thickBot="1">
      <c r="A29" s="27" t="s">
        <v>87</v>
      </c>
      <c r="B29" s="71" t="s">
        <v>156</v>
      </c>
      <c r="C29" s="33">
        <f>ROUND((46423/438912)*460,2)</f>
        <v>48.65</v>
      </c>
    </row>
    <row r="30" spans="1:6" ht="32.25" thickBot="1">
      <c r="A30" s="27" t="s">
        <v>83</v>
      </c>
      <c r="B30" s="71" t="s">
        <v>165</v>
      </c>
      <c r="C30" s="33">
        <f>ROUNDUP((21000/438912)*460,1)</f>
        <v>22.1</v>
      </c>
    </row>
    <row r="31" spans="1:6" ht="32.25" thickBot="1">
      <c r="A31" s="27" t="s">
        <v>175</v>
      </c>
      <c r="B31" s="71" t="s">
        <v>176</v>
      </c>
      <c r="C31" s="33">
        <f>3.55*460</f>
        <v>1633</v>
      </c>
      <c r="F31" s="9"/>
    </row>
    <row r="32" spans="1:6" ht="16.5" thickBot="1">
      <c r="A32" s="27"/>
      <c r="B32" s="28" t="s">
        <v>65</v>
      </c>
      <c r="C32" s="32">
        <f>SUM(C20:C31)</f>
        <v>6391.8180481907257</v>
      </c>
    </row>
    <row r="33" spans="1:5" ht="16.5" thickBot="1">
      <c r="A33" s="27"/>
      <c r="B33" s="37" t="s">
        <v>66</v>
      </c>
      <c r="C33" s="32">
        <f>C32+C18</f>
        <v>25935.535152780983</v>
      </c>
    </row>
    <row r="34" spans="1:5">
      <c r="C34" s="9"/>
    </row>
    <row r="35" spans="1:5" ht="16.5" thickBot="1">
      <c r="C35" s="9"/>
    </row>
    <row r="36" spans="1:5" ht="16.5" thickBot="1">
      <c r="A36" s="141" t="s">
        <v>67</v>
      </c>
      <c r="B36" s="142"/>
      <c r="C36" s="38">
        <v>460</v>
      </c>
    </row>
    <row r="37" spans="1:5" ht="16.5" thickBot="1">
      <c r="A37" s="141" t="s">
        <v>68</v>
      </c>
      <c r="B37" s="142"/>
      <c r="C37" s="39">
        <f>C33/C36</f>
        <v>56.381598158219532</v>
      </c>
    </row>
    <row r="39" spans="1:5">
      <c r="A39" s="13"/>
      <c r="B39" s="13"/>
      <c r="C39" s="13"/>
      <c r="D39" s="13"/>
      <c r="E39" s="13"/>
    </row>
    <row r="40" spans="1:5">
      <c r="A40" s="143"/>
      <c r="B40" s="143"/>
      <c r="C40" s="13"/>
      <c r="D40" s="13"/>
      <c r="E40" s="13"/>
    </row>
    <row r="41" spans="1:5" ht="18.75" hidden="1">
      <c r="A41" s="144"/>
      <c r="B41" s="144"/>
      <c r="C41" s="40"/>
      <c r="D41" s="13"/>
      <c r="E41" s="13"/>
    </row>
  </sheetData>
  <mergeCells count="10">
    <mergeCell ref="A36:B36"/>
    <mergeCell ref="A37:B37"/>
    <mergeCell ref="A40:B40"/>
    <mergeCell ref="A41:B41"/>
    <mergeCell ref="A1:C1"/>
    <mergeCell ref="A3:C3"/>
    <mergeCell ref="A4:C4"/>
    <mergeCell ref="A5:C5"/>
    <mergeCell ref="A6:B6"/>
    <mergeCell ref="A9:A11"/>
  </mergeCells>
  <pageMargins left="0.7" right="0.7" top="0.75" bottom="0.75" header="0.3" footer="0.3"/>
  <pageSetup paperSize="9" scale="62"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24"/>
  <sheetViews>
    <sheetView zoomScaleNormal="100" workbookViewId="0">
      <selection activeCell="B14" sqref="B14"/>
    </sheetView>
  </sheetViews>
  <sheetFormatPr defaultColWidth="8.85546875" defaultRowHeight="15.75"/>
  <cols>
    <col min="1" max="1" width="14.5703125" style="1" customWidth="1"/>
    <col min="2" max="2" width="90.42578125" style="1" customWidth="1"/>
    <col min="3" max="3" width="19.85546875" style="1" customWidth="1"/>
    <col min="4" max="4" width="11.85546875" style="1" customWidth="1"/>
    <col min="5" max="16384" width="8.85546875" style="1"/>
  </cols>
  <sheetData>
    <row r="1" spans="1:5">
      <c r="A1" s="139" t="s">
        <v>57</v>
      </c>
      <c r="B1" s="139"/>
      <c r="C1" s="139"/>
      <c r="D1" s="24"/>
      <c r="E1" s="24"/>
    </row>
    <row r="3" spans="1:5">
      <c r="A3" s="145" t="s">
        <v>69</v>
      </c>
      <c r="B3" s="145"/>
      <c r="C3" s="145"/>
    </row>
    <row r="4" spans="1:5">
      <c r="A4" s="145" t="s">
        <v>141</v>
      </c>
      <c r="B4" s="145"/>
      <c r="C4" s="145"/>
    </row>
    <row r="5" spans="1:5">
      <c r="A5" s="145" t="s">
        <v>58</v>
      </c>
      <c r="B5" s="145"/>
      <c r="C5" s="145"/>
    </row>
    <row r="6" spans="1:5" ht="16.5" thickBot="1">
      <c r="A6" s="146" t="s">
        <v>142</v>
      </c>
      <c r="B6" s="146"/>
    </row>
    <row r="7" spans="1:5" ht="79.5" thickBot="1">
      <c r="A7" s="25" t="s">
        <v>59</v>
      </c>
      <c r="B7" s="26" t="s">
        <v>60</v>
      </c>
      <c r="C7" s="26" t="s">
        <v>61</v>
      </c>
    </row>
    <row r="8" spans="1:5" ht="16.5" thickBot="1">
      <c r="A8" s="41"/>
      <c r="B8" s="42" t="s">
        <v>62</v>
      </c>
      <c r="C8" s="43"/>
      <c r="D8" s="100"/>
    </row>
    <row r="9" spans="1:5" ht="31.5">
      <c r="A9" s="55" t="s">
        <v>75</v>
      </c>
      <c r="B9" s="80" t="s">
        <v>247</v>
      </c>
      <c r="C9" s="57">
        <f>800*1</f>
        <v>800</v>
      </c>
      <c r="D9" s="101"/>
    </row>
    <row r="10" spans="1:5" ht="32.25" thickBot="1">
      <c r="A10" s="27" t="s">
        <v>76</v>
      </c>
      <c r="B10" s="71" t="s">
        <v>74</v>
      </c>
      <c r="C10" s="52">
        <f>C9*0.2409</f>
        <v>192.72</v>
      </c>
      <c r="D10" s="9"/>
    </row>
    <row r="11" spans="1:5" ht="16.5" thickBot="1">
      <c r="A11" s="27"/>
      <c r="B11" s="31" t="s">
        <v>63</v>
      </c>
      <c r="C11" s="32">
        <f>SUM(C9:C10)</f>
        <v>992.72</v>
      </c>
    </row>
    <row r="12" spans="1:5" ht="16.5" thickBot="1">
      <c r="A12" s="27"/>
      <c r="B12" s="31" t="s">
        <v>64</v>
      </c>
      <c r="C12" s="33"/>
    </row>
    <row r="13" spans="1:5" ht="16.5" thickBot="1">
      <c r="A13" s="61" t="s">
        <v>136</v>
      </c>
      <c r="B13" s="29" t="s">
        <v>233</v>
      </c>
      <c r="C13" s="33">
        <f>40*1</f>
        <v>40</v>
      </c>
    </row>
    <row r="14" spans="1:5" ht="35.25" customHeight="1" thickBot="1">
      <c r="A14" s="27" t="s">
        <v>139</v>
      </c>
      <c r="B14" s="73" t="s">
        <v>191</v>
      </c>
      <c r="C14" s="33">
        <f>0.1*4</f>
        <v>0.4</v>
      </c>
    </row>
    <row r="15" spans="1:5" ht="16.5" thickBot="1">
      <c r="A15" s="27"/>
      <c r="B15" s="28" t="s">
        <v>65</v>
      </c>
      <c r="C15" s="32">
        <f>SUM(C13:C14)</f>
        <v>40.4</v>
      </c>
    </row>
    <row r="16" spans="1:5" ht="16.5" thickBot="1">
      <c r="A16" s="27"/>
      <c r="B16" s="37" t="s">
        <v>66</v>
      </c>
      <c r="C16" s="32">
        <f>C15+C11</f>
        <v>1033.1200000000001</v>
      </c>
    </row>
    <row r="17" spans="1:6">
      <c r="C17" s="9"/>
    </row>
    <row r="18" spans="1:6" ht="16.5" thickBot="1">
      <c r="C18" s="9"/>
    </row>
    <row r="19" spans="1:6" ht="16.5" thickBot="1">
      <c r="A19" s="141" t="s">
        <v>67</v>
      </c>
      <c r="B19" s="142"/>
      <c r="C19" s="38">
        <v>1</v>
      </c>
    </row>
    <row r="20" spans="1:6" ht="16.5" thickBot="1">
      <c r="A20" s="141" t="s">
        <v>68</v>
      </c>
      <c r="B20" s="142"/>
      <c r="C20" s="39">
        <f>C16/C19</f>
        <v>1033.1200000000001</v>
      </c>
      <c r="D20" s="20"/>
    </row>
    <row r="22" spans="1:6">
      <c r="A22" s="13"/>
      <c r="B22" s="14"/>
      <c r="C22" s="40"/>
      <c r="D22" s="13"/>
      <c r="E22" s="13"/>
      <c r="F22" s="13"/>
    </row>
    <row r="23" spans="1:6">
      <c r="A23" s="143"/>
      <c r="B23" s="143"/>
      <c r="C23" s="51"/>
      <c r="D23" s="13"/>
      <c r="E23" s="13"/>
      <c r="F23" s="13"/>
    </row>
    <row r="24" spans="1:6" ht="18.75">
      <c r="A24" s="144"/>
      <c r="B24" s="144"/>
      <c r="C24" s="40"/>
      <c r="D24" s="40"/>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24"/>
  <sheetViews>
    <sheetView topLeftCell="A7" zoomScaleNormal="100" workbookViewId="0">
      <selection activeCell="D8" sqref="D8:D9"/>
    </sheetView>
  </sheetViews>
  <sheetFormatPr defaultColWidth="8.85546875" defaultRowHeight="15.75"/>
  <cols>
    <col min="1" max="1" width="14.5703125" style="1" customWidth="1"/>
    <col min="2" max="2" width="87.85546875" style="1" customWidth="1"/>
    <col min="3" max="3" width="19.85546875" style="1" customWidth="1"/>
    <col min="4" max="4" width="12.5703125" style="1" customWidth="1"/>
    <col min="5" max="16384" width="8.85546875" style="1"/>
  </cols>
  <sheetData>
    <row r="1" spans="1:5">
      <c r="A1" s="139" t="s">
        <v>57</v>
      </c>
      <c r="B1" s="139"/>
      <c r="C1" s="139"/>
      <c r="D1" s="24"/>
      <c r="E1" s="24"/>
    </row>
    <row r="3" spans="1:5">
      <c r="A3" s="145" t="s">
        <v>69</v>
      </c>
      <c r="B3" s="145"/>
      <c r="C3" s="145"/>
    </row>
    <row r="4" spans="1:5" ht="34.5" customHeight="1">
      <c r="A4" s="145" t="s">
        <v>143</v>
      </c>
      <c r="B4" s="145"/>
      <c r="C4" s="145"/>
    </row>
    <row r="5" spans="1:5">
      <c r="A5" s="145" t="s">
        <v>58</v>
      </c>
      <c r="B5" s="145"/>
      <c r="C5" s="145"/>
    </row>
    <row r="6" spans="1:5" ht="16.5" thickBot="1">
      <c r="A6" s="146" t="s">
        <v>142</v>
      </c>
      <c r="B6" s="146"/>
    </row>
    <row r="7" spans="1:5" ht="92.25" customHeight="1" thickBot="1">
      <c r="A7" s="25" t="s">
        <v>59</v>
      </c>
      <c r="B7" s="26" t="s">
        <v>60</v>
      </c>
      <c r="C7" s="26" t="s">
        <v>61</v>
      </c>
    </row>
    <row r="8" spans="1:5" ht="16.5" thickBot="1">
      <c r="A8" s="41"/>
      <c r="B8" s="42" t="s">
        <v>62</v>
      </c>
      <c r="C8" s="43"/>
      <c r="D8" s="91"/>
    </row>
    <row r="9" spans="1:5" ht="22.5" customHeight="1">
      <c r="A9" s="55" t="s">
        <v>75</v>
      </c>
      <c r="B9" s="80" t="s">
        <v>248</v>
      </c>
      <c r="C9" s="57">
        <f>400*1</f>
        <v>400</v>
      </c>
      <c r="D9" s="101"/>
    </row>
    <row r="10" spans="1:5" ht="32.25" thickBot="1">
      <c r="A10" s="27" t="s">
        <v>76</v>
      </c>
      <c r="B10" s="71" t="s">
        <v>74</v>
      </c>
      <c r="C10" s="52">
        <f>C9*0.2409</f>
        <v>96.36</v>
      </c>
      <c r="D10" s="9"/>
    </row>
    <row r="11" spans="1:5" ht="16.5" thickBot="1">
      <c r="A11" s="27"/>
      <c r="B11" s="31" t="s">
        <v>63</v>
      </c>
      <c r="C11" s="32">
        <f>SUM(C9:C10)</f>
        <v>496.36</v>
      </c>
    </row>
    <row r="12" spans="1:5" ht="16.5" thickBot="1">
      <c r="A12" s="27"/>
      <c r="B12" s="31" t="s">
        <v>64</v>
      </c>
      <c r="C12" s="33"/>
    </row>
    <row r="13" spans="1:5" ht="16.5" thickBot="1">
      <c r="A13" s="61" t="s">
        <v>136</v>
      </c>
      <c r="B13" s="73" t="s">
        <v>232</v>
      </c>
      <c r="C13" s="33">
        <f>20*1</f>
        <v>20</v>
      </c>
    </row>
    <row r="14" spans="1:5" ht="32.25" thickBot="1">
      <c r="A14" s="27" t="s">
        <v>139</v>
      </c>
      <c r="B14" s="73" t="s">
        <v>191</v>
      </c>
      <c r="C14" s="33">
        <f>0.1*2</f>
        <v>0.2</v>
      </c>
    </row>
    <row r="15" spans="1:5" ht="16.5" thickBot="1">
      <c r="A15" s="27"/>
      <c r="B15" s="28" t="s">
        <v>65</v>
      </c>
      <c r="C15" s="32">
        <f>SUM(C13:C14)</f>
        <v>20.2</v>
      </c>
    </row>
    <row r="16" spans="1:5" ht="16.5" thickBot="1">
      <c r="A16" s="27"/>
      <c r="B16" s="37" t="s">
        <v>66</v>
      </c>
      <c r="C16" s="32">
        <f>C15+C11</f>
        <v>516.56000000000006</v>
      </c>
    </row>
    <row r="17" spans="1:6">
      <c r="C17" s="9"/>
    </row>
    <row r="18" spans="1:6" ht="16.5" thickBot="1">
      <c r="C18" s="9"/>
    </row>
    <row r="19" spans="1:6" ht="16.5" thickBot="1">
      <c r="A19" s="141" t="s">
        <v>67</v>
      </c>
      <c r="B19" s="142"/>
      <c r="C19" s="38">
        <v>1</v>
      </c>
    </row>
    <row r="20" spans="1:6" ht="16.5" thickBot="1">
      <c r="A20" s="141" t="s">
        <v>68</v>
      </c>
      <c r="B20" s="142"/>
      <c r="C20" s="39">
        <f>C16/C19</f>
        <v>516.56000000000006</v>
      </c>
      <c r="D20" s="100"/>
    </row>
    <row r="22" spans="1:6">
      <c r="A22" s="13"/>
      <c r="B22" s="14"/>
      <c r="C22" s="40"/>
      <c r="D22" s="13"/>
      <c r="E22" s="13"/>
      <c r="F22" s="13"/>
    </row>
    <row r="23" spans="1:6">
      <c r="A23" s="143"/>
      <c r="B23" s="143"/>
      <c r="C23" s="51"/>
      <c r="D23" s="13"/>
      <c r="E23" s="13"/>
      <c r="F23" s="13"/>
    </row>
    <row r="24" spans="1:6" ht="18.75">
      <c r="A24" s="144"/>
      <c r="B24" s="144"/>
      <c r="C24" s="40"/>
      <c r="D24" s="40"/>
      <c r="E24" s="13"/>
      <c r="F24" s="13"/>
    </row>
  </sheetData>
  <mergeCells count="9">
    <mergeCell ref="A20:B20"/>
    <mergeCell ref="A23:B23"/>
    <mergeCell ref="A24:B24"/>
    <mergeCell ref="A1:C1"/>
    <mergeCell ref="A3:C3"/>
    <mergeCell ref="A4:C4"/>
    <mergeCell ref="A5:C5"/>
    <mergeCell ref="A6:B6"/>
    <mergeCell ref="A19:B19"/>
  </mergeCells>
  <pageMargins left="0.7" right="0.7" top="0.75" bottom="0.75" header="0.3" footer="0.3"/>
  <pageSetup paperSize="9" scale="72"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29"/>
  <sheetViews>
    <sheetView topLeftCell="A7" zoomScaleNormal="100" workbookViewId="0">
      <selection activeCell="D7" sqref="D7:D23"/>
    </sheetView>
  </sheetViews>
  <sheetFormatPr defaultColWidth="8.85546875" defaultRowHeight="15.75"/>
  <cols>
    <col min="1" max="1" width="16.28515625" style="1" customWidth="1"/>
    <col min="2" max="2" width="92.140625" style="1" customWidth="1"/>
    <col min="3" max="3" width="19.85546875" style="1" customWidth="1"/>
    <col min="4" max="4" width="11.5703125" style="1" customWidth="1"/>
    <col min="5" max="16384" width="8.85546875" style="1"/>
  </cols>
  <sheetData>
    <row r="1" spans="1:5">
      <c r="A1" s="139" t="s">
        <v>57</v>
      </c>
      <c r="B1" s="139"/>
      <c r="C1" s="139"/>
      <c r="D1" s="24"/>
      <c r="E1" s="24"/>
    </row>
    <row r="3" spans="1:5">
      <c r="A3" s="145" t="s">
        <v>69</v>
      </c>
      <c r="B3" s="145"/>
      <c r="C3" s="145"/>
    </row>
    <row r="4" spans="1:5">
      <c r="A4" s="145" t="s">
        <v>144</v>
      </c>
      <c r="B4" s="145"/>
      <c r="C4" s="145"/>
    </row>
    <row r="5" spans="1:5">
      <c r="A5" s="145" t="s">
        <v>58</v>
      </c>
      <c r="B5" s="145"/>
      <c r="C5" s="145"/>
    </row>
    <row r="6" spans="1:5" ht="16.5" thickBot="1">
      <c r="A6" s="146" t="s">
        <v>145</v>
      </c>
      <c r="B6" s="146"/>
    </row>
    <row r="7" spans="1:5" ht="88.5" customHeight="1" thickBot="1">
      <c r="A7" s="25" t="s">
        <v>59</v>
      </c>
      <c r="B7" s="26" t="s">
        <v>60</v>
      </c>
      <c r="C7" s="26" t="s">
        <v>61</v>
      </c>
    </row>
    <row r="8" spans="1:5" ht="16.5" thickBot="1">
      <c r="A8" s="41"/>
      <c r="B8" s="42" t="s">
        <v>62</v>
      </c>
      <c r="C8" s="43"/>
    </row>
    <row r="9" spans="1:5" ht="33" customHeight="1">
      <c r="A9" s="55" t="s">
        <v>75</v>
      </c>
      <c r="B9" s="80" t="s">
        <v>249</v>
      </c>
      <c r="C9" s="57">
        <f>123.08*11</f>
        <v>1353.8799999999999</v>
      </c>
    </row>
    <row r="10" spans="1:5" ht="39" customHeight="1">
      <c r="A10" s="62" t="s">
        <v>75</v>
      </c>
      <c r="B10" s="86" t="s">
        <v>261</v>
      </c>
      <c r="C10" s="104">
        <f>6.15*11</f>
        <v>67.650000000000006</v>
      </c>
    </row>
    <row r="11" spans="1:5" ht="36" customHeight="1" thickBot="1">
      <c r="A11" s="27" t="s">
        <v>76</v>
      </c>
      <c r="B11" s="87" t="s">
        <v>74</v>
      </c>
      <c r="C11" s="103">
        <f>ROUNDUP((C9+C10)*0.2409,2)</f>
        <v>342.45</v>
      </c>
    </row>
    <row r="12" spans="1:5" ht="16.5" thickBot="1">
      <c r="A12" s="27"/>
      <c r="B12" s="88" t="s">
        <v>63</v>
      </c>
      <c r="C12" s="64">
        <f>SUM(C9:C11)</f>
        <v>1763.98</v>
      </c>
    </row>
    <row r="13" spans="1:5" ht="16.5" thickBot="1">
      <c r="A13" s="27"/>
      <c r="B13" s="88" t="s">
        <v>64</v>
      </c>
      <c r="C13" s="63"/>
    </row>
    <row r="14" spans="1:5" ht="32.25" thickBot="1">
      <c r="A14" s="27" t="s">
        <v>86</v>
      </c>
      <c r="B14" s="65" t="s">
        <v>250</v>
      </c>
      <c r="C14" s="63">
        <f>8.85*11</f>
        <v>97.35</v>
      </c>
    </row>
    <row r="15" spans="1:5" ht="37.5" customHeight="1" thickBot="1">
      <c r="A15" s="27" t="s">
        <v>136</v>
      </c>
      <c r="B15" s="89" t="s">
        <v>231</v>
      </c>
      <c r="C15" s="63">
        <f>6.15*11</f>
        <v>67.650000000000006</v>
      </c>
    </row>
    <row r="16" spans="1:5" ht="20.25" customHeight="1" thickBot="1">
      <c r="A16" s="27" t="s">
        <v>137</v>
      </c>
      <c r="B16" s="65" t="s">
        <v>192</v>
      </c>
      <c r="C16" s="63">
        <f>30/13*11</f>
        <v>25.384615384615383</v>
      </c>
    </row>
    <row r="17" spans="1:6" ht="53.25" customHeight="1" thickBot="1">
      <c r="A17" s="27" t="s">
        <v>138</v>
      </c>
      <c r="B17" s="65" t="s">
        <v>255</v>
      </c>
      <c r="C17" s="63">
        <f>112/13*11</f>
        <v>94.769230769230759</v>
      </c>
    </row>
    <row r="18" spans="1:6" ht="53.25" customHeight="1" thickBot="1">
      <c r="A18" s="27" t="s">
        <v>186</v>
      </c>
      <c r="B18" s="65" t="s">
        <v>251</v>
      </c>
      <c r="C18" s="66">
        <f>106/13*11</f>
        <v>89.692307692307679</v>
      </c>
    </row>
    <row r="19" spans="1:6" ht="38.25" customHeight="1" thickBot="1">
      <c r="A19" s="27" t="s">
        <v>139</v>
      </c>
      <c r="B19" s="29" t="s">
        <v>188</v>
      </c>
      <c r="C19" s="33">
        <f>0.1*8*11</f>
        <v>8.8000000000000007</v>
      </c>
    </row>
    <row r="20" spans="1:6" ht="16.5" thickBot="1">
      <c r="A20" s="27"/>
      <c r="B20" s="28" t="s">
        <v>65</v>
      </c>
      <c r="C20" s="32">
        <f>SUM(C14:C19)</f>
        <v>383.64615384615382</v>
      </c>
    </row>
    <row r="21" spans="1:6" ht="16.5" thickBot="1">
      <c r="A21" s="27"/>
      <c r="B21" s="37" t="s">
        <v>66</v>
      </c>
      <c r="C21" s="32">
        <f>C20+C12</f>
        <v>2147.626153846154</v>
      </c>
    </row>
    <row r="22" spans="1:6">
      <c r="C22" s="9"/>
    </row>
    <row r="23" spans="1:6" ht="16.5" thickBot="1">
      <c r="C23" s="9"/>
    </row>
    <row r="24" spans="1:6" ht="16.5" thickBot="1">
      <c r="A24" s="141" t="s">
        <v>67</v>
      </c>
      <c r="B24" s="142"/>
      <c r="C24" s="38">
        <v>11</v>
      </c>
    </row>
    <row r="25" spans="1:6" ht="16.5" thickBot="1">
      <c r="A25" s="141" t="s">
        <v>68</v>
      </c>
      <c r="B25" s="142"/>
      <c r="C25" s="39">
        <f>C21/C24</f>
        <v>195.23874125874127</v>
      </c>
      <c r="D25" s="100"/>
    </row>
    <row r="27" spans="1:6">
      <c r="A27" s="13"/>
      <c r="B27" s="14"/>
      <c r="C27" s="40"/>
      <c r="D27" s="13"/>
      <c r="E27" s="13"/>
      <c r="F27" s="13"/>
    </row>
    <row r="28" spans="1:6">
      <c r="A28" s="143"/>
      <c r="B28" s="143"/>
      <c r="C28" s="51"/>
      <c r="D28" s="13"/>
      <c r="E28" s="13"/>
      <c r="F28" s="13"/>
    </row>
    <row r="29" spans="1:6" ht="18.75">
      <c r="A29" s="144"/>
      <c r="B29" s="144"/>
      <c r="C29" s="40"/>
      <c r="D29" s="40"/>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6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29"/>
  <sheetViews>
    <sheetView topLeftCell="A5" zoomScaleNormal="100" workbookViewId="0">
      <selection activeCell="D8" sqref="D8:D22"/>
    </sheetView>
  </sheetViews>
  <sheetFormatPr defaultColWidth="8.85546875" defaultRowHeight="15.75"/>
  <cols>
    <col min="1" max="1" width="14.140625" style="1" customWidth="1"/>
    <col min="2" max="2" width="95.570312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c r="A4" s="145" t="s">
        <v>146</v>
      </c>
      <c r="B4" s="145"/>
      <c r="C4" s="145"/>
    </row>
    <row r="5" spans="1:5">
      <c r="A5" s="145" t="s">
        <v>58</v>
      </c>
      <c r="B5" s="145"/>
      <c r="C5" s="145"/>
    </row>
    <row r="6" spans="1:5" ht="16.5" thickBot="1">
      <c r="A6" s="146" t="s">
        <v>145</v>
      </c>
      <c r="B6" s="146"/>
    </row>
    <row r="7" spans="1:5" ht="87" customHeight="1" thickBot="1">
      <c r="A7" s="25" t="s">
        <v>59</v>
      </c>
      <c r="B7" s="26" t="s">
        <v>60</v>
      </c>
      <c r="C7" s="26" t="s">
        <v>61</v>
      </c>
    </row>
    <row r="8" spans="1:5" ht="16.5" thickBot="1">
      <c r="A8" s="41"/>
      <c r="B8" s="42" t="s">
        <v>62</v>
      </c>
      <c r="C8" s="43"/>
    </row>
    <row r="9" spans="1:5" ht="35.25" customHeight="1" thickBot="1">
      <c r="A9" s="55" t="s">
        <v>75</v>
      </c>
      <c r="B9" s="56" t="s">
        <v>252</v>
      </c>
      <c r="C9" s="106">
        <f>800/13*11</f>
        <v>676.92307692307691</v>
      </c>
    </row>
    <row r="10" spans="1:5" ht="33" customHeight="1" thickBot="1">
      <c r="A10" s="62" t="s">
        <v>75</v>
      </c>
      <c r="B10" s="86" t="s">
        <v>253</v>
      </c>
      <c r="C10" s="107">
        <f>80/13*11</f>
        <v>67.692307692307693</v>
      </c>
    </row>
    <row r="11" spans="1:5" ht="32.25" thickBot="1">
      <c r="A11" s="27" t="s">
        <v>76</v>
      </c>
      <c r="B11" s="71" t="s">
        <v>74</v>
      </c>
      <c r="C11" s="33">
        <f>ROUND((C9+C10)*0.2409,2)</f>
        <v>179.38</v>
      </c>
    </row>
    <row r="12" spans="1:5" ht="16.5" thickBot="1">
      <c r="A12" s="27"/>
      <c r="B12" s="72" t="s">
        <v>63</v>
      </c>
      <c r="C12" s="32">
        <f>SUM(C9:C11)</f>
        <v>923.99538461538464</v>
      </c>
    </row>
    <row r="13" spans="1:5" ht="16.5" thickBot="1">
      <c r="A13" s="27"/>
      <c r="B13" s="72" t="s">
        <v>64</v>
      </c>
      <c r="C13" s="33"/>
    </row>
    <row r="14" spans="1:5" ht="32.25" thickBot="1">
      <c r="A14" s="27" t="s">
        <v>86</v>
      </c>
      <c r="B14" s="67" t="s">
        <v>254</v>
      </c>
      <c r="C14" s="33">
        <f>57.5/13*11</f>
        <v>48.65384615384616</v>
      </c>
    </row>
    <row r="15" spans="1:5" ht="18.75" customHeight="1" thickBot="1">
      <c r="A15" s="27" t="s">
        <v>136</v>
      </c>
      <c r="B15" s="29" t="s">
        <v>230</v>
      </c>
      <c r="C15" s="33">
        <f>40/13*11</f>
        <v>33.846153846153847</v>
      </c>
    </row>
    <row r="16" spans="1:5" ht="20.25" customHeight="1" thickBot="1">
      <c r="A16" s="27" t="s">
        <v>137</v>
      </c>
      <c r="B16" s="67" t="s">
        <v>192</v>
      </c>
      <c r="C16" s="33">
        <f>30/13*11</f>
        <v>25.384615384615383</v>
      </c>
    </row>
    <row r="17" spans="1:6" ht="48" customHeight="1" thickBot="1">
      <c r="A17" s="27" t="s">
        <v>138</v>
      </c>
      <c r="B17" s="65" t="s">
        <v>255</v>
      </c>
      <c r="C17" s="63">
        <f>ROUNDUP(112/13*11,1)</f>
        <v>94.8</v>
      </c>
    </row>
    <row r="18" spans="1:6" ht="49.5" customHeight="1" thickBot="1">
      <c r="A18" s="27" t="s">
        <v>186</v>
      </c>
      <c r="B18" s="65" t="s">
        <v>251</v>
      </c>
      <c r="C18" s="66">
        <f>ROUNDUP(106/13*11,2)</f>
        <v>89.7</v>
      </c>
    </row>
    <row r="19" spans="1:6" ht="32.25" thickBot="1">
      <c r="A19" s="27" t="s">
        <v>139</v>
      </c>
      <c r="B19" s="29" t="s">
        <v>188</v>
      </c>
      <c r="C19" s="33">
        <f>0.1*4*11</f>
        <v>4.4000000000000004</v>
      </c>
    </row>
    <row r="20" spans="1:6" ht="16.5" thickBot="1">
      <c r="A20" s="27"/>
      <c r="B20" s="28" t="s">
        <v>65</v>
      </c>
      <c r="C20" s="32">
        <f>SUM(C14:C19)</f>
        <v>296.78461538461534</v>
      </c>
    </row>
    <row r="21" spans="1:6" ht="16.5" thickBot="1">
      <c r="A21" s="27"/>
      <c r="B21" s="37" t="s">
        <v>66</v>
      </c>
      <c r="C21" s="32">
        <f>C20+C12</f>
        <v>1220.78</v>
      </c>
    </row>
    <row r="22" spans="1:6">
      <c r="C22" s="9"/>
    </row>
    <row r="23" spans="1:6" ht="16.5" thickBot="1">
      <c r="C23" s="9"/>
    </row>
    <row r="24" spans="1:6" ht="16.5" thickBot="1">
      <c r="A24" s="141" t="s">
        <v>67</v>
      </c>
      <c r="B24" s="142"/>
      <c r="C24" s="38">
        <v>11</v>
      </c>
    </row>
    <row r="25" spans="1:6" ht="16.5" thickBot="1">
      <c r="A25" s="141" t="s">
        <v>68</v>
      </c>
      <c r="B25" s="142"/>
      <c r="C25" s="39">
        <f>C21/C24</f>
        <v>110.98</v>
      </c>
      <c r="D25" s="91"/>
    </row>
    <row r="27" spans="1:6">
      <c r="A27" s="13"/>
      <c r="B27" s="14"/>
      <c r="C27" s="40"/>
      <c r="D27" s="13"/>
      <c r="E27" s="13"/>
      <c r="F27" s="13"/>
    </row>
    <row r="28" spans="1:6">
      <c r="A28" s="143"/>
      <c r="B28" s="143"/>
      <c r="C28" s="51"/>
      <c r="D28" s="13"/>
      <c r="E28" s="13"/>
      <c r="F28" s="13"/>
    </row>
    <row r="29" spans="1:6" ht="18.75">
      <c r="A29" s="144"/>
      <c r="B29" s="144"/>
      <c r="C29" s="40"/>
      <c r="D29" s="40"/>
      <c r="E29" s="13"/>
      <c r="F29" s="13"/>
    </row>
  </sheetData>
  <mergeCells count="9">
    <mergeCell ref="A25:B25"/>
    <mergeCell ref="A28:B28"/>
    <mergeCell ref="A29:B29"/>
    <mergeCell ref="A1:C1"/>
    <mergeCell ref="A3:C3"/>
    <mergeCell ref="A4:C4"/>
    <mergeCell ref="A5:C5"/>
    <mergeCell ref="A6:B6"/>
    <mergeCell ref="A24:B24"/>
  </mergeCells>
  <pageMargins left="0.7" right="0.7" top="0.75" bottom="0.75" header="0.3" footer="0.3"/>
  <pageSetup paperSize="9" scale="70"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32"/>
  <sheetViews>
    <sheetView topLeftCell="A10" zoomScaleNormal="100" workbookViewId="0">
      <selection activeCell="A21" sqref="A21:XFD21"/>
    </sheetView>
  </sheetViews>
  <sheetFormatPr defaultColWidth="8.85546875" defaultRowHeight="15.75"/>
  <cols>
    <col min="1" max="1" width="15.5703125" style="1" customWidth="1"/>
    <col min="2" max="2" width="85" style="1" customWidth="1"/>
    <col min="3" max="3" width="19.85546875" style="1" customWidth="1"/>
    <col min="4" max="4" width="14.85546875" style="1" customWidth="1"/>
    <col min="5" max="16384" width="8.85546875" style="1"/>
  </cols>
  <sheetData>
    <row r="1" spans="1:5">
      <c r="A1" s="139" t="s">
        <v>57</v>
      </c>
      <c r="B1" s="139"/>
      <c r="C1" s="139"/>
      <c r="D1" s="24"/>
      <c r="E1" s="24"/>
    </row>
    <row r="3" spans="1:5">
      <c r="A3" s="145" t="s">
        <v>69</v>
      </c>
      <c r="B3" s="145"/>
      <c r="C3" s="145"/>
    </row>
    <row r="4" spans="1:5">
      <c r="A4" s="145" t="s">
        <v>208</v>
      </c>
      <c r="B4" s="145"/>
      <c r="C4" s="145"/>
    </row>
    <row r="5" spans="1:5">
      <c r="A5" s="145" t="s">
        <v>58</v>
      </c>
      <c r="B5" s="145"/>
      <c r="C5" s="145"/>
    </row>
    <row r="6" spans="1:5" ht="16.5" thickBot="1">
      <c r="A6" s="146" t="s">
        <v>147</v>
      </c>
      <c r="B6" s="146"/>
    </row>
    <row r="7" spans="1:5" ht="90.75" customHeight="1" thickBot="1">
      <c r="A7" s="25" t="s">
        <v>59</v>
      </c>
      <c r="B7" s="26" t="s">
        <v>60</v>
      </c>
      <c r="C7" s="26" t="s">
        <v>61</v>
      </c>
    </row>
    <row r="8" spans="1:5" ht="16.5" thickBot="1">
      <c r="A8" s="41"/>
      <c r="B8" s="42" t="s">
        <v>62</v>
      </c>
      <c r="C8" s="43"/>
    </row>
    <row r="9" spans="1:5" ht="31.5">
      <c r="A9" s="55" t="s">
        <v>86</v>
      </c>
      <c r="B9" s="56" t="s">
        <v>185</v>
      </c>
      <c r="C9" s="57">
        <f>1.15*40000</f>
        <v>46000</v>
      </c>
    </row>
    <row r="10" spans="1:5" ht="16.5" thickBot="1">
      <c r="A10" s="27"/>
      <c r="B10" s="31" t="s">
        <v>63</v>
      </c>
      <c r="C10" s="32">
        <f>SUM(C9:C9)</f>
        <v>46000</v>
      </c>
    </row>
    <row r="11" spans="1:5" ht="16.5" thickBot="1">
      <c r="A11" s="27"/>
      <c r="B11" s="31" t="s">
        <v>64</v>
      </c>
      <c r="C11" s="33"/>
    </row>
    <row r="12" spans="1:5" ht="16.5" thickBot="1">
      <c r="A12" s="27"/>
      <c r="B12" s="29" t="s">
        <v>99</v>
      </c>
      <c r="C12" s="33"/>
    </row>
    <row r="13" spans="1:5" ht="16.5" thickBot="1">
      <c r="A13" s="27"/>
      <c r="B13" s="28" t="s">
        <v>65</v>
      </c>
      <c r="C13" s="32">
        <v>0</v>
      </c>
    </row>
    <row r="14" spans="1:5" ht="16.5" thickBot="1">
      <c r="A14" s="27"/>
      <c r="B14" s="37" t="s">
        <v>66</v>
      </c>
      <c r="C14" s="32">
        <f>C13+C10</f>
        <v>46000</v>
      </c>
    </row>
    <row r="15" spans="1:5">
      <c r="C15" s="9"/>
    </row>
    <row r="16" spans="1:5" ht="16.5" thickBot="1">
      <c r="C16" s="9"/>
    </row>
    <row r="17" spans="1:6" ht="16.5" thickBot="1">
      <c r="A17" s="141" t="s">
        <v>67</v>
      </c>
      <c r="B17" s="142"/>
      <c r="C17" s="38">
        <v>40000</v>
      </c>
    </row>
    <row r="18" spans="1:6" ht="16.5" thickBot="1">
      <c r="A18" s="141" t="s">
        <v>68</v>
      </c>
      <c r="B18" s="142"/>
      <c r="C18" s="39">
        <f>C14/C17</f>
        <v>1.1499999999999999</v>
      </c>
    </row>
    <row r="20" spans="1:6">
      <c r="A20" s="13"/>
      <c r="B20" s="14"/>
      <c r="C20" s="40"/>
      <c r="D20" s="13"/>
      <c r="E20" s="13"/>
      <c r="F20" s="13"/>
    </row>
    <row r="21" spans="1:6">
      <c r="A21" s="13" t="s">
        <v>344</v>
      </c>
      <c r="B21" s="13"/>
      <c r="C21" s="114" t="s">
        <v>350</v>
      </c>
      <c r="D21" s="13"/>
      <c r="E21" s="13"/>
      <c r="F21" s="13"/>
    </row>
    <row r="22" spans="1:6">
      <c r="A22" s="16"/>
      <c r="B22" s="125"/>
      <c r="C22" s="15"/>
      <c r="D22" s="40"/>
      <c r="E22" s="13"/>
      <c r="F22" s="13"/>
    </row>
    <row r="23" spans="1:6">
      <c r="A23" s="16" t="s">
        <v>345</v>
      </c>
      <c r="B23" s="126"/>
      <c r="C23" s="17" t="s">
        <v>351</v>
      </c>
    </row>
    <row r="24" spans="1:6">
      <c r="A24" s="18"/>
      <c r="B24" s="18"/>
      <c r="C24" s="18"/>
    </row>
    <row r="25" spans="1:6">
      <c r="A25" s="155" t="s">
        <v>348</v>
      </c>
      <c r="B25" s="155"/>
      <c r="C25" s="18"/>
    </row>
    <row r="26" spans="1:6">
      <c r="A26" s="155" t="s">
        <v>349</v>
      </c>
      <c r="B26" s="155"/>
      <c r="C26" s="128"/>
    </row>
    <row r="27" spans="1:6">
      <c r="A27" s="20" t="s">
        <v>346</v>
      </c>
      <c r="B27" s="115"/>
      <c r="C27" s="21"/>
    </row>
    <row r="28" spans="1:6">
      <c r="A28" s="127" t="s">
        <v>347</v>
      </c>
      <c r="B28" s="19"/>
      <c r="C28" s="21"/>
    </row>
    <row r="31" spans="1:6">
      <c r="B31" s="129"/>
    </row>
    <row r="32" spans="1:6">
      <c r="B32" s="129"/>
    </row>
  </sheetData>
  <mergeCells count="9">
    <mergeCell ref="A25:B25"/>
    <mergeCell ref="A26:B26"/>
    <mergeCell ref="A18:B18"/>
    <mergeCell ref="A1:C1"/>
    <mergeCell ref="A3:C3"/>
    <mergeCell ref="A4:C4"/>
    <mergeCell ref="A5:C5"/>
    <mergeCell ref="A6:B6"/>
    <mergeCell ref="A17:B17"/>
  </mergeCells>
  <pageMargins left="0.70866141732283472" right="0.70866141732283472" top="0.74803149606299213" bottom="0.74803149606299213" header="0.31496062992125984" footer="0.31496062992125984"/>
  <pageSetup paperSize="9" scale="73" orientation="portrait" verticalDpi="0" r:id="rId1"/>
  <headerFooter>
    <oddFooter>&amp;L&amp;F&amp;C&amp;P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F42"/>
  <sheetViews>
    <sheetView topLeftCell="A7" zoomScaleNormal="100" workbookViewId="0">
      <selection activeCell="D4" sqref="D1:D1048576"/>
    </sheetView>
  </sheetViews>
  <sheetFormatPr defaultColWidth="8.85546875" defaultRowHeight="15.75"/>
  <cols>
    <col min="1" max="1" width="14.140625" style="1" customWidth="1"/>
    <col min="2" max="2" width="103.42578125" style="1" customWidth="1"/>
    <col min="3" max="3" width="19.85546875" style="1" customWidth="1"/>
    <col min="4" max="4" width="7.7109375" style="1" customWidth="1"/>
    <col min="5" max="16384" width="8.85546875" style="1"/>
  </cols>
  <sheetData>
    <row r="1" spans="1:4">
      <c r="A1" s="139" t="s">
        <v>57</v>
      </c>
      <c r="B1" s="139"/>
      <c r="C1" s="139"/>
      <c r="D1" s="24"/>
    </row>
    <row r="3" spans="1:4">
      <c r="A3" s="145" t="s">
        <v>69</v>
      </c>
      <c r="B3" s="145"/>
      <c r="C3" s="145"/>
    </row>
    <row r="4" spans="1:4" ht="33.75" customHeight="1">
      <c r="A4" s="145" t="s">
        <v>93</v>
      </c>
      <c r="B4" s="145"/>
      <c r="C4" s="145"/>
    </row>
    <row r="5" spans="1:4">
      <c r="A5" s="145" t="s">
        <v>58</v>
      </c>
      <c r="B5" s="145"/>
      <c r="C5" s="145"/>
    </row>
    <row r="6" spans="1:4" ht="16.5" thickBot="1">
      <c r="A6" s="146" t="s">
        <v>210</v>
      </c>
      <c r="B6" s="146"/>
    </row>
    <row r="7" spans="1:4" ht="79.5" thickBot="1">
      <c r="A7" s="25" t="s">
        <v>59</v>
      </c>
      <c r="B7" s="26" t="s">
        <v>60</v>
      </c>
      <c r="C7" s="26" t="s">
        <v>61</v>
      </c>
    </row>
    <row r="8" spans="1:4" ht="16.5" thickBot="1">
      <c r="A8" s="41"/>
      <c r="B8" s="78" t="s">
        <v>62</v>
      </c>
      <c r="C8" s="43"/>
      <c r="D8" s="100"/>
    </row>
    <row r="9" spans="1:4">
      <c r="A9" s="147" t="s">
        <v>75</v>
      </c>
      <c r="B9" s="68" t="s">
        <v>72</v>
      </c>
      <c r="C9" s="49">
        <f>8.02*1121</f>
        <v>8990.42</v>
      </c>
      <c r="D9" s="100"/>
    </row>
    <row r="10" spans="1:4">
      <c r="A10" s="148"/>
      <c r="B10" s="69" t="s">
        <v>72</v>
      </c>
      <c r="C10" s="108">
        <f>8.02*1121</f>
        <v>8990.42</v>
      </c>
      <c r="D10" s="100"/>
    </row>
    <row r="11" spans="1:4" ht="16.5" thickBot="1">
      <c r="A11" s="149"/>
      <c r="B11" s="70" t="s">
        <v>73</v>
      </c>
      <c r="C11" s="109">
        <f>5.4*1121</f>
        <v>6053.4000000000005</v>
      </c>
      <c r="D11" s="100"/>
    </row>
    <row r="12" spans="1:4" ht="37.5" customHeight="1" thickBot="1">
      <c r="A12" s="27" t="s">
        <v>76</v>
      </c>
      <c r="B12" s="71" t="s">
        <v>74</v>
      </c>
      <c r="C12" s="33">
        <f>(C9+C10+C11)*0.2409</f>
        <v>5789.8484160000007</v>
      </c>
    </row>
    <row r="13" spans="1:4" ht="32.25" thickBot="1">
      <c r="A13" s="27" t="s">
        <v>77</v>
      </c>
      <c r="B13" s="71" t="s">
        <v>167</v>
      </c>
      <c r="C13" s="33">
        <f>(367899/438912)*1121</f>
        <v>939.62976405293091</v>
      </c>
    </row>
    <row r="14" spans="1:4" ht="32.25" thickBot="1">
      <c r="A14" s="27" t="s">
        <v>79</v>
      </c>
      <c r="B14" s="71" t="s">
        <v>225</v>
      </c>
      <c r="C14" s="52">
        <f>(596554/438912)*1121</f>
        <v>1523.6244030694079</v>
      </c>
    </row>
    <row r="15" spans="1:4" ht="32.25" thickBot="1">
      <c r="A15" s="27" t="s">
        <v>80</v>
      </c>
      <c r="B15" s="71" t="s">
        <v>169</v>
      </c>
      <c r="C15" s="33">
        <f>(452717/438912)*1121</f>
        <v>1156.2585598024207</v>
      </c>
    </row>
    <row r="16" spans="1:4" ht="32.25" thickBot="1">
      <c r="A16" s="27" t="s">
        <v>82</v>
      </c>
      <c r="B16" s="71" t="s">
        <v>171</v>
      </c>
      <c r="C16" s="33">
        <f>(624380/438912)*1121</f>
        <v>1594.6931959025956</v>
      </c>
    </row>
    <row r="17" spans="1:6" ht="32.25" thickBot="1">
      <c r="A17" s="27" t="s">
        <v>170</v>
      </c>
      <c r="B17" s="71" t="s">
        <v>172</v>
      </c>
      <c r="C17" s="33">
        <f>(500471/438912)*1121</f>
        <v>1278.2243160360163</v>
      </c>
    </row>
    <row r="18" spans="1:6" ht="32.25" thickBot="1">
      <c r="A18" s="27" t="s">
        <v>81</v>
      </c>
      <c r="B18" s="71" t="s">
        <v>179</v>
      </c>
      <c r="C18" s="52">
        <f>((15/100)*37*1.06)*1121</f>
        <v>6594.8429999999998</v>
      </c>
    </row>
    <row r="19" spans="1:6" ht="16.5" thickBot="1">
      <c r="A19" s="27"/>
      <c r="B19" s="72" t="s">
        <v>63</v>
      </c>
      <c r="C19" s="32">
        <f>SUM(C9:C18)</f>
        <v>42911.361654863373</v>
      </c>
    </row>
    <row r="20" spans="1:6" ht="16.5" thickBot="1">
      <c r="A20" s="27"/>
      <c r="B20" s="72" t="s">
        <v>64</v>
      </c>
      <c r="C20" s="33"/>
    </row>
    <row r="21" spans="1:6" ht="32.25" thickBot="1">
      <c r="A21" s="27" t="s">
        <v>84</v>
      </c>
      <c r="B21" s="34" t="s">
        <v>152</v>
      </c>
      <c r="C21" s="33">
        <f>(C9+C10+C11)*0.25</f>
        <v>6008.56</v>
      </c>
    </row>
    <row r="22" spans="1:6" ht="32.25" thickBot="1">
      <c r="A22" s="27" t="s">
        <v>76</v>
      </c>
      <c r="B22" s="71" t="s">
        <v>74</v>
      </c>
      <c r="C22" s="33">
        <f>C21*0.2409</f>
        <v>1447.4621040000002</v>
      </c>
    </row>
    <row r="23" spans="1:6" ht="32.25" thickBot="1">
      <c r="A23" s="27" t="s">
        <v>88</v>
      </c>
      <c r="B23" s="73" t="s">
        <v>162</v>
      </c>
      <c r="C23" s="33">
        <f>(39708/438912)*1121</f>
        <v>101.41592847769029</v>
      </c>
      <c r="D23" s="36"/>
    </row>
    <row r="24" spans="1:6" ht="32.25" thickBot="1">
      <c r="A24" s="27" t="s">
        <v>85</v>
      </c>
      <c r="B24" s="71" t="s">
        <v>164</v>
      </c>
      <c r="C24" s="33">
        <f>ROUNDUP((813902/438912)*1121,1)</f>
        <v>2078.7999999999997</v>
      </c>
    </row>
    <row r="25" spans="1:6" ht="32.25" thickBot="1">
      <c r="A25" s="27" t="s">
        <v>86</v>
      </c>
      <c r="B25" s="73" t="s">
        <v>161</v>
      </c>
      <c r="C25" s="33">
        <f>(234731/438912)*1121</f>
        <v>599.51300260644507</v>
      </c>
    </row>
    <row r="26" spans="1:6" ht="32.25" thickBot="1">
      <c r="A26" s="27" t="s">
        <v>82</v>
      </c>
      <c r="B26" s="74" t="s">
        <v>163</v>
      </c>
      <c r="C26" s="33">
        <f>ROUNDUP((561364/438912)*1121,1)</f>
        <v>1433.8</v>
      </c>
    </row>
    <row r="27" spans="1:6" ht="32.25" thickBot="1">
      <c r="A27" s="27" t="s">
        <v>78</v>
      </c>
      <c r="B27" s="71" t="s">
        <v>166</v>
      </c>
      <c r="C27" s="33">
        <f>1.43*1121</f>
        <v>1603.03</v>
      </c>
    </row>
    <row r="28" spans="1:6" ht="32.25" thickBot="1">
      <c r="A28" s="27" t="s">
        <v>136</v>
      </c>
      <c r="B28" s="71" t="s">
        <v>228</v>
      </c>
      <c r="C28" s="33">
        <f>ROUNDUP(0.65*1121,1)</f>
        <v>728.7</v>
      </c>
    </row>
    <row r="29" spans="1:6" ht="32.25" thickBot="1">
      <c r="A29" s="27" t="s">
        <v>134</v>
      </c>
      <c r="B29" s="71" t="s">
        <v>173</v>
      </c>
      <c r="C29" s="33">
        <f>ROUNDUP(0.36*1121,1)</f>
        <v>403.6</v>
      </c>
    </row>
    <row r="30" spans="1:6" ht="32.25" thickBot="1">
      <c r="A30" s="27" t="s">
        <v>87</v>
      </c>
      <c r="B30" s="71" t="s">
        <v>156</v>
      </c>
      <c r="C30" s="33">
        <f>0.11*1121</f>
        <v>123.31</v>
      </c>
    </row>
    <row r="31" spans="1:6" ht="32.25" thickBot="1">
      <c r="A31" s="27" t="s">
        <v>83</v>
      </c>
      <c r="B31" s="71" t="s">
        <v>165</v>
      </c>
      <c r="C31" s="33">
        <f>0.05*1121</f>
        <v>56.050000000000004</v>
      </c>
    </row>
    <row r="32" spans="1:6" ht="32.25" thickBot="1">
      <c r="A32" s="27" t="s">
        <v>175</v>
      </c>
      <c r="B32" s="71" t="s">
        <v>178</v>
      </c>
      <c r="C32" s="33">
        <f>2.31*1121</f>
        <v>2589.5100000000002</v>
      </c>
      <c r="F32" s="9"/>
    </row>
    <row r="33" spans="1:5" ht="16.5" thickBot="1">
      <c r="A33" s="27"/>
      <c r="B33" s="28" t="s">
        <v>65</v>
      </c>
      <c r="C33" s="32">
        <f>SUM(C21:C32)</f>
        <v>17173.751035084137</v>
      </c>
    </row>
    <row r="34" spans="1:5" ht="16.5" thickBot="1">
      <c r="A34" s="27"/>
      <c r="B34" s="37" t="s">
        <v>66</v>
      </c>
      <c r="C34" s="32">
        <f>C33+C19</f>
        <v>60085.112689947506</v>
      </c>
    </row>
    <row r="35" spans="1:5">
      <c r="C35" s="9"/>
    </row>
    <row r="36" spans="1:5" ht="16.5" thickBot="1">
      <c r="C36" s="9"/>
    </row>
    <row r="37" spans="1:5" ht="16.5" thickBot="1">
      <c r="A37" s="141" t="s">
        <v>67</v>
      </c>
      <c r="B37" s="142"/>
      <c r="C37" s="38">
        <v>1121</v>
      </c>
    </row>
    <row r="38" spans="1:5" ht="16.5" thickBot="1">
      <c r="A38" s="141" t="s">
        <v>68</v>
      </c>
      <c r="B38" s="142"/>
      <c r="C38" s="39">
        <f>C34/C37</f>
        <v>53.599565289872885</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F42"/>
  <sheetViews>
    <sheetView topLeftCell="A16" zoomScaleNormal="100" workbookViewId="0">
      <selection activeCell="D16" sqref="D1:D1048576"/>
    </sheetView>
  </sheetViews>
  <sheetFormatPr defaultColWidth="8.85546875" defaultRowHeight="15.75"/>
  <cols>
    <col min="1" max="1" width="11.7109375" style="1" customWidth="1"/>
    <col min="2" max="2" width="98.5703125" style="1" customWidth="1"/>
    <col min="3" max="3" width="19.85546875" style="1" customWidth="1"/>
    <col min="4" max="4" width="7.28515625" style="1" customWidth="1"/>
    <col min="5" max="16384" width="8.85546875" style="1"/>
  </cols>
  <sheetData>
    <row r="1" spans="1:4">
      <c r="A1" s="139" t="s">
        <v>57</v>
      </c>
      <c r="B1" s="139"/>
      <c r="C1" s="139"/>
      <c r="D1" s="24"/>
    </row>
    <row r="3" spans="1:4">
      <c r="A3" s="145" t="s">
        <v>69</v>
      </c>
      <c r="B3" s="145"/>
      <c r="C3" s="145"/>
    </row>
    <row r="4" spans="1:4" ht="33.75" customHeight="1">
      <c r="A4" s="145" t="s">
        <v>94</v>
      </c>
      <c r="B4" s="145"/>
      <c r="C4" s="145"/>
    </row>
    <row r="5" spans="1:4">
      <c r="A5" s="145" t="s">
        <v>58</v>
      </c>
      <c r="B5" s="145"/>
      <c r="C5" s="145"/>
    </row>
    <row r="6" spans="1:4" ht="16.5" thickBot="1">
      <c r="A6" s="146" t="s">
        <v>220</v>
      </c>
      <c r="B6" s="146"/>
    </row>
    <row r="7" spans="1:4" ht="79.5" thickBot="1">
      <c r="A7" s="25" t="s">
        <v>59</v>
      </c>
      <c r="B7" s="26" t="s">
        <v>60</v>
      </c>
      <c r="C7" s="26" t="s">
        <v>61</v>
      </c>
    </row>
    <row r="8" spans="1:4" ht="16.5" thickBot="1">
      <c r="A8" s="41"/>
      <c r="B8" s="42" t="s">
        <v>62</v>
      </c>
      <c r="C8" s="43"/>
      <c r="D8" s="100"/>
    </row>
    <row r="9" spans="1:4">
      <c r="A9" s="147" t="s">
        <v>75</v>
      </c>
      <c r="B9" s="45" t="s">
        <v>72</v>
      </c>
      <c r="C9" s="49">
        <f>13.37*7</f>
        <v>93.589999999999989</v>
      </c>
      <c r="D9" s="100"/>
    </row>
    <row r="10" spans="1:4">
      <c r="A10" s="148"/>
      <c r="B10" s="46" t="s">
        <v>72</v>
      </c>
      <c r="C10" s="108">
        <f>13.37*7</f>
        <v>93.589999999999989</v>
      </c>
      <c r="D10" s="100"/>
    </row>
    <row r="11" spans="1:4" ht="16.5" thickBot="1">
      <c r="A11" s="149"/>
      <c r="B11" s="47" t="s">
        <v>73</v>
      </c>
      <c r="C11" s="109">
        <f>9.01*7</f>
        <v>63.07</v>
      </c>
      <c r="D11" s="100"/>
    </row>
    <row r="12" spans="1:4" ht="32.25" thickBot="1">
      <c r="A12" s="27" t="s">
        <v>76</v>
      </c>
      <c r="B12" s="71" t="s">
        <v>74</v>
      </c>
      <c r="C12" s="33">
        <f>(C9+C10+C11)*0.2409</f>
        <v>60.285224999999997</v>
      </c>
    </row>
    <row r="13" spans="1:4" ht="32.25" thickBot="1">
      <c r="A13" s="27" t="s">
        <v>77</v>
      </c>
      <c r="B13" s="30" t="s">
        <v>167</v>
      </c>
      <c r="C13" s="33">
        <f>0.84*7</f>
        <v>5.88</v>
      </c>
    </row>
    <row r="14" spans="1:4" ht="32.25" thickBot="1">
      <c r="A14" s="27" t="s">
        <v>79</v>
      </c>
      <c r="B14" s="71" t="s">
        <v>174</v>
      </c>
      <c r="C14" s="52">
        <f>1.36*7</f>
        <v>9.5200000000000014</v>
      </c>
    </row>
    <row r="15" spans="1:4" ht="32.25" thickBot="1">
      <c r="A15" s="27" t="s">
        <v>80</v>
      </c>
      <c r="B15" s="71" t="s">
        <v>169</v>
      </c>
      <c r="C15" s="33">
        <f>1.03*7</f>
        <v>7.21</v>
      </c>
    </row>
    <row r="16" spans="1:4" ht="32.25" thickBot="1">
      <c r="A16" s="27" t="s">
        <v>82</v>
      </c>
      <c r="B16" s="30" t="s">
        <v>171</v>
      </c>
      <c r="C16" s="33">
        <f>1.42*7</f>
        <v>9.94</v>
      </c>
    </row>
    <row r="17" spans="1:6" ht="32.25" thickBot="1">
      <c r="A17" s="27" t="s">
        <v>170</v>
      </c>
      <c r="B17" s="30" t="s">
        <v>172</v>
      </c>
      <c r="C17" s="33">
        <f>1.14*7</f>
        <v>7.9799999999999995</v>
      </c>
    </row>
    <row r="18" spans="1:6" ht="32.25" thickBot="1">
      <c r="A18" s="27" t="s">
        <v>81</v>
      </c>
      <c r="B18" s="30" t="s">
        <v>182</v>
      </c>
      <c r="C18" s="52">
        <f>11.45*7</f>
        <v>80.149999999999991</v>
      </c>
    </row>
    <row r="19" spans="1:6" ht="16.5" thickBot="1">
      <c r="A19" s="27"/>
      <c r="B19" s="31" t="s">
        <v>63</v>
      </c>
      <c r="C19" s="32">
        <f>SUM(C9:C18)</f>
        <v>431.21522499999992</v>
      </c>
    </row>
    <row r="20" spans="1:6" ht="16.5" thickBot="1">
      <c r="A20" s="27"/>
      <c r="B20" s="31" t="s">
        <v>64</v>
      </c>
      <c r="C20" s="33"/>
    </row>
    <row r="21" spans="1:6" ht="32.25" thickBot="1">
      <c r="A21" s="27" t="s">
        <v>84</v>
      </c>
      <c r="B21" s="34" t="s">
        <v>152</v>
      </c>
      <c r="C21" s="33">
        <f>(C9+C10+C11)*0.25</f>
        <v>62.562499999999993</v>
      </c>
    </row>
    <row r="22" spans="1:6" ht="32.25" thickBot="1">
      <c r="A22" s="27" t="s">
        <v>76</v>
      </c>
      <c r="B22" s="71" t="s">
        <v>74</v>
      </c>
      <c r="C22" s="33">
        <f>C21*0.2409</f>
        <v>15.071306249999999</v>
      </c>
    </row>
    <row r="23" spans="1:6" ht="32.25" thickBot="1">
      <c r="A23" s="27" t="s">
        <v>88</v>
      </c>
      <c r="B23" s="29" t="s">
        <v>162</v>
      </c>
      <c r="C23" s="33">
        <f>0.09*7</f>
        <v>0.63</v>
      </c>
      <c r="D23" s="36"/>
    </row>
    <row r="24" spans="1:6" ht="32.25" thickBot="1">
      <c r="A24" s="27" t="s">
        <v>85</v>
      </c>
      <c r="B24" s="30" t="s">
        <v>164</v>
      </c>
      <c r="C24" s="33">
        <f>1.85*7</f>
        <v>12.950000000000001</v>
      </c>
    </row>
    <row r="25" spans="1:6" ht="32.25" thickBot="1">
      <c r="A25" s="27" t="s">
        <v>86</v>
      </c>
      <c r="B25" s="73" t="s">
        <v>157</v>
      </c>
      <c r="C25" s="33">
        <f>0.53*7</f>
        <v>3.71</v>
      </c>
    </row>
    <row r="26" spans="1:6" ht="32.25" thickBot="1">
      <c r="A26" s="27" t="s">
        <v>82</v>
      </c>
      <c r="B26" s="35" t="s">
        <v>163</v>
      </c>
      <c r="C26" s="33">
        <f>1.28*7</f>
        <v>8.9600000000000009</v>
      </c>
    </row>
    <row r="27" spans="1:6" ht="32.25" thickBot="1">
      <c r="A27" s="27" t="s">
        <v>78</v>
      </c>
      <c r="B27" s="71" t="s">
        <v>166</v>
      </c>
      <c r="C27" s="33">
        <f>1.43*7</f>
        <v>10.01</v>
      </c>
    </row>
    <row r="28" spans="1:6" ht="32.25" thickBot="1">
      <c r="A28" s="27" t="s">
        <v>136</v>
      </c>
      <c r="B28" s="71" t="s">
        <v>237</v>
      </c>
      <c r="C28" s="33">
        <f>0.65*7</f>
        <v>4.55</v>
      </c>
    </row>
    <row r="29" spans="1:6" ht="32.25" thickBot="1">
      <c r="A29" s="27" t="s">
        <v>134</v>
      </c>
      <c r="B29" s="30" t="s">
        <v>173</v>
      </c>
      <c r="C29" s="33">
        <f>0.36*7</f>
        <v>2.52</v>
      </c>
    </row>
    <row r="30" spans="1:6" ht="32.25" thickBot="1">
      <c r="A30" s="27" t="s">
        <v>87</v>
      </c>
      <c r="B30" s="30" t="s">
        <v>156</v>
      </c>
      <c r="C30" s="33">
        <f>0.11*7</f>
        <v>0.77</v>
      </c>
    </row>
    <row r="31" spans="1:6" ht="32.25" thickBot="1">
      <c r="A31" s="27" t="s">
        <v>83</v>
      </c>
      <c r="B31" s="30" t="s">
        <v>165</v>
      </c>
      <c r="C31" s="33">
        <f>0.05*7</f>
        <v>0.35000000000000003</v>
      </c>
    </row>
    <row r="32" spans="1:6" ht="32.25" thickBot="1">
      <c r="A32" s="27" t="s">
        <v>175</v>
      </c>
      <c r="B32" s="30" t="s">
        <v>178</v>
      </c>
      <c r="C32" s="33">
        <f>2.31*7</f>
        <v>16.170000000000002</v>
      </c>
      <c r="F32" s="9"/>
    </row>
    <row r="33" spans="1:5" ht="16.5" thickBot="1">
      <c r="A33" s="27"/>
      <c r="B33" s="28" t="s">
        <v>65</v>
      </c>
      <c r="C33" s="32">
        <f>SUM(C21:C32)</f>
        <v>138.25380624999997</v>
      </c>
    </row>
    <row r="34" spans="1:5" ht="16.5" thickBot="1">
      <c r="A34" s="27"/>
      <c r="B34" s="37" t="s">
        <v>66</v>
      </c>
      <c r="C34" s="32">
        <f>C33+C19</f>
        <v>569.46903124999994</v>
      </c>
    </row>
    <row r="35" spans="1:5">
      <c r="C35" s="9"/>
    </row>
    <row r="36" spans="1:5" ht="16.5" thickBot="1">
      <c r="C36" s="9"/>
    </row>
    <row r="37" spans="1:5" ht="16.5" thickBot="1">
      <c r="A37" s="141" t="s">
        <v>67</v>
      </c>
      <c r="B37" s="142"/>
      <c r="C37" s="38">
        <v>7</v>
      </c>
    </row>
    <row r="38" spans="1:5" ht="16.5" thickBot="1">
      <c r="A38" s="141" t="s">
        <v>68</v>
      </c>
      <c r="B38" s="142"/>
      <c r="C38" s="39">
        <f>C34/C37</f>
        <v>81.352718749999994</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F42"/>
  <sheetViews>
    <sheetView topLeftCell="A7" zoomScaleNormal="100" workbookViewId="0">
      <selection activeCell="D7" sqref="D1:D1048576"/>
    </sheetView>
  </sheetViews>
  <sheetFormatPr defaultColWidth="8.85546875" defaultRowHeight="15.75"/>
  <cols>
    <col min="1" max="1" width="14.140625" style="1" customWidth="1"/>
    <col min="2" max="2" width="102" style="1" customWidth="1"/>
    <col min="3" max="3" width="19.85546875" style="1" customWidth="1"/>
    <col min="4" max="4" width="7.140625" style="1" customWidth="1"/>
    <col min="5" max="16384" width="8.85546875" style="1"/>
  </cols>
  <sheetData>
    <row r="1" spans="1:4">
      <c r="A1" s="139" t="s">
        <v>57</v>
      </c>
      <c r="B1" s="139"/>
      <c r="C1" s="139"/>
      <c r="D1" s="24"/>
    </row>
    <row r="3" spans="1:4">
      <c r="A3" s="145" t="s">
        <v>69</v>
      </c>
      <c r="B3" s="145"/>
      <c r="C3" s="145"/>
    </row>
    <row r="4" spans="1:4" ht="33.75" customHeight="1">
      <c r="A4" s="145" t="s">
        <v>95</v>
      </c>
      <c r="B4" s="145"/>
      <c r="C4" s="145"/>
    </row>
    <row r="5" spans="1:4">
      <c r="A5" s="145" t="s">
        <v>58</v>
      </c>
      <c r="B5" s="145"/>
      <c r="C5" s="145"/>
    </row>
    <row r="6" spans="1:4" ht="16.5" thickBot="1">
      <c r="A6" s="146" t="s">
        <v>211</v>
      </c>
      <c r="B6" s="146"/>
    </row>
    <row r="7" spans="1:4" ht="79.5" thickBot="1">
      <c r="A7" s="25" t="s">
        <v>59</v>
      </c>
      <c r="B7" s="26" t="s">
        <v>60</v>
      </c>
      <c r="C7" s="26" t="s">
        <v>61</v>
      </c>
    </row>
    <row r="8" spans="1:4" ht="16.5" thickBot="1">
      <c r="A8" s="41"/>
      <c r="B8" s="42" t="s">
        <v>62</v>
      </c>
      <c r="C8" s="43"/>
      <c r="D8" s="100"/>
    </row>
    <row r="9" spans="1:4">
      <c r="A9" s="147" t="s">
        <v>75</v>
      </c>
      <c r="B9" s="45" t="s">
        <v>96</v>
      </c>
      <c r="C9" s="49">
        <f>11.35*109</f>
        <v>1237.1499999999999</v>
      </c>
      <c r="D9" s="20"/>
    </row>
    <row r="10" spans="1:4">
      <c r="A10" s="148"/>
      <c r="B10" s="46" t="s">
        <v>72</v>
      </c>
      <c r="C10" s="108">
        <f>8.02*109</f>
        <v>874.18</v>
      </c>
      <c r="D10" s="20"/>
    </row>
    <row r="11" spans="1:4" ht="16.5" thickBot="1">
      <c r="A11" s="149"/>
      <c r="B11" s="47" t="s">
        <v>73</v>
      </c>
      <c r="C11" s="109">
        <f>5.4*109</f>
        <v>588.6</v>
      </c>
      <c r="D11" s="20"/>
    </row>
    <row r="12" spans="1:4" ht="32.25" thickBot="1">
      <c r="A12" s="27" t="s">
        <v>76</v>
      </c>
      <c r="B12" s="71" t="s">
        <v>74</v>
      </c>
      <c r="C12" s="33">
        <f>(C9+C10+C11)*0.2409</f>
        <v>650.41313700000001</v>
      </c>
    </row>
    <row r="13" spans="1:4" ht="32.25" thickBot="1">
      <c r="A13" s="27" t="s">
        <v>77</v>
      </c>
      <c r="B13" s="30" t="s">
        <v>167</v>
      </c>
      <c r="C13" s="33">
        <f>0.84*109</f>
        <v>91.56</v>
      </c>
    </row>
    <row r="14" spans="1:4" ht="32.25" thickBot="1">
      <c r="A14" s="27" t="s">
        <v>79</v>
      </c>
      <c r="B14" s="30" t="s">
        <v>181</v>
      </c>
      <c r="C14" s="52">
        <f>(1.36+6.91)*109</f>
        <v>901.43</v>
      </c>
    </row>
    <row r="15" spans="1:4" ht="32.25" thickBot="1">
      <c r="A15" s="27" t="s">
        <v>80</v>
      </c>
      <c r="B15" s="71" t="s">
        <v>169</v>
      </c>
      <c r="C15" s="33">
        <f>1.03*109</f>
        <v>112.27</v>
      </c>
    </row>
    <row r="16" spans="1:4" ht="32.25" thickBot="1">
      <c r="A16" s="27" t="s">
        <v>82</v>
      </c>
      <c r="B16" s="30" t="s">
        <v>171</v>
      </c>
      <c r="C16" s="33">
        <f>1.42*109</f>
        <v>154.78</v>
      </c>
    </row>
    <row r="17" spans="1:6" ht="32.25" thickBot="1">
      <c r="A17" s="27" t="s">
        <v>170</v>
      </c>
      <c r="B17" s="30" t="s">
        <v>172</v>
      </c>
      <c r="C17" s="33">
        <f>1.14*109</f>
        <v>124.25999999999999</v>
      </c>
    </row>
    <row r="18" spans="1:6" ht="32.25" thickBot="1">
      <c r="A18" s="27" t="s">
        <v>81</v>
      </c>
      <c r="B18" s="30" t="s">
        <v>179</v>
      </c>
      <c r="C18" s="52">
        <f>5.88*109</f>
        <v>640.91999999999996</v>
      </c>
    </row>
    <row r="19" spans="1:6" ht="16.5" thickBot="1">
      <c r="A19" s="27"/>
      <c r="B19" s="31" t="s">
        <v>63</v>
      </c>
      <c r="C19" s="32">
        <f>SUM(C9:C18)</f>
        <v>5375.5631370000001</v>
      </c>
    </row>
    <row r="20" spans="1:6" ht="16.5" thickBot="1">
      <c r="A20" s="27"/>
      <c r="B20" s="31" t="s">
        <v>64</v>
      </c>
      <c r="C20" s="33"/>
    </row>
    <row r="21" spans="1:6" ht="32.25" thickBot="1">
      <c r="A21" s="27" t="s">
        <v>84</v>
      </c>
      <c r="B21" s="34" t="s">
        <v>152</v>
      </c>
      <c r="C21" s="33">
        <f>(C9+C10+C11)*0.25</f>
        <v>674.98249999999996</v>
      </c>
    </row>
    <row r="22" spans="1:6" ht="32.25" thickBot="1">
      <c r="A22" s="27" t="s">
        <v>76</v>
      </c>
      <c r="B22" s="71" t="s">
        <v>74</v>
      </c>
      <c r="C22" s="33">
        <f>C21*0.2409</f>
        <v>162.60328425</v>
      </c>
    </row>
    <row r="23" spans="1:6" ht="32.25" thickBot="1">
      <c r="A23" s="27" t="s">
        <v>88</v>
      </c>
      <c r="B23" s="29" t="s">
        <v>162</v>
      </c>
      <c r="C23" s="33">
        <f>(39708/438912)*109</f>
        <v>9.8611384514435692</v>
      </c>
      <c r="D23" s="36"/>
    </row>
    <row r="24" spans="1:6" ht="32.25" thickBot="1">
      <c r="A24" s="27" t="s">
        <v>85</v>
      </c>
      <c r="B24" s="30" t="s">
        <v>164</v>
      </c>
      <c r="C24" s="33">
        <f>1.85*109</f>
        <v>201.65</v>
      </c>
    </row>
    <row r="25" spans="1:6" ht="32.25" thickBot="1">
      <c r="A25" s="27" t="s">
        <v>86</v>
      </c>
      <c r="B25" s="73" t="s">
        <v>161</v>
      </c>
      <c r="C25" s="33">
        <f>0.53*109</f>
        <v>57.77</v>
      </c>
    </row>
    <row r="26" spans="1:6" ht="32.25" thickBot="1">
      <c r="A26" s="27" t="s">
        <v>82</v>
      </c>
      <c r="B26" s="35" t="s">
        <v>163</v>
      </c>
      <c r="C26" s="33">
        <f>(561364/438912)*109</f>
        <v>139.40989537766112</v>
      </c>
    </row>
    <row r="27" spans="1:6" ht="32.25" thickBot="1">
      <c r="A27" s="27" t="s">
        <v>78</v>
      </c>
      <c r="B27" s="71" t="s">
        <v>166</v>
      </c>
      <c r="C27" s="33">
        <f>(627676/438912)*109</f>
        <v>155.87790718868476</v>
      </c>
    </row>
    <row r="28" spans="1:6" ht="32.25" thickBot="1">
      <c r="A28" s="27" t="s">
        <v>136</v>
      </c>
      <c r="B28" s="71" t="s">
        <v>228</v>
      </c>
      <c r="C28" s="33">
        <f>(286606/438912)*109</f>
        <v>71.176121864975215</v>
      </c>
    </row>
    <row r="29" spans="1:6" ht="32.25" thickBot="1">
      <c r="A29" s="27" t="s">
        <v>134</v>
      </c>
      <c r="B29" s="30" t="s">
        <v>173</v>
      </c>
      <c r="C29" s="33">
        <f>0.36*109</f>
        <v>39.24</v>
      </c>
    </row>
    <row r="30" spans="1:6" ht="32.25" thickBot="1">
      <c r="A30" s="27" t="s">
        <v>87</v>
      </c>
      <c r="B30" s="30" t="s">
        <v>156</v>
      </c>
      <c r="C30" s="33">
        <f>(46423/438912)*109</f>
        <v>11.528750637941091</v>
      </c>
    </row>
    <row r="31" spans="1:6" ht="32.25" thickBot="1">
      <c r="A31" s="27" t="s">
        <v>83</v>
      </c>
      <c r="B31" s="30" t="s">
        <v>165</v>
      </c>
      <c r="C31" s="33">
        <f>0.05*109</f>
        <v>5.45</v>
      </c>
    </row>
    <row r="32" spans="1:6" ht="32.25" thickBot="1">
      <c r="A32" s="27" t="s">
        <v>175</v>
      </c>
      <c r="B32" s="30" t="s">
        <v>176</v>
      </c>
      <c r="C32" s="33">
        <f>3.55*109</f>
        <v>386.95</v>
      </c>
      <c r="F32" s="9"/>
    </row>
    <row r="33" spans="1:5" ht="16.5" thickBot="1">
      <c r="A33" s="27"/>
      <c r="B33" s="28" t="s">
        <v>65</v>
      </c>
      <c r="C33" s="32">
        <f>SUM(C21:C32)</f>
        <v>1916.4995977707058</v>
      </c>
    </row>
    <row r="34" spans="1:5" ht="16.5" thickBot="1">
      <c r="A34" s="27"/>
      <c r="B34" s="37" t="s">
        <v>66</v>
      </c>
      <c r="C34" s="32">
        <f>C33+C19</f>
        <v>7292.0627347707059</v>
      </c>
    </row>
    <row r="35" spans="1:5">
      <c r="C35" s="9"/>
    </row>
    <row r="36" spans="1:5" ht="16.5" thickBot="1">
      <c r="C36" s="9"/>
    </row>
    <row r="37" spans="1:5" ht="16.5" thickBot="1">
      <c r="A37" s="141" t="s">
        <v>67</v>
      </c>
      <c r="B37" s="142"/>
      <c r="C37" s="38">
        <v>109</v>
      </c>
    </row>
    <row r="38" spans="1:5" ht="16.5" thickBot="1">
      <c r="A38" s="141" t="s">
        <v>68</v>
      </c>
      <c r="B38" s="142"/>
      <c r="C38" s="39">
        <f>C34/C37</f>
        <v>66.899658117162446</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F42"/>
  <sheetViews>
    <sheetView topLeftCell="A17" zoomScaleNormal="100" workbookViewId="0">
      <selection activeCell="D17" sqref="D1:D1048576"/>
    </sheetView>
  </sheetViews>
  <sheetFormatPr defaultColWidth="8.85546875" defaultRowHeight="15.75"/>
  <cols>
    <col min="1" max="1" width="14.85546875" style="1" customWidth="1"/>
    <col min="2" max="2" width="97" style="1" customWidth="1"/>
    <col min="3" max="3" width="19.85546875" style="1" customWidth="1"/>
    <col min="4" max="4" width="7" style="1" customWidth="1"/>
    <col min="5" max="16384" width="8.85546875" style="1"/>
  </cols>
  <sheetData>
    <row r="1" spans="1:4">
      <c r="A1" s="139" t="s">
        <v>57</v>
      </c>
      <c r="B1" s="139"/>
      <c r="C1" s="139"/>
      <c r="D1" s="24"/>
    </row>
    <row r="3" spans="1:4">
      <c r="A3" s="145" t="s">
        <v>69</v>
      </c>
      <c r="B3" s="145"/>
      <c r="C3" s="145"/>
    </row>
    <row r="4" spans="1:4" ht="37.5" customHeight="1">
      <c r="A4" s="150" t="s">
        <v>97</v>
      </c>
      <c r="B4" s="150"/>
      <c r="C4" s="150"/>
    </row>
    <row r="5" spans="1:4">
      <c r="A5" s="145" t="s">
        <v>58</v>
      </c>
      <c r="B5" s="145"/>
      <c r="C5" s="145"/>
    </row>
    <row r="6" spans="1:4" ht="16.5" thickBot="1">
      <c r="A6" s="146" t="s">
        <v>220</v>
      </c>
      <c r="B6" s="146"/>
    </row>
    <row r="7" spans="1:4" ht="79.5" thickBot="1">
      <c r="A7" s="25" t="s">
        <v>59</v>
      </c>
      <c r="B7" s="26" t="s">
        <v>60</v>
      </c>
      <c r="C7" s="26" t="s">
        <v>61</v>
      </c>
    </row>
    <row r="8" spans="1:4" ht="16.5" thickBot="1">
      <c r="A8" s="41"/>
      <c r="B8" s="42" t="s">
        <v>62</v>
      </c>
      <c r="C8" s="43"/>
      <c r="D8" s="100"/>
    </row>
    <row r="9" spans="1:4">
      <c r="A9" s="147" t="s">
        <v>75</v>
      </c>
      <c r="B9" s="45" t="s">
        <v>96</v>
      </c>
      <c r="C9" s="49">
        <f>20.66*7</f>
        <v>144.62</v>
      </c>
      <c r="D9" s="100"/>
    </row>
    <row r="10" spans="1:4">
      <c r="A10" s="148"/>
      <c r="B10" s="46" t="s">
        <v>72</v>
      </c>
      <c r="C10" s="108">
        <f>13.37*7</f>
        <v>93.589999999999989</v>
      </c>
      <c r="D10" s="100"/>
    </row>
    <row r="11" spans="1:4" ht="16.5" thickBot="1">
      <c r="A11" s="149"/>
      <c r="B11" s="47" t="s">
        <v>73</v>
      </c>
      <c r="C11" s="109">
        <f>9.01*7</f>
        <v>63.07</v>
      </c>
      <c r="D11" s="100"/>
    </row>
    <row r="12" spans="1:4" ht="32.25" thickBot="1">
      <c r="A12" s="27" t="s">
        <v>76</v>
      </c>
      <c r="B12" s="71" t="s">
        <v>74</v>
      </c>
      <c r="C12" s="33">
        <f>(C9+C10+C11)*0.2409</f>
        <v>72.578351999999995</v>
      </c>
    </row>
    <row r="13" spans="1:4" ht="32.25" thickBot="1">
      <c r="A13" s="27" t="s">
        <v>77</v>
      </c>
      <c r="B13" s="30" t="s">
        <v>167</v>
      </c>
      <c r="C13" s="33">
        <f>0.84*7</f>
        <v>5.88</v>
      </c>
    </row>
    <row r="14" spans="1:4" ht="32.25" thickBot="1">
      <c r="A14" s="27" t="s">
        <v>79</v>
      </c>
      <c r="B14" s="30" t="s">
        <v>181</v>
      </c>
      <c r="C14" s="52">
        <f>(1.36+6.91)*7</f>
        <v>57.89</v>
      </c>
    </row>
    <row r="15" spans="1:4" ht="32.25" thickBot="1">
      <c r="A15" s="27" t="s">
        <v>80</v>
      </c>
      <c r="B15" s="71" t="s">
        <v>169</v>
      </c>
      <c r="C15" s="33">
        <f>1.03*7</f>
        <v>7.21</v>
      </c>
    </row>
    <row r="16" spans="1:4" ht="32.25" thickBot="1">
      <c r="A16" s="27" t="s">
        <v>82</v>
      </c>
      <c r="B16" s="30" t="s">
        <v>171</v>
      </c>
      <c r="C16" s="33">
        <f>1.42*7</f>
        <v>9.94</v>
      </c>
    </row>
    <row r="17" spans="1:6" ht="32.25" thickBot="1">
      <c r="A17" s="27" t="s">
        <v>170</v>
      </c>
      <c r="B17" s="30" t="s">
        <v>172</v>
      </c>
      <c r="C17" s="33">
        <f>1.14*7</f>
        <v>7.9799999999999995</v>
      </c>
    </row>
    <row r="18" spans="1:6" ht="32.25" thickBot="1">
      <c r="A18" s="27" t="s">
        <v>81</v>
      </c>
      <c r="B18" s="30" t="s">
        <v>182</v>
      </c>
      <c r="C18" s="52">
        <f>11.45*7</f>
        <v>80.149999999999991</v>
      </c>
    </row>
    <row r="19" spans="1:6" ht="16.5" thickBot="1">
      <c r="A19" s="27"/>
      <c r="B19" s="31" t="s">
        <v>63</v>
      </c>
      <c r="C19" s="32">
        <f>SUM(C9:C18)</f>
        <v>542.90835199999992</v>
      </c>
    </row>
    <row r="20" spans="1:6" ht="16.5" thickBot="1">
      <c r="A20" s="27"/>
      <c r="B20" s="31" t="s">
        <v>64</v>
      </c>
      <c r="C20" s="33"/>
    </row>
    <row r="21" spans="1:6" ht="32.25" thickBot="1">
      <c r="A21" s="27" t="s">
        <v>84</v>
      </c>
      <c r="B21" s="34" t="s">
        <v>152</v>
      </c>
      <c r="C21" s="33">
        <f>(C9+C10+C11)*0.25</f>
        <v>75.319999999999993</v>
      </c>
    </row>
    <row r="22" spans="1:6" ht="32.25" thickBot="1">
      <c r="A22" s="27" t="s">
        <v>76</v>
      </c>
      <c r="B22" s="30" t="s">
        <v>74</v>
      </c>
      <c r="C22" s="33">
        <f>C21*0.2409</f>
        <v>18.144587999999999</v>
      </c>
    </row>
    <row r="23" spans="1:6" ht="32.25" thickBot="1">
      <c r="A23" s="27" t="s">
        <v>88</v>
      </c>
      <c r="B23" s="29" t="s">
        <v>162</v>
      </c>
      <c r="C23" s="33">
        <f>(39708/438912)*7</f>
        <v>0.63328412073490814</v>
      </c>
      <c r="D23" s="36"/>
    </row>
    <row r="24" spans="1:6" ht="32.25" thickBot="1">
      <c r="A24" s="27" t="s">
        <v>85</v>
      </c>
      <c r="B24" s="30" t="s">
        <v>164</v>
      </c>
      <c r="C24" s="33">
        <f>1.85*7</f>
        <v>12.950000000000001</v>
      </c>
    </row>
    <row r="25" spans="1:6" ht="32.25" thickBot="1">
      <c r="A25" s="27" t="s">
        <v>86</v>
      </c>
      <c r="B25" s="73" t="s">
        <v>157</v>
      </c>
      <c r="C25" s="33">
        <f>0.53*7</f>
        <v>3.71</v>
      </c>
    </row>
    <row r="26" spans="1:6" ht="32.25" thickBot="1">
      <c r="A26" s="27" t="s">
        <v>82</v>
      </c>
      <c r="B26" s="35" t="s">
        <v>163</v>
      </c>
      <c r="C26" s="33">
        <f>1.28*7</f>
        <v>8.9600000000000009</v>
      </c>
    </row>
    <row r="27" spans="1:6" ht="32.25" thickBot="1">
      <c r="A27" s="27" t="s">
        <v>78</v>
      </c>
      <c r="B27" s="71" t="s">
        <v>166</v>
      </c>
      <c r="C27" s="33">
        <f>1.43*7</f>
        <v>10.01</v>
      </c>
    </row>
    <row r="28" spans="1:6" ht="32.25" thickBot="1">
      <c r="A28" s="27" t="s">
        <v>136</v>
      </c>
      <c r="B28" s="71" t="s">
        <v>229</v>
      </c>
      <c r="C28" s="33">
        <f>0.65*7</f>
        <v>4.55</v>
      </c>
    </row>
    <row r="29" spans="1:6" ht="32.25" thickBot="1">
      <c r="A29" s="27" t="s">
        <v>134</v>
      </c>
      <c r="B29" s="30" t="s">
        <v>173</v>
      </c>
      <c r="C29" s="33">
        <f>0.36*7</f>
        <v>2.52</v>
      </c>
    </row>
    <row r="30" spans="1:6" ht="32.25" thickBot="1">
      <c r="A30" s="27" t="s">
        <v>87</v>
      </c>
      <c r="B30" s="30" t="s">
        <v>156</v>
      </c>
      <c r="C30" s="33">
        <f>0.11*7</f>
        <v>0.77</v>
      </c>
    </row>
    <row r="31" spans="1:6" ht="32.25" thickBot="1">
      <c r="A31" s="27" t="s">
        <v>83</v>
      </c>
      <c r="B31" s="30" t="s">
        <v>165</v>
      </c>
      <c r="C31" s="33">
        <f>0.05*7</f>
        <v>0.35000000000000003</v>
      </c>
    </row>
    <row r="32" spans="1:6" ht="32.25" thickBot="1">
      <c r="A32" s="27" t="s">
        <v>175</v>
      </c>
      <c r="B32" s="30" t="s">
        <v>176</v>
      </c>
      <c r="C32" s="33">
        <f>3.55*7</f>
        <v>24.849999999999998</v>
      </c>
      <c r="F32" s="9"/>
    </row>
    <row r="33" spans="1:5" ht="16.5" thickBot="1">
      <c r="A33" s="27"/>
      <c r="B33" s="28" t="s">
        <v>65</v>
      </c>
      <c r="C33" s="32">
        <f>SUM(C21:C32)</f>
        <v>162.76787212073492</v>
      </c>
    </row>
    <row r="34" spans="1:5" ht="16.5" thickBot="1">
      <c r="A34" s="27"/>
      <c r="B34" s="37" t="s">
        <v>66</v>
      </c>
      <c r="C34" s="32">
        <f>C33+C19</f>
        <v>705.67622412073479</v>
      </c>
    </row>
    <row r="35" spans="1:5">
      <c r="C35" s="9"/>
    </row>
    <row r="36" spans="1:5" ht="16.5" thickBot="1">
      <c r="C36" s="9"/>
    </row>
    <row r="37" spans="1:5" ht="16.5" thickBot="1">
      <c r="A37" s="141" t="s">
        <v>67</v>
      </c>
      <c r="B37" s="142"/>
      <c r="C37" s="38">
        <v>7</v>
      </c>
    </row>
    <row r="38" spans="1:5" ht="16.5" thickBot="1">
      <c r="A38" s="141" t="s">
        <v>68</v>
      </c>
      <c r="B38" s="142"/>
      <c r="C38" s="39">
        <f>C34/C37</f>
        <v>100.81088916010496</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F42"/>
  <sheetViews>
    <sheetView topLeftCell="A14" zoomScaleNormal="100" workbookViewId="0">
      <selection activeCell="D14" sqref="D1:D1048576"/>
    </sheetView>
  </sheetViews>
  <sheetFormatPr defaultColWidth="8.85546875" defaultRowHeight="15.75"/>
  <cols>
    <col min="1" max="1" width="14.5703125" style="1" customWidth="1"/>
    <col min="2" max="2" width="101.7109375" style="1" customWidth="1"/>
    <col min="3" max="3" width="19.85546875" style="1" customWidth="1"/>
    <col min="4" max="4" width="8" style="1" customWidth="1"/>
    <col min="5" max="16384" width="8.85546875" style="1"/>
  </cols>
  <sheetData>
    <row r="1" spans="1:4">
      <c r="A1" s="139" t="s">
        <v>57</v>
      </c>
      <c r="B1" s="139"/>
      <c r="C1" s="139"/>
      <c r="D1" s="24"/>
    </row>
    <row r="3" spans="1:4">
      <c r="A3" s="145" t="s">
        <v>69</v>
      </c>
      <c r="B3" s="145"/>
      <c r="C3" s="145"/>
    </row>
    <row r="4" spans="1:4" ht="33.75" customHeight="1">
      <c r="A4" s="145" t="s">
        <v>100</v>
      </c>
      <c r="B4" s="145"/>
      <c r="C4" s="145"/>
    </row>
    <row r="5" spans="1:4">
      <c r="A5" s="145" t="s">
        <v>58</v>
      </c>
      <c r="B5" s="145"/>
      <c r="C5" s="145"/>
    </row>
    <row r="6" spans="1:4" ht="16.5" thickBot="1">
      <c r="A6" s="146" t="s">
        <v>101</v>
      </c>
      <c r="B6" s="146"/>
    </row>
    <row r="7" spans="1:4" ht="85.5" customHeight="1" thickBot="1">
      <c r="A7" s="25" t="s">
        <v>59</v>
      </c>
      <c r="B7" s="26" t="s">
        <v>60</v>
      </c>
      <c r="C7" s="26" t="s">
        <v>61</v>
      </c>
    </row>
    <row r="8" spans="1:4" ht="16.5" thickBot="1">
      <c r="A8" s="41"/>
      <c r="B8" s="42" t="s">
        <v>62</v>
      </c>
      <c r="C8" s="43"/>
      <c r="D8" s="100"/>
    </row>
    <row r="9" spans="1:4">
      <c r="A9" s="147" t="s">
        <v>75</v>
      </c>
      <c r="B9" s="45" t="s">
        <v>103</v>
      </c>
      <c r="C9" s="49">
        <f>12.39*4</f>
        <v>49.56</v>
      </c>
      <c r="D9" s="100"/>
    </row>
    <row r="10" spans="1:4">
      <c r="A10" s="148"/>
      <c r="B10" s="46" t="s">
        <v>72</v>
      </c>
      <c r="C10" s="108">
        <f>8.02*4</f>
        <v>32.08</v>
      </c>
      <c r="D10" s="100"/>
    </row>
    <row r="11" spans="1:4" ht="16.5" thickBot="1">
      <c r="A11" s="149"/>
      <c r="B11" s="47" t="s">
        <v>73</v>
      </c>
      <c r="C11" s="109">
        <f>5.4*4</f>
        <v>21.6</v>
      </c>
      <c r="D11" s="99"/>
    </row>
    <row r="12" spans="1:4" ht="32.25" thickBot="1">
      <c r="A12" s="27" t="s">
        <v>76</v>
      </c>
      <c r="B12" s="71" t="s">
        <v>74</v>
      </c>
      <c r="C12" s="33">
        <f>(C9+C10+C11)*0.2409</f>
        <v>24.870516000000002</v>
      </c>
    </row>
    <row r="13" spans="1:4" ht="32.25" thickBot="1">
      <c r="A13" s="27" t="s">
        <v>77</v>
      </c>
      <c r="B13" s="30" t="s">
        <v>167</v>
      </c>
      <c r="C13" s="33">
        <f>0.84*4</f>
        <v>3.36</v>
      </c>
    </row>
    <row r="14" spans="1:4" ht="32.25" thickBot="1">
      <c r="A14" s="27" t="s">
        <v>79</v>
      </c>
      <c r="B14" s="30" t="s">
        <v>183</v>
      </c>
      <c r="C14" s="52">
        <f>(1.36+9.22)*4</f>
        <v>42.32</v>
      </c>
    </row>
    <row r="15" spans="1:4" ht="32.25" thickBot="1">
      <c r="A15" s="27" t="s">
        <v>80</v>
      </c>
      <c r="B15" s="71" t="s">
        <v>169</v>
      </c>
      <c r="C15" s="33">
        <f>1.03*4</f>
        <v>4.12</v>
      </c>
    </row>
    <row r="16" spans="1:4" ht="32.25" thickBot="1">
      <c r="A16" s="27" t="s">
        <v>82</v>
      </c>
      <c r="B16" s="30" t="s">
        <v>171</v>
      </c>
      <c r="C16" s="33">
        <f>1.42*4</f>
        <v>5.68</v>
      </c>
    </row>
    <row r="17" spans="1:6" ht="32.25" thickBot="1">
      <c r="A17" s="27" t="s">
        <v>170</v>
      </c>
      <c r="B17" s="30" t="s">
        <v>172</v>
      </c>
      <c r="C17" s="33">
        <f>1.14*4</f>
        <v>4.5599999999999996</v>
      </c>
    </row>
    <row r="18" spans="1:6" ht="32.25" thickBot="1">
      <c r="A18" s="27" t="s">
        <v>81</v>
      </c>
      <c r="B18" s="30" t="s">
        <v>179</v>
      </c>
      <c r="C18" s="52">
        <f>5.88*4</f>
        <v>23.52</v>
      </c>
    </row>
    <row r="19" spans="1:6" ht="16.5" thickBot="1">
      <c r="A19" s="27"/>
      <c r="B19" s="31" t="s">
        <v>63</v>
      </c>
      <c r="C19" s="32">
        <f>SUM(C9:C18)</f>
        <v>211.67051600000005</v>
      </c>
    </row>
    <row r="20" spans="1:6" ht="16.5" thickBot="1">
      <c r="A20" s="27"/>
      <c r="B20" s="31" t="s">
        <v>64</v>
      </c>
      <c r="C20" s="33"/>
    </row>
    <row r="21" spans="1:6" ht="32.25" thickBot="1">
      <c r="A21" s="27" t="s">
        <v>84</v>
      </c>
      <c r="B21" s="34" t="s">
        <v>152</v>
      </c>
      <c r="C21" s="33">
        <f>(C9+C10+C11)*0.25</f>
        <v>25.810000000000002</v>
      </c>
    </row>
    <row r="22" spans="1:6" ht="32.25" thickBot="1">
      <c r="A22" s="27" t="s">
        <v>76</v>
      </c>
      <c r="B22" s="30" t="s">
        <v>74</v>
      </c>
      <c r="C22" s="33">
        <f>C21*0.2409</f>
        <v>6.2176290000000005</v>
      </c>
    </row>
    <row r="23" spans="1:6" ht="32.25" thickBot="1">
      <c r="A23" s="27" t="s">
        <v>88</v>
      </c>
      <c r="B23" s="29" t="s">
        <v>162</v>
      </c>
      <c r="C23" s="33">
        <f>(39708/438912)*4</f>
        <v>0.36187664041994749</v>
      </c>
      <c r="D23" s="36"/>
    </row>
    <row r="24" spans="1:6" ht="32.25" thickBot="1">
      <c r="A24" s="27" t="s">
        <v>85</v>
      </c>
      <c r="B24" s="30" t="s">
        <v>164</v>
      </c>
      <c r="C24" s="33">
        <f>1.85*4</f>
        <v>7.4</v>
      </c>
    </row>
    <row r="25" spans="1:6" ht="32.25" thickBot="1">
      <c r="A25" s="27" t="s">
        <v>86</v>
      </c>
      <c r="B25" s="73" t="s">
        <v>157</v>
      </c>
      <c r="C25" s="33">
        <f>0.53*4</f>
        <v>2.12</v>
      </c>
    </row>
    <row r="26" spans="1:6" ht="32.25" thickBot="1">
      <c r="A26" s="27" t="s">
        <v>82</v>
      </c>
      <c r="B26" s="35" t="s">
        <v>163</v>
      </c>
      <c r="C26" s="33">
        <f>1.28*4</f>
        <v>5.12</v>
      </c>
    </row>
    <row r="27" spans="1:6" ht="32.25" thickBot="1">
      <c r="A27" s="27" t="s">
        <v>78</v>
      </c>
      <c r="B27" s="71" t="s">
        <v>166</v>
      </c>
      <c r="C27" s="33">
        <f>1.43*4</f>
        <v>5.72</v>
      </c>
    </row>
    <row r="28" spans="1:6" ht="32.25" thickBot="1">
      <c r="A28" s="27" t="s">
        <v>136</v>
      </c>
      <c r="B28" s="71" t="s">
        <v>229</v>
      </c>
      <c r="C28" s="33">
        <f>0.65*4</f>
        <v>2.6</v>
      </c>
    </row>
    <row r="29" spans="1:6" ht="32.25" thickBot="1">
      <c r="A29" s="27" t="s">
        <v>134</v>
      </c>
      <c r="B29" s="30" t="s">
        <v>173</v>
      </c>
      <c r="C29" s="33">
        <f>0.36*4</f>
        <v>1.44</v>
      </c>
    </row>
    <row r="30" spans="1:6" ht="32.25" thickBot="1">
      <c r="A30" s="27" t="s">
        <v>87</v>
      </c>
      <c r="B30" s="30" t="s">
        <v>156</v>
      </c>
      <c r="C30" s="33">
        <f>(46423/438912)*4</f>
        <v>0.4230734179060951</v>
      </c>
    </row>
    <row r="31" spans="1:6" ht="32.25" thickBot="1">
      <c r="A31" s="27" t="s">
        <v>83</v>
      </c>
      <c r="B31" s="30" t="s">
        <v>165</v>
      </c>
      <c r="C31" s="33">
        <f>(21000/438912)*4</f>
        <v>0.19138232720909887</v>
      </c>
    </row>
    <row r="32" spans="1:6" ht="32.25" thickBot="1">
      <c r="A32" s="27" t="s">
        <v>175</v>
      </c>
      <c r="B32" s="30" t="s">
        <v>176</v>
      </c>
      <c r="C32" s="33">
        <f>3.55*4</f>
        <v>14.2</v>
      </c>
      <c r="F32" s="9"/>
    </row>
    <row r="33" spans="1:5" ht="16.5" thickBot="1">
      <c r="A33" s="27"/>
      <c r="B33" s="28" t="s">
        <v>65</v>
      </c>
      <c r="C33" s="32">
        <f>SUM(C21:C32)</f>
        <v>71.603961385535143</v>
      </c>
    </row>
    <row r="34" spans="1:5" ht="16.5" thickBot="1">
      <c r="A34" s="27"/>
      <c r="B34" s="37" t="s">
        <v>66</v>
      </c>
      <c r="C34" s="32">
        <f>C33+C19</f>
        <v>283.27447738553519</v>
      </c>
    </row>
    <row r="35" spans="1:5">
      <c r="C35" s="9"/>
    </row>
    <row r="36" spans="1:5" ht="16.5" thickBot="1">
      <c r="C36" s="9"/>
    </row>
    <row r="37" spans="1:5" ht="16.5" thickBot="1">
      <c r="A37" s="141" t="s">
        <v>67</v>
      </c>
      <c r="B37" s="142"/>
      <c r="C37" s="38">
        <v>4</v>
      </c>
    </row>
    <row r="38" spans="1:5" ht="16.5" thickBot="1">
      <c r="A38" s="141" t="s">
        <v>68</v>
      </c>
      <c r="B38" s="142"/>
      <c r="C38" s="39">
        <f>C34/C37</f>
        <v>70.818619346383798</v>
      </c>
    </row>
    <row r="40" spans="1:5">
      <c r="A40" s="13"/>
      <c r="B40" s="13"/>
      <c r="C40" s="51"/>
      <c r="D40" s="13"/>
      <c r="E40" s="13"/>
    </row>
    <row r="41" spans="1:5">
      <c r="A41" s="143"/>
      <c r="B41" s="143"/>
      <c r="C41" s="13"/>
      <c r="D41" s="13"/>
      <c r="E41" s="13"/>
    </row>
    <row r="42" spans="1:5" ht="18.75" hidden="1">
      <c r="A42" s="144"/>
      <c r="B42" s="144"/>
      <c r="C42" s="40"/>
      <c r="D42" s="13"/>
      <c r="E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27</vt:i4>
      </vt:variant>
    </vt:vector>
  </HeadingPairs>
  <TitlesOfParts>
    <vt:vector size="71" baseType="lpstr">
      <vt:lpstr>Saraksts</vt:lpstr>
      <vt:lpstr>1.1.</vt:lpstr>
      <vt:lpstr>1.2.</vt:lpstr>
      <vt:lpstr>1.3.</vt:lpstr>
      <vt:lpstr>2.1.</vt:lpstr>
      <vt:lpstr>2.2.</vt:lpstr>
      <vt:lpstr>2.3.</vt:lpstr>
      <vt:lpstr>2.4.</vt:lpstr>
      <vt:lpstr>2.5.</vt:lpstr>
      <vt:lpstr>2.6.</vt:lpstr>
      <vt:lpstr>2.7.</vt:lpstr>
      <vt:lpstr>2.8.</vt:lpstr>
      <vt:lpstr>3.1.</vt:lpstr>
      <vt:lpstr>3.2.</vt:lpstr>
      <vt:lpstr>3.3.</vt:lpstr>
      <vt:lpstr>3.4.</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'3.4.'!Print_Area</vt:lpstr>
      <vt:lpstr>'4.1.'!Print_Area</vt:lpstr>
      <vt:lpstr>'4.10.'!Print_Area</vt:lpstr>
      <vt:lpstr>'4.2.'!Print_Area</vt:lpstr>
      <vt:lpstr>'4.3.'!Print_Area</vt:lpstr>
      <vt:lpstr>'4.4.'!Print_Area</vt:lpstr>
      <vt:lpstr>'4.5.'!Print_Area</vt:lpstr>
      <vt:lpstr>'4.6.'!Print_Area</vt:lpstr>
      <vt:lpstr>'4.7.'!Print_Area</vt:lpstr>
      <vt:lpstr>'4.8.'!Print_Area</vt:lpstr>
      <vt:lpstr>'4.9.'!Print_Area</vt:lpstr>
      <vt:lpstr>'5.1.'!Print_Area</vt:lpstr>
      <vt:lpstr>'5.2.'!Print_Area</vt:lpstr>
      <vt:lpstr>'5.3.'!Print_Area</vt:lpstr>
      <vt:lpstr>'5.4.'!Print_Area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 "Grozījumi Ministru kabineta 2018.gada 21.novembra noteikumos Nr.712 "Neatliekamās medicīniskās palīdzības dienesta maksas pakalpojumu cenrādis"" sākotnējās (ex-ante) ietekmes novērtējuma ziņojumam (anotācijai)</dc:title>
  <dc:subject>pielikums</dc:subject>
  <dc:creator>Lāsma Zandberga</dc:creator>
  <dc:description>67876041, lasma.zandberga@vm.gov.lv</dc:description>
  <cp:lastModifiedBy>Lāsma Zandberga</cp:lastModifiedBy>
  <cp:lastPrinted>2019-06-13T09:06:23Z</cp:lastPrinted>
  <dcterms:created xsi:type="dcterms:W3CDTF">2017-11-23T10:59:22Z</dcterms:created>
  <dcterms:modified xsi:type="dcterms:W3CDTF">2019-07-31T11:41:22Z</dcterms:modified>
</cp:coreProperties>
</file>