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ADOŠĀ IESTĀDE\ES FONDU STRATĒĢIJAS DEPARTAMENTS\CPIPN\04_FM_zinojumi\14_Vidusposma_zinojums\05_info zinojums\02_zinojuma_versija_Nr.2\Pielikumi\"/>
    </mc:Choice>
  </mc:AlternateContent>
  <bookViews>
    <workbookView xWindow="0" yWindow="0" windowWidth="28800" windowHeight="12300"/>
  </bookViews>
  <sheets>
    <sheet name="Rezerve_SAM_SAMP_kārta" sheetId="1" r:id="rId1"/>
    <sheet name="Apkopojums" sheetId="11" state="hidden" r:id="rId2"/>
    <sheet name="Virssaistības" sheetId="10" state="hidden" r:id="rId3"/>
    <sheet name="Rezerve_PV" sheetId="6" state="hidden" r:id="rId4"/>
    <sheet name="Virsaistības_Tematiskā koncentr" sheetId="5" state="hidden" r:id="rId5"/>
    <sheet name="Drop_down_list" sheetId="4" state="hidden" r:id="rId6"/>
    <sheet name="Papildu vajadzības" sheetId="7" state="hidden" r:id="rId7"/>
    <sheet name="Tematiskā_koncentrācija" sheetId="12" state="hidden" r:id="rId8"/>
  </sheets>
  <definedNames>
    <definedName name="_xlnm._FilterDatabase" localSheetId="1" hidden="1">Apkopojums!$B$1:$O$1</definedName>
    <definedName name="_xlnm._FilterDatabase" localSheetId="0" hidden="1">Rezerve_SAM_SAMP_kārta!$A$6:$V$196</definedName>
    <definedName name="_xlnm.Print_Area" localSheetId="6">'Papildu vajadzības'!$A$1:$E$41</definedName>
    <definedName name="_xlnm.Print_Area" localSheetId="0">Rezerve_SAM_SAMP_kārta!$A$1:$V$196</definedName>
    <definedName name="_xlnm.Print_Area" localSheetId="2">Virssaistības!$B$2:$K$55</definedName>
    <definedName name="_xlnm.Print_Titles" localSheetId="0">Rezerve_SAM_SAMP_kārta!$A:$F,Rezerve_SAM_SAMP_kārta!$4:$5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6" i="1" l="1"/>
  <c r="S79" i="1"/>
  <c r="N114" i="1" l="1"/>
  <c r="S96" i="1" l="1"/>
  <c r="T97" i="1"/>
  <c r="T140" i="1" l="1"/>
  <c r="S140" i="1"/>
  <c r="T143" i="1"/>
  <c r="S136" i="1"/>
  <c r="S73" i="1" l="1"/>
  <c r="N109" i="1" l="1"/>
  <c r="T112" i="1" l="1"/>
  <c r="T106" i="1"/>
  <c r="T71" i="1"/>
  <c r="T114" i="1"/>
  <c r="M112" i="1" l="1"/>
  <c r="S112" i="1"/>
  <c r="U112" i="1" s="1"/>
  <c r="U109" i="1" l="1"/>
  <c r="S107" i="1" l="1"/>
  <c r="S111" i="1" l="1"/>
  <c r="S180" i="1" l="1"/>
  <c r="S179" i="1"/>
  <c r="S33" i="1" l="1"/>
  <c r="S171" i="1" l="1"/>
  <c r="T183" i="1" l="1"/>
  <c r="N108" i="1" l="1"/>
  <c r="B13" i="12" l="1"/>
  <c r="B6" i="12"/>
  <c r="S97" i="1" l="1"/>
  <c r="N185" i="1" l="1"/>
  <c r="N180" i="1"/>
  <c r="T180" i="1" s="1"/>
  <c r="N179" i="1"/>
  <c r="T179" i="1" s="1"/>
  <c r="N176" i="1"/>
  <c r="T176" i="1" s="1"/>
  <c r="O176" i="1"/>
  <c r="O144" i="1"/>
  <c r="T144" i="1" s="1"/>
  <c r="N144" i="1"/>
  <c r="O141" i="1"/>
  <c r="O68" i="1" l="1"/>
  <c r="N101" i="1" l="1"/>
  <c r="O95" i="1"/>
  <c r="N95" i="1"/>
  <c r="O67" i="1"/>
  <c r="N67" i="1"/>
  <c r="O65" i="1"/>
  <c r="N65" i="1"/>
  <c r="N63" i="1"/>
  <c r="N62" i="1"/>
  <c r="O57" i="1"/>
  <c r="N57" i="1"/>
  <c r="O46" i="1"/>
  <c r="N46" i="1"/>
  <c r="O41" i="1"/>
  <c r="N41" i="1"/>
  <c r="O40" i="1"/>
  <c r="N40" i="1"/>
  <c r="N33" i="1"/>
  <c r="T33" i="1" s="1"/>
  <c r="N122" i="1" l="1"/>
  <c r="O122" i="1"/>
  <c r="O184" i="1" l="1"/>
  <c r="N184" i="1"/>
  <c r="O139" i="1"/>
  <c r="N139" i="1"/>
  <c r="U139" i="1" s="1"/>
  <c r="O138" i="1"/>
  <c r="N138" i="1"/>
  <c r="U138" i="1" s="1"/>
  <c r="N129" i="1" l="1"/>
  <c r="N128" i="1"/>
  <c r="O128" i="1"/>
  <c r="S72" i="1" l="1"/>
  <c r="S110" i="1" l="1"/>
  <c r="S105" i="1"/>
  <c r="O111" i="1" l="1"/>
  <c r="N111" i="1"/>
  <c r="T111" i="1" s="1"/>
  <c r="N110" i="1"/>
  <c r="T110" i="1" s="1"/>
  <c r="O105" i="1"/>
  <c r="N105" i="1"/>
  <c r="T105" i="1" s="1"/>
  <c r="N100" i="1"/>
  <c r="N68" i="1"/>
  <c r="N64" i="1"/>
  <c r="O58" i="1"/>
  <c r="N58" i="1"/>
  <c r="T41" i="1" l="1"/>
  <c r="N52" i="1" l="1"/>
  <c r="N47" i="1"/>
  <c r="O25" i="1"/>
  <c r="N25" i="1"/>
  <c r="O19" i="1"/>
  <c r="N19" i="1"/>
  <c r="O8" i="1"/>
  <c r="N8" i="1"/>
  <c r="T8" i="1" s="1"/>
  <c r="O7" i="1"/>
  <c r="N7" i="1"/>
  <c r="U97" i="1" l="1"/>
  <c r="U179" i="1" l="1"/>
  <c r="U180" i="1"/>
  <c r="S23" i="1" l="1"/>
  <c r="D19" i="10" l="1"/>
  <c r="D18" i="10"/>
  <c r="D17" i="10"/>
  <c r="D13" i="10"/>
  <c r="D12" i="10"/>
  <c r="D11" i="10"/>
  <c r="D9" i="10"/>
  <c r="D8" i="10"/>
  <c r="J19" i="10"/>
  <c r="J18" i="10"/>
  <c r="J17" i="10"/>
  <c r="J16" i="10"/>
  <c r="J15" i="10"/>
  <c r="J14" i="10"/>
  <c r="J13" i="10"/>
  <c r="J12" i="10"/>
  <c r="J11" i="10"/>
  <c r="J10" i="10"/>
  <c r="J9" i="10"/>
  <c r="J8" i="10"/>
  <c r="J7" i="10"/>
  <c r="I19" i="10"/>
  <c r="I18" i="10"/>
  <c r="I17" i="10"/>
  <c r="I16" i="10"/>
  <c r="I15" i="10"/>
  <c r="I14" i="10"/>
  <c r="I13" i="10"/>
  <c r="I12" i="10"/>
  <c r="I11" i="10"/>
  <c r="I10" i="10"/>
  <c r="I9" i="10"/>
  <c r="I8" i="10"/>
  <c r="I7" i="10"/>
  <c r="H7" i="10"/>
  <c r="H8" i="10"/>
  <c r="H10" i="10"/>
  <c r="H16" i="10"/>
  <c r="H19" i="10"/>
  <c r="G19" i="10"/>
  <c r="G14" i="10"/>
  <c r="F19" i="10"/>
  <c r="F18" i="10"/>
  <c r="F17" i="10"/>
  <c r="F16" i="10"/>
  <c r="F15" i="10"/>
  <c r="F14" i="10"/>
  <c r="F13" i="10"/>
  <c r="F12" i="10"/>
  <c r="F11" i="10"/>
  <c r="F10" i="10"/>
  <c r="F9" i="10"/>
  <c r="F8" i="10"/>
  <c r="F7" i="10"/>
  <c r="D16" i="10"/>
  <c r="D14" i="10"/>
  <c r="D10" i="10"/>
  <c r="D7" i="10"/>
  <c r="E19" i="10"/>
  <c r="E18" i="10"/>
  <c r="E17" i="10"/>
  <c r="E16" i="10"/>
  <c r="E15" i="10"/>
  <c r="E14" i="10"/>
  <c r="E13" i="10"/>
  <c r="E12" i="10"/>
  <c r="E11" i="10"/>
  <c r="E10" i="10"/>
  <c r="E9" i="10"/>
  <c r="E8" i="10"/>
  <c r="E7" i="10"/>
  <c r="P161" i="1" l="1"/>
  <c r="P162" i="1"/>
  <c r="P163" i="1"/>
  <c r="P166" i="1"/>
  <c r="P167" i="1"/>
  <c r="P172" i="1"/>
  <c r="P178" i="1"/>
  <c r="P181" i="1"/>
  <c r="P183" i="1"/>
  <c r="P132" i="1"/>
  <c r="P134" i="1"/>
  <c r="P136" i="1"/>
  <c r="P140" i="1"/>
  <c r="P142" i="1"/>
  <c r="P143" i="1"/>
  <c r="P144" i="1"/>
  <c r="P146" i="1"/>
  <c r="P147" i="1"/>
  <c r="P150" i="1"/>
  <c r="P152" i="1"/>
  <c r="P153" i="1"/>
  <c r="P155" i="1"/>
  <c r="P156" i="1"/>
  <c r="P119" i="1"/>
  <c r="P120" i="1"/>
  <c r="P123" i="1"/>
  <c r="P124" i="1"/>
  <c r="P125" i="1"/>
  <c r="P106" i="1"/>
  <c r="P108" i="1"/>
  <c r="P109" i="1"/>
  <c r="P111" i="1"/>
  <c r="P113" i="1"/>
  <c r="P114" i="1"/>
  <c r="P82" i="1"/>
  <c r="P84" i="1"/>
  <c r="P87" i="1"/>
  <c r="P88" i="1"/>
  <c r="P90" i="1"/>
  <c r="P91" i="1"/>
  <c r="P92" i="1"/>
  <c r="P93" i="1"/>
  <c r="P94" i="1"/>
  <c r="P59" i="1"/>
  <c r="P66" i="1"/>
  <c r="P69" i="1"/>
  <c r="P73" i="1"/>
  <c r="P38" i="1"/>
  <c r="P41" i="1"/>
  <c r="P43" i="1"/>
  <c r="P44" i="1"/>
  <c r="P52" i="1"/>
  <c r="P53" i="1"/>
  <c r="P54" i="1"/>
  <c r="P34" i="1"/>
  <c r="P31" i="1"/>
  <c r="P10" i="1"/>
  <c r="P11" i="1"/>
  <c r="P13" i="1"/>
  <c r="P17" i="1"/>
  <c r="P18" i="1"/>
  <c r="P20" i="1"/>
  <c r="P21" i="1"/>
  <c r="P22" i="1"/>
  <c r="P23" i="1"/>
  <c r="P28" i="1"/>
  <c r="V8" i="11" l="1"/>
  <c r="E30" i="11" l="1"/>
  <c r="G30" i="11" s="1"/>
  <c r="F92" i="11" l="1"/>
  <c r="H92" i="11" s="1"/>
  <c r="F93" i="11"/>
  <c r="H93" i="11" s="1"/>
  <c r="F94" i="11"/>
  <c r="H94" i="11" s="1"/>
  <c r="F95" i="11"/>
  <c r="H95" i="11" s="1"/>
  <c r="F85" i="11"/>
  <c r="H85" i="11" s="1"/>
  <c r="F86" i="11"/>
  <c r="H86" i="11" s="1"/>
  <c r="F87" i="11"/>
  <c r="H87" i="11" s="1"/>
  <c r="F88" i="11"/>
  <c r="H88" i="11" s="1"/>
  <c r="F78" i="11"/>
  <c r="H78" i="11" s="1"/>
  <c r="F79" i="11"/>
  <c r="H79" i="11" s="1"/>
  <c r="F80" i="11"/>
  <c r="H80" i="11" s="1"/>
  <c r="F81" i="11"/>
  <c r="H81" i="11" s="1"/>
  <c r="F71" i="11"/>
  <c r="H71" i="11" s="1"/>
  <c r="F72" i="11"/>
  <c r="H72" i="11" s="1"/>
  <c r="F73" i="11"/>
  <c r="H73" i="11" s="1"/>
  <c r="F65" i="11"/>
  <c r="H65" i="11" s="1"/>
  <c r="F66" i="11"/>
  <c r="H66" i="11" s="1"/>
  <c r="F67" i="11"/>
  <c r="H67" i="11" s="1"/>
  <c r="F58" i="11"/>
  <c r="H58" i="11" s="1"/>
  <c r="F51" i="11"/>
  <c r="H51" i="11" s="1"/>
  <c r="F52" i="11"/>
  <c r="H52" i="11" s="1"/>
  <c r="F53" i="11"/>
  <c r="H53" i="11" s="1"/>
  <c r="F44" i="11"/>
  <c r="H44" i="11" s="1"/>
  <c r="F45" i="11"/>
  <c r="H45" i="11" s="1"/>
  <c r="F37" i="11"/>
  <c r="H37" i="11" s="1"/>
  <c r="F38" i="11"/>
  <c r="H38" i="11" s="1"/>
  <c r="F39" i="11"/>
  <c r="H39" i="11" s="1"/>
  <c r="F30" i="11"/>
  <c r="H30" i="11" s="1"/>
  <c r="F32" i="11"/>
  <c r="H32" i="11" s="1"/>
  <c r="F100" i="11" l="1"/>
  <c r="H100" i="11" s="1"/>
  <c r="E92" i="11"/>
  <c r="G92" i="11" s="1"/>
  <c r="E93" i="11"/>
  <c r="G93" i="11" s="1"/>
  <c r="E94" i="11"/>
  <c r="G94" i="11" s="1"/>
  <c r="E85" i="11"/>
  <c r="G85" i="11" s="1"/>
  <c r="E86" i="11"/>
  <c r="G86" i="11" s="1"/>
  <c r="E87" i="11"/>
  <c r="G87" i="11" s="1"/>
  <c r="E88" i="11"/>
  <c r="G88" i="11" s="1"/>
  <c r="E78" i="11"/>
  <c r="G78" i="11" s="1"/>
  <c r="E79" i="11"/>
  <c r="G79" i="11" s="1"/>
  <c r="E80" i="11"/>
  <c r="G80" i="11" s="1"/>
  <c r="E81" i="11"/>
  <c r="G81" i="11" s="1"/>
  <c r="E72" i="11"/>
  <c r="G72" i="11" s="1"/>
  <c r="E65" i="11"/>
  <c r="G65" i="11" s="1"/>
  <c r="E67" i="11"/>
  <c r="G67" i="11" s="1"/>
  <c r="E44" i="11"/>
  <c r="G44" i="11" s="1"/>
  <c r="E37" i="11"/>
  <c r="G37" i="11" s="1"/>
  <c r="Q25" i="11" l="1"/>
  <c r="Q27" i="11"/>
  <c r="Q28" i="11"/>
  <c r="Q31" i="11"/>
  <c r="Q37" i="11"/>
  <c r="Q42" i="11"/>
  <c r="Q43" i="11"/>
  <c r="Q45" i="11"/>
  <c r="Q48" i="11"/>
  <c r="Q49" i="11"/>
  <c r="O165" i="1" l="1"/>
  <c r="O160" i="1"/>
  <c r="O154" i="1"/>
  <c r="O149" i="1"/>
  <c r="C3" i="11" l="1"/>
  <c r="C4" i="11"/>
  <c r="C5" i="11"/>
  <c r="C7" i="11"/>
  <c r="C8" i="11"/>
  <c r="C9" i="11"/>
  <c r="C10" i="11"/>
  <c r="C11" i="11"/>
  <c r="C2" i="11"/>
  <c r="S62" i="1"/>
  <c r="S69" i="1"/>
  <c r="S156" i="1" l="1"/>
  <c r="S153" i="1"/>
  <c r="S71" i="1"/>
  <c r="J102" i="1" l="1"/>
  <c r="D15" i="10" s="1"/>
  <c r="R5" i="11"/>
  <c r="R7" i="11"/>
  <c r="R8" i="11"/>
  <c r="R9" i="11"/>
  <c r="R10" i="11"/>
  <c r="R11" i="11"/>
  <c r="R2" i="11"/>
  <c r="Q3" i="11"/>
  <c r="Q4" i="11"/>
  <c r="Q5" i="11"/>
  <c r="Q6" i="11"/>
  <c r="Q7" i="11"/>
  <c r="Q8" i="11"/>
  <c r="Q9" i="11"/>
  <c r="Q10" i="11"/>
  <c r="Q11" i="11"/>
  <c r="Q2" i="11"/>
  <c r="Q12" i="11" l="1"/>
  <c r="O45" i="1"/>
  <c r="N35" i="11"/>
  <c r="N50" i="11"/>
  <c r="N47" i="11"/>
  <c r="N44" i="11"/>
  <c r="N41" i="11"/>
  <c r="O38" i="11"/>
  <c r="P38" i="11"/>
  <c r="N38" i="11"/>
  <c r="N32" i="11"/>
  <c r="N29" i="11"/>
  <c r="N26" i="11"/>
  <c r="N23" i="11"/>
  <c r="Q38" i="11" l="1"/>
  <c r="N53" i="11"/>
  <c r="N46" i="11"/>
  <c r="P40" i="11"/>
  <c r="N40" i="11"/>
  <c r="N39" i="11"/>
  <c r="N36" i="11"/>
  <c r="N34" i="11"/>
  <c r="N33" i="11"/>
  <c r="N30" i="11"/>
  <c r="N22" i="11"/>
  <c r="N21" i="11"/>
  <c r="N52" i="11" l="1"/>
  <c r="O164" i="1"/>
  <c r="N164" i="1"/>
  <c r="N160" i="1"/>
  <c r="N154" i="1"/>
  <c r="P160" i="1" l="1"/>
  <c r="P154" i="1"/>
  <c r="P164" i="1"/>
  <c r="T164" i="1"/>
  <c r="N165" i="1"/>
  <c r="T171" i="1" s="1"/>
  <c r="N145" i="1"/>
  <c r="B35" i="7"/>
  <c r="P165" i="1" l="1"/>
  <c r="F59" i="11"/>
  <c r="H59" i="11" s="1"/>
  <c r="N149" i="1"/>
  <c r="P149" i="1" l="1"/>
  <c r="O97" i="1" l="1"/>
  <c r="H14" i="10" s="1"/>
  <c r="P97" i="1" l="1"/>
  <c r="S66" i="1" l="1"/>
  <c r="S64" i="1"/>
  <c r="T9" i="1" l="1"/>
  <c r="P40" i="1" l="1"/>
  <c r="I40" i="1"/>
  <c r="O145" i="1" l="1"/>
  <c r="P145" i="1" s="1"/>
  <c r="N107" i="1" l="1"/>
  <c r="T107" i="1" s="1"/>
  <c r="P101" i="1" l="1"/>
  <c r="P107" i="1"/>
  <c r="P33" i="1"/>
  <c r="G10" i="10" l="1"/>
  <c r="P64" i="1"/>
  <c r="P61" i="1" l="1"/>
  <c r="U161" i="1"/>
  <c r="U166" i="1"/>
  <c r="U167" i="1"/>
  <c r="U172" i="1"/>
  <c r="U178" i="1"/>
  <c r="U181" i="1"/>
  <c r="U142" i="1"/>
  <c r="U144" i="1"/>
  <c r="U146" i="1"/>
  <c r="U155" i="1"/>
  <c r="U120" i="1"/>
  <c r="U123" i="1"/>
  <c r="U124" i="1"/>
  <c r="U125" i="1"/>
  <c r="U84" i="1"/>
  <c r="U87" i="1"/>
  <c r="U91" i="1"/>
  <c r="U92" i="1"/>
  <c r="U61" i="1"/>
  <c r="U43" i="1"/>
  <c r="U44" i="1"/>
  <c r="U52" i="1"/>
  <c r="U54" i="1"/>
  <c r="U9" i="1"/>
  <c r="U11" i="1"/>
  <c r="U18" i="1"/>
  <c r="U20" i="1"/>
  <c r="U21" i="1"/>
  <c r="S184" i="1" l="1"/>
  <c r="S176" i="1"/>
  <c r="S163" i="1"/>
  <c r="U163" i="1" s="1"/>
  <c r="S162" i="1"/>
  <c r="U162" i="1" s="1"/>
  <c r="S159" i="1"/>
  <c r="T152" i="1"/>
  <c r="S152" i="1"/>
  <c r="S150" i="1"/>
  <c r="S149" i="1"/>
  <c r="S147" i="1"/>
  <c r="U147" i="1" s="1"/>
  <c r="T145" i="1"/>
  <c r="S143" i="1"/>
  <c r="S135" i="1"/>
  <c r="S134" i="1"/>
  <c r="U134" i="1" s="1"/>
  <c r="S133" i="1"/>
  <c r="S132" i="1"/>
  <c r="S129" i="1"/>
  <c r="S128" i="1"/>
  <c r="S115" i="1"/>
  <c r="S114" i="1"/>
  <c r="U114" i="1" s="1"/>
  <c r="T113" i="1"/>
  <c r="S113" i="1"/>
  <c r="S106" i="1"/>
  <c r="U106" i="1" s="1"/>
  <c r="S101" i="1"/>
  <c r="T101" i="1"/>
  <c r="S100" i="1"/>
  <c r="S99" i="1"/>
  <c r="S98" i="1"/>
  <c r="S95" i="1"/>
  <c r="T94" i="1"/>
  <c r="S94" i="1"/>
  <c r="S90" i="1"/>
  <c r="U90" i="1" s="1"/>
  <c r="S88" i="1"/>
  <c r="S83" i="1"/>
  <c r="S82" i="1"/>
  <c r="U82" i="1" s="1"/>
  <c r="S81" i="1"/>
  <c r="S80" i="1"/>
  <c r="S78" i="1"/>
  <c r="T64" i="1"/>
  <c r="S60" i="1"/>
  <c r="S74" i="1" s="1"/>
  <c r="S53" i="1"/>
  <c r="S51" i="1"/>
  <c r="S50" i="1"/>
  <c r="S48" i="1"/>
  <c r="S47" i="1"/>
  <c r="S45" i="1"/>
  <c r="S42" i="1"/>
  <c r="T38" i="1"/>
  <c r="S38" i="1"/>
  <c r="S37" i="1"/>
  <c r="S36" i="1"/>
  <c r="T34" i="1"/>
  <c r="U34" i="1" s="1"/>
  <c r="T31" i="1"/>
  <c r="U31" i="1" s="1"/>
  <c r="S28" i="1"/>
  <c r="U28" i="1" s="1"/>
  <c r="U145" i="1" l="1"/>
  <c r="U153" i="1"/>
  <c r="U156" i="1"/>
  <c r="U150" i="1"/>
  <c r="U33" i="1"/>
  <c r="U94" i="1"/>
  <c r="U152" i="1"/>
  <c r="U64" i="1"/>
  <c r="U53" i="1"/>
  <c r="T7" i="11"/>
  <c r="U38" i="1"/>
  <c r="U101" i="1"/>
  <c r="U107" i="1"/>
  <c r="U113" i="1"/>
  <c r="S17" i="1"/>
  <c r="U17" i="1" s="1"/>
  <c r="S16" i="1"/>
  <c r="S15" i="1"/>
  <c r="V5" i="11" l="1"/>
  <c r="U23" i="1"/>
  <c r="I14" i="1"/>
  <c r="K13" i="1"/>
  <c r="S10" i="1" s="1"/>
  <c r="U10" i="1" s="1"/>
  <c r="K14" i="1"/>
  <c r="K6" i="1"/>
  <c r="R6" i="11" l="1"/>
  <c r="C6" i="11"/>
  <c r="C12" i="11" s="1"/>
  <c r="N24" i="11"/>
  <c r="N51" i="11" s="1"/>
  <c r="N55" i="11" s="1"/>
  <c r="U13" i="1"/>
  <c r="S14" i="1"/>
  <c r="S6" i="1" s="1"/>
  <c r="N56" i="11" l="1"/>
  <c r="N99" i="1" l="1"/>
  <c r="N48" i="1"/>
  <c r="G7" i="10" l="1"/>
  <c r="G8" i="10"/>
  <c r="G16" i="10"/>
  <c r="P47" i="1"/>
  <c r="P99" i="1"/>
  <c r="O40" i="11"/>
  <c r="Q40" i="11" s="1"/>
  <c r="P48" i="1"/>
  <c r="P100" i="1"/>
  <c r="P129" i="1"/>
  <c r="P63" i="1"/>
  <c r="P62" i="1"/>
  <c r="T62" i="1"/>
  <c r="U62" i="1" s="1"/>
  <c r="T100" i="1"/>
  <c r="U100" i="1" s="1"/>
  <c r="T129" i="1"/>
  <c r="U129" i="1" s="1"/>
  <c r="T63" i="1"/>
  <c r="T47" i="1"/>
  <c r="U47" i="1" s="1"/>
  <c r="T99" i="1"/>
  <c r="U99" i="1" s="1"/>
  <c r="N32" i="1" l="1"/>
  <c r="N182" i="1"/>
  <c r="N177" i="1"/>
  <c r="N175" i="1"/>
  <c r="N174" i="1"/>
  <c r="N173" i="1"/>
  <c r="N171" i="1"/>
  <c r="N170" i="1"/>
  <c r="N169" i="1"/>
  <c r="N168" i="1"/>
  <c r="N159" i="1"/>
  <c r="N151" i="1"/>
  <c r="N148" i="1"/>
  <c r="N141" i="1"/>
  <c r="U140" i="1" s="1"/>
  <c r="N137" i="1"/>
  <c r="N135" i="1"/>
  <c r="N133" i="1"/>
  <c r="N131" i="1"/>
  <c r="N130" i="1"/>
  <c r="N118" i="1"/>
  <c r="N115" i="1"/>
  <c r="N102" i="1"/>
  <c r="N98" i="1"/>
  <c r="N96" i="1"/>
  <c r="N89" i="1"/>
  <c r="T78" i="1" s="1"/>
  <c r="N86" i="1"/>
  <c r="N85" i="1"/>
  <c r="N83" i="1"/>
  <c r="N81" i="1"/>
  <c r="N80" i="1"/>
  <c r="N79" i="1"/>
  <c r="T79" i="1" s="1"/>
  <c r="N78" i="1"/>
  <c r="N77" i="1"/>
  <c r="N76" i="1"/>
  <c r="N72" i="1"/>
  <c r="T72" i="1" s="1"/>
  <c r="N71" i="1"/>
  <c r="U71" i="1" s="1"/>
  <c r="N70" i="1"/>
  <c r="N51" i="1"/>
  <c r="T51" i="1" s="1"/>
  <c r="N50" i="1"/>
  <c r="N49" i="1"/>
  <c r="N45" i="1"/>
  <c r="N42" i="1"/>
  <c r="N39" i="1"/>
  <c r="N37" i="1"/>
  <c r="N36" i="1"/>
  <c r="N29" i="1"/>
  <c r="N27" i="1"/>
  <c r="N26" i="1"/>
  <c r="N24" i="1"/>
  <c r="N16" i="1"/>
  <c r="N15" i="1"/>
  <c r="N14" i="1"/>
  <c r="T73" i="1" l="1"/>
  <c r="U73" i="1"/>
  <c r="G9" i="10"/>
  <c r="G15" i="10"/>
  <c r="G11" i="10"/>
  <c r="G12" i="10"/>
  <c r="G17" i="10"/>
  <c r="G13" i="10"/>
  <c r="G18" i="10"/>
  <c r="F43" i="11"/>
  <c r="H43" i="11" s="1"/>
  <c r="O41" i="11"/>
  <c r="Q41" i="11" s="1"/>
  <c r="O26" i="11"/>
  <c r="Q26" i="11" s="1"/>
  <c r="F56" i="11"/>
  <c r="O24" i="11"/>
  <c r="Q24" i="11" s="1"/>
  <c r="F35" i="11"/>
  <c r="O21" i="11"/>
  <c r="F84" i="11"/>
  <c r="O36" i="11"/>
  <c r="Q36" i="11" s="1"/>
  <c r="F29" i="11"/>
  <c r="F42" i="11"/>
  <c r="O33" i="11"/>
  <c r="Q33" i="11" s="1"/>
  <c r="T168" i="1"/>
  <c r="F70" i="11"/>
  <c r="U174" i="1"/>
  <c r="O47" i="11"/>
  <c r="Q47" i="11" s="1"/>
  <c r="P179" i="1"/>
  <c r="P185" i="1"/>
  <c r="F60" i="11"/>
  <c r="H60" i="11" s="1"/>
  <c r="P45" i="1"/>
  <c r="O23" i="11"/>
  <c r="Q23" i="11" s="1"/>
  <c r="F91" i="11"/>
  <c r="O44" i="11"/>
  <c r="Q44" i="11" s="1"/>
  <c r="F31" i="11"/>
  <c r="O34" i="11"/>
  <c r="Q34" i="11" s="1"/>
  <c r="F64" i="11"/>
  <c r="H64" i="11" s="1"/>
  <c r="O29" i="11"/>
  <c r="Q29" i="11" s="1"/>
  <c r="F50" i="11"/>
  <c r="H50" i="11" s="1"/>
  <c r="O30" i="11"/>
  <c r="Q30" i="11" s="1"/>
  <c r="U175" i="1"/>
  <c r="O46" i="11"/>
  <c r="Q46" i="11" s="1"/>
  <c r="P180" i="1"/>
  <c r="F46" i="11"/>
  <c r="F63" i="11"/>
  <c r="F49" i="11"/>
  <c r="O32" i="11"/>
  <c r="Q32" i="11" s="1"/>
  <c r="F74" i="11"/>
  <c r="H74" i="11" s="1"/>
  <c r="F57" i="11"/>
  <c r="H57" i="11" s="1"/>
  <c r="O22" i="11"/>
  <c r="F36" i="11"/>
  <c r="H36" i="11" s="1"/>
  <c r="F77" i="11"/>
  <c r="O50" i="11"/>
  <c r="Q50" i="11" s="1"/>
  <c r="O39" i="11"/>
  <c r="Q39" i="11" s="1"/>
  <c r="U176" i="1"/>
  <c r="F28" i="11"/>
  <c r="U32" i="1"/>
  <c r="O35" i="11"/>
  <c r="N104" i="1"/>
  <c r="N74" i="1"/>
  <c r="F6" i="11"/>
  <c r="T7" i="1"/>
  <c r="U7" i="1" s="1"/>
  <c r="T14" i="1"/>
  <c r="U14" i="1" s="1"/>
  <c r="U24" i="1"/>
  <c r="T29" i="1"/>
  <c r="U29" i="1" s="1"/>
  <c r="U41" i="1"/>
  <c r="U49" i="1"/>
  <c r="F4" i="11"/>
  <c r="T48" i="1"/>
  <c r="U48" i="1" s="1"/>
  <c r="U58" i="1"/>
  <c r="U68" i="1"/>
  <c r="F9" i="11"/>
  <c r="U79" i="1"/>
  <c r="U85" i="1"/>
  <c r="T88" i="1"/>
  <c r="U88" i="1" s="1"/>
  <c r="U96" i="1"/>
  <c r="U110" i="1"/>
  <c r="U121" i="1"/>
  <c r="T122" i="1"/>
  <c r="U130" i="1"/>
  <c r="T132" i="1"/>
  <c r="U132" i="1" s="1"/>
  <c r="N158" i="1"/>
  <c r="U137" i="1"/>
  <c r="T148" i="1"/>
  <c r="N187" i="1"/>
  <c r="U159" i="1"/>
  <c r="T173" i="1"/>
  <c r="U173" i="1" s="1"/>
  <c r="U177" i="1"/>
  <c r="U184" i="1"/>
  <c r="N55" i="1"/>
  <c r="T36" i="1"/>
  <c r="U36" i="1" s="1"/>
  <c r="T42" i="1"/>
  <c r="U42" i="1" s="1"/>
  <c r="N56" i="1"/>
  <c r="F10" i="11"/>
  <c r="U50" i="1"/>
  <c r="T60" i="1"/>
  <c r="U60" i="1" s="1"/>
  <c r="U70" i="1"/>
  <c r="U76" i="1"/>
  <c r="U80" i="1"/>
  <c r="U86" i="1"/>
  <c r="T98" i="1"/>
  <c r="U98" i="1" s="1"/>
  <c r="U111" i="1"/>
  <c r="U131" i="1"/>
  <c r="U149" i="1"/>
  <c r="U160" i="1"/>
  <c r="U169" i="1"/>
  <c r="F8" i="11"/>
  <c r="N186" i="1"/>
  <c r="T185" i="1"/>
  <c r="U185" i="1" s="1"/>
  <c r="T15" i="1"/>
  <c r="U15" i="1" s="1"/>
  <c r="N30" i="1"/>
  <c r="U8" i="1"/>
  <c r="T16" i="1"/>
  <c r="U16" i="1" s="1"/>
  <c r="U26" i="1"/>
  <c r="T37" i="1"/>
  <c r="U37" i="1" s="1"/>
  <c r="T45" i="1"/>
  <c r="U45" i="1" s="1"/>
  <c r="F11" i="11"/>
  <c r="U51" i="1"/>
  <c r="U65" i="1"/>
  <c r="T66" i="1"/>
  <c r="U66" i="1" s="1"/>
  <c r="U77" i="1"/>
  <c r="U81" i="1"/>
  <c r="U89" i="1"/>
  <c r="T102" i="1"/>
  <c r="U102" i="1" s="1"/>
  <c r="N116" i="1"/>
  <c r="T115" i="1"/>
  <c r="U115" i="1" s="1"/>
  <c r="N127" i="1"/>
  <c r="T133" i="1"/>
  <c r="U133" i="1" s="1"/>
  <c r="T151" i="1"/>
  <c r="U151" i="1" s="1"/>
  <c r="U170" i="1"/>
  <c r="F2" i="11"/>
  <c r="T25" i="1"/>
  <c r="U25" i="1" s="1"/>
  <c r="U12" i="1"/>
  <c r="F3" i="11"/>
  <c r="U19" i="1"/>
  <c r="T22" i="1"/>
  <c r="U22" i="1" s="1"/>
  <c r="T27" i="1"/>
  <c r="U27" i="1" s="1"/>
  <c r="T39" i="1"/>
  <c r="U39" i="1" s="1"/>
  <c r="T46" i="1"/>
  <c r="U46" i="1" s="1"/>
  <c r="N75" i="1"/>
  <c r="U57" i="1"/>
  <c r="T59" i="1"/>
  <c r="U59" i="1" s="1"/>
  <c r="U67" i="1"/>
  <c r="U69" i="1"/>
  <c r="U72" i="1"/>
  <c r="N103" i="1"/>
  <c r="T83" i="1"/>
  <c r="U83" i="1" s="1"/>
  <c r="F7" i="11"/>
  <c r="U95" i="1"/>
  <c r="N117" i="1"/>
  <c r="U105" i="1"/>
  <c r="N126" i="1"/>
  <c r="F5" i="11"/>
  <c r="U118" i="1"/>
  <c r="T119" i="1"/>
  <c r="U119" i="1" s="1"/>
  <c r="N157" i="1"/>
  <c r="T128" i="1"/>
  <c r="U128" i="1" s="1"/>
  <c r="U135" i="1"/>
  <c r="U141" i="1"/>
  <c r="U154" i="1"/>
  <c r="U165" i="1"/>
  <c r="U182" i="1"/>
  <c r="N35" i="1"/>
  <c r="N6" i="1"/>
  <c r="H63" i="11" l="1"/>
  <c r="F68" i="11"/>
  <c r="H68" i="11" s="1"/>
  <c r="H91" i="11"/>
  <c r="F96" i="11"/>
  <c r="H96" i="11" s="1"/>
  <c r="H42" i="11"/>
  <c r="F47" i="11"/>
  <c r="H47" i="11" s="1"/>
  <c r="H56" i="11"/>
  <c r="F61" i="11"/>
  <c r="H61" i="11" s="1"/>
  <c r="H77" i="11"/>
  <c r="F82" i="11"/>
  <c r="H82" i="11" s="1"/>
  <c r="H49" i="11"/>
  <c r="F54" i="11"/>
  <c r="H54" i="11" s="1"/>
  <c r="H31" i="11"/>
  <c r="F101" i="11"/>
  <c r="H101" i="11" s="1"/>
  <c r="H29" i="11"/>
  <c r="F99" i="11"/>
  <c r="H99" i="11" s="1"/>
  <c r="H84" i="11"/>
  <c r="F89" i="11"/>
  <c r="H89" i="11" s="1"/>
  <c r="H35" i="11"/>
  <c r="F40" i="11"/>
  <c r="H40" i="11" s="1"/>
  <c r="O52" i="11"/>
  <c r="Q52" i="11" s="1"/>
  <c r="Q22" i="11"/>
  <c r="H46" i="11"/>
  <c r="F102" i="11"/>
  <c r="H102" i="11" s="1"/>
  <c r="H70" i="11"/>
  <c r="F75" i="11"/>
  <c r="H75" i="11" s="1"/>
  <c r="Q21" i="11"/>
  <c r="O51" i="11"/>
  <c r="Q51" i="11" s="1"/>
  <c r="F33" i="11"/>
  <c r="F98" i="11"/>
  <c r="O53" i="11"/>
  <c r="Q35" i="11"/>
  <c r="U183" i="1"/>
  <c r="U136" i="1"/>
  <c r="U164" i="1"/>
  <c r="U148" i="1"/>
  <c r="U171" i="1"/>
  <c r="U122" i="1"/>
  <c r="U126" i="1" s="1"/>
  <c r="U143" i="1"/>
  <c r="U168" i="1"/>
  <c r="T6" i="1"/>
  <c r="O32" i="1"/>
  <c r="P32" i="1" s="1"/>
  <c r="U127" i="1" l="1"/>
  <c r="D13" i="12"/>
  <c r="F13" i="12" s="1"/>
  <c r="D6" i="12"/>
  <c r="F90" i="11"/>
  <c r="F55" i="11"/>
  <c r="F48" i="11"/>
  <c r="F97" i="11"/>
  <c r="F76" i="11"/>
  <c r="F69" i="11"/>
  <c r="F62" i="11"/>
  <c r="F41" i="11"/>
  <c r="F83" i="11"/>
  <c r="P35" i="1"/>
  <c r="F103" i="11"/>
  <c r="H98" i="11"/>
  <c r="F34" i="11"/>
  <c r="H33" i="11"/>
  <c r="O55" i="11"/>
  <c r="Q53" i="11"/>
  <c r="R55" i="1"/>
  <c r="Q186" i="1"/>
  <c r="R186" i="1"/>
  <c r="Q187" i="1"/>
  <c r="R187" i="1"/>
  <c r="P184" i="1"/>
  <c r="O182" i="1"/>
  <c r="P182" i="1" s="1"/>
  <c r="O177" i="1"/>
  <c r="P177" i="1" s="1"/>
  <c r="P176" i="1"/>
  <c r="O175" i="1"/>
  <c r="O174" i="1"/>
  <c r="O173" i="1"/>
  <c r="P173" i="1" s="1"/>
  <c r="O171" i="1"/>
  <c r="P171" i="1" s="1"/>
  <c r="O170" i="1"/>
  <c r="P170" i="1" s="1"/>
  <c r="O169" i="1"/>
  <c r="P169" i="1" s="1"/>
  <c r="O168" i="1"/>
  <c r="O159" i="1"/>
  <c r="P159" i="1" s="1"/>
  <c r="Q157" i="1"/>
  <c r="Q158" i="1"/>
  <c r="O151" i="1"/>
  <c r="O148" i="1"/>
  <c r="P148" i="1" s="1"/>
  <c r="P141" i="1"/>
  <c r="P139" i="1"/>
  <c r="P138" i="1"/>
  <c r="O137" i="1"/>
  <c r="P137" i="1" s="1"/>
  <c r="O135" i="1"/>
  <c r="P135" i="1" s="1"/>
  <c r="O133" i="1"/>
  <c r="P133" i="1" s="1"/>
  <c r="O131" i="1"/>
  <c r="O130" i="1"/>
  <c r="P128" i="1"/>
  <c r="Q126" i="1"/>
  <c r="Q127" i="1"/>
  <c r="P122" i="1"/>
  <c r="P121" i="1"/>
  <c r="O118" i="1"/>
  <c r="F6" i="12" l="1"/>
  <c r="P186" i="1"/>
  <c r="P130" i="1"/>
  <c r="H17" i="10"/>
  <c r="P131" i="1"/>
  <c r="H18" i="10"/>
  <c r="P127" i="1"/>
  <c r="P46" i="11"/>
  <c r="P175" i="1"/>
  <c r="H8" i="11"/>
  <c r="I8" i="11" s="1"/>
  <c r="P47" i="11"/>
  <c r="P174" i="1"/>
  <c r="O126" i="1"/>
  <c r="H5" i="11"/>
  <c r="I5" i="11" s="1"/>
  <c r="P30" i="11"/>
  <c r="P118" i="1"/>
  <c r="P126" i="1" s="1"/>
  <c r="P26" i="11"/>
  <c r="P151" i="1"/>
  <c r="P158" i="1" s="1"/>
  <c r="P32" i="11"/>
  <c r="P168" i="1"/>
  <c r="O127" i="1"/>
  <c r="O157" i="1"/>
  <c r="O186" i="1"/>
  <c r="O158" i="1"/>
  <c r="O187" i="1"/>
  <c r="Q116" i="1"/>
  <c r="Q117" i="1"/>
  <c r="O115" i="1"/>
  <c r="P110" i="1"/>
  <c r="Q103" i="1"/>
  <c r="Q104" i="1"/>
  <c r="O102" i="1"/>
  <c r="O98" i="1"/>
  <c r="P98" i="1" s="1"/>
  <c r="O96" i="1"/>
  <c r="H12" i="10"/>
  <c r="O89" i="1"/>
  <c r="P89" i="1" s="1"/>
  <c r="O86" i="1"/>
  <c r="P86" i="1" s="1"/>
  <c r="R30" i="1"/>
  <c r="O85" i="1"/>
  <c r="O83" i="1"/>
  <c r="P83" i="1" s="1"/>
  <c r="O81" i="1"/>
  <c r="P81" i="1" s="1"/>
  <c r="O80" i="1"/>
  <c r="P80" i="1" s="1"/>
  <c r="O79" i="1"/>
  <c r="O78" i="1"/>
  <c r="P78" i="1" s="1"/>
  <c r="O77" i="1"/>
  <c r="P77" i="1" s="1"/>
  <c r="O76" i="1"/>
  <c r="P76" i="1" s="1"/>
  <c r="Q74" i="1"/>
  <c r="Q75" i="1"/>
  <c r="O72" i="1"/>
  <c r="P72" i="1" s="1"/>
  <c r="O71" i="1"/>
  <c r="O70" i="1"/>
  <c r="P67" i="1"/>
  <c r="P60" i="1"/>
  <c r="P58" i="1"/>
  <c r="P57" i="1"/>
  <c r="Q55" i="1"/>
  <c r="Q56" i="1"/>
  <c r="O51" i="1"/>
  <c r="O50" i="1"/>
  <c r="O49" i="1"/>
  <c r="H9" i="10" s="1"/>
  <c r="O42" i="1"/>
  <c r="P42" i="1" s="1"/>
  <c r="O39" i="1"/>
  <c r="P39" i="1" s="1"/>
  <c r="O37" i="1"/>
  <c r="P37" i="1" s="1"/>
  <c r="O36" i="1"/>
  <c r="Q35" i="1"/>
  <c r="O35" i="1"/>
  <c r="Q30" i="1"/>
  <c r="O29" i="1"/>
  <c r="P29" i="1" s="1"/>
  <c r="O27" i="1"/>
  <c r="P27" i="1" s="1"/>
  <c r="O26" i="1"/>
  <c r="P26" i="1" s="1"/>
  <c r="P25" i="1"/>
  <c r="O24" i="1"/>
  <c r="P24" i="1" s="1"/>
  <c r="O16" i="1"/>
  <c r="P16" i="1" s="1"/>
  <c r="O15" i="1"/>
  <c r="P15" i="1" s="1"/>
  <c r="O14" i="1"/>
  <c r="P14" i="1" s="1"/>
  <c r="P12" i="1"/>
  <c r="P8" i="1"/>
  <c r="P157" i="1" l="1"/>
  <c r="P102" i="1"/>
  <c r="H15" i="10"/>
  <c r="P65" i="1"/>
  <c r="H11" i="10"/>
  <c r="P96" i="1"/>
  <c r="H13" i="10"/>
  <c r="P187" i="1"/>
  <c r="P23" i="11"/>
  <c r="P46" i="1"/>
  <c r="P70" i="1"/>
  <c r="H2" i="11"/>
  <c r="P35" i="11"/>
  <c r="H9" i="11"/>
  <c r="I9" i="11" s="1"/>
  <c r="P50" i="11"/>
  <c r="P79" i="1"/>
  <c r="O116" i="1"/>
  <c r="P33" i="11"/>
  <c r="P115" i="1"/>
  <c r="P116" i="1" s="1"/>
  <c r="P21" i="11"/>
  <c r="P36" i="1"/>
  <c r="P39" i="11"/>
  <c r="P85" i="1"/>
  <c r="P104" i="1" s="1"/>
  <c r="P29" i="11"/>
  <c r="H7" i="11"/>
  <c r="I7" i="11" s="1"/>
  <c r="P95" i="1"/>
  <c r="P24" i="11"/>
  <c r="H6" i="11"/>
  <c r="I6" i="11" s="1"/>
  <c r="P7" i="1"/>
  <c r="H4" i="11"/>
  <c r="I4" i="11" s="1"/>
  <c r="P41" i="11"/>
  <c r="P49" i="1"/>
  <c r="P34" i="11"/>
  <c r="P71" i="1"/>
  <c r="H3" i="11"/>
  <c r="I3" i="11" s="1"/>
  <c r="P22" i="11"/>
  <c r="P19" i="1"/>
  <c r="H11" i="11"/>
  <c r="I11" i="11" s="1"/>
  <c r="P44" i="11"/>
  <c r="P51" i="1"/>
  <c r="T3" i="11"/>
  <c r="P68" i="1"/>
  <c r="O56" i="1"/>
  <c r="H10" i="11"/>
  <c r="I10" i="11" s="1"/>
  <c r="P36" i="11"/>
  <c r="P50" i="1"/>
  <c r="O117" i="1"/>
  <c r="P105" i="1"/>
  <c r="P117" i="1" s="1"/>
  <c r="O103" i="1"/>
  <c r="O104" i="1"/>
  <c r="O55" i="1"/>
  <c r="O75" i="1"/>
  <c r="O74" i="1"/>
  <c r="O30" i="1"/>
  <c r="U186" i="1"/>
  <c r="Y186" i="1" s="1"/>
  <c r="U187" i="1"/>
  <c r="U157" i="1"/>
  <c r="U158" i="1"/>
  <c r="U116" i="1"/>
  <c r="U117" i="1"/>
  <c r="U75" i="1"/>
  <c r="U56" i="1"/>
  <c r="U30" i="1"/>
  <c r="U35" i="1"/>
  <c r="S186" i="1"/>
  <c r="S157" i="1"/>
  <c r="S127" i="1"/>
  <c r="S126" i="1"/>
  <c r="T127" i="1"/>
  <c r="T126" i="1"/>
  <c r="T116" i="1"/>
  <c r="S116" i="1"/>
  <c r="S103" i="1"/>
  <c r="T56" i="1"/>
  <c r="S56" i="1"/>
  <c r="T30" i="1"/>
  <c r="E13" i="12" l="1"/>
  <c r="E6" i="12"/>
  <c r="D12" i="12"/>
  <c r="D5" i="12"/>
  <c r="P74" i="1"/>
  <c r="P56" i="1"/>
  <c r="P103" i="1"/>
  <c r="P75" i="1"/>
  <c r="V2" i="11"/>
  <c r="U2" i="11"/>
  <c r="P51" i="11"/>
  <c r="H12" i="11"/>
  <c r="I2" i="11"/>
  <c r="I12" i="11" s="1"/>
  <c r="P52" i="11"/>
  <c r="P30" i="1"/>
  <c r="P6" i="1"/>
  <c r="P55" i="1"/>
  <c r="P53" i="11"/>
  <c r="T35" i="1"/>
  <c r="T103" i="1"/>
  <c r="T157" i="1"/>
  <c r="S158" i="1"/>
  <c r="T186" i="1"/>
  <c r="T55" i="1"/>
  <c r="S30" i="1"/>
  <c r="T74" i="1"/>
  <c r="S75" i="1"/>
  <c r="T117" i="1"/>
  <c r="S117" i="1"/>
  <c r="T158" i="1"/>
  <c r="T187" i="1"/>
  <c r="S55" i="1"/>
  <c r="S104" i="1"/>
  <c r="T104" i="1"/>
  <c r="S187" i="1"/>
  <c r="S35" i="1"/>
  <c r="T75" i="1"/>
  <c r="R157" i="1"/>
  <c r="R158" i="1"/>
  <c r="R126" i="1"/>
  <c r="R127" i="1"/>
  <c r="R116" i="1"/>
  <c r="R117" i="1"/>
  <c r="R103" i="1"/>
  <c r="R104" i="1"/>
  <c r="R74" i="1"/>
  <c r="R75" i="1"/>
  <c r="R56" i="1"/>
  <c r="R35" i="1"/>
  <c r="E5" i="12" l="1"/>
  <c r="E12" i="12"/>
  <c r="P55" i="11"/>
  <c r="P56" i="11" s="1"/>
  <c r="Q6" i="1"/>
  <c r="O6" i="1"/>
  <c r="I127" i="1"/>
  <c r="I126" i="1"/>
  <c r="I63" i="1" l="1"/>
  <c r="R3" i="11" l="1"/>
  <c r="U63" i="1"/>
  <c r="U74" i="1" s="1"/>
  <c r="K4" i="12" s="1"/>
  <c r="D11" i="12" l="1"/>
  <c r="D4" i="12"/>
  <c r="K3" i="11"/>
  <c r="K4" i="11"/>
  <c r="K5" i="11"/>
  <c r="K6" i="11"/>
  <c r="K7" i="11"/>
  <c r="K8" i="11"/>
  <c r="K9" i="11"/>
  <c r="K10" i="11"/>
  <c r="K11" i="11"/>
  <c r="K2" i="11"/>
  <c r="J3" i="11"/>
  <c r="J4" i="11"/>
  <c r="J5" i="11"/>
  <c r="J6" i="11"/>
  <c r="J7" i="11"/>
  <c r="J8" i="11"/>
  <c r="J9" i="11"/>
  <c r="J10" i="11"/>
  <c r="J11" i="11"/>
  <c r="J2" i="11"/>
  <c r="L7" i="11" l="1"/>
  <c r="S7" i="11" s="1"/>
  <c r="L3" i="11"/>
  <c r="S3" i="11" s="1"/>
  <c r="L2" i="11"/>
  <c r="S2" i="11" s="1"/>
  <c r="L8" i="11"/>
  <c r="S8" i="11" s="1"/>
  <c r="L4" i="11"/>
  <c r="S4" i="11" s="1"/>
  <c r="L11" i="11"/>
  <c r="S11" i="11" s="1"/>
  <c r="L10" i="11"/>
  <c r="S10" i="11" s="1"/>
  <c r="L6" i="11"/>
  <c r="S6" i="11" s="1"/>
  <c r="L9" i="11"/>
  <c r="S9" i="11" s="1"/>
  <c r="L5" i="11"/>
  <c r="S5" i="11" s="1"/>
  <c r="J12" i="11"/>
  <c r="K12" i="11"/>
  <c r="S12" i="11" l="1"/>
  <c r="L12" i="11"/>
  <c r="L13" i="11" s="1"/>
  <c r="N10" i="11"/>
  <c r="N11" i="11"/>
  <c r="B40" i="7"/>
  <c r="B39" i="7"/>
  <c r="R6" i="1"/>
  <c r="M11" i="11" l="1"/>
  <c r="O11" i="11" s="1"/>
  <c r="M10" i="11"/>
  <c r="O10" i="11" s="1"/>
  <c r="P10" i="11"/>
  <c r="J75" i="1" l="1"/>
  <c r="K75" i="1"/>
  <c r="L75" i="1"/>
  <c r="I75" i="1"/>
  <c r="M73" i="1"/>
  <c r="F22" i="11" l="1"/>
  <c r="D3" i="7" l="1"/>
  <c r="B38" i="7"/>
  <c r="B37" i="7"/>
  <c r="B36" i="7"/>
  <c r="B34" i="7"/>
  <c r="B33" i="7"/>
  <c r="B32" i="7"/>
  <c r="B41" i="7" l="1"/>
  <c r="C41" i="7" s="1"/>
  <c r="E53" i="10"/>
  <c r="F53" i="10"/>
  <c r="I53" i="10"/>
  <c r="J53" i="10"/>
  <c r="E54" i="10"/>
  <c r="F54" i="10"/>
  <c r="G54" i="10"/>
  <c r="I54" i="10"/>
  <c r="J54" i="10"/>
  <c r="E55" i="10"/>
  <c r="F55" i="10"/>
  <c r="G55" i="10"/>
  <c r="I55" i="10"/>
  <c r="J55" i="10"/>
  <c r="D54" i="10"/>
  <c r="D55" i="10"/>
  <c r="D53" i="10"/>
  <c r="E51" i="10"/>
  <c r="F51" i="10"/>
  <c r="G51" i="10"/>
  <c r="I51" i="10"/>
  <c r="J51" i="10"/>
  <c r="D51" i="10"/>
  <c r="E48" i="10"/>
  <c r="F48" i="10"/>
  <c r="G48" i="10"/>
  <c r="I48" i="10"/>
  <c r="J48" i="10"/>
  <c r="E49" i="10"/>
  <c r="F49" i="10"/>
  <c r="G49" i="10"/>
  <c r="I49" i="10"/>
  <c r="J49" i="10"/>
  <c r="E50" i="10"/>
  <c r="F50" i="10"/>
  <c r="G50" i="10"/>
  <c r="I50" i="10"/>
  <c r="J50" i="10"/>
  <c r="D49" i="10"/>
  <c r="D50" i="10"/>
  <c r="D48" i="10"/>
  <c r="M7" i="1"/>
  <c r="M8" i="1"/>
  <c r="M9" i="1"/>
  <c r="M10" i="1"/>
  <c r="M11" i="1"/>
  <c r="M12" i="1"/>
  <c r="M13" i="1"/>
  <c r="M15" i="1"/>
  <c r="M16" i="1"/>
  <c r="M17" i="1"/>
  <c r="M18" i="1"/>
  <c r="M19" i="1"/>
  <c r="M20" i="1"/>
  <c r="M21" i="1"/>
  <c r="M22" i="1"/>
  <c r="M23" i="1"/>
  <c r="M24" i="1"/>
  <c r="M25" i="1"/>
  <c r="M26" i="1"/>
  <c r="M27" i="1"/>
  <c r="M28" i="1"/>
  <c r="M29" i="1"/>
  <c r="M31" i="1"/>
  <c r="M32" i="1"/>
  <c r="M33" i="1"/>
  <c r="M34" i="1"/>
  <c r="M36" i="1"/>
  <c r="M37" i="1"/>
  <c r="M38" i="1"/>
  <c r="M39" i="1"/>
  <c r="M40" i="1"/>
  <c r="M41" i="1"/>
  <c r="M42" i="1"/>
  <c r="M43" i="1"/>
  <c r="M44" i="1"/>
  <c r="M45" i="1"/>
  <c r="M46" i="1"/>
  <c r="M47" i="1"/>
  <c r="M48" i="1"/>
  <c r="M49" i="1"/>
  <c r="M50" i="1"/>
  <c r="M51" i="1"/>
  <c r="M52" i="1"/>
  <c r="M53" i="1"/>
  <c r="M54" i="1"/>
  <c r="M57" i="1"/>
  <c r="M58" i="1"/>
  <c r="M59" i="1"/>
  <c r="M60" i="1"/>
  <c r="M61" i="1"/>
  <c r="M62" i="1"/>
  <c r="M63" i="1"/>
  <c r="M64" i="1"/>
  <c r="M65" i="1"/>
  <c r="M66" i="1"/>
  <c r="M67" i="1"/>
  <c r="M68" i="1"/>
  <c r="M69" i="1"/>
  <c r="M70" i="1"/>
  <c r="E29" i="11" s="1"/>
  <c r="G29" i="11" s="1"/>
  <c r="M71" i="1"/>
  <c r="E31" i="11" s="1"/>
  <c r="G31" i="11" s="1"/>
  <c r="M72"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5" i="1"/>
  <c r="M106" i="1"/>
  <c r="M107" i="1"/>
  <c r="M108" i="1"/>
  <c r="M109" i="1"/>
  <c r="M110" i="1"/>
  <c r="M111" i="1"/>
  <c r="M113" i="1"/>
  <c r="M114" i="1"/>
  <c r="M115" i="1"/>
  <c r="M118" i="1"/>
  <c r="M119" i="1"/>
  <c r="M120" i="1"/>
  <c r="M121" i="1"/>
  <c r="M122" i="1"/>
  <c r="M123" i="1"/>
  <c r="M124" i="1"/>
  <c r="M125"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E32" i="11" l="1"/>
  <c r="G32" i="11" s="1"/>
  <c r="K48" i="10"/>
  <c r="K50" i="10"/>
  <c r="K51" i="10"/>
  <c r="K49" i="10"/>
  <c r="E28" i="11"/>
  <c r="E58" i="11"/>
  <c r="G58" i="11" s="1"/>
  <c r="E51" i="11"/>
  <c r="G51" i="11" s="1"/>
  <c r="E73" i="11"/>
  <c r="G73" i="11" s="1"/>
  <c r="E71" i="11"/>
  <c r="G71" i="11" s="1"/>
  <c r="E66" i="11"/>
  <c r="G66" i="11" s="1"/>
  <c r="E45" i="11"/>
  <c r="G45" i="11" s="1"/>
  <c r="E74" i="11"/>
  <c r="G74" i="11" s="1"/>
  <c r="E64" i="11"/>
  <c r="G64" i="11" s="1"/>
  <c r="E70" i="11"/>
  <c r="G70" i="11" s="1"/>
  <c r="E49" i="11"/>
  <c r="G49" i="11" s="1"/>
  <c r="E50" i="11"/>
  <c r="G50" i="11" s="1"/>
  <c r="E91" i="11"/>
  <c r="G91" i="11" s="1"/>
  <c r="E46" i="11"/>
  <c r="G46" i="11" s="1"/>
  <c r="E35" i="11"/>
  <c r="G35" i="11" s="1"/>
  <c r="E57" i="11"/>
  <c r="G57" i="11" s="1"/>
  <c r="E9" i="11"/>
  <c r="D9" i="11" s="1"/>
  <c r="E77" i="11"/>
  <c r="E84" i="11"/>
  <c r="E42" i="11"/>
  <c r="G42" i="11" s="1"/>
  <c r="E60" i="11"/>
  <c r="G60" i="11" s="1"/>
  <c r="E53" i="11"/>
  <c r="G53" i="11" s="1"/>
  <c r="E43" i="11"/>
  <c r="G43" i="11" s="1"/>
  <c r="E36" i="11"/>
  <c r="G36" i="11" s="1"/>
  <c r="E59" i="11"/>
  <c r="G59" i="11" s="1"/>
  <c r="E52" i="11"/>
  <c r="G52" i="11" s="1"/>
  <c r="E63" i="11"/>
  <c r="G63" i="11" s="1"/>
  <c r="E95" i="11"/>
  <c r="G95" i="11" s="1"/>
  <c r="E38" i="11"/>
  <c r="G38" i="11" s="1"/>
  <c r="E39" i="11"/>
  <c r="G39" i="11" s="1"/>
  <c r="E2" i="11"/>
  <c r="D2" i="11" s="1"/>
  <c r="M126" i="1"/>
  <c r="M55" i="1"/>
  <c r="M35" i="1"/>
  <c r="M127" i="1"/>
  <c r="M56" i="1"/>
  <c r="E7" i="11"/>
  <c r="D7" i="11" s="1"/>
  <c r="E10" i="11"/>
  <c r="D10" i="11" s="1"/>
  <c r="E4" i="11"/>
  <c r="D4" i="11" s="1"/>
  <c r="E8" i="11"/>
  <c r="E5" i="11"/>
  <c r="D5" i="11" s="1"/>
  <c r="E3" i="11"/>
  <c r="D3" i="11" s="1"/>
  <c r="E11" i="11"/>
  <c r="D11" i="11" s="1"/>
  <c r="K54" i="10"/>
  <c r="K55" i="10"/>
  <c r="K53" i="10"/>
  <c r="E33" i="11" l="1"/>
  <c r="G33" i="11" s="1"/>
  <c r="D8" i="11"/>
  <c r="G8" i="11"/>
  <c r="E89" i="11"/>
  <c r="G89" i="11" s="1"/>
  <c r="G84" i="11"/>
  <c r="E82" i="11"/>
  <c r="G82" i="11" s="1"/>
  <c r="G77" i="11"/>
  <c r="E101" i="11"/>
  <c r="G101" i="11" s="1"/>
  <c r="E99" i="11"/>
  <c r="G99" i="11" s="1"/>
  <c r="E100" i="11"/>
  <c r="G100" i="11" s="1"/>
  <c r="E102" i="11"/>
  <c r="G102" i="11" s="1"/>
  <c r="E75" i="11"/>
  <c r="E68" i="11"/>
  <c r="E54" i="11"/>
  <c r="E96" i="11"/>
  <c r="E47" i="11"/>
  <c r="E40" i="11"/>
  <c r="E83" i="11" l="1"/>
  <c r="E34" i="11"/>
  <c r="E41" i="11"/>
  <c r="G40" i="11"/>
  <c r="E76" i="11"/>
  <c r="G75" i="11"/>
  <c r="E90" i="11"/>
  <c r="E55" i="11"/>
  <c r="G54" i="11"/>
  <c r="E48" i="11"/>
  <c r="G47" i="11"/>
  <c r="E97" i="11"/>
  <c r="G96" i="11"/>
  <c r="E69" i="11"/>
  <c r="G68" i="11"/>
  <c r="H43" i="10" l="1"/>
  <c r="H42" i="10"/>
  <c r="H41" i="10"/>
  <c r="H40" i="10"/>
  <c r="H39" i="10"/>
  <c r="H38" i="10"/>
  <c r="H37" i="10"/>
  <c r="H36" i="10"/>
  <c r="H35" i="10"/>
  <c r="H34" i="10"/>
  <c r="H33" i="10"/>
  <c r="H54" i="10" s="1"/>
  <c r="H32" i="10"/>
  <c r="H30" i="10"/>
  <c r="H29" i="10"/>
  <c r="H28" i="10"/>
  <c r="H27" i="10"/>
  <c r="H26" i="10"/>
  <c r="H25" i="10"/>
  <c r="H24" i="10"/>
  <c r="H23" i="10"/>
  <c r="G22" i="10"/>
  <c r="G20" i="10" s="1"/>
  <c r="J20" i="10"/>
  <c r="I20" i="10"/>
  <c r="F20" i="10"/>
  <c r="E20" i="10"/>
  <c r="D20" i="10"/>
  <c r="G5" i="10"/>
  <c r="H51" i="10"/>
  <c r="H50" i="10"/>
  <c r="H6" i="10"/>
  <c r="J6" i="10"/>
  <c r="I6" i="10"/>
  <c r="G6" i="10"/>
  <c r="F6" i="10"/>
  <c r="E6" i="10"/>
  <c r="D6" i="10"/>
  <c r="J5" i="10"/>
  <c r="I5" i="10"/>
  <c r="F5" i="10"/>
  <c r="E5" i="10"/>
  <c r="D5" i="10"/>
  <c r="H22" i="10" l="1"/>
  <c r="G53" i="10"/>
  <c r="H48" i="10"/>
  <c r="H55" i="10"/>
  <c r="H5" i="10"/>
  <c r="H21" i="10"/>
  <c r="H49" i="10" l="1"/>
  <c r="H20" i="10"/>
  <c r="H53" i="10"/>
  <c r="J186" i="1" l="1"/>
  <c r="J187" i="1"/>
  <c r="J157" i="1"/>
  <c r="J158" i="1"/>
  <c r="J126" i="1"/>
  <c r="J127" i="1"/>
  <c r="J116" i="1"/>
  <c r="J117" i="1"/>
  <c r="J103" i="1"/>
  <c r="J104" i="1"/>
  <c r="J74" i="1"/>
  <c r="J55" i="1"/>
  <c r="J56" i="1"/>
  <c r="J35" i="1"/>
  <c r="J30" i="1"/>
  <c r="J6" i="1"/>
  <c r="K74" i="1" l="1"/>
  <c r="L74" i="1"/>
  <c r="M74" i="1" l="1"/>
  <c r="F21" i="11" l="1"/>
  <c r="G10" i="11" l="1"/>
  <c r="G9" i="11" l="1"/>
  <c r="G4" i="11"/>
  <c r="G11" i="11"/>
  <c r="G7" i="11"/>
  <c r="G3" i="11"/>
  <c r="G5" i="11"/>
  <c r="M75" i="1"/>
  <c r="F12" i="11" l="1"/>
  <c r="G2" i="11"/>
  <c r="N8" i="11"/>
  <c r="G22" i="11"/>
  <c r="G21" i="11"/>
  <c r="N7" i="11"/>
  <c r="N4" i="11"/>
  <c r="N3" i="11"/>
  <c r="N2" i="11"/>
  <c r="O56" i="11" l="1"/>
  <c r="F104" i="11"/>
  <c r="M7" i="11"/>
  <c r="O7" i="11" s="1"/>
  <c r="N6" i="11"/>
  <c r="M2" i="11"/>
  <c r="O2" i="11" s="1"/>
  <c r="M8" i="11"/>
  <c r="O8" i="11" s="1"/>
  <c r="M4" i="11"/>
  <c r="O4" i="11" s="1"/>
  <c r="M6" i="11"/>
  <c r="P11" i="11"/>
  <c r="P8" i="11"/>
  <c r="N5" i="11"/>
  <c r="M3" i="11"/>
  <c r="O3" i="11" s="1"/>
  <c r="P2" i="11"/>
  <c r="P4" i="11"/>
  <c r="P7" i="11"/>
  <c r="G19" i="11"/>
  <c r="N9" i="11" l="1"/>
  <c r="N12" i="11" s="1"/>
  <c r="P6" i="11"/>
  <c r="O6" i="11"/>
  <c r="P5" i="11"/>
  <c r="M5" i="11"/>
  <c r="O5" i="11" s="1"/>
  <c r="F19" i="11"/>
  <c r="M9" i="11" l="1"/>
  <c r="O9" i="11" s="1"/>
  <c r="O12" i="11" s="1"/>
  <c r="P9" i="11"/>
  <c r="M12" i="11" l="1"/>
  <c r="I74" i="1" l="1"/>
  <c r="B11" i="12" l="1"/>
  <c r="B4" i="12"/>
  <c r="M4" i="12" s="1"/>
  <c r="F20" i="11"/>
  <c r="F4" i="12" l="1"/>
  <c r="F11" i="12"/>
  <c r="G20" i="11"/>
  <c r="U40" i="1" l="1"/>
  <c r="I55" i="1"/>
  <c r="I78" i="1"/>
  <c r="I93" i="1"/>
  <c r="R4" i="11" l="1"/>
  <c r="R12" i="11" s="1"/>
  <c r="U93" i="1"/>
  <c r="U104" i="1" s="1"/>
  <c r="U78" i="1"/>
  <c r="U103" i="1" s="1"/>
  <c r="U55" i="1"/>
  <c r="I104" i="1"/>
  <c r="I6" i="1"/>
  <c r="I103" i="1"/>
  <c r="K3" i="12" l="1"/>
  <c r="L4" i="12"/>
  <c r="D10" i="12"/>
  <c r="D3" i="12"/>
  <c r="E4" i="12"/>
  <c r="E11" i="12"/>
  <c r="U6" i="1"/>
  <c r="E17" i="6"/>
  <c r="E16" i="6"/>
  <c r="F18" i="6"/>
  <c r="G18" i="6"/>
  <c r="D17" i="6"/>
  <c r="D29" i="6" s="1"/>
  <c r="D16" i="6"/>
  <c r="C17" i="6"/>
  <c r="C16" i="6"/>
  <c r="I16" i="6"/>
  <c r="I11" i="6"/>
  <c r="I10" i="6"/>
  <c r="I7" i="6"/>
  <c r="I8" i="6"/>
  <c r="N3" i="6"/>
  <c r="N4" i="6"/>
  <c r="N5" i="6"/>
  <c r="N7" i="6"/>
  <c r="N8" i="6"/>
  <c r="N10" i="6"/>
  <c r="N11" i="6"/>
  <c r="N13" i="6"/>
  <c r="N14" i="6"/>
  <c r="N16" i="6"/>
  <c r="N17" i="6"/>
  <c r="N29" i="6" s="1"/>
  <c r="N19" i="6"/>
  <c r="N20" i="6"/>
  <c r="N22" i="6"/>
  <c r="N23" i="6"/>
  <c r="N2" i="6"/>
  <c r="M3" i="6"/>
  <c r="M4" i="6"/>
  <c r="M5" i="6"/>
  <c r="M7" i="6"/>
  <c r="M8" i="6"/>
  <c r="M10" i="6"/>
  <c r="M11" i="6"/>
  <c r="M13" i="6"/>
  <c r="M14" i="6"/>
  <c r="M16" i="6"/>
  <c r="M17" i="6"/>
  <c r="M29" i="6" s="1"/>
  <c r="M19" i="6"/>
  <c r="M20" i="6"/>
  <c r="M22" i="6"/>
  <c r="M23" i="6"/>
  <c r="L3" i="6"/>
  <c r="L4" i="6"/>
  <c r="L5" i="6"/>
  <c r="L7" i="6"/>
  <c r="L8" i="6"/>
  <c r="L10" i="6"/>
  <c r="L11" i="6"/>
  <c r="L13" i="6"/>
  <c r="L14" i="6"/>
  <c r="L16" i="6"/>
  <c r="L17" i="6"/>
  <c r="L29" i="6" s="1"/>
  <c r="L19" i="6"/>
  <c r="L20" i="6"/>
  <c r="L22" i="6"/>
  <c r="L23" i="6"/>
  <c r="L2" i="6"/>
  <c r="J3" i="6"/>
  <c r="J4" i="6"/>
  <c r="J5" i="6"/>
  <c r="J7" i="6"/>
  <c r="J8" i="6"/>
  <c r="J10" i="6"/>
  <c r="J11" i="6"/>
  <c r="J13" i="6"/>
  <c r="J14" i="6"/>
  <c r="J16" i="6"/>
  <c r="J17" i="6"/>
  <c r="J19" i="6"/>
  <c r="J20" i="6"/>
  <c r="J22" i="6"/>
  <c r="J23" i="6"/>
  <c r="J2" i="6"/>
  <c r="I3" i="6"/>
  <c r="I4" i="6"/>
  <c r="I5" i="6"/>
  <c r="I13" i="6"/>
  <c r="I14" i="6"/>
  <c r="I19" i="6"/>
  <c r="I20" i="6"/>
  <c r="I22" i="6"/>
  <c r="I23" i="6"/>
  <c r="I2" i="6"/>
  <c r="G3" i="6"/>
  <c r="G4" i="6"/>
  <c r="G5" i="6"/>
  <c r="G7" i="6"/>
  <c r="G8" i="6"/>
  <c r="G10" i="6"/>
  <c r="G11" i="6"/>
  <c r="G13" i="6"/>
  <c r="G14" i="6"/>
  <c r="G19" i="6"/>
  <c r="G20" i="6"/>
  <c r="G22" i="6"/>
  <c r="G23" i="6"/>
  <c r="G2" i="6"/>
  <c r="F3" i="6"/>
  <c r="F4" i="6"/>
  <c r="F5" i="6"/>
  <c r="F7" i="6"/>
  <c r="F8" i="6"/>
  <c r="F10" i="6"/>
  <c r="F11" i="6"/>
  <c r="F13" i="6"/>
  <c r="F14" i="6"/>
  <c r="F19" i="6"/>
  <c r="F20" i="6"/>
  <c r="F22" i="6"/>
  <c r="F23" i="6"/>
  <c r="F2" i="6"/>
  <c r="E3" i="6"/>
  <c r="E4" i="6"/>
  <c r="E5" i="6"/>
  <c r="E7" i="6"/>
  <c r="E8" i="6"/>
  <c r="E10" i="6"/>
  <c r="E11" i="6"/>
  <c r="E13" i="6"/>
  <c r="E14" i="6"/>
  <c r="E19" i="6"/>
  <c r="E20" i="6"/>
  <c r="E22" i="6"/>
  <c r="E23" i="6"/>
  <c r="E2" i="6"/>
  <c r="D3" i="6"/>
  <c r="D4" i="6"/>
  <c r="D5" i="6"/>
  <c r="D7" i="6"/>
  <c r="D8" i="6"/>
  <c r="D10" i="6"/>
  <c r="D11" i="6"/>
  <c r="D13" i="6"/>
  <c r="D14" i="6"/>
  <c r="D19" i="6"/>
  <c r="D20" i="6"/>
  <c r="D22" i="6"/>
  <c r="D23" i="6"/>
  <c r="D2" i="6"/>
  <c r="C3" i="6"/>
  <c r="C4" i="6"/>
  <c r="C5" i="6"/>
  <c r="C7" i="6"/>
  <c r="C8" i="6"/>
  <c r="C10" i="6"/>
  <c r="C11" i="6"/>
  <c r="C13" i="6"/>
  <c r="C14" i="6"/>
  <c r="C19" i="6"/>
  <c r="C20" i="6"/>
  <c r="C22" i="6"/>
  <c r="C23" i="6"/>
  <c r="C2" i="6"/>
  <c r="I186" i="1"/>
  <c r="K186" i="1"/>
  <c r="L186" i="1"/>
  <c r="I187" i="1"/>
  <c r="B5" i="12" s="1"/>
  <c r="K187" i="1"/>
  <c r="L187" i="1"/>
  <c r="I158" i="1"/>
  <c r="K158" i="1"/>
  <c r="L158" i="1"/>
  <c r="I157" i="1"/>
  <c r="K157" i="1"/>
  <c r="L157" i="1"/>
  <c r="L126" i="1"/>
  <c r="L127" i="1"/>
  <c r="K127" i="1"/>
  <c r="K126" i="1"/>
  <c r="I116" i="1"/>
  <c r="K116" i="1"/>
  <c r="L116" i="1"/>
  <c r="I117" i="1"/>
  <c r="K117" i="1"/>
  <c r="L117" i="1"/>
  <c r="K104" i="1"/>
  <c r="L104" i="1"/>
  <c r="K103" i="1"/>
  <c r="L103" i="1"/>
  <c r="K55" i="1"/>
  <c r="L55" i="1"/>
  <c r="I56" i="1"/>
  <c r="K56" i="1"/>
  <c r="L56" i="1"/>
  <c r="L35" i="1"/>
  <c r="I35" i="1"/>
  <c r="K35" i="1"/>
  <c r="I30" i="1"/>
  <c r="K30" i="1"/>
  <c r="L3" i="12" l="1"/>
  <c r="C6" i="12"/>
  <c r="C13" i="12"/>
  <c r="E3" i="12"/>
  <c r="B10" i="12"/>
  <c r="C10" i="12" s="1"/>
  <c r="B3" i="12"/>
  <c r="C3" i="12" s="1"/>
  <c r="C4" i="12"/>
  <c r="C11" i="12"/>
  <c r="B12" i="12"/>
  <c r="E10" i="12"/>
  <c r="P3" i="11"/>
  <c r="P12" i="11" s="1"/>
  <c r="M116" i="1"/>
  <c r="M103" i="1"/>
  <c r="M104" i="1"/>
  <c r="M117" i="1"/>
  <c r="M157" i="1"/>
  <c r="M187" i="1"/>
  <c r="M158" i="1"/>
  <c r="M186" i="1"/>
  <c r="F12" i="6"/>
  <c r="J18" i="6"/>
  <c r="L21" i="6"/>
  <c r="D6" i="6"/>
  <c r="E15" i="6"/>
  <c r="I9" i="6"/>
  <c r="E9" i="6"/>
  <c r="F21" i="6"/>
  <c r="D15" i="6"/>
  <c r="C27" i="6"/>
  <c r="C21" i="6"/>
  <c r="C9" i="6"/>
  <c r="G21" i="6"/>
  <c r="M15" i="6"/>
  <c r="N9" i="6"/>
  <c r="I26" i="6"/>
  <c r="J26" i="6"/>
  <c r="N26" i="6"/>
  <c r="I28" i="6"/>
  <c r="C15" i="6"/>
  <c r="D28" i="6"/>
  <c r="F6" i="6"/>
  <c r="G15" i="6"/>
  <c r="K19" i="6"/>
  <c r="J24" i="6"/>
  <c r="J12" i="6"/>
  <c r="J6" i="6"/>
  <c r="L18" i="6"/>
  <c r="M24" i="6"/>
  <c r="M12" i="6"/>
  <c r="N24" i="6"/>
  <c r="N12" i="6"/>
  <c r="K7" i="6"/>
  <c r="I18" i="6"/>
  <c r="E27" i="6"/>
  <c r="E21" i="6"/>
  <c r="E12" i="6"/>
  <c r="E6" i="6"/>
  <c r="I24" i="6"/>
  <c r="K14" i="6"/>
  <c r="K3" i="6"/>
  <c r="J28" i="6"/>
  <c r="L28" i="6"/>
  <c r="M28" i="6"/>
  <c r="N28" i="6"/>
  <c r="I12" i="6"/>
  <c r="K20" i="6"/>
  <c r="J29" i="6"/>
  <c r="K11" i="6"/>
  <c r="L26" i="6"/>
  <c r="M26" i="6"/>
  <c r="C24" i="6"/>
  <c r="G9" i="6"/>
  <c r="I27" i="6"/>
  <c r="I6" i="6"/>
  <c r="K16" i="6"/>
  <c r="L24" i="6"/>
  <c r="L12" i="6"/>
  <c r="L6" i="6"/>
  <c r="M18" i="6"/>
  <c r="M6" i="6"/>
  <c r="N18" i="6"/>
  <c r="N6" i="6"/>
  <c r="C12" i="6"/>
  <c r="C6" i="6"/>
  <c r="D27" i="6"/>
  <c r="D21" i="6"/>
  <c r="E24" i="6"/>
  <c r="E28" i="6"/>
  <c r="F15" i="6"/>
  <c r="F9" i="6"/>
  <c r="G12" i="6"/>
  <c r="K22" i="6"/>
  <c r="I15" i="6"/>
  <c r="J27" i="6"/>
  <c r="J21" i="6"/>
  <c r="J15" i="6"/>
  <c r="J9" i="6"/>
  <c r="L27" i="6"/>
  <c r="L15" i="6"/>
  <c r="L9" i="6"/>
  <c r="M21" i="6"/>
  <c r="M9" i="6"/>
  <c r="N21" i="6"/>
  <c r="N15" i="6"/>
  <c r="K2" i="6"/>
  <c r="E18" i="6"/>
  <c r="E26" i="6"/>
  <c r="D26" i="6"/>
  <c r="C18" i="6"/>
  <c r="C26" i="6"/>
  <c r="C29" i="6"/>
  <c r="K4" i="6"/>
  <c r="D9" i="6"/>
  <c r="D18" i="6"/>
  <c r="D24" i="6"/>
  <c r="N27" i="6"/>
  <c r="G6" i="6"/>
  <c r="C28" i="6"/>
  <c r="D12" i="6"/>
  <c r="I21" i="6"/>
  <c r="K23" i="6"/>
  <c r="K13" i="6"/>
  <c r="K5" i="6"/>
  <c r="I29" i="6"/>
  <c r="E29" i="6"/>
  <c r="K8" i="6"/>
  <c r="K17" i="6"/>
  <c r="K10" i="6"/>
  <c r="M3" i="12" l="1"/>
  <c r="F3" i="12"/>
  <c r="F10" i="12"/>
  <c r="C5" i="12"/>
  <c r="F5" i="12"/>
  <c r="C12" i="12"/>
  <c r="F12" i="12"/>
  <c r="K18" i="6"/>
  <c r="K24" i="6"/>
  <c r="K9" i="6"/>
  <c r="D25" i="6"/>
  <c r="J25" i="6"/>
  <c r="N25" i="6"/>
  <c r="L25" i="6"/>
  <c r="E25" i="6"/>
  <c r="K27" i="6"/>
  <c r="K15" i="6"/>
  <c r="K12" i="6"/>
  <c r="K28" i="6"/>
  <c r="K21" i="6"/>
  <c r="I25" i="6"/>
  <c r="K6" i="6"/>
  <c r="K29" i="6"/>
  <c r="C25" i="6"/>
  <c r="K26" i="6"/>
  <c r="K25" i="6" l="1"/>
  <c r="L14" i="1"/>
  <c r="M14" i="1" s="1"/>
  <c r="E56" i="11" s="1"/>
  <c r="G56" i="11" s="1"/>
  <c r="E61" i="11" l="1"/>
  <c r="G61" i="11" s="1"/>
  <c r="E98" i="11"/>
  <c r="E6" i="11"/>
  <c r="E62" i="11" s="1"/>
  <c r="M30" i="1"/>
  <c r="M2" i="6"/>
  <c r="M27" i="6" s="1"/>
  <c r="L6" i="1"/>
  <c r="M6" i="1" s="1"/>
  <c r="L30" i="1"/>
  <c r="E103" i="11" l="1"/>
  <c r="G98" i="11"/>
  <c r="E16" i="11"/>
  <c r="D6" i="11"/>
  <c r="G6" i="11"/>
  <c r="G12" i="11" s="1"/>
  <c r="E12" i="11"/>
  <c r="M25" i="6"/>
  <c r="H12" i="5"/>
  <c r="H9" i="5"/>
  <c r="E9" i="5"/>
  <c r="E8" i="5"/>
  <c r="E3" i="5"/>
  <c r="E4" i="5"/>
  <c r="E5" i="5"/>
  <c r="E6" i="5"/>
  <c r="H11" i="5" s="1"/>
  <c r="E7" i="5"/>
  <c r="E10" i="5"/>
  <c r="E11" i="5"/>
  <c r="E12" i="5"/>
  <c r="E13" i="5"/>
  <c r="E23" i="5" s="1"/>
  <c r="E14" i="5"/>
  <c r="E15" i="5"/>
  <c r="E16" i="5"/>
  <c r="E17" i="5"/>
  <c r="E18" i="5"/>
  <c r="E19" i="5"/>
  <c r="E20" i="5"/>
  <c r="E2" i="5"/>
  <c r="D25" i="5"/>
  <c r="H2" i="5" s="1"/>
  <c r="D24" i="5"/>
  <c r="D23" i="5"/>
  <c r="D22" i="5"/>
  <c r="D21" i="5"/>
  <c r="E104" i="11" l="1"/>
  <c r="E14" i="11"/>
  <c r="D12" i="11"/>
  <c r="H8" i="5"/>
  <c r="H7" i="5" s="1"/>
  <c r="I2" i="5"/>
  <c r="E22" i="5"/>
  <c r="E24" i="5"/>
  <c r="E25" i="5"/>
  <c r="E21" i="5"/>
  <c r="H10" i="5" s="1"/>
  <c r="H3" i="5" l="1"/>
  <c r="H4" i="5" l="1"/>
  <c r="I3" i="5"/>
  <c r="H22" i="6" l="1"/>
  <c r="H14" i="6"/>
  <c r="H19" i="6" l="1"/>
  <c r="H2" i="6"/>
  <c r="H8" i="6"/>
  <c r="H3" i="6"/>
  <c r="H4" i="6"/>
  <c r="H20" i="6"/>
  <c r="H7" i="6"/>
  <c r="H9" i="6" s="1"/>
  <c r="H23" i="6"/>
  <c r="H10" i="6"/>
  <c r="H11" i="6"/>
  <c r="H13" i="6"/>
  <c r="H15" i="6" s="1"/>
  <c r="H5" i="6"/>
  <c r="H21" i="6" l="1"/>
  <c r="H18" i="6"/>
  <c r="H12" i="6"/>
  <c r="H6" i="6"/>
</calcChain>
</file>

<file path=xl/comments1.xml><?xml version="1.0" encoding="utf-8"?>
<comments xmlns="http://schemas.openxmlformats.org/spreadsheetml/2006/main">
  <authors>
    <author>FM</author>
    <author>Jolanta Baldunčika</author>
    <author>Finanšu ministrija</author>
  </authors>
  <commentList>
    <comment ref="I14" authorId="0" shapeId="0">
      <text>
        <r>
          <rPr>
            <b/>
            <sz val="9"/>
            <color indexed="81"/>
            <rFont val="Tahoma"/>
            <family val="2"/>
            <charset val="186"/>
          </rPr>
          <t>FM:</t>
        </r>
        <r>
          <rPr>
            <sz val="9"/>
            <color indexed="81"/>
            <rFont val="Tahoma"/>
            <family val="2"/>
            <charset val="186"/>
          </rPr>
          <t xml:space="preserve">
Nav apstiprināts, bet izņemts no 1.2.1.2. ir. </t>
        </r>
      </text>
    </comment>
    <comment ref="I23" authorId="1" shapeId="0">
      <text>
        <r>
          <rPr>
            <b/>
            <sz val="9"/>
            <color indexed="81"/>
            <rFont val="Tahoma"/>
            <family val="2"/>
            <charset val="186"/>
          </rPr>
          <t>Jolanta Baldunčika:</t>
        </r>
        <r>
          <rPr>
            <sz val="9"/>
            <color indexed="81"/>
            <rFont val="Tahoma"/>
            <family val="2"/>
            <charset val="186"/>
          </rPr>
          <t xml:space="preserve">
4 489 000 milj.EUR tiek novirzīti 1.1.1.4.pasākumam</t>
        </r>
      </text>
    </comment>
    <comment ref="I127" authorId="2" shapeId="0">
      <text>
        <r>
          <rPr>
            <b/>
            <sz val="9"/>
            <color indexed="81"/>
            <rFont val="Tahoma"/>
            <family val="2"/>
            <charset val="186"/>
          </rPr>
          <t>Finanšu ministrija:</t>
        </r>
        <r>
          <rPr>
            <sz val="9"/>
            <color indexed="81"/>
            <rFont val="Tahoma"/>
            <family val="2"/>
            <charset val="186"/>
          </rPr>
          <t xml:space="preserve">
</t>
        </r>
        <r>
          <rPr>
            <u/>
            <sz val="9"/>
            <color indexed="81"/>
            <rFont val="Tahoma"/>
            <family val="2"/>
            <charset val="186"/>
          </rPr>
          <t>7.2.1.1.finansējuma sadalījums:
JNI 30 372 630 EUR
ESF 170 280 EUR
7.2.1.2.finansējuma sadalījums:
JNI 27 648 648 EUR
ESF 5 797 211 EUR</t>
        </r>
      </text>
    </comment>
    <comment ref="I187" authorId="1" shapeId="0">
      <text>
        <r>
          <rPr>
            <b/>
            <sz val="9"/>
            <color indexed="81"/>
            <rFont val="Tahoma"/>
            <family val="2"/>
            <charset val="186"/>
          </rPr>
          <t>Jolanta Baldunčika:</t>
        </r>
        <r>
          <rPr>
            <sz val="9"/>
            <color indexed="81"/>
            <rFont val="Tahoma"/>
            <family val="2"/>
            <charset val="186"/>
          </rPr>
          <t xml:space="preserve">
11.06.2019. MK ir apstiprināti grozījumi 9.1.4.4. MKN, kuri paredz samazināt ESF finansējumu par 297 500 euro, bet šis finansējums netiek nekur citur pārdalīts
DP noteikts 9PV ESF finansējums 225 160 750 EUR</t>
        </r>
      </text>
    </comment>
  </commentList>
</comments>
</file>

<file path=xl/comments2.xml><?xml version="1.0" encoding="utf-8"?>
<comments xmlns="http://schemas.openxmlformats.org/spreadsheetml/2006/main">
  <authors>
    <author>Finanšu ministrija</author>
  </authors>
  <commentList>
    <comment ref="D10" authorId="0" shapeId="0">
      <text>
        <r>
          <rPr>
            <b/>
            <sz val="9"/>
            <color indexed="81"/>
            <rFont val="Tahoma"/>
            <family val="2"/>
            <charset val="186"/>
          </rPr>
          <t>Finanšu ministrija:</t>
        </r>
        <r>
          <rPr>
            <sz val="9"/>
            <color indexed="81"/>
            <rFont val="Tahoma"/>
            <family val="2"/>
            <charset val="186"/>
          </rPr>
          <t xml:space="preserve">
Nav pieskaitīts atlikums  55 375 EUR, kuri nav atrunāti MKN. Plānots MKN pieskaitīt pie rezerves).</t>
        </r>
      </text>
    </comment>
  </commentList>
</comments>
</file>

<file path=xl/comments3.xml><?xml version="1.0" encoding="utf-8"?>
<comments xmlns="http://schemas.openxmlformats.org/spreadsheetml/2006/main">
  <authors>
    <author>Finanšu ministrija</author>
  </authors>
  <commentList>
    <comment ref="E8" authorId="0" shapeId="0">
      <text>
        <r>
          <rPr>
            <b/>
            <sz val="9"/>
            <color indexed="81"/>
            <rFont val="Tahoma"/>
            <family val="2"/>
            <charset val="186"/>
          </rPr>
          <t>Finanšu ministrija:</t>
        </r>
        <r>
          <rPr>
            <sz val="9"/>
            <color indexed="81"/>
            <rFont val="Tahoma"/>
            <family val="2"/>
            <charset val="186"/>
          </rPr>
          <t xml:space="preserve">
T.sk. atlikums 55 375 EUR ,kas nav nofiksēts MKN.</t>
        </r>
      </text>
    </comment>
    <comment ref="E9" authorId="0" shapeId="0">
      <text>
        <r>
          <rPr>
            <b/>
            <sz val="9"/>
            <color indexed="81"/>
            <rFont val="Tahoma"/>
            <family val="2"/>
            <charset val="186"/>
          </rPr>
          <t>Finanšu ministrija:</t>
        </r>
        <r>
          <rPr>
            <sz val="9"/>
            <color indexed="81"/>
            <rFont val="Tahoma"/>
            <family val="2"/>
            <charset val="186"/>
          </rPr>
          <t xml:space="preserve">
T.sk. 955 834 EUR atlikums, kas nav nofiksēti MKN.
</t>
        </r>
      </text>
    </comment>
  </commentList>
</comments>
</file>

<file path=xl/sharedStrings.xml><?xml version="1.0" encoding="utf-8"?>
<sst xmlns="http://schemas.openxmlformats.org/spreadsheetml/2006/main" count="1850" uniqueCount="727">
  <si>
    <t>Pasākuma numurs</t>
  </si>
  <si>
    <t>Kārtas numurs</t>
  </si>
  <si>
    <t>Atbildīgā nozares ministrija</t>
  </si>
  <si>
    <t>Fonds</t>
  </si>
  <si>
    <t>1.1.1.</t>
  </si>
  <si>
    <t>1.1.1.1.</t>
  </si>
  <si>
    <t>IZM</t>
  </si>
  <si>
    <t>ERAF</t>
  </si>
  <si>
    <t>SAM numurs</t>
  </si>
  <si>
    <t>Nepieciešamie grozījumi</t>
  </si>
  <si>
    <t>1.2.1.</t>
  </si>
  <si>
    <t>1.2.2.</t>
  </si>
  <si>
    <t>2.1.1.</t>
  </si>
  <si>
    <t>2.2.1.</t>
  </si>
  <si>
    <t>3.1.1.</t>
  </si>
  <si>
    <t>3.1.2.</t>
  </si>
  <si>
    <t>3.2.1.</t>
  </si>
  <si>
    <t>3.3.1.</t>
  </si>
  <si>
    <t>3.4.1.</t>
  </si>
  <si>
    <t>3.4.2.</t>
  </si>
  <si>
    <t>4.1.1.</t>
  </si>
  <si>
    <t>4.2.1.</t>
  </si>
  <si>
    <t>4.2.2.</t>
  </si>
  <si>
    <t>4.3.1.</t>
  </si>
  <si>
    <t>4.4.1.</t>
  </si>
  <si>
    <t>4.5.1.</t>
  </si>
  <si>
    <t>5.1.1.</t>
  </si>
  <si>
    <t>5.1.2.</t>
  </si>
  <si>
    <t>5.2.1.</t>
  </si>
  <si>
    <t>5.3.1.</t>
  </si>
  <si>
    <t>5.4.1.</t>
  </si>
  <si>
    <t>5.4.2.</t>
  </si>
  <si>
    <t>5.4.3.</t>
  </si>
  <si>
    <t>5.5.1.</t>
  </si>
  <si>
    <t>5.6.1.</t>
  </si>
  <si>
    <t>5.6.2.</t>
  </si>
  <si>
    <t>5.6.3.</t>
  </si>
  <si>
    <t>6.1.1.</t>
  </si>
  <si>
    <t>6.1.2.</t>
  </si>
  <si>
    <t>6.1.3.</t>
  </si>
  <si>
    <t>6.1.4.</t>
  </si>
  <si>
    <t>6.1.5.</t>
  </si>
  <si>
    <t>6.2.1.</t>
  </si>
  <si>
    <t>6.3.1.</t>
  </si>
  <si>
    <t>7.1.1.</t>
  </si>
  <si>
    <t>7.1.2.</t>
  </si>
  <si>
    <t>7.2.1.</t>
  </si>
  <si>
    <t>7.3.1.</t>
  </si>
  <si>
    <t>7.3.2.</t>
  </si>
  <si>
    <t>8.1.1.</t>
  </si>
  <si>
    <t>8.1.2.</t>
  </si>
  <si>
    <t>8.1.3.</t>
  </si>
  <si>
    <t>8.1.4.</t>
  </si>
  <si>
    <t>8.2.1.</t>
  </si>
  <si>
    <t>8.2.2.</t>
  </si>
  <si>
    <t>8.2.3.</t>
  </si>
  <si>
    <t>8.2.4.</t>
  </si>
  <si>
    <t>8.3.1.</t>
  </si>
  <si>
    <t>8.3.2.</t>
  </si>
  <si>
    <t>8.3.3.</t>
  </si>
  <si>
    <t>8.3.4.</t>
  </si>
  <si>
    <t>8.3.5.</t>
  </si>
  <si>
    <t>8.3.6.</t>
  </si>
  <si>
    <t>8.4.1.</t>
  </si>
  <si>
    <t>8.5.1.</t>
  </si>
  <si>
    <t>8.5.2.</t>
  </si>
  <si>
    <t>8.5.3.</t>
  </si>
  <si>
    <t>9.1.1.</t>
  </si>
  <si>
    <t>9.1.2.</t>
  </si>
  <si>
    <t>9.1.3.</t>
  </si>
  <si>
    <t>9.1.4.</t>
  </si>
  <si>
    <t>9.2.1.</t>
  </si>
  <si>
    <t>9.2.2.</t>
  </si>
  <si>
    <t>9.2.3.</t>
  </si>
  <si>
    <t>9.2.4.</t>
  </si>
  <si>
    <t>9.2.5.</t>
  </si>
  <si>
    <t>9.2.6.</t>
  </si>
  <si>
    <t>9.3.1.</t>
  </si>
  <si>
    <t>9.3.2.</t>
  </si>
  <si>
    <t>1.1.1.2.</t>
  </si>
  <si>
    <t>1.1.1.3.</t>
  </si>
  <si>
    <t>1.1.1.4.</t>
  </si>
  <si>
    <t>1.1.1.5.</t>
  </si>
  <si>
    <t>1.2.1.1.</t>
  </si>
  <si>
    <t>1.2.1.2.</t>
  </si>
  <si>
    <t>1.2.1.4.</t>
  </si>
  <si>
    <t>1.2.2.1.</t>
  </si>
  <si>
    <t>1.2.2.2.</t>
  </si>
  <si>
    <t>1.2.2.3.</t>
  </si>
  <si>
    <t>__</t>
  </si>
  <si>
    <t>2.2.1.1.</t>
  </si>
  <si>
    <t>2.2.1.2.</t>
  </si>
  <si>
    <t>3.1.1.1.</t>
  </si>
  <si>
    <t>3.1.1.2.</t>
  </si>
  <si>
    <t>3.1.1.3.</t>
  </si>
  <si>
    <t>3.1.1.4.</t>
  </si>
  <si>
    <t>3.1.1.5.</t>
  </si>
  <si>
    <t>3.1.1.6.</t>
  </si>
  <si>
    <t>3.1.2.1.</t>
  </si>
  <si>
    <t>3.1.2.2.</t>
  </si>
  <si>
    <t>3.2.1.1.</t>
  </si>
  <si>
    <t>3.2.1.2.</t>
  </si>
  <si>
    <t>3.4.2.1.</t>
  </si>
  <si>
    <t>3.4.2.2.</t>
  </si>
  <si>
    <t>3.4.2.3.</t>
  </si>
  <si>
    <t>4.2.1.1.</t>
  </si>
  <si>
    <t>4.2.1.2.</t>
  </si>
  <si>
    <t>4.5.1.1.</t>
  </si>
  <si>
    <t>4.5.1.2.</t>
  </si>
  <si>
    <t>5.2.1.1.</t>
  </si>
  <si>
    <t>5.2.1.2.</t>
  </si>
  <si>
    <t>5.2.1.3.</t>
  </si>
  <si>
    <t>5.4.1.1.</t>
  </si>
  <si>
    <t>5.4.2.1.</t>
  </si>
  <si>
    <t>5.4.2.2.</t>
  </si>
  <si>
    <t>6.1.3.1.</t>
  </si>
  <si>
    <t>6.1.3.2.</t>
  </si>
  <si>
    <t>6.1.4.1.</t>
  </si>
  <si>
    <t>6.1.4.2.</t>
  </si>
  <si>
    <t>6.2.1.1.</t>
  </si>
  <si>
    <t>6.2.1.2.</t>
  </si>
  <si>
    <t>7.1.2.1.</t>
  </si>
  <si>
    <t>7.1.2.2.</t>
  </si>
  <si>
    <t>7.2.1.1.</t>
  </si>
  <si>
    <t>7.2.1.2.</t>
  </si>
  <si>
    <t>7.2.1.3.</t>
  </si>
  <si>
    <t>8.3.1.1.</t>
  </si>
  <si>
    <t>8.3.1.2.</t>
  </si>
  <si>
    <t>8.3.2.1.</t>
  </si>
  <si>
    <t>8.3.2.2.</t>
  </si>
  <si>
    <t>8.3.6.1.</t>
  </si>
  <si>
    <t>8.3.6.2.</t>
  </si>
  <si>
    <t>9.1.1.1.</t>
  </si>
  <si>
    <t>9.1.1.2.</t>
  </si>
  <si>
    <t>9.1.1.3.</t>
  </si>
  <si>
    <t>9.1.4.1.</t>
  </si>
  <si>
    <t>9.1.4.2.</t>
  </si>
  <si>
    <t>9.1.4.3.</t>
  </si>
  <si>
    <t>9.1.4.4.</t>
  </si>
  <si>
    <t>9.2.1.1.</t>
  </si>
  <si>
    <t>9.2.1.2.</t>
  </si>
  <si>
    <t>9.2.1.3.</t>
  </si>
  <si>
    <t>9.2.2.1.</t>
  </si>
  <si>
    <t>9.2.2.2.</t>
  </si>
  <si>
    <t>9.2.2.3.</t>
  </si>
  <si>
    <t>9.2.4.1.</t>
  </si>
  <si>
    <t>9.2.4.2.</t>
  </si>
  <si>
    <t>9.3.1.1.</t>
  </si>
  <si>
    <t>9.3.1.2.</t>
  </si>
  <si>
    <t>1</t>
  </si>
  <si>
    <t>2</t>
  </si>
  <si>
    <t>3</t>
  </si>
  <si>
    <t>4</t>
  </si>
  <si>
    <t>EM</t>
  </si>
  <si>
    <t>SM</t>
  </si>
  <si>
    <t>VARAM</t>
  </si>
  <si>
    <t>TM</t>
  </si>
  <si>
    <t>ESF</t>
  </si>
  <si>
    <t>VK</t>
  </si>
  <si>
    <t>KF</t>
  </si>
  <si>
    <t>ZM</t>
  </si>
  <si>
    <t>KM</t>
  </si>
  <si>
    <t>LM</t>
  </si>
  <si>
    <t>ESF/JNI</t>
  </si>
  <si>
    <t>VM</t>
  </si>
  <si>
    <t>JNI</t>
  </si>
  <si>
    <t>* Atsevišķos gadījumos MK noteikumos par specifisko atbalsta mērķu, to pasākumu, kārtu īstenošanu noteikts lielāks finanšu mērķis 2018.gadam un mazāks pieejamais finansējums (lielāks rezerves finansējums), nekā tas noteikts darbības programmā "Izaugsme un nodarbinātība".</t>
  </si>
  <si>
    <t>Prioritārais virziens/ Fonds</t>
  </si>
  <si>
    <t>1.PV ERAF</t>
  </si>
  <si>
    <t>2.PV ERAF</t>
  </si>
  <si>
    <t>3.PV ERAF</t>
  </si>
  <si>
    <t>3.PV ESF</t>
  </si>
  <si>
    <t>3.PV kopa</t>
  </si>
  <si>
    <t>4.PV ERAF</t>
  </si>
  <si>
    <t>4.PV KF</t>
  </si>
  <si>
    <t>4.PV kopa</t>
  </si>
  <si>
    <t>5.PV ERAF</t>
  </si>
  <si>
    <t>5.PV KF</t>
  </si>
  <si>
    <t>5.PV kopa</t>
  </si>
  <si>
    <t>6.PV ERAF</t>
  </si>
  <si>
    <t>6.PV KF</t>
  </si>
  <si>
    <t>6.PV kopa</t>
  </si>
  <si>
    <t>7.PV ESF</t>
  </si>
  <si>
    <t>7.PV JNI</t>
  </si>
  <si>
    <t>7.PV kopa</t>
  </si>
  <si>
    <t>8.PV ERAF</t>
  </si>
  <si>
    <t>8.PV ESF</t>
  </si>
  <si>
    <t>8.PV kopa</t>
  </si>
  <si>
    <t>9.PV ERAF</t>
  </si>
  <si>
    <t>9.PV ESF</t>
  </si>
  <si>
    <t>9.PV kopa</t>
  </si>
  <si>
    <t>Kopā</t>
  </si>
  <si>
    <t>Virssaistības</t>
  </si>
  <si>
    <t>MAX virssaistības</t>
  </si>
  <si>
    <t>Tematiskā koncentrācija</t>
  </si>
  <si>
    <t>1.,2.,3.,4. TM ERAF 50%</t>
  </si>
  <si>
    <t>ERAF MKN</t>
  </si>
  <si>
    <t>DP ERAF</t>
  </si>
  <si>
    <t>12% ERAF 4.TM</t>
  </si>
  <si>
    <t>ES fondu vadības likuma 7.pants: 
"Virssaistības nepārsniedz piecus procentus no darbības programmai plānotā Eiropas Savienības fondu finansējuma. Ministru kabinets var lemt par virssaistību palielināšanu virs šā limita, ja tas nepieciešams Eiropas Savienības fondu pilnīgai izmantošanai un tas nerada risku papildu izdevumiem valsts budžetā plānoto attiecināmo izdevumu segšanai."</t>
  </si>
  <si>
    <t>ERAF regulas (Eiropas Parlamenta un Padomes Regula (ES) Nr. 1301/2013 (2013. gada 17. decembris) par Eiropas Reģionālās attīstības fondu un īpašiem noteikumiem attiecībā uz mērķi "Investīcijas izaugsmei un nodarbinātībai" un ar ko atceļ Regulu (EK) Nr. 1080/2006) 4.panta c) punktā noteiktās prasības tematiskās koncentrācijas nodrošināšanai</t>
  </si>
  <si>
    <t>Kods</t>
  </si>
  <si>
    <t xml:space="preserve">Priority axis </t>
  </si>
  <si>
    <t xml:space="preserve">Fund </t>
  </si>
  <si>
    <t>1. Pētniecības, tehnoloģiju attīstība un inovācijas</t>
  </si>
  <si>
    <t>2. IKT pieejamība, e-pārvalde un pakalpojumi</t>
  </si>
  <si>
    <t>3. Mazo un vidējo komersantu konkurētspēja</t>
  </si>
  <si>
    <t>4. Pāreja uz ekonomiku, kura rada mazas oglekļa emisijas, visās nozarēs</t>
  </si>
  <si>
    <t>5. Vides aizsardzība un resursu izmantošanas efektivitāte</t>
  </si>
  <si>
    <t>6. Ilgtspējīga transporta sistēma</t>
  </si>
  <si>
    <t>7. Nodarbinātība un darbaspēka mobilitāte</t>
  </si>
  <si>
    <t>8. Izglītība, prasmes un mūžizglītība</t>
  </si>
  <si>
    <t>9. Sociālā iekļaušana un nabadzības apkarošana</t>
  </si>
  <si>
    <t>10. Tehniskā palīdzība “Atbalsts ESF ieviešanai un vadībai”</t>
  </si>
  <si>
    <t>11. Tehniskā palīdzība “Atbalsts ERAF ieviešanai un vadībai”</t>
  </si>
  <si>
    <t>12. Tehniskā palīdzība “Atbalsts KF ieviešanai un vadībai”</t>
  </si>
  <si>
    <t>Kopā:</t>
  </si>
  <si>
    <t>Šobrīd piešķirtās</t>
  </si>
  <si>
    <t>Atlikums</t>
  </si>
  <si>
    <t>MK lēmums par rezerves piešķiršanu (fondu daļai) pirms EK lēmuma, EUR</t>
  </si>
  <si>
    <t>Rezerve, kuru finansējuma saņēmējs jau ir priekšfinansējis projektos (līgums, apstiprināts, iesniegts), EUR</t>
  </si>
  <si>
    <t>Piešķirtās Virsaistības ES fondu daļai, EUR</t>
  </si>
  <si>
    <r>
      <t xml:space="preserve">Savienības atbalsts DP </t>
    </r>
    <r>
      <rPr>
        <b/>
        <i/>
        <sz val="10"/>
        <rFont val="Calibri"/>
        <family val="2"/>
        <charset val="186"/>
      </rPr>
      <t>(EUR)</t>
    </r>
  </si>
  <si>
    <r>
      <t xml:space="preserve">Savienības atbalsts MKN </t>
    </r>
    <r>
      <rPr>
        <b/>
        <i/>
        <sz val="10"/>
        <rFont val="Calibri"/>
        <family val="2"/>
        <charset val="186"/>
      </rPr>
      <t>(EUR)</t>
    </r>
  </si>
  <si>
    <t>Kopā (bez TP)</t>
  </si>
  <si>
    <t>Jā</t>
  </si>
  <si>
    <t>Nē</t>
  </si>
  <si>
    <t>Plānotais finansējums kopā, EUR</t>
  </si>
  <si>
    <t>ES fondu plānotais finansējums, EUR</t>
  </si>
  <si>
    <t>Plānotais nacionālais finansējums, EUR</t>
  </si>
  <si>
    <r>
      <rPr>
        <b/>
        <sz val="10"/>
        <color theme="1"/>
        <rFont val="Calibri"/>
        <family val="2"/>
        <charset val="186"/>
        <scheme val="minor"/>
      </rPr>
      <t>DP</t>
    </r>
    <r>
      <rPr>
        <sz val="10"/>
        <color theme="1"/>
        <rFont val="Calibri"/>
        <family val="2"/>
        <charset val="186"/>
        <scheme val="minor"/>
      </rPr>
      <t xml:space="preserve"> noteiktā ES fondu </t>
    </r>
    <r>
      <rPr>
        <b/>
        <sz val="10"/>
        <color theme="1"/>
        <rFont val="Calibri"/>
        <family val="2"/>
        <charset val="186"/>
        <scheme val="minor"/>
      </rPr>
      <t>rezerve</t>
    </r>
    <r>
      <rPr>
        <sz val="10"/>
        <color theme="1"/>
        <rFont val="Calibri"/>
        <family val="2"/>
        <charset val="186"/>
        <scheme val="minor"/>
      </rPr>
      <t>, EUR*</t>
    </r>
  </si>
  <si>
    <r>
      <t xml:space="preserve">ES fondu </t>
    </r>
    <r>
      <rPr>
        <b/>
        <sz val="10"/>
        <color theme="1"/>
        <rFont val="Calibri"/>
        <family val="2"/>
        <charset val="186"/>
        <scheme val="minor"/>
      </rPr>
      <t>rezerve MKN</t>
    </r>
    <r>
      <rPr>
        <sz val="10"/>
        <color theme="1"/>
        <rFont val="Calibri"/>
        <family val="2"/>
        <charset val="186"/>
        <scheme val="minor"/>
      </rPr>
      <t>, EUR*</t>
    </r>
  </si>
  <si>
    <t>5PV</t>
  </si>
  <si>
    <t>1PV</t>
  </si>
  <si>
    <t>2PV</t>
  </si>
  <si>
    <t>3PV</t>
  </si>
  <si>
    <t>4PV</t>
  </si>
  <si>
    <t>6PV</t>
  </si>
  <si>
    <t>7PV</t>
  </si>
  <si>
    <t>8PV</t>
  </si>
  <si>
    <t>9PV</t>
  </si>
  <si>
    <t>Pieejamais finansējums kopā, EUR</t>
  </si>
  <si>
    <t>Pieejamais ES fondu finansējums, EUR</t>
  </si>
  <si>
    <t>Pieejamais Nacionālais finansējums, EUR</t>
  </si>
  <si>
    <r>
      <t xml:space="preserve">Starpība 
</t>
    </r>
    <r>
      <rPr>
        <sz val="10"/>
        <color theme="1"/>
        <rFont val="Calibri"/>
        <family val="2"/>
        <charset val="186"/>
        <scheme val="minor"/>
      </rPr>
      <t>(DP noteiktā ES fondu rezerve pret MKN noteikto ES fondu rezervi)</t>
    </r>
  </si>
  <si>
    <t>PV</t>
  </si>
  <si>
    <t>Plānotā rezerves/atlikuma izmantošana</t>
  </si>
  <si>
    <t>6. N/A SAM nav paredzēta rezerve/nav atlikumu</t>
  </si>
  <si>
    <t>5. Cits/kombinēts variants/jauna iniciatīva</t>
  </si>
  <si>
    <t>1. Novirzīt virsaistību kompensēšanai</t>
  </si>
  <si>
    <t>2. Atbilstoši plānotajam SAM/pasākumā/kārtā</t>
  </si>
  <si>
    <t>4. Pārdalīt uz citu prioritāro virzienu</t>
  </si>
  <si>
    <t>Kopā bez Tehniskās palīdzības</t>
  </si>
  <si>
    <t>N/A</t>
  </si>
  <si>
    <t>Papildu nepieciešamais finansējums (EUR, ES fondu daļa)</t>
  </si>
  <si>
    <t>Pamatojums</t>
  </si>
  <si>
    <t>SAM/pasākuma Nr. un nosaukums</t>
  </si>
  <si>
    <t>Izmantot atbilstoši plānotajam</t>
  </si>
  <si>
    <t xml:space="preserve">Rezervi novirzīt 4.3.1.SAM 3.kārtas (jaunas) īstenošanai.
Atlikumus novirzīt 4.1.1.SAM 3.kārtas (jaunas) īstenošanai. </t>
  </si>
  <si>
    <t>Jauna kārta (4.1.1. 1.kārtas un 2.kārtas atlikumi)</t>
  </si>
  <si>
    <t>Skaidrojums, kur plānots novizrīt rezervi/atlikumus</t>
  </si>
  <si>
    <t>Rezerve un atlikumi uz 3.3.1.SAM 2.kārtu</t>
  </si>
  <si>
    <t>3. Pārdalīt uz citu SAM/pasākumu/kārtu, tajā pašā prioritārā virzienā</t>
  </si>
  <si>
    <t>Rezerve un atlikumi uz 4.2.2.SAM 3.kārtu</t>
  </si>
  <si>
    <t xml:space="preserve">Ministrija </t>
  </si>
  <si>
    <t>Izmantot atbilstoši plānotajam.
No atlikumiem 60 000 novirzīt 5.6.2.SAM 3.kārtai</t>
  </si>
  <si>
    <t>Rezerve nav.
Atlikums uz 5.2.1.2.pasākuma 3.kārtu.</t>
  </si>
  <si>
    <t xml:space="preserve">Izmantot atbilstoši plānotajam.
Papildu atlikumi no 5.3.1.SAM 1.kārtas un 2.kārtas, kā arī rezerve no 5.4.2.2.pasākuma 3.kārtas.
</t>
  </si>
  <si>
    <t>Paredzēt papildu finansējumu 470 058 EUR no 5.4.3.SAM rezerves.</t>
  </si>
  <si>
    <t>Rezerve nav.
Atlikumi uz 5.3.1.SAM 4.kārtu.</t>
  </si>
  <si>
    <t>563 SAM "Piesārņoto vietu sanācija"</t>
  </si>
  <si>
    <t>6132 pasākums "Torņkalna multimodālais transporta mezgls"</t>
  </si>
  <si>
    <t>6141 pasākums "Rīgas pilsētas integrēšana TEN-T tīklā"</t>
  </si>
  <si>
    <t xml:space="preserve">Rezervi izmantot atbilstoši plānotajam. Atlikumus pārdalīt uz 5.6.1.SAM </t>
  </si>
  <si>
    <t>3.3.1.SAM "Publiskā infrastruktūra uzņēmējdarbībai" 2.kārta (21)</t>
  </si>
  <si>
    <t xml:space="preserve">4.2.2.SAM "Pašvaldību ēku energoefektivitāte", jauna 3.kārta (21) </t>
  </si>
  <si>
    <t>5.2.1.2.pasākuma "Atkritumu pārstrāde" 3.kārta</t>
  </si>
  <si>
    <r>
      <t xml:space="preserve">3.kārtai piesaistīt </t>
    </r>
    <r>
      <rPr>
        <b/>
        <sz val="10"/>
        <rFont val="Calibri"/>
        <family val="2"/>
        <charset val="186"/>
        <scheme val="minor"/>
      </rPr>
      <t>papildu finansējumu ārpus VARAM aploksnes 29,5 milj. EUR apmērā, ņ</t>
    </r>
    <r>
      <rPr>
        <sz val="10"/>
        <rFont val="Calibri"/>
        <family val="2"/>
        <charset val="186"/>
        <scheme val="minor"/>
      </rPr>
      <t>emot vērā Latgales projektu iesniegšanas un īstenošanas augsto progresu un MK 18.09.2018. lēmumu  (prot. Nr.42, 32.§) FM sadarbībā ar VARAM ES fonfu vidusposma izvērtējuma ietvaros izvērtēt iespēju prioritāri Latgales plānošanas reģionam novirzīt papildu ERAF finansējumu 29 504 156 EUR apmērā  5.6.2.SAM  3.atlases kārtas ietvaros. Finansējuma avots papildus finansējuma summai pagaidām nav zināms. Ja papildus finansējumu nevarēs rast prioritātes ietvaros, būs nepieciešami grozījumi DP.
3) papildus atlikumus, kas veidojas 1.kārtas, 2.kārtas un 3.kārtas projektu īstenošanas rezultātā, piemēram, NVI, novirzīt papildu projektu īstenošanai 3.kārtas ietvaros (Latgale),  nodrošinot efektīvāku līdzekļu apguvi un administratīvā sloga mazināšanu pašvaldībām un administrējošām iestādēm.</t>
    </r>
  </si>
  <si>
    <r>
      <t xml:space="preserve">Atlikums tiek saglabāts šajā kārtā, ņemot vērā EK un ESAO secināto, ka Latvija nespēs nodrošināt direktīvās noteikto mērķu sasniegšanu attiecībā uz apglabājamo atkritumu daudzuma samazinājumu 2020.gadā, par ko EK nosūtījusi agrās brīdināšanas ziņojumu. 
</t>
    </r>
    <r>
      <rPr>
        <b/>
        <sz val="10"/>
        <rFont val="Calibri"/>
        <family val="2"/>
        <charset val="186"/>
        <scheme val="minor"/>
      </rPr>
      <t>Nepieciešams papildu finansējums ārpus VARAM aploksnes EUR 27 699 302,</t>
    </r>
    <r>
      <rPr>
        <sz val="10"/>
        <rFont val="Calibri"/>
        <family val="2"/>
        <charset val="186"/>
        <scheme val="minor"/>
      </rPr>
      <t xml:space="preserve"> kas ir atkritumu apglabāšanas poligoniem nepieciešamais papildu investīciju apjoms.</t>
    </r>
  </si>
  <si>
    <r>
      <t xml:space="preserve">Ierosinām </t>
    </r>
    <r>
      <rPr>
        <b/>
        <sz val="10"/>
        <rFont val="Calibri"/>
        <family val="2"/>
        <charset val="186"/>
        <scheme val="minor"/>
      </rPr>
      <t xml:space="preserve">piesaistīt papildu finansējumu ārpus VARAM aploksnes 15 milj. EUR apmērā </t>
    </r>
    <r>
      <rPr>
        <sz val="10"/>
        <rFont val="Calibri"/>
        <family val="2"/>
        <charset val="186"/>
        <scheme val="minor"/>
      </rPr>
      <t>21 reģionālā centra  pašvaldību ēku energoefektivitātes uzlabošanai (veidot jaunu 3.kārtu). 
a. 4.2.2. SAM snieguma ietvara finanšu rādītāja izpilde sasniedza 468% no DP plānotā, kamēr 4.2.1.1. pasākumā (daudzdzīvokļu mājas) un 4.2.1.2. pasākumā (valsts ēkas) snieguma ietvara izpildes rādītājs ir attiecīgi 86% un 47%;
b. Saskaņā ar Reģionālās politikas pamatnostādņu pēc 2020.gadam vajadzībām VARAM veikto aptauju par nepieciešamo finansējumu novadu pašvaldību vajadzībām dažādās jomās energoefektivitātes pasākumiem nepieciešamais finansējums ir 321,56 milj. EUR;
c. 2.kārtas projektu priekšatlasē uz pieejamo finansējumu pretendēja 205 projektu idejas, no  kurām finansējums bija pietiekams tikai 67 izmaksu efektīvāko projektu ideju atbalstam, lai gan atlases kritērijiem atbilda 198 pašvaldību ēkas ar nepieciešamo ERAF finansējumu 43,2 milj. EUR;
d. Nepieciešama jauna projektu atlase iznākuma rādītāja “no atjaunojamiem energoresursiem ražotā papildjauda” sasniegšanai, ņemot vērā tā sasniegto vērtību uz šo brīdi – 0,011 megavati jeb 9% no plānotā (1,2 megavati)  – un nosakot sasniedzamo minimālo rādītāja vērtību katrā projektā.
Ierosinām atlikumu, kas veidojas 1.kārtas un 2.kārtas projektu īstenošanas rezultātā, novirzīt papildu projektu īstenošanai jaunās 3.kārtas ietvaros, nodrošinot efektīvāku līdzekļu apguvi un administratīvā sloga mazināšanu pašvaldībām un administrējošām iestādēm.</t>
    </r>
  </si>
  <si>
    <r>
      <rPr>
        <b/>
        <sz val="10"/>
        <color theme="1"/>
        <rFont val="Calibri"/>
        <family val="2"/>
        <charset val="186"/>
        <scheme val="minor"/>
      </rPr>
      <t xml:space="preserve">3.3.1.SAM  2.kārtai piesaistīt papildu finansējumu  24,76 milj. EUR apmērā ārpus VARAM aploksnes, </t>
    </r>
    <r>
      <rPr>
        <sz val="10"/>
        <color theme="1"/>
        <rFont val="Calibri"/>
        <family val="2"/>
        <charset val="186"/>
        <scheme val="minor"/>
      </rPr>
      <t>ņemot vērā tieši reģionu centru projektu iesniegšanas un īstenošanas augsto progresu un MK 07.08.2018. lēmumu  (prot. Nr.37 81.§) FM sadarbībā ar VARAM ES fondu vidusposma izvērtējuma ietvaros izvērtēt iespēju novirzīt papildu finansējumu 24 765 151 EUR apmērā 3.3.1.SAM projektiem. Finansējuma avots papildus finansējuma summai pagaidām nav zināms. Ja papildus finansējumu nevarēs rast prioritātes ietvaros, būs nepieciešami grozījumi DP.</t>
    </r>
  </si>
  <si>
    <t>5.6.2.SAM "Degradēto teritoriju atjaunošana" 3.kārta (Latgale)</t>
  </si>
  <si>
    <t>SAM/pasākums/kārta, EUR</t>
  </si>
  <si>
    <t>331 SAM "Publiskā infrastruktūra uzņēmējdarbībai" 1.kārta (9)</t>
  </si>
  <si>
    <t>331 SAM "Publiskā infrastruktūra uzņēmējdarbībai" 2.kārta (21)</t>
  </si>
  <si>
    <t>ES fondu finansējums, 
EUR</t>
  </si>
  <si>
    <t>422 SAM "Pašvaldību ēku energoefektivitāte" 1.kārta (9)</t>
  </si>
  <si>
    <t>812 SAM "Uzlabot vispārējās izglītības iestāžu mācību vidi" 2.kārta</t>
  </si>
  <si>
    <t>812 SAM "Uzlabot vispārējās izglītības iestāžu mācību vidi" 3.kārta</t>
  </si>
  <si>
    <t>812 SAM "Uzlabot vispārējās izglītības iestāžu mācību vidi" 4.kārta</t>
  </si>
  <si>
    <t>812 SAM "Uzlabot vispārējās izglītības iestāžu mācību vidi" 1.kārta (9)</t>
  </si>
  <si>
    <t>551 SAM "Ieguldījumi kultūras un dabas mantojumā" 1.kārta</t>
  </si>
  <si>
    <t xml:space="preserve">551 SAM "Ieguldījumi kultūras un dabas mantojumā" 2.kārta </t>
  </si>
  <si>
    <t>551 SAM "Ieguldījumi kultūras un dabas mantojumā" 3.kārta (9)</t>
  </si>
  <si>
    <t>511 SAM "Plūdu risku samazināšana blīvi apdzīvotās teritorijās" 1.kārta</t>
  </si>
  <si>
    <t>511 SAM "Plūdu risku samazināšana blīvi apdzīvotās teritorijās" 2.kārta</t>
  </si>
  <si>
    <t>511 SAM "Plūdu risku samazināšana blīvi apdzīvotās teritorijās" 3.kārta</t>
  </si>
  <si>
    <t xml:space="preserve">531 SAM "Ūdenssaimiecība" 1.kārta </t>
  </si>
  <si>
    <t>531 SAM "Ūdenssaimiecība" 2.kārta</t>
  </si>
  <si>
    <t>531 SAM "Ūdenssaimiecība" 3.kārta</t>
  </si>
  <si>
    <t xml:space="preserve">531 SAM "Ūdenssaimiecība" 4.kārta </t>
  </si>
  <si>
    <t>Komentāri</t>
  </si>
  <si>
    <r>
      <rPr>
        <sz val="12"/>
        <rFont val="Calibri"/>
        <family val="2"/>
        <charset val="186"/>
        <scheme val="minor"/>
      </rPr>
      <t>MK piešķirtās</t>
    </r>
    <r>
      <rPr>
        <b/>
        <sz val="12"/>
        <rFont val="Calibri"/>
        <family val="2"/>
        <charset val="186"/>
        <scheme val="minor"/>
      </rPr>
      <t xml:space="preserve"> virssaistības</t>
    </r>
    <r>
      <rPr>
        <sz val="12"/>
        <rFont val="Calibri"/>
        <family val="2"/>
        <charset val="186"/>
        <scheme val="minor"/>
      </rPr>
      <t>, EUR</t>
    </r>
  </si>
  <si>
    <r>
      <rPr>
        <sz val="12"/>
        <rFont val="Calibri"/>
        <family val="2"/>
        <charset val="186"/>
        <scheme val="minor"/>
      </rPr>
      <t>DP noteiktā</t>
    </r>
    <r>
      <rPr>
        <b/>
        <sz val="12"/>
        <rFont val="Calibri"/>
        <family val="2"/>
        <charset val="186"/>
        <scheme val="minor"/>
      </rPr>
      <t xml:space="preserve"> ES fondu rezerve</t>
    </r>
    <r>
      <rPr>
        <sz val="12"/>
        <rFont val="Calibri"/>
        <family val="2"/>
        <charset val="186"/>
        <scheme val="minor"/>
      </rPr>
      <t>, 
EUR</t>
    </r>
  </si>
  <si>
    <t>5411 pasākums "Infrastruktūra natura 2000 teritorijās"</t>
  </si>
  <si>
    <t>813 SAM "Ieguldījumi profesionālās izglītības infrastruktūrā" 1.kārta (9)</t>
  </si>
  <si>
    <t xml:space="preserve">813 SAM "Ieguldījumi profesionālās izglītības infrastruktūrā" 2.kārta </t>
  </si>
  <si>
    <t>9242 pasākums "Veselības veicināšana un slimību profilakse pašvaldībās"</t>
  </si>
  <si>
    <t>9311 pasākums "Infrastruktūra deinstitucionalizācijai" 1.kārta (9)</t>
  </si>
  <si>
    <t xml:space="preserve">9311 pasākums "Infrastruktūra deinstitucionalizācijai" 2.kārta </t>
  </si>
  <si>
    <t>Citi pašvaldību atbalsta SAM/pasākumi</t>
  </si>
  <si>
    <t>562 SAM "Degradēto teritoriju atjaunošana" 1.kārta (9)</t>
  </si>
  <si>
    <t>562 SAM "Degradēto teritoriju atjaunošana" 2.kārta (21)</t>
  </si>
  <si>
    <t>562 SAM "Degradēto teritoriju atjaunošana" 3.kārta (Latgale)</t>
  </si>
  <si>
    <t>Nav rezerves un atlikumu</t>
  </si>
  <si>
    <t>Lai nodrošinātu 2. atlases kārtas izsludināšanu komercializācijas projektiem (t.sk., lai nodrošinātu noteiktā rādītāja izpildi)</t>
  </si>
  <si>
    <t>1.2.1.2. "Atbalsts tehnoloģiju pārneses sistēmas pilnveidošanai"</t>
  </si>
  <si>
    <t xml:space="preserve">Lai nodrošinātu pasākuma ieviešanu līdz plānošanas perioda beigām. </t>
  </si>
  <si>
    <t xml:space="preserve">Lai nodrošinātu abu pasākumu ieviešanu līdz plānošanas perioda beigām. </t>
  </si>
  <si>
    <t>Lai nodrošinātu pasākuma ieviešanu līdz 2023. gada 31. decembrim.</t>
  </si>
  <si>
    <t>3.2.1.1. "Klasteru programma"</t>
  </si>
  <si>
    <t xml:space="preserve">3.2.1.2. "Starptautiskās konkurētspējas veicināšana" </t>
  </si>
  <si>
    <t>1.2.1.4. "Atbalsts jaunu produktu ieviešanai ražošanā" un 3.1.1.5. pasākums "Atbalsts ieguldījumiem ražošanas telpu un infrastruktūras izveidei vai rekonstrukcijai"</t>
  </si>
  <si>
    <t>SAM nosaukums</t>
  </si>
  <si>
    <t>Pasākuma nosaukums</t>
  </si>
  <si>
    <t>Palielināt Latvijas zinātnisko institūciju pētniecisko un inovatīvo kapacitāti un spēju piesaistīt ārējo finansējumu, ieguldot cilvēkresursos un infrastruktūrā</t>
  </si>
  <si>
    <t>Praktiskas ievirzes pētījumi</t>
  </si>
  <si>
    <t xml:space="preserve">IZM piedāvā divus variantus: 1) izmantot rezervi atbilstoši plānotajam 2)  pabeigto projektu rezervi un atlikumus no 8.1.1.SAM un 8.1.4.SAM novirzīt jaunam uzsaukumam 8.1.1.SAM ietvaros </t>
  </si>
  <si>
    <r>
      <t xml:space="preserve">Finansējuma </t>
    </r>
    <r>
      <rPr>
        <b/>
        <sz val="12"/>
        <rFont val="Calibri"/>
        <family val="2"/>
        <charset val="186"/>
        <scheme val="minor"/>
      </rPr>
      <t xml:space="preserve">atlikumi </t>
    </r>
    <r>
      <rPr>
        <sz val="12"/>
        <rFont val="Calibri"/>
        <family val="2"/>
        <charset val="186"/>
        <scheme val="minor"/>
      </rPr>
      <t xml:space="preserve">
</t>
    </r>
    <r>
      <rPr>
        <i/>
        <sz val="12"/>
        <rFont val="Calibri"/>
        <family val="2"/>
        <charset val="186"/>
        <scheme val="minor"/>
      </rPr>
      <t>(17.06.2019.)</t>
    </r>
  </si>
  <si>
    <r>
      <t xml:space="preserve">Teorētiski pieejamais finansējums pārdalēm
</t>
    </r>
    <r>
      <rPr>
        <i/>
        <sz val="12"/>
        <color theme="1"/>
        <rFont val="Calibri"/>
        <family val="2"/>
        <charset val="186"/>
        <scheme val="minor"/>
      </rPr>
      <t>(rezerve+atlikumi)</t>
    </r>
  </si>
  <si>
    <r>
      <t xml:space="preserve">Priekšfinansēta rezerve (līgumos), </t>
    </r>
    <r>
      <rPr>
        <i/>
        <sz val="12"/>
        <rFont val="Calibri"/>
        <family val="2"/>
        <charset val="186"/>
        <scheme val="minor"/>
      </rPr>
      <t>EUR (17.06.2019.)</t>
    </r>
  </si>
  <si>
    <r>
      <t xml:space="preserve">Priekšfinansēta rezerve (vērtēšanā), </t>
    </r>
    <r>
      <rPr>
        <i/>
        <sz val="12"/>
        <rFont val="Calibri"/>
        <family val="2"/>
        <charset val="186"/>
        <scheme val="minor"/>
      </rPr>
      <t>EUR (17.06.2019.)</t>
    </r>
  </si>
  <si>
    <t>5=3+4</t>
  </si>
  <si>
    <t>KOPĀ SAM , kuros ir virssaistības</t>
  </si>
  <si>
    <t>KOPĀ tikai tajās kārtās, kurām ir virssaistības</t>
  </si>
  <si>
    <t>422 SAM "Pašvaldību ēku energoefektivitāte" 2.kārta (21+89)</t>
  </si>
  <si>
    <t>4511 pasākums "Tramvaji" (9)</t>
  </si>
  <si>
    <t>4512 pasākums "Videi draudzīgi autobusi" (9)</t>
  </si>
  <si>
    <t xml:space="preserve">6131 pasākums "Rīgas tiltu un pārvadu pārbūve" </t>
  </si>
  <si>
    <t>6142 pasākums "Lielo pilsētu integrēšana TEN-T tīklā" (9)</t>
  </si>
  <si>
    <t>Faktiski tikai 23 m EUR 
(koncertzāle, jo pārējais atlasē)</t>
  </si>
  <si>
    <t>3.4.2.SAM "Valsts pārvaldes profesionālā pilnveide, publisko pakalpojumu un sociālā dialoga attīstība mazo un vidējo komersantu atbalsta, korupcijas novēršanas un ēnu ekonomikas mazināšanas sekmēšanai"</t>
  </si>
  <si>
    <t>9.1.2.SAM "Palielināt bijušo ieslodzīto integrāciju sabiedrībā un darba tirgū"</t>
  </si>
  <si>
    <t>9.1.3.SAM "Paaugstināt resocializācijas sistēmas efektivitāti"</t>
  </si>
  <si>
    <t>9.3.2.SAM "Uzlabot kvalitatīvu veselības aprūpes pakalpojumu pieejamību, jo īpaši sociālās, teritoriālās atstumtības un nabadzības riskam pakļautajiem iedzīvotājiem, attīstot veselības aprūpes infrastruktūru"</t>
  </si>
  <si>
    <t>Pēcdoktorantūras pētniecības atbalsts</t>
  </si>
  <si>
    <t>Inovāciju granti studentiem</t>
  </si>
  <si>
    <t>Atbalsts starptautiskās sadarbības projektiem pētniecībā un inovācijās</t>
  </si>
  <si>
    <t>Atbalsts jaunu produktu un tehnoloģiju izstrādei kompetences centru ietvaros</t>
  </si>
  <si>
    <t>Atbalsts tehnoloģiju pārneses sistēmas pilnveidošanai</t>
  </si>
  <si>
    <t>Atbalsts jaunu produktu ieviešanai ražošanā</t>
  </si>
  <si>
    <t>Veicināt inovāciju ieviešanu komersantos</t>
  </si>
  <si>
    <t>Atbalsts nodarbināto apmācībām</t>
  </si>
  <si>
    <t>Inovāciju motivācijas programma</t>
  </si>
  <si>
    <t>Atbalsts IKT un netehnoloģiskām apmācībām, kā arī apmācībā, lai sekmētu investoru piesaisti</t>
  </si>
  <si>
    <t>Uzlabot elektroniskās sakaru infrastruktūras pieejamību lauku teritorijās</t>
  </si>
  <si>
    <t>Nodrošināt publisko datu atkalizmantošanas pieaugumu un efektīvu publiskās pārvaldes un privātā sektora mijiedarbību</t>
  </si>
  <si>
    <t>Centralizētu publiskās pārvaldes IKT platformu izveide, publiskās pārvaldes procesu optimizēšana un attīstība</t>
  </si>
  <si>
    <t>Sekmēt MVK izveidi un attīstību, īpaši apstrādes rūpniecībā un RIS3 prioritārajās nozarēs</t>
  </si>
  <si>
    <t>Aizdevumu garantijas</t>
  </si>
  <si>
    <t>Mezanīna aizdevumi</t>
  </si>
  <si>
    <t>Mikrokreditēšana un aizdevumi biznesa uzsācējiem</t>
  </si>
  <si>
    <t>Atbalsts ieguldījumiem ražošanas telpu un infrastruktūras izveidei vai rekonstrukcijai</t>
  </si>
  <si>
    <t>Reģionālie biznesa inkubatori un radošo industriju inkubators</t>
  </si>
  <si>
    <t>Palielināt straujas izaugsmes komersantu skaitu</t>
  </si>
  <si>
    <t>Riska kapitāls</t>
  </si>
  <si>
    <t>Tehnoloģiju akselerators</t>
  </si>
  <si>
    <t>Palielināt augstas pievienotās vērtības produktu un pakalpojumu eksporta proporciju</t>
  </si>
  <si>
    <t xml:space="preserve"> Klasteru programma</t>
  </si>
  <si>
    <t>Starptautiskās konkurētspējas veicināšana</t>
  </si>
  <si>
    <t>Palielināt privāto investīciju apjomu reģionos, veicot ieguldījumus uzņēmējdarbības attīstībai atbilstoši pašvaldību attīstības programmās noteiktajai teritoriju ekonomiskajai specializācijai un balstoties uz vietējo uzņēmēju vajadzībām</t>
  </si>
  <si>
    <t>Paaugstināt tiesu un tiesībsargājošo institūciju personāla kompetenci komercdarbības vides uzlabošanas sekmēšanai</t>
  </si>
  <si>
    <t>Valsts pārvaldes profesionālā pilnveide labāka tiesiskā regulējuma izstrādē mazo un vidējo komersantu atbalsta, korupcijas novēršanas un ēnu ekonomikas mazināšanas jomās</t>
  </si>
  <si>
    <t>Valsts pārvaldes profesionālā pilnveide labāka tiesiska regulējuma izstrādē mazo un vidējo komersantu atbalsta, korupcijas novēršanas un ēnu ekonomikas mazināšanas jomās (1.kārta)</t>
  </si>
  <si>
    <t>Valsts pārvaldes profesionālā pilnveide labāka tiesiska regulējuma izstrādē mazo un vidējo komersantu atbalsta, korupcijas novēršanas un ēnu ekonomikas mazināšanas jomās (2.kārta)</t>
  </si>
  <si>
    <t>Sociālā dialoga attīstība labāka tiesiska regulējuma izstrādē uzņēmējdarbības atbalsta jomā</t>
  </si>
  <si>
    <t>Publisko pakalpojumu pārveides metodoloģijas izstrāde un aprobācija</t>
  </si>
  <si>
    <t>Veicināt efektīvu energoresursu izmantošanu, enerģijas patēriņa samazināšanu un pāreju uz AER apstrādes rūpniecības nozarē</t>
  </si>
  <si>
    <t>Veicināt energoefektivitātes paaugstināšanu valsts un dzīvojamās ēkās</t>
  </si>
  <si>
    <t>Veicināt energoefektivitātes paaugstināšanu dzīvojamās ēkās</t>
  </si>
  <si>
    <t>Veicināt energoefektivitātes paaugstināšanu dzīvojamās ēkās (ESKO)</t>
  </si>
  <si>
    <t>Veicināt energoefektivitātes paaugstināšanu valsts ēkās (1.kārta)</t>
  </si>
  <si>
    <t>Veicināt energoefektivitātes paaugstināšanu valsts ēkās (2.kārta)</t>
  </si>
  <si>
    <t>Atbilstoši pašvaldības integrētajām attīstības programmām sekmēt energoefektivitātes paaugstināšanu un AER izmantošanu pašvaldību ēkās</t>
  </si>
  <si>
    <t>Veicināt energoefektivitāti un vietējo AER izmantošanu centralizētajā siltumapgādē</t>
  </si>
  <si>
    <t>Attīstīt ETL uzlādes infrastruktūru Latvijā</t>
  </si>
  <si>
    <t>Attīstīt videi draudzīgu sabiedriskā transporta infrastruktūru</t>
  </si>
  <si>
    <t>Attīstīt videi draudzīgu sabiedriskā transporta infrastruktūru (sliežu transporta)</t>
  </si>
  <si>
    <t>Novērst plūdu un krasta erozijas risku apdraudējumu pilsētu teritorijās</t>
  </si>
  <si>
    <t>Samazināt plūdu riskus lauku teritorijās</t>
  </si>
  <si>
    <t>Veicināt dažāda veida atkritumu atkārtotu izmantošanu, pārstrādi un reģenerāciju</t>
  </si>
  <si>
    <t>Atkritumu dalītas savākšanas sistēmas attīstība</t>
  </si>
  <si>
    <t>Atkritumu reģenerācijas veicināšana</t>
  </si>
  <si>
    <t>Attīstīt un uzlabot ūdensapgādes un kanalizācijas sistēmas pakalpojumu kvalitāti un nodrošināt pieslēgšanas iespējas (1.kārta)</t>
  </si>
  <si>
    <t>Attīstīt un uzlabot ūdensapgādes un kanalizācijas sistēmas pakalpojumu kvalitāti un nodrošināt pieslēgšanas iespējas (2.kārta)</t>
  </si>
  <si>
    <t>Attīstīt un uzlabot ūdensapgādes un kanalizācijas sistēmas pakalpojumu kvalitāti un nodrošināt pieslēgšanas iespējas (3.kārta)</t>
  </si>
  <si>
    <t>Attīstīt un uzlabot ūdensapgādes un kanalizācijas sistēmas pakalpojumu kvalitāti un nodrošināt pieslēgšanas iespējas (4.kārta)</t>
  </si>
  <si>
    <t>Saglabāt un atjaunot bioloģisko daudzveidību un aizsargāt ekosistēmas</t>
  </si>
  <si>
    <t>Nodrošināt vides monitoringa un kontroles sistēmas attīstību un savlaicīgu vides risku novēršanu, kā arī sabiedrības līdzdalību vides pārvaldībā</t>
  </si>
  <si>
    <t>Bioloģiskās daudzveidības saglabāšanas un ekosistēmu aizsardzības priekšnoteikumi</t>
  </si>
  <si>
    <t>Saglabāt, aizsargāt un attīstīt nozīmīgu kultūras un dabas mantojumu, kā arī attīstīt ar to saistītos pakalpojumus</t>
  </si>
  <si>
    <t>Veicināt Rīgas pilsētas revitalizāciju, nodrošinot teritorijas efektīvu sociālekonomisko izmantošanu</t>
  </si>
  <si>
    <t>Teritoriju revitalizācija, reģenerējot degradētās teritorijas atbilstoši pašvaldību integrētajām attīstības programmām</t>
  </si>
  <si>
    <t>Vēsturiski piesārņoto vietu sanācija</t>
  </si>
  <si>
    <t>Palielināt lielo ostu drošības līmeni un uzlabot transporta tīkla mobilitāti</t>
  </si>
  <si>
    <t>Veicināt drošību un vides prasību ievērošanu starptautiskajā lidostā “Rīga”</t>
  </si>
  <si>
    <t>Nodrošināt nepieciešamo infrastruktūru uz Rīgas maģistrālajiem pārvadiem un novērst maģistrālo ielu fragmentāro raksturu</t>
  </si>
  <si>
    <t>Pilsētu infrastruktūras sasaiste ar TEN-T tīklu</t>
  </si>
  <si>
    <t>Valsts galveno autoceļu segu pārbūve, nestspējas palielināšana</t>
  </si>
  <si>
    <t>Nodrošināt konkurētspējīgu un videi draudzīgu TEN-T dzelzceļa tīklu, veicinot tā drošību, kvalitāti un kapacitāti</t>
  </si>
  <si>
    <t>Palielināt reģionālo mobilitāti, uzlabojot valsts reģionālo autoceļu kvalitāti</t>
  </si>
  <si>
    <t>Rīgas pilsētas integrētas transporta sistēmas attīstība</t>
  </si>
  <si>
    <t>Multimodāla transporta mezgla izbūve Torņakalna apkaimē</t>
  </si>
  <si>
    <t>Rīgas ostas un Rīgas pilsētas integrēšana TEN-T tīklā</t>
  </si>
  <si>
    <t>Nacionālas nozīmes attīstības centru integrēšana TEN-T tīklā</t>
  </si>
  <si>
    <t>Latvijas dzelzceļa tīkla elektrifikācija</t>
  </si>
  <si>
    <t>Dzelzceļa infrastruktūras modernizācija un izbūve</t>
  </si>
  <si>
    <t>Paaugstināt bezdarbnieku kvalifikāciju un prasmes atbilstoši  darba tirgus pieprasījumam.</t>
  </si>
  <si>
    <t>Izveidot Darba tirgus apsteidzošo pārkārtojumu sistēmu, nodrošinot tās sasaisti ar Nodarbinātības barometru</t>
  </si>
  <si>
    <t>EURES tīkla darbības nodrošināšana</t>
  </si>
  <si>
    <t>Darba tirgus apsteidzošo pārkārtojumu sistēmas ieviešana</t>
  </si>
  <si>
    <t>Palielināt nodarbinātībā, izglītībā vai apmācībās neiesaistītu jauniešu nodarbinātību un izglītības ieguvi Jauniešu garantijas ietvaros</t>
  </si>
  <si>
    <t>Aktīvās darba tirgus politikas pasākumu īstenošana jauniešu bezdarbnieku nodarbinātības veicināšanai (papildus klāt JNI 15 515 561 EUR)*</t>
  </si>
  <si>
    <t>Sākotnējās profesionālās izglītības programmu īstenošana garantijas jauniešiem sistēmas ietvaros(papildus klāt JNI 13 495 078 EUR)*</t>
  </si>
  <si>
    <t>Jauniešu garantijas pasākumu īstenošana pēc 2018.gada</t>
  </si>
  <si>
    <t>Uzlabot darba drošību, it īpaši, bīstamo nozaru uzņēmumos</t>
  </si>
  <si>
    <t>Paildzināt gados vecāku  nodarbināto darbspēju saglabāšanu un nodarbinātību</t>
  </si>
  <si>
    <t>Palielināt modernizēto STEM, tajā skaitā medicīnas un radošās industrijas, studiju programmu skaitu</t>
  </si>
  <si>
    <t>Uzlabot vispārējās izglītības iestāžu mācību vidi</t>
  </si>
  <si>
    <t>Palielināt modernizēto profesionālās izglītības iestāžu skaitu</t>
  </si>
  <si>
    <t>Samazināt studiju programmu fragmentāciju un stiprināt resursu koplietošanu</t>
  </si>
  <si>
    <t>Stiprināt augstākās izglītības institūciju akadēmisko personālu stratēģiskās specializācijas jomās</t>
  </si>
  <si>
    <t>Nodrošināt labāku pārvaldību augstākās izglītības institūcijās</t>
  </si>
  <si>
    <t>Nodrošināt atbalstu EQAR aģentūrai izvirzīto prasību izpildei</t>
  </si>
  <si>
    <t>Attīstīt kompetenču pieejā balstītu vispārējās izglītības saturu</t>
  </si>
  <si>
    <t>Digitālo mācību un metodisko līdzekļu izstrāde</t>
  </si>
  <si>
    <t>Palielināt atbalstu vispārējās izglītības iestādēm izglītojamo individuālo kompetenču attīstībai</t>
  </si>
  <si>
    <t xml:space="preserve"> Atbalsts nacionāla un starptautiska mēroga pasākumu īstenošanai izglītojamo talantu attīstībai</t>
  </si>
  <si>
    <t>Atbalsts izglītojamo individuālo kompetenču attīstībai</t>
  </si>
  <si>
    <t>Samazināt priekšlaicīgu mācību pārtraukšanu, īstenojot preventīvus un intervences pasākumus</t>
  </si>
  <si>
    <t>Ieviest izglītības kvalitātes monitoringa sistēmu</t>
  </si>
  <si>
    <t>Pilnveidot nodarbināto personu profesionālo kompetenci</t>
  </si>
  <si>
    <t xml:space="preserve">Palielināt kvalificētu profesionālās izglītības iestāžu audzēkņu skaitu pēc to dalības darba vidē balstītās mācībās vai mācību praksē uzņēmumā  </t>
  </si>
  <si>
    <t>Nodrošināt profesionālās izglītības atbilstību Eiropas kvalifikācijas ietvarstruktūrai</t>
  </si>
  <si>
    <t>Nodrošināt profesionālās izglītības iestāžu efektīvu pārvaldību un iesaistītā personāla profesionālās kompetences pilnveidi</t>
  </si>
  <si>
    <t>Subsidētās darba vietas nelabvēlīgākā situācijā esošajiem bezdarbniekiem</t>
  </si>
  <si>
    <t>Ilgstošo bezdarbnieku aktivizācijas pasākumi</t>
  </si>
  <si>
    <t>Atbalsts sociālajai uzņēmējdarbībai</t>
  </si>
  <si>
    <t>Palielināt bijušo ieslodzīto integrāciju sabiedrībā un darba tirgū</t>
  </si>
  <si>
    <t>Paaugstināt resocializācijas sistēmas efektivitāti</t>
  </si>
  <si>
    <t>Palielināt diskriminācijas riskiem pakļauto iedzīvotāju integrāciju sabiedrībā un darba tirgū</t>
  </si>
  <si>
    <t>Profesionālā rehabilitācija</t>
  </si>
  <si>
    <t>Funkcionēšanas novērtēšanas un asistīvo tehnoloģiju (tehnisko palīglīdzekļu) apmaiņas sistēmas izveide un ieviešana</t>
  </si>
  <si>
    <t>Invaliditātes ekspertīzes pakalpojuma kvalitātes uzlabošana</t>
  </si>
  <si>
    <t>Dažādību veicināšana (diskriminācijas novēršana)</t>
  </si>
  <si>
    <t>Paaugstināt sociālo dienestu darba efektivitāti un darbinieku profesionalitāti darbam ar riska situācijās esošām personām</t>
  </si>
  <si>
    <t>Profesionāla sociālā darba attīstība pašvaldībās</t>
  </si>
  <si>
    <t>Iekļaujoša darba tirgus un nabadzības risku pētījumi un monitorings</t>
  </si>
  <si>
    <t>Atbalsts speciālistiem darbam ar bērniem ar saskarsmes grūtībām un uzvedības traucējumiem, un vardarbību ģimenē</t>
  </si>
  <si>
    <t>Palielināt kvalitatīvu institucionālai aprūpei alternatīvu sociālo pakalpojumu dzīvesvietā un ģimeniskai videi pietuvinātu pakalpojumu pieejamību personām ar invaliditāti un bērniem</t>
  </si>
  <si>
    <t>Deinstitucionalizācija</t>
  </si>
  <si>
    <t>Sociālo pakalpojumu atbalsta sistēmas pilnveide</t>
  </si>
  <si>
    <t>Sabiedrībā balstīti sociālie pakalpojumi bērniem ar invaliditāti</t>
  </si>
  <si>
    <t xml:space="preserve">Uzlabot pieejamību veselības veicināšanas un slimību profilakses pakalpojumiem, jo īpaši, nabadzības un sociālās atstumtības riskam pakļautajiem iedzīvotājiem </t>
  </si>
  <si>
    <t>Kompleksi  veselības veicināšanas un slimību profilakses pasākumi</t>
  </si>
  <si>
    <t>Pasākumi vietējās sabiedrības veselības veicināšanai</t>
  </si>
  <si>
    <t>Uzlabot pieejamību ārstniecības un ārstniecības atbalsta personām, kuras sniedz pakalpojumus prioritārajās veselības jomās iedzīvotājiem, kas dzīvo ārpus Rīgas</t>
  </si>
  <si>
    <t>Uzlabot ārstniecības un ārstniecības atbalsta personāla  kvalifikāciju</t>
  </si>
  <si>
    <t xml:space="preserve">Attīstīt pakalpojumu infrastruktūru bērnu aprūpei ģimeniskā vidē un personu ar invaliditāti neatkarīgai dzīvei un integrācijai sabiedrībā </t>
  </si>
  <si>
    <t>Pakalpojumu infrastruktūras attīstība deinstitucionalizācijas plānu īstenošanai</t>
  </si>
  <si>
    <t>Infrastruktūras attīstība funkcionēšanas novērtēšanas un asistīvo tehnoloģiju (tehnisko palīglīdzekļu) apmaiņas fonda izveidei</t>
  </si>
  <si>
    <t>Uzlabot kvalitatīvu veselības aprūpes pakalpojumu pieejamību, jo īpaši sociālās, teritoriālās atstumtības un nabadzības riskam pakļautajiem iedzīvotājiem,  attīstot veselības aprūpes infrastruktūru</t>
  </si>
  <si>
    <t>Lai nodrošinātu iespēju izglītojamajiem attīstīt talantus un kompetences reģionālo un nacionālo pasākumu ietvaros, kā arī dalību starptautiskās izstādēs, konferencēs un olimpiādēs līdz 31.12.2022., vienlaikus stiprinot augstākās izglītības iestāžu sadarbību ar vispārējās izglītības iestādēm un mācībspēku kapacitāti ilgtspējas sekmēšanai.</t>
  </si>
  <si>
    <t>Lai turpinātu visas projekta atbalstāmās darbības nepieciešams papildu finansējums (1 997 722 EUR, t.sk. 1 698 063,70 EUR ESF daļa) papildus rezerves finansējuma pārdalei.</t>
  </si>
  <si>
    <t>8.3.2.1.pasākums "Atbalsts nacionāla un starptautiska mēroga pasākumu īstenošanai izglītojamo talantu attīstībai"</t>
  </si>
  <si>
    <t>8.3.5.SAM "Uzlabot pieeju karjeras atbalstam izglītojamajiem vispārējās un profesionālās izglītības iestādēs"</t>
  </si>
  <si>
    <t>8.3.3.SAM "Attīstīt NEET jauniešu prasmes un veicināt to iesaisti izglītībā, NVA īstenotajos pasākumos jauniešu garantijas ietvaros un nevalstisko organizāciju vai jauniešu centru darbībā"</t>
  </si>
  <si>
    <t>8.4.1.SAM "Pilnveidot nodarbināto personu profesionālo kompetenci"</t>
  </si>
  <si>
    <t>Atsevišķas mācību programmas un tēmas ir ļoti pieprasītas un aktuālas tieši šobrīd, taču nepietiekamā finansējuma dēļ ne visi mācību dalībnieki tās var apgūt. Gan projektu konsultatīvajās grupās, gan mērķa grupas aptaujās secināts, ka VAS projektos ir jāattīsta specializēto mācību programmas, kuru īstenošana dotu padziļinātu un detalizētu ieskatu atsevišķās valsts pārvaldes darbības jomās, ekspertīzē, kā arī specializētām, koncentrētām mācībām, kas atbilst mērķauditorijas veicamajām funkcijām un izpildāmajiem uzdevumiem, piemēram, pretkorupcijas un nelegālo ekonomisko aktivitāšu novēršanas/ apkarošanas jomā. Turpmāk iecerēts attīstīt ne tikai specializētās mācību programmas un ieviest jaunas, mūsdienīgas mācību metodes un formātus (darbnīcas, paneļdiskusijas), bet arī risināt horizontālus valsts pārvaldes izaicinājumus, organizējot pieredzes apmaiņas pasākumus korupcijas prevencijas jomā, t.sk. saistībā ar iekšējās kontroles sistēmas attīstību publiskās institūcijās un trauksmes cēlēju aizsardzību, kā arī profesionālās ētikas aspektiem. Papildus tam plānots tālāk attīstīt starptautisko sadarbību un meklēt veidus kā uzrunāt un mācībās iesaistīt to institūciju pārstāvjus, kuri līdzšinējā laika posmā budžeta ierobežojumu vai citu iemeslu dēļ mācībās ir piedalījušies retāk.</t>
  </si>
  <si>
    <t xml:space="preserve">Projekta īstenošanas laikā ir konstatēts, ka atsevišķu iesākto pasākumu/aktivitāšu pilnvērtīgai turpināšanai vai pabeigšanai projektos nepieciešams īstenot jaunus papildu pasākumus (piemēram, izstrādāt brīvprātīgā darba veicēju neklātienes apmācību formas).   </t>
  </si>
  <si>
    <t>Projekta īstenošanas laikā ir konstatēts, ka nepieciešams ieviest un īstenot jaunas aktivitātes, kas atbilst ne tikai resocializācijas procesa attīstības jaunākajām tendencēm (piemēram, Risku un vajadzību novērtēšanas instrumentu un Resocializācijas programmu elektroniskās vides izveide), bet arī kopējiem IT jomas un efektīvas valsts pārvaldes attīstības virzieniem. 
9.1.3.SAM piesaistīt papildu finansējumu 1,5 milj. EUR. Lai mazinātu iespējamību, ka Mācību centra un atklātā cietuma paraugkorpusa būvniecībai paredzētais finansējums (NFI projekta ietvaros) varētu būt nepietiekams cenu izmaiņu dēļ būvniecības sektorā un daļa šo izmaksu būtu jāapmaksā no valsts budžeta, Tieslietu ministrija lūdz izskatīt iespēju Mācību centra un atklātā cietumu paraugkorpusa aprīkojumu iegādāties no Eiropas Sociālā fonda finanšu līdzekļiem. Šāds risinājums ļautu atvēlēt lielāku NFI projekta finansējuma daļu būvniecībai, papildus nodrošinot pamatotu ESF neapgūtā finansējuma izlietojumu.</t>
  </si>
  <si>
    <t xml:space="preserve">Papildu finansējumu piesaistīt SIA Jelgavas pilsētas slimnīcai, lai sekmīgi realizētu projektā plānotās darbības un sasniegtu projektā noteikto mērķi, projekta īstenošanai bija nepieciešams piesaistīt pašu finanšu līdzekļus, sedzot izveidojušos sadārdzinājumu 1,3 milj. euro apmērā, kā arī SIA Jelgavas pilsētas slimnīca bija spiesta sākotnēji atteikties no atsevišķu darbību īstenošanas un iekļaušanas projektā finansējuma trūkuma dēļ. Līdz ar to, lai nodrošinātu veselības aprūpes pakalpojumu kvalitāti, SIA Jelgavas pilsētas slimnīcai jāatjauno nolietotais un morāli novecojušais aprīkojums, kā arī jāiegādājas trūkstošais aprīkojums, ņemot arī vērā sniegto veselības aprūpes pakalpojumu apjoma pieaugumu.
</t>
  </si>
  <si>
    <t xml:space="preserve">Papildu finansējumu piesaistīt SIA „Rīgas Austrumu klīniskā universitātes slimnīca” (turpmāk – RAKUS), ņemot vērā RAKUS infrastruktūras neapmierinošo stāvokli un SAM 9.3.2. ietvaros piešķirta finansējuma apmēru, kas ir nepietiekošs RAKUS vajadzību realizēšanai.
RAKUS stacionāra „Gaiļezers” ēka ir celta un nodota ekspluatācijā 1979.– 1980.gadā. Stacionāra nodaļu telpu stāvoklis neatbilst mūsdienu ārstniecības standartiem, t.sk. attiecībā uz telpu pieejamību un epidemioloģiskās drošības normu izpildi. Diemžēl, telpās, kurās ir izvietotas stacionāra ārstniecības nodaļas, remontdarbi nav veikti kopš ēkas nodošanas ekspluatācijā. Pārsvarā visās stacionāra nodaļās ir fiziski un morāli novecojusi infrastruktūra – gan inženierkomunikācijas, gan santehnika, gan arī telpu stāvoklis. Līdz ar to stacionāra “Gaiļezers” 9.(A) korpusa attīstību ir nepieciešami papildu 25 591 235 euro, lai veiktu nodaļu telpu atjaunošanu un inženiertīklu atjaunošanu.
Ambulatorās daļas atjaunošanas rezultātā ambulatoro pakalpojumu sniegšana tiks tuvināta slimnīcas ambulatorajiem un dienas stacionāra pacientiem, samazinot plūsmu krustošanos ar stacionāra pacientiem un tos apkalpojošiem dienestiem. Rezultātā, atbrīvojot stacionāra telpas, ambulatorie pakalpojumi kļūs pacientiem pieejamāki, kā arī tiks sakārtota pacientu plūsma. RAKUS stacionāra "Gaiļezers" ambulatorās daļas telpu atjaunošanas 3. un 4.kārtai ir nepieciešami papildu 3 903 103 euro. 3.kārtas ietvaros paredzēts atjaunot intensīvās terapijas nodaļu un 4.kārtas ietvaros ir paredzēts atjaunot ambulatoro diagnostisko pakalpojumu sniegšanai nepieciešamās telpas. Šo darbu īstenošana ir kritiski svarīga optimālai ķirurģiskā darba nodrošināšanai esošajā stacionāra “Gaiļezers” ēkā.
Papildus ziņojuma projektā minētajam RAKUS vajadzībām, projekta īstenošanas laikā tika identificēta nepieciešamība pēc autotransporta pazemes tuneļa un Neatliekamās medicīniskās palīdzības un uzņemšanas klīnikas piebraucamo ceļu pārbūves (atbilstoši 2015.gadā izstrādātiem tehniskiem atzinumiem, kuros norādīta nepieciešamība veikt pārbūves darbus, kā arī asfalta seguma pārbūve un zem tā esošā lietus ūdens kanalizācijas sistēmas pārbūve). Autotransporta pazemes tuneļa un ceļa pārbūves izmaksas ir 800 000 euro. </t>
  </si>
  <si>
    <t xml:space="preserve">Papildu finansējumu piesaistīt VSIA Traumatoloģijas un ortopēdijas slimnīcai (turpmāk – TOS), ņemot vērā, ka būvniecības iepirkuma rezultātā radies sadārdzinājums 692 059,24 euro apmērā. Galvenie sadārdzinājuma iemesli ir būvniecības materiālu un darba samaksas kāpums pēdējo gadu laikā, kā arī projektā iekļautās papildu izmaksas, kuru rašanos nebija iespējams paredzēt pirms projektēšanas darbu uzsākšanas projekta līguma parakstīšanas stadijā.
</t>
  </si>
  <si>
    <t xml:space="preserve">Papildu finansējumu piesaistīt VSIA Nacionālais rehabilitācijas centrs “Vaivari” (turpmāk – NRC “Vaivari”), lai sekmīgi realizētu projektā plānotas darbības un sasniegtu projektā noteikto mērķi, kā arī atvieglotu uzņemto finanšu saistību izpildi, ņemot vērā no bankas piešķirtā aizdevuma un NRC “Vaivari” pašu līdzekļiem jau segto projekta ietvaros sadārdzinājumu 1 000 552 euro apmērā. Pašlaik NRC “Vaivari” ir izsludinājis iepirkumu par kravas lifta un trīs pasažieru liftu demontāžu, iegādi, piegādi un uzstādīšanu. Esošie lifti tiek ekspluatēti jau 25 gadus un lai nodrošinātu pacientu un darbinieku drošību, nepieciešama jaunu liftu iegāde un uzstādīšana. Izmaksas tiek plānotas aptuveni 250 000 euro apmērā. Tāpat NRC “Vaivari” ir nepieciešams autonoms elektroenerģijas avots (dīzeļģeneratoru), kas ļautu NRC “Vaivari” darboties nepārtrauktā režīmā arī strāvas padeves atslēgumu gadījumos. Prognozējamās iekārtas izmaksas ir līdz 40 000 euro., 
</t>
  </si>
  <si>
    <t>Papildu finansējumu piesaistīt SIA Daugavpils reģionālā slimnīca. Ņemot vērā SAM 9.3.2. ietvaros piešķirtā finansējuma apmēru, kas jau sākotnēji bija nepietiekošs SIA “Daugavpils reģionālā slimnīca” infrastruktūras uzlabošanai nepieciešamajos apjomos, SIA “Daugavpils reģionālā slimnīca” jau sākotnēji bija spiesta atteikties no atsevišķu darbību īstenošanas un iekļaušanas projektā. Papildu nepieciešamo aktivitāšu izdevumi ir pārskatīti un šobrīd sastāda: 
- operāciju bloka renovācija ar jaunas ventilācijas sistēmas uzbūvi (esošās sistēmas uzturēšanu nav iespējams pilnvērtīgi nodrošināt, kas attiecīgi ietekmē darba vidi un apdraud sniedzamo pakalpojumu kvalitāti) – 2 408 000 euro;
- vienotas ventilācijas un gaisa kondicionēšanas sistēmas izbūve struktūrvienībā  "Centrālā slimnīca" (12 stāvu objekts, 8 stāvos) – 2 600 000 euro. Lielākā daļa no esošās ventilācijas sistēmas ir ļoti novecojusi un nav iespējams nodrošināt pareizo sistēmas darbību, kas skar vienības, kas pa tiešo nodrošina neatliekamas medicīniskas palīdzības sniegšanu – operāciju bloks, reanimācija, stacionāro nodaļu intensīvās terapijas palātas, stacionāro nodaļu vispārējās palātas;
- stacionārā rehabilitācijas centra izveide ar atsevišķo gultu fondu, kā arī mobilo vienību aprīkojumu, lai nodrošinātu nepieciešamo aprūpi arī citās nodaļās esošajiem pacientiem – 452 000 euro;
- vienotas pacientu monitorēšanas sistēmas ar datu saglabāšanas kopējā serverī un apmaiņas starp attiecīgajām vienībām iespējām – 700 000 euro, lai nodrošinātu pilnvērtīgu pacientu ārstēšanu un aprūpi gan reanimācijas, gan operācijas, gan jau pēc operācijas un pēc reanimācijas – intensīvās terapijas I līmeņa vienībās, nepārtraucot pacientu veselības stāvokļa dinamikas novērošanu;
- oftalmoloģijas operāciju zāles tehnoloģiskā nodrošinājuma atjaunošana – 323 500 euro, kas būtiski uzlabos sniedzamo pakalpojumu kvalitāti, samazinot pacientu ārstēšanos un atrašanās ilgumu slimnīcā un ļaus palielināt operāciju skaitu, rezultātā būtiski uzlabojot pakalpojumu pieejamību Latgales reģiona iedzīvotajiem;
- SIA “Daugavpils reģionālā slimnīca” nodaļu telpu kosmētiskais remonts un jaunu, mūsdienu normām atbilstoša izmēra durvju uzstādīšana struktūrvienībā "Centrālā slimnīca" – 3 920 000 euro, lai nodrošinātu ērtu pacientu transportēšanu starp pakļautībā esošajām vienībām un smago pacientu evakuācijas nodrošināšanu.</t>
  </si>
  <si>
    <t>Resors</t>
  </si>
  <si>
    <t>Pieprasījumu apkopojums EUR</t>
  </si>
  <si>
    <t>21+89</t>
  </si>
  <si>
    <t>visi</t>
  </si>
  <si>
    <t>Rīga</t>
  </si>
  <si>
    <t>Grupa</t>
  </si>
  <si>
    <t>SAM, kuros ir virssaistības</t>
  </si>
  <si>
    <t>Nepriekšfinansēta rezerve</t>
  </si>
  <si>
    <t>Starpība</t>
  </si>
  <si>
    <t>5=3-4</t>
  </si>
  <si>
    <t>Rezerve un atlikumi tiks novirzīti atlases kārtas īstenošanai</t>
  </si>
  <si>
    <t>1.1.1.1. "Praktiskas ievirzes pētījumi"</t>
  </si>
  <si>
    <t xml:space="preserve">07.05.2019. ar MK rīkojumu Nr. 210 (prot. Nr. 21 27. §) apstiprināts Valdības rīcības plāns - izvērtēt iespējas 1.1.1.1.p. īstenošanai piesaistīt papildu 20 milj. EUR (VRP pasākums Nr. 58.1.). Daļu no nepieciešamā finansējuma 7 925 320 EUR apmērā IZM priekšlikums pārdalīt no 1.1.1.5. un 1.1.1.3.p. </t>
  </si>
  <si>
    <t>Atbilstoši plānotajam.</t>
  </si>
  <si>
    <t>4.5.1.3.</t>
  </si>
  <si>
    <t>Nozaru ministriju pieteiktās papildu vajadzības</t>
  </si>
  <si>
    <t>Priekšlikuma ietekme uz Valsts budžetu</t>
  </si>
  <si>
    <r>
      <t xml:space="preserve">Rādītāju izpildes progress </t>
    </r>
    <r>
      <rPr>
        <i/>
        <sz val="10"/>
        <color rgb="FFFF0000"/>
        <rFont val="Calibri"/>
        <family val="2"/>
        <charset val="186"/>
        <scheme val="minor"/>
      </rPr>
      <t>[Lūdzam izvēlēties no piedāvātā saraksta]</t>
    </r>
  </si>
  <si>
    <t>Ir</t>
  </si>
  <si>
    <t>Nav</t>
  </si>
  <si>
    <t>331 SAM "Publiskā infrastruktūra uzņēmējdarbībai" 3.kārta (89)</t>
  </si>
  <si>
    <t>561 SAM "Rīgas revitalizācija"</t>
  </si>
  <si>
    <t>Atbalsts mazo, vidējo komersantu finansējuma piesaistei kapitāla tirgos</t>
  </si>
  <si>
    <t>Vēršam uzmanību, ka 1.1.1.1.p. mērķa grupai jau šobrīd ir pieejams 3.k. ERAF finansējums 10 433 880 EUR apmērā (1. un 2.k. faktiski bijis pieejams  36 769 760 EUR un 17 832 302 EUR ERAF finansējums) un būs pieejams 7 925 320 EUR finansējums turpmāko kārtu finansēšanai no 1.1.1.3.p. un 1.1.1.5.p. pārdalēm. Nākamais finansējums tiktu paredzēts 21-27 plānošanas perioda ietvaros.</t>
  </si>
  <si>
    <t>Ministrija</t>
  </si>
  <si>
    <t>Atlikumi</t>
  </si>
  <si>
    <t>Atbilstoši ministrijas priekšlikumam</t>
  </si>
  <si>
    <t xml:space="preserve">Potenciāli pārdalāmais apjoms
</t>
  </si>
  <si>
    <t xml:space="preserve">Potenciāli pārdalāmais bez priekšfinansēta 
</t>
  </si>
  <si>
    <t>Izpildīts</t>
  </si>
  <si>
    <t>Daļēji izpildīts</t>
  </si>
  <si>
    <t>NAV</t>
  </si>
  <si>
    <t>nav izpildīts</t>
  </si>
  <si>
    <t xml:space="preserve">Rezerve </t>
  </si>
  <si>
    <t>Snieguma ietvars</t>
  </si>
  <si>
    <t>Palielināt Latvijas zinātnisko institūciju pētniecisko un inovatīvo kapacitāti un spēju piesaistīt ārējo finansējumu, ieguldot cilvēkresursos un infrastruktūrā</t>
  </si>
  <si>
    <t>P&amp;A infrastruktūras attīstīšana viedās specializācijas jomās un zinātnisko institūciju institucionālās kapacitātes stiprināšana</t>
  </si>
  <si>
    <t>Palielināt privātā sektora investīcijas P&amp;A</t>
  </si>
  <si>
    <t>Kultūras mantojuma digitalizācija</t>
  </si>
  <si>
    <t>Atkritumu pārstrādes veicināšana</t>
  </si>
  <si>
    <t>Rezervi novirzīt uz 5.3.1.SAM 4.kārtu</t>
  </si>
  <si>
    <t>Vides monitoringa un kontroles sistēmas attīstība un sabiedrības līdzdalības vides pārvaldībā veicināšana</t>
  </si>
  <si>
    <t>Izmantot atbilstoši plānotajam.
Daļu rezerves (470 058 EUR) novirzīt 5.4.2.1.pasākumam.</t>
  </si>
  <si>
    <t>Rezervi izmantot atbilstoši plānotajam. Atlikumu atstāt 5.6.1.SAM. Papildus atlikums no 5.5.1.SAM 1. un 2. kārtas.</t>
  </si>
  <si>
    <t>Atlikumu pārdalīt uz 8.1.2.SAM 4.kārtu.</t>
  </si>
  <si>
    <t xml:space="preserve">1) izmantot rezervi atbilstoši plānotajam 2)  pabeigto projektu rezervi un atlikumus no 8.1.4.SAM novirzīt jaunam uzsaukumam 8.1.1.SAM ietvaros </t>
  </si>
  <si>
    <t>Kompetenču pieejā balstīta vispārējās izglītības satura aprobācija un ieviešana</t>
  </si>
  <si>
    <t>Attīstīt NEET jauniešu prasmes un veicināt to iesaisti izglītībā, NVA īstenotajos pasākumos Jauniešu garantijas ietvaros un nevalstisko organizāciju vai jauniešu centru darbībā</t>
  </si>
  <si>
    <t>Uzlabot pieeju karjeras atbalstam izglītojamajiem vispārējās un profesionālās izglītības iestādēs</t>
  </si>
  <si>
    <t>Dalība starptautiskos pētījumos</t>
  </si>
  <si>
    <t>Izglītības kvalitātes monitoringa sistēmas izveide</t>
  </si>
  <si>
    <t>Palielināt nelabvēlīgākā situācijā esošu bezdarbnieku iekļaušanos darba tirgū</t>
  </si>
  <si>
    <t>Atbalstīt prioritāro (sirds un asinsvadu, onkoloģijas, bērnu (sākot no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</si>
  <si>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Brīvs atlikums pēc jau veiktajām pārdalēm (Pārdales stājās spēkā 29.06.2019.)</t>
  </si>
  <si>
    <t>VARAM/IZM nauda</t>
  </si>
  <si>
    <t>|Pr.fin.Līgumos</t>
  </si>
  <si>
    <t>Pr.fin.Vērtēšanā</t>
  </si>
  <si>
    <t>Priekšfinansētais apjoms - pašvald?</t>
  </si>
  <si>
    <t>MK lēmums</t>
  </si>
  <si>
    <t>Kopā rezerve</t>
  </si>
  <si>
    <t>Rezervi 5 518 633 EUR plānots saglabāt 7.1.1.SAM ietvaros, lai nodrošinātu nepārtrauktu un līdzsvarotu apmācību pasākumu piedāvājumu bezdarbniekiem. Atlikušo rezerves daļu 181 292 EUR un atlikumu 10 973 EUR novirzīt 7.1.2.1.pasākumam.</t>
  </si>
  <si>
    <t>Rezervi novirzīt 3.4.1.SAM papildu pasākumiem esošo atbalstāmo darbību ietvaros.</t>
  </si>
  <si>
    <t>Rezervi izmantot atbilstoši plānotajam.</t>
  </si>
  <si>
    <t>Daļu rezerves 2 193 084 EUR izmantot atbilstoši plānotajam, daļu rezerves novirzīt 8.3.1.1.pasākumam (387 015 EUR), savukārt 8.3.3.SAM novirzīt neatbilstības (604 EUR) un plānoto atlikumu (4 952 EUR).</t>
  </si>
  <si>
    <t>Daļu rezerves (255 204 EUR) izmantot 8.5.2.SAM, lai nodrošinātu papildu profesiju standartu un profesionālās kvalifikācijas prasību aktualizāciju atbilstoši aktuālajai nozaru kvalifikāciju sistēmai. Savukārt atlikušo rezerves daļu novirzīt 8.3.1.1.pasākumam (428 587 EUR).</t>
  </si>
  <si>
    <t>Rezervi novirzīt atbilstoši sākotnēji plānotajam. Papildu rezerve no 8.5.1.SAM (985 150 EUR), lai nodrošinātu profesionālās izglītības iestāžu, īpaši visu PIKC, efektīvu pārvaldību un to personāla profesionālo kompetenču pilnveidi atbilstoši aktuālākām identificētajām mācību vajadzībām, tādejādi attīstot PII īstenoto mācību kvalitāti, tostarp DVB mācību un pieaugušo izglītības pasākumu īstenošanu.</t>
  </si>
  <si>
    <t>Novirzīt daļu rezerves 8.5.3.SAM (985 150 EUR) un daļu rezerves 8.4.1.SAM (174 392 EUR), savukārt plānoto atlikumu novirzīt 8.3.1.1.pasākumam (2 907 305 EUR, t.sk. atlikumu (5 330 EUR)) un 8.4.1.SAM (1 321 381 EUR).</t>
  </si>
  <si>
    <t>Ar Ministru kabineta 07.05.2019.  rīkojumu Nr. 210 (prot. Nr. 21 27. §) apstiprinātajā Valdības rīcības plānā Izglītības un zinātnes ministrijai dots uzdevums (Nr.117) izvērtēt iespējas piešķirt papildu finansējumu 8.4.1.SAM, lai īstenotu vēl vienu mācību kārtu. Tā ietvaros tiktu nodrošināta kompetenču pilnveides iespēja papildu nodarbinātajiem vecumā no 25 gadiem, t.sk. personām ar darba tirgum nepietiekamu izglītības līmeni, lai mazinātu bezdarba risku šim personām vai lai tās iegūtu augstākas kvalifikācijas un labāk apmaksātu darbu.</t>
  </si>
  <si>
    <t>Papildus NEET jauniešu iesaistei, ņemot vērā, ka NEET jaunieši nav iesaistīti izglītībā un nodarbinātībā, tādējādi ir LM mērķa grupa nodarbinātības un sociāla atbalsta kontekstā, lūdzam rast iespēju pārdalei no LM pārziņā esošā prioritārā virziena finansējuma līdzvērtīgā apjomā kā IZM. Minētais nodrošinātu iespēju pagarināt atbalsta sniegšanu un turpināt atbalstu esošajā līmeni, to nesamazinot.</t>
  </si>
  <si>
    <t>VSIA “Bērnu klīniskā universitātes slimnīca” projektam, NMPON telpu pārbūvei un paplašināšanai, kas ļaus pārskatīt pakalpojuma sniegšanas efektivitāti, sniegt kvalitatīvākus, infekciju kontroles standartiem atbilstošus pakalpojumus.</t>
  </si>
  <si>
    <t>Plānoto atlikumu (150 057 EUR) un radušās neatbilstības novirzīt 9.2.2.1.pasākumam.</t>
  </si>
  <si>
    <t>Rādītāju izpilde</t>
  </si>
  <si>
    <r>
      <t xml:space="preserve">ES fondu REZERVE MKN, </t>
    </r>
    <r>
      <rPr>
        <i/>
        <sz val="9"/>
        <rFont val="Calibri"/>
        <family val="2"/>
        <charset val="186"/>
        <scheme val="minor"/>
      </rPr>
      <t>EUR*</t>
    </r>
  </si>
  <si>
    <r>
      <t>ES fondu finansējuma ATLIKUMS  
(</t>
    </r>
    <r>
      <rPr>
        <b/>
        <i/>
        <sz val="9"/>
        <color rgb="FFFF0000"/>
        <rFont val="Calibri"/>
        <family val="2"/>
        <charset val="186"/>
        <scheme val="minor"/>
      </rPr>
      <t>bez rezerves)</t>
    </r>
    <r>
      <rPr>
        <b/>
        <i/>
        <sz val="9"/>
        <rFont val="Calibri"/>
        <family val="2"/>
        <charset val="186"/>
        <scheme val="minor"/>
      </rPr>
      <t xml:space="preserve">, </t>
    </r>
    <r>
      <rPr>
        <i/>
        <sz val="9"/>
        <rFont val="Calibri"/>
        <family val="2"/>
        <charset val="186"/>
        <scheme val="minor"/>
      </rPr>
      <t xml:space="preserve">EUR
</t>
    </r>
    <r>
      <rPr>
        <i/>
        <sz val="9"/>
        <color rgb="FFFF0000"/>
        <rFont val="Calibri"/>
        <family val="2"/>
        <charset val="186"/>
        <scheme val="minor"/>
      </rPr>
      <t>(09.07.2019 dati)</t>
    </r>
    <r>
      <rPr>
        <b/>
        <i/>
        <sz val="9"/>
        <rFont val="Calibri"/>
        <family val="2"/>
        <charset val="186"/>
        <scheme val="minor"/>
      </rPr>
      <t xml:space="preserve">
</t>
    </r>
  </si>
  <si>
    <r>
      <t>ES fondu finansējuma atlikums (</t>
    </r>
    <r>
      <rPr>
        <b/>
        <i/>
        <sz val="9"/>
        <color rgb="FFFF0000"/>
        <rFont val="Calibri"/>
        <family val="2"/>
        <charset val="186"/>
        <scheme val="minor"/>
      </rPr>
      <t xml:space="preserve">bez rezerves </t>
    </r>
    <r>
      <rPr>
        <b/>
        <i/>
        <sz val="9"/>
        <color theme="4" tint="-0.249977111117893"/>
        <rFont val="Calibri"/>
        <family val="2"/>
        <charset val="186"/>
        <scheme val="minor"/>
      </rPr>
      <t>un bez izsludinātajām atlasēm</t>
    </r>
    <r>
      <rPr>
        <b/>
        <i/>
        <sz val="9"/>
        <rFont val="Calibri"/>
        <family val="2"/>
        <charset val="186"/>
        <scheme val="minor"/>
      </rPr>
      <t xml:space="preserve">), </t>
    </r>
    <r>
      <rPr>
        <i/>
        <sz val="9"/>
        <rFont val="Calibri"/>
        <family val="2"/>
        <charset val="186"/>
        <scheme val="minor"/>
      </rPr>
      <t xml:space="preserve">EUR
</t>
    </r>
    <r>
      <rPr>
        <i/>
        <sz val="9"/>
        <color rgb="FFFF0000"/>
        <rFont val="Calibri"/>
        <family val="2"/>
        <charset val="186"/>
        <scheme val="minor"/>
      </rPr>
      <t>(09.07.2019 dati)</t>
    </r>
    <r>
      <rPr>
        <b/>
        <i/>
        <sz val="9"/>
        <rFont val="Calibri"/>
        <family val="2"/>
        <charset val="186"/>
        <scheme val="minor"/>
      </rPr>
      <t xml:space="preserve">
</t>
    </r>
  </si>
  <si>
    <t>kopā</t>
  </si>
  <si>
    <t>Nav SI</t>
  </si>
  <si>
    <t>NAV SI</t>
  </si>
  <si>
    <t>Nav izpildīts/ daļēji</t>
  </si>
  <si>
    <t>Ministrijas aploksne</t>
  </si>
  <si>
    <t>Rezerve nesadalītā</t>
  </si>
  <si>
    <t>Atlikumi kopā</t>
  </si>
  <si>
    <t>Potenciālie atlikumi (t.sk.atlasēs, plānotie)</t>
  </si>
  <si>
    <t>Kopā priekšfinansēts</t>
  </si>
  <si>
    <t>Brīvie atlikumi (bez atlases, plānotā, rezerves)</t>
  </si>
  <si>
    <t>Ierobežojošie lēmumi</t>
  </si>
  <si>
    <t>Rezerve kopā</t>
  </si>
  <si>
    <t xml:space="preserve">MK lēmums </t>
  </si>
  <si>
    <t>Nenokontraktētais (nesadal.rezerve + atlikumi)</t>
  </si>
  <si>
    <t>Rezerve</t>
  </si>
  <si>
    <t>Pārdales</t>
  </si>
  <si>
    <t xml:space="preserve">2.alternatīva </t>
  </si>
  <si>
    <t>3alternatīva</t>
  </si>
  <si>
    <t xml:space="preserve">Plānoto atlikumu (1 352 336 EUR) novirzīt 9.3.1.1.pasākumam. </t>
  </si>
  <si>
    <t>Rezervi novirzīt kā papildu finansējumu esošajam projektam.</t>
  </si>
  <si>
    <t xml:space="preserve">Rezervi izmantot atbilstoši plānotajam. Papildu no 8.5.1.SAM rezerve (174 392 EUR) un plānotais atlikums (1 321 381 EUR). </t>
  </si>
  <si>
    <t>Rezervi novirzīt 9.1.2.SAM.</t>
  </si>
  <si>
    <t>Rezervi novirzīt 9.1.3.SAM.</t>
  </si>
  <si>
    <t>Rezervi novirzīt 3.4.2.2.pasākuma ietvaros atbalstāmo darbību īstenošanai.</t>
  </si>
  <si>
    <t>Atlikumu izmantot 9.3.2.SAM 4.kārtas 1.apakškārtai, kuras ietvaros vēl norit PI vērtēšana un 2.apakškārtas (PAC) īstenošanai, kura vēl nav tikusi izsludināta.</t>
  </si>
  <si>
    <t xml:space="preserve">
ES fondu plānotais finansējums EUR</t>
  </si>
  <si>
    <t>INFORMĀCIJA PAR SPECIFISKAJIEM ATBALSTA MĒRĶIEM, KUROS PIEŠĶIRTAS VIRSSAISTĪBAS</t>
  </si>
  <si>
    <r>
      <rPr>
        <sz val="14"/>
        <rFont val="Calibri"/>
        <family val="2"/>
        <charset val="186"/>
        <scheme val="minor"/>
      </rPr>
      <t>MK piešķirtās</t>
    </r>
    <r>
      <rPr>
        <b/>
        <sz val="14"/>
        <rFont val="Calibri"/>
        <family val="2"/>
        <charset val="186"/>
        <scheme val="minor"/>
      </rPr>
      <t xml:space="preserve"> virssaistības</t>
    </r>
    <r>
      <rPr>
        <sz val="14"/>
        <rFont val="Calibri"/>
        <family val="2"/>
        <charset val="186"/>
        <scheme val="minor"/>
      </rPr>
      <t>, EUR</t>
    </r>
  </si>
  <si>
    <r>
      <rPr>
        <sz val="14"/>
        <rFont val="Calibri"/>
        <family val="2"/>
        <charset val="186"/>
        <scheme val="minor"/>
      </rPr>
      <t>DP noteiktā</t>
    </r>
    <r>
      <rPr>
        <b/>
        <sz val="14"/>
        <rFont val="Calibri"/>
        <family val="2"/>
        <charset val="186"/>
        <scheme val="minor"/>
      </rPr>
      <t xml:space="preserve"> ES fondu rezerve</t>
    </r>
    <r>
      <rPr>
        <sz val="14"/>
        <rFont val="Calibri"/>
        <family val="2"/>
        <charset val="186"/>
        <scheme val="minor"/>
      </rPr>
      <t>, 
EUR</t>
    </r>
  </si>
  <si>
    <r>
      <t xml:space="preserve">Teorētiski pieejamais finansējums pārdalēm
</t>
    </r>
    <r>
      <rPr>
        <i/>
        <sz val="14"/>
        <color theme="1"/>
        <rFont val="Calibri"/>
        <family val="2"/>
        <charset val="186"/>
        <scheme val="minor"/>
      </rPr>
      <t>(rezerve+atlikumi)</t>
    </r>
  </si>
  <si>
    <r>
      <t xml:space="preserve">Finansējuma </t>
    </r>
    <r>
      <rPr>
        <b/>
        <sz val="14"/>
        <rFont val="Calibri"/>
        <family val="2"/>
        <charset val="186"/>
        <scheme val="minor"/>
      </rPr>
      <t xml:space="preserve">atlikumi </t>
    </r>
    <r>
      <rPr>
        <sz val="14"/>
        <rFont val="Calibri"/>
        <family val="2"/>
        <charset val="186"/>
        <scheme val="minor"/>
      </rPr>
      <t xml:space="preserve">
</t>
    </r>
    <r>
      <rPr>
        <i/>
        <sz val="14"/>
        <rFont val="Calibri"/>
        <family val="2"/>
        <charset val="186"/>
        <scheme val="minor"/>
      </rPr>
      <t>(09.07.19.)</t>
    </r>
  </si>
  <si>
    <r>
      <t xml:space="preserve">Priekšfinansēta rezerve (līgumos), </t>
    </r>
    <r>
      <rPr>
        <i/>
        <sz val="14"/>
        <rFont val="Calibri"/>
        <family val="2"/>
        <charset val="186"/>
        <scheme val="minor"/>
      </rPr>
      <t>EUR (29.07.19.)</t>
    </r>
  </si>
  <si>
    <r>
      <t xml:space="preserve">Priekšfinansēta rezerve (vērtēšanā), </t>
    </r>
    <r>
      <rPr>
        <i/>
        <sz val="14"/>
        <rFont val="Calibri"/>
        <family val="2"/>
        <charset val="186"/>
        <scheme val="minor"/>
      </rPr>
      <t>EUR (29.07.19.)</t>
    </r>
  </si>
  <si>
    <t>`=O8-P8</t>
  </si>
  <si>
    <t>8=6-7</t>
  </si>
  <si>
    <t>13=1-3-6+11+12</t>
  </si>
  <si>
    <t>Atlikumu izmantot pasākumā.
Papildus 3.1.1.5. 1. kārtas atlikums</t>
  </si>
  <si>
    <t>Rezerves/finansējuma atlikumu** sadalījuma piedāvājums</t>
  </si>
  <si>
    <t>Atbilstoši plānotajam</t>
  </si>
  <si>
    <t>Atbilstoši plānotajam. Ja EM mainīs īstenošanas shēmu, tad nenokontraktētos atlikumusvarētu virzīt jaunas 3.kārtas īstenošanai.</t>
  </si>
  <si>
    <t>Snieguma rezerves finansējuma un finansējuma atlikumu novirzīšanas priekšlikumi</t>
  </si>
  <si>
    <t>Nav faktisku rezerves un atlikumu, par ERAF finansējumu 10 433 880 EUR apmērā izsludināta 3.kārta</t>
  </si>
  <si>
    <t>IZM priekšlikums: No nepieciešamajiem 20 000 000 EUR finansējumu 7 925 320 EUR apmērā (ERAF) rast no 1.1.1.3. pasākuma (5049303 EUR), 1.1.1.5.pasākuma 1.kārtas (751017 EUR) un 3.kārtas (2125000 EUR) finansējuma pārdalēm.</t>
  </si>
  <si>
    <t xml:space="preserve">Nav rezerves un atlikumu. </t>
  </si>
  <si>
    <t xml:space="preserve">Rezerve nav. Atlikums biomedicīnas un viedo pilsētu ekosistēmu (1.2.1.1. 4.kārta) </t>
  </si>
  <si>
    <t>Jauns pasākums biomedicīnas un viedo pilsētu ekosistēmu  attīstībai, kam novirzīt:
1.2.1.2.pasākuma rezervi 4 767 614 EUR apmērā ; 1.2.1.1.pasākuma 2.kārtas atlikums.</t>
  </si>
  <si>
    <t>Rezerve nav. Atlikumu novizīt 1.2.1.4., 2.kārtai</t>
  </si>
  <si>
    <t>Izmantot atbilstoši plānotajam. Papildus atlikums no 1.2.1.4.pasākuma 1.kārtas.</t>
  </si>
  <si>
    <t>Atlikums uz 1.2.2.1.pasākuma 2. atlases kārtu</t>
  </si>
  <si>
    <t>Izmantot atbilstoši plānotajam, papildu atlikums no 1.2.2.1.pasākuma 1.kārtas</t>
  </si>
  <si>
    <t xml:space="preserve">Izmantot atbilstoši plānotajam. </t>
  </si>
  <si>
    <t xml:space="preserve">Nav rezerves un atlikumu </t>
  </si>
  <si>
    <t>Nav rezerves/atlikumu. 
Papildus 3.1.1.5.pasākuma 1.kārtas  rezerve 1 532 852  euro un daļa no 3.1.1.6.pasākuma ERAF rezerves 467 148 euro.</t>
  </si>
  <si>
    <t xml:space="preserve">Rezervi 3.1.1.3.pasākumam;
Atlikumu 3.1.1.5. pasākuma 2.kārtai </t>
  </si>
  <si>
    <t xml:space="preserve">Daļu no 3.1.1.6.pasākuma rezerves 467 148 euro apmērā 3.1.1.3.pasākumami; atlikušo 1 234 619 euro izmantot atbilstoši plānotajam. </t>
  </si>
  <si>
    <t xml:space="preserve">Izmantot atbilstoši plānotajam.
Papildus - rezerve un atlikumi no 3.3.1.SAM 3.kārtas.
</t>
  </si>
  <si>
    <t>Atlikumus novirzīt 4.1.1.SAM 3.kārtas (jaunas) īstenošanai</t>
  </si>
  <si>
    <t>Atbilstoši plānotajam. Ja EM mainīs īstenošanas shēmu, tad nenokontraktētos atlikumus varētu virzīt jaunas 3.kārtas īstenošanai</t>
  </si>
  <si>
    <t>Jauna kārta (4.2.2.SAM 2.kāras rezerve un atlikumi) + pieteiktas papildus vajadzības 15 000 000 EUR.</t>
  </si>
  <si>
    <t>Jauna kārta no 4.1.1.SAM rezerves un daļas 4.3.1.SAM atlikumu</t>
  </si>
  <si>
    <t>Izmantot atbilstoši plānotajam.
Papildu atlikums no 5.2.1.1.pasākuma (10 491 EUR)
Papildus vajadzības 27 699 302 EUR.</t>
  </si>
  <si>
    <t>Rezervi un atlikumus izmantot atbilstoši plānotajam.
Papildu 60 000 atlikumi no 5.6.2.SAM 2.kārtas.
Papildus vajadzības  29 504 156 EUR.</t>
  </si>
  <si>
    <t>Nav rezerves un atlikumu. 
Papildus: rezerve (181 292 EUR) un atlikums (10 973 EUR) no 7.1.1.SAM, lai nodrošinātu EURES tīkla darbības nepārtrauktību.</t>
  </si>
  <si>
    <t>Izmantot pasākuma ietvaros papildu darbībām.</t>
  </si>
  <si>
    <t xml:space="preserve">Atlikumu atbilstoši plānotajam (21 EUR). Papildu finansējums no 8.3.4.SAM atlikuma (5 556 EUR). </t>
  </si>
  <si>
    <t>Atlikumu (297 500 EUR) novirzīt 9.2.2.1.pasākumam.</t>
  </si>
  <si>
    <t>Atlikumu novirzīt 9.2.1.1.pasākumam.</t>
  </si>
  <si>
    <t>Nākamās atlases kārtas izsludināšanai, ar mērķi - palielināt sabiedrībā balstītu sociālo pakalpojumu pieejamību bērniem ar funkcionāliem traucējumiem.</t>
  </si>
  <si>
    <t>Atlikumu izmantot atbilstoši plānotajam.</t>
  </si>
  <si>
    <t xml:space="preserve">MK 13.09.2019. lēmums novirzīt Pasažieru vilciena projektam (jauns SM 4.5.1.3.pasākums).
</t>
  </si>
  <si>
    <t>MK 13.09.2019. lēmums atlikumus un rezervi novirzīt Pasažieru vilciena projektam (jauns SM 4.5.1.3.pasākums).</t>
  </si>
  <si>
    <t>Jauna kārta</t>
  </si>
  <si>
    <t>Jauns pasākums</t>
  </si>
  <si>
    <t>2014 -2020 perioda TEMATISKĀS KONCENTRĀCIJAS Nosacījums</t>
  </si>
  <si>
    <t>Faktiskais</t>
  </si>
  <si>
    <t>%</t>
  </si>
  <si>
    <t>Pēc pārdalēm</t>
  </si>
  <si>
    <t>20% ESF 9.TM</t>
  </si>
  <si>
    <t xml:space="preserve">50% ERAF 1.,2.,3.,4. TM </t>
  </si>
  <si>
    <t>Thematic concentration</t>
  </si>
  <si>
    <t>(no DMS un ETL uz PV</t>
  </si>
  <si>
    <t>(no DMS un ETL un platjoslas uz PV</t>
  </si>
  <si>
    <t>60 % ESF koncentrē ne vairāk kā piecās investīciju prioritātēs (7.1;8.2; 8.3; 9.1; 9.2).</t>
  </si>
  <si>
    <t>uz Stradiņiem un DI</t>
  </si>
  <si>
    <t>At least 50 % of the total ERDF shall be allocated to 1.,2.,3.,4. Thematic objectives</t>
  </si>
  <si>
    <t>At least 12 % of the total ERDF shall be allocated to the  4. Thematic objective</t>
  </si>
  <si>
    <t>At least 20 % of the total ESF shall be allocated to the 9. Thematic objective</t>
  </si>
  <si>
    <t>Shall concentrate at least 60 % of the ESF allocation to each operational programme (7.1;8.2; 8.3; 9.1; 9.2).</t>
  </si>
  <si>
    <t>Difference</t>
  </si>
  <si>
    <t>Currently in OP</t>
  </si>
  <si>
    <t>OP amendments</t>
  </si>
  <si>
    <t>Atlikums šī paša 8.3.6.1.pasākuma projekta īstenošanai. Papildus rezerve no 8.3.6.2.pasākuma (200 000 EUR), paredzot dalību straptautiskajos pētījumos.</t>
  </si>
  <si>
    <t>Daļu rezerves (384 973 EUR) un atlikumu novirzīt projekta papildu pasākumiem izglītības kvalitātes monitoringa sistēmu izglītības kvalitātes attīstībai. Daļu rezerves novirzīt 8.3.6.1.pasākumam (200 000 EUR).</t>
  </si>
  <si>
    <t>Saglabāt rezervi 9.1.1.1.pasākumam. Atlikumu  novirzīt 9.2.1.1.pasākumam (822 EUR). Papildu plānotais atlikums no 9.1.1.2.pasākuma (7 283 110 EUR) nelabvēlīgākā situācijā esošu bezdarbnieku atbalstam.</t>
  </si>
  <si>
    <t>Atlikumu novirzīt 9.2.2.1.pasākumam (205 EUR). Papildu finansējums, t.sk. plānotais atlikums no 9.1.1.1.pasākuma (822 EUR), 9.1.1.2.pasākuma (813 094 EUR), 9.2.1.2.pasākuma (563 EUR), 9.2.1.3.pasākuma (16 870 EUR), 9.2.2.1.pasākuma (8 658 EUR) profesionāla sociālā darba attīstībai pašvaldībās.</t>
  </si>
  <si>
    <t>Rezervi priekšfinansēta. Atlikumu (166 570 EUR) novirzīt 9.3.2.SAM 1.kārtai.</t>
  </si>
  <si>
    <t>MK 13.09.2019.lēma rezervi un atlikumu (kopā 8 506 683 euro) novirzīt Sēnītes projektam(6.1.5.SAM), šī summa tiek atstāta 4PV (PV projektam), Sēnītei kompensējot no 6PV KF finansējuma</t>
  </si>
  <si>
    <t>Izmantot atbilstoši plānotajam. Papildu finansējums ERAF 8,4 milj. (MK 13.09.2019. lēma no 4.2.1.1.pasākuma (ESCO), racionāli samainīt avotus ar PV projektam paredzēto KF finansējumu)</t>
  </si>
  <si>
    <t>Atlikumu 22 308 EUR novirzīt 9.2.4.2.pasākumam.</t>
  </si>
  <si>
    <t>Atlikumu 1 095 EUR novirzīt 9.2.4.2.pasākumam.</t>
  </si>
  <si>
    <t>Rezervi (1 274 049 EUR) novirzīt 9.3.1.1.pasākumam.</t>
  </si>
  <si>
    <t>Rezervi (4 250 000 EUR) novirzīt 9.2.2.1.pasākumam.</t>
  </si>
  <si>
    <t>Neatbilstības nav plānots pārdalīt. Papildu plānotais atlikums (425 000 EUR) no 9.1.1.2.pasākuma, lai nodrošināt darba tirgū pieprasītāko prasmju apmācību papildu personām ar garīga rakstura traucējumiem.</t>
  </si>
  <si>
    <t>Plānoto atlikumu novirzīt 9.2.1.1.pasākumam (813 094 EUR, t.sk. neatbilstības), 9.1.1.1.pasākumam (7 283 110 EUR), 9.1.4.1.pasākumam (425 000 EUR), 9.2.2.1.pasākumam (1 593 796 EUR).</t>
  </si>
  <si>
    <t>Atlikumu Koncertzāles un Centrāltirgus projekta apmērā uz PSKUS (16,1 milj.euro)</t>
  </si>
  <si>
    <t>Rezervi un finansējuma atlikumu novirzīt papildu pasākumiem 3.4.2.1.pasākuma 1.kārtas esošo atbalstāmo darbību ietvaros. Papildu finansējums 3.4.2.1.pasākuma 2.kārtas atlikums (215 EUR).</t>
  </si>
  <si>
    <t>Atlikumu (215 EUR) novirzīt 3.4.2.1.pasākuma 1.kārtai.</t>
  </si>
  <si>
    <t xml:space="preserve">Novirzīt atlikumu (1 612 448 EUR) 8.2.2.SAM 3.kārtai. </t>
  </si>
  <si>
    <t>Atlikumu (129 586 EUR) novirzīt 8.3.1.2.pasākuma 2.kārtai.</t>
  </si>
  <si>
    <t>Novirzīt 8.3.1.1.pasākumam rezervi (961 286 EUR) un daļu atikuma (126 083 EUR). Daļu atlikuma (1 187 279 EUR) saglabājot 8.3.1.2.pasākuma nākamai PI atlasei. Papildu finansējums - atlikums (129 586 EUR) no 8.3.1.2.pasākuma 1.kārtas.</t>
  </si>
  <si>
    <t>Papildu ESF finansējums no 9.2.6.SAM atlikuma (5 000 000 EUR), 9.2.4.2.pasākuma atlikuma (8 116 686 EUR) un 5.5.1.SAM 3.kārtas atlikuma (16 100 000 EUR), 9.3.2.SAM 1.kārtas atlikums (16 744 EUR), 9.3.2.SAM 3.kārtas atlikums (166 570 EUR).</t>
  </si>
  <si>
    <t>Novirzīt plānoto atlikumu (5 000 000 EUR) 9.3.2.SAM PSKUS projektam atbilstoši MK š.g. 13.septembra lēmumam.</t>
  </si>
  <si>
    <t>Atlikumu (8 116 686 EUR) novirzīt 9.3.2.SAM 2.kārtai PSKUS projekta īstenošanai. Papildu no 9.2.3.SAM atlikums (22 308 EUR) un 9.2.4.1.pasākuma atlikums (1 095 EUR).</t>
  </si>
  <si>
    <t>14.09.2019. atlikums novirzīts 1.1.1.3.pasākuma 2.k. - 795 684 EUR, kā arī 1.1.1.5.pasākuma 3.k. 4 364 342 EUR.</t>
  </si>
  <si>
    <t>Par rezerves novirzīšanu jau lemts (16.10.2018. MK sēdes protokols Nr.48 31.§), paredzot 1.1.1.3.pasākuma rezerves ātrāku izmantošanu - novirzīt rezervi 1.1.1.4.pasākumam 4 000 000 EUR. Atlikušo 1.1.1.3. rezervi plānots novirzīt 1.1.1.1. pasākuma 4.kārtai - 5 049 303 EUR.
14.09.2019. 1.1.1.3. 1.k. atlikums novirzīts 1.1.1.3.pasākuma 2.kārtai - 795 684 EUR.</t>
  </si>
  <si>
    <t xml:space="preserve">Par rezerves novirzīšanu jau lemts (16.10.2018. MK sēdes protokols Nr.48 31.§), paredzot 1.1.1.4.rezerves ātrāku izmantošanu: novirzīt 1.1.1.3. (4  000 000 EUR) un 1.2.1.2. rezervi (4 489 000 EUR) Baltijas Biomateriālu ekselences centram (1.1.1.4.pasākumam) - 8 489 000 EUR apmērā.
</t>
  </si>
  <si>
    <t>Plānots, ka daļu rezerves novriza 1.1.1.1.pasākuma 4.k. - 751 017 EUR.</t>
  </si>
  <si>
    <t>Plānots, ka daļu rezerves novirza 1.1.1.5.pasākuma 3.k. īstenošanai (1 700 000 EUR), daļu uz 1.1.1.1. 4.k. (2 125 000 EUR).
Papildus uz 1.1.1.5. 3.k. 14.09.2019. veikta atlikumu pārdale no 1.1.1.3. 1.kārtas 4 364 342 EUR.</t>
  </si>
  <si>
    <t xml:space="preserve">Plānots, ka daļu rezerves novirza 1.2.1.1.pasākuma jaunai kārtai - 4 767 614 EUR.
Par daļu rezerves novirzīšanu jau lemts (16.10.2018. MK sēdes protokols Nr.48 31.§), paredzot 1.1.1.4.rezerves ātrāku izmantošanu: novirzīt 1.2.1.2. rezervi (4 489 000 EUR) Baltijas Biomateriālu ekselences centram (1.1.1.4.pasākumam)
</t>
  </si>
  <si>
    <t>Pārdalīt DI projektiem (9.3.1.SAM)</t>
  </si>
  <si>
    <t>Rezervi un atlikumu izmantot 9.3.1.1.pasākumā. Papildu ERAF finansējums no 9.3.1.2.pasākuma plānotā atlikuma (392 177 EUR), 7.2.1.3.pasākuma ESF rezerves (369 474 EUR), 7.3.1.SAM plānota atlikuma (875 582 EUR), 2.2.1.1.pasākuma rezerves (1 175 805 EUR), 5.1.1.SAM 2.kārtas rezerves (265 329 EUR) un atlikuma (476 439 EUR), 5.1.1.SAM 3.kārtas atlikuma (88 740 EUR), 5.4.1.1.pasākuma atlikuma (91 834 EUR).</t>
  </si>
  <si>
    <t>Rezervi un atlikumu izmantot 9.3.1.1.pasākumā. Papildu ERAF finansējums no 9.3.1.2.pasākuma plānotā atlikuma (960 159 EUR), 7.2.1.3.pasākuma ESF rezerves (904 575 EUR), 7.3.1.SAM plānota atlikuma (2 143 666 EUR), 2.2.1.1.pasākuma rezerves (2 878 695 EUR), 5.1.1.SAM 2.kārtas rezerves (649 600 EUR) un atlikuma (1 166 454 EUR), 5.1.1.SAM 3.kārtas atlikuma (217 260 EUR), 5.4.1.1.pasākuma atlikuma (224 834 EUR).</t>
  </si>
  <si>
    <t>MK 13.09.2019. lēmums atlikumus un rezervi novirzīt Pasažieru vilciena projektam (jauns SM 4.5.1.3.pasākums).***</t>
  </si>
  <si>
    <r>
      <rPr>
        <b/>
        <u/>
        <sz val="11"/>
        <color theme="1"/>
        <rFont val="Calibri"/>
        <family val="2"/>
        <charset val="186"/>
        <scheme val="minor"/>
      </rPr>
      <t>Pēc pārdalēm</t>
    </r>
    <r>
      <rPr>
        <b/>
        <sz val="11"/>
        <color theme="1"/>
        <rFont val="Calibri"/>
        <family val="2"/>
        <charset val="186"/>
        <scheme val="minor"/>
      </rPr>
      <t>, kad ERAF atstāj kā ERAF nevis pārvērš par KF</t>
    </r>
  </si>
  <si>
    <t>MK 13.09.2019. lēmums rezervi un atlikumu novirzīt Pasažieru vilciena projektam (jauns SM 4.5.1.3.pasākums).</t>
  </si>
  <si>
    <t>MK 13.09.2019. lēmums atlikumu daļu novirzīt Pasažieru vilciena projektam 1701857 (jauns SM 4.5.1.3.pasākums), pārējo (1 361 604) 4.3.1.SAM 3.kārtai</t>
  </si>
  <si>
    <t>Izmantot atbilstoši plānotajam. (Precizējot MK 13.09.2019. protokollēmuma 3.1.4.apakšpunktu, Pasažieru vilciena projektam (jauns SM 4.5.1.3.pasākums) 22 964 134 EUR novirzāmi no 6.1.4.1.pasākuma projekta "Jāņa Čakstes gatves izbūve no Valdeķu ielas līdz Ziepniekkalna ielai" (nevis 6.1.3.1.pasākuma))***</t>
  </si>
  <si>
    <t>MK 13.09.2019. lēmums atlikumus un rezervi (izņemot priekšfinansēto) novirzīt Pasažieru vilciena projektam (jauns SM 4.5.1.3.pasākums). Papildus finansējums no 6.2.1.2.pasākuma 20 000 000 EUR (Liepājas un Daugavpils tramvaju infrastruktūras attīstības projektu īstenošanai).</t>
  </si>
  <si>
    <t>Izmantot atbilstoši plānotajam. Papildus finansējums no 6.2.1.2.pasākuma 1 500 000 EUR (Latvijas gaisa telpas drošības uzlabošanai).</t>
  </si>
  <si>
    <t>6.1.6.</t>
  </si>
  <si>
    <t>Transporta nozares informācijas nacionālā piekļuves punkta izveide</t>
  </si>
  <si>
    <t>Jauns SAM</t>
  </si>
  <si>
    <t>Jauns SAM. SM ierosina finansējumu pārdalīt no 6.2.1.2.pasākuma 
5 000 000 EUR.</t>
  </si>
  <si>
    <t>Precizējot MK 13.09.2019. protokollēmuma 3.1.4.apakšpunktu, Pasažieru vilciena projektam (jauns SM 4.5.1.3.pasākums) 24 000 000 EUR novirzāmi no 6.1.4.1.pasākuma projekta "Jāņa Čakstes gatves izbūve no Valdeķu ielas līdz Ziepniekkalna ielai" (nevis 6.1.3.1.pasākuma)***</t>
  </si>
  <si>
    <t xml:space="preserve">MK 13.09.2019.lēmums PV projektam novirzīt ***:
1) Finansējumu un rezervi no SM aploksnes (2.1.1.SAM Platjoslas, 4.4.1.SAM ETL, 4.5.1.1.pasākuma Tramvaji (izņemot priekšfinansēto), 6.1.4.1.pasākuma projekta "Jāņa Čakstes gatves izbūve no Valdeķu ielas līdz Ziepniekkalna ielai" (rezerve un atlikumi KF 24 000 000 EUR, precizējot MK 13.09.2019. lēmuma 3.1.4.apakšpunktu) (racionāli fin. daļa aizstāta ar EM 4.2.1.2.pasākuma ERAF fin.apjomu, kas sākotneji paredzēts 6.1.5.SAM KF), 6.1.3.2.pasākums Torņkalns;
2) EM 4.3.1.SAM Centralizētā siltumapgāde 8,4 milj.euro.
</t>
  </si>
  <si>
    <t>*** Ar MK 13.09.2019.lēmumu (Prot.Nr.41. 1.§) 6.1.3.2.pasākuma finansējuma atlikums (šobrīd atlasē) pārdalīts PV projektam, attiecīgi finansējums atspoguļots pie atlikumiem. 
Vienlaikus tiek virzīts precizējums MK 13.09.2019. protokollēmuma 3.1.4.apakšpunktā, paredzot pārdalīt PV projektam KF finansējumu 24 000 000 EUR no 6.1.4.1.pasākuma (projekts šobrīd īstenošanā) - ir plānots atsaukt projektu, attiecīgi pārdalāmais finansējums atspoguļots kā finansējuma atlikumi. 
SM informēja par plāniem pārtraukt divus 6.2.1.2.pasākuma "Dzelzceļa infrastruktūras modernizācija un izbūve" ietvaros apstiprināta projekta “Daugavpils Šķirošanas stacijas attīstība ” (KF finansējums 31 127 000 EUR) īstenošanu, attiecīgi finansējums norādīts pie atlikumiem.</t>
  </si>
  <si>
    <t>Uzlabot pirmā līmeņa profesionālās augstākās izglītības STEM, t.sk. medicīnas un radošās industrijas, studiju mācību vidi koledžās</t>
  </si>
  <si>
    <t>Finanšu ministrs</t>
  </si>
  <si>
    <t>J. Reirs</t>
  </si>
  <si>
    <t>Jolanta Baldunčika, 67095479</t>
  </si>
  <si>
    <t>Nav rezerves un atlikumu.
Papildu finansējums no 8.2.1.SAM 2.kārtas rezerves (571 654 EUR) un atlikuma (397 701 EUR), kā arī rezerve no 8.2.3.SAM (944 649 EUR) studiju programmu fragmentācijas mazināšanai.</t>
  </si>
  <si>
    <t>Nav rezerves un atlikumu.
Papildu finansējums no 8.3.1.2.pasākuma 2.kārtas rezerves (961 286 EUR) un daļa atlikuma (126 083 EUR), 8.3.4.SAM rezerves (387 015 EUR), 8.5.2.SAM rezerves (428 587 EUR), 8.5.1.SAM plānotā atlikuma (2 907 305 EUR) jaunā satura sekmīgai ieviešanai vidējās izglītības posmā.</t>
  </si>
  <si>
    <t>Novirzīt rezervi 8.2.1.SAM 1.k. (571 654 EUR) un atlikumu (397 701 EUR).</t>
  </si>
  <si>
    <t>Novirzīt atlikumu (1 079 EUR) 8.2.2.SAM 3.kārtai.</t>
  </si>
  <si>
    <t>Rezervi un atlikumu atbilstoši plānotajam. Papildu finansējums no 8.2.2.SAM 1.kārtas atlikuma (1 612 448 EUR), 8.2.2.SAM 2.kārtas atlikuma (1 079 EUR), 8.2.3.SAM rezerves (191 418 EUR) un atlikuma (401 299 EUR) akadēmiskā personāla stratēģiskās specializācijas stiprināšanai.</t>
  </si>
  <si>
    <t>Novirzīt daļu rezerves 8.2.1.SAM 1.kārtai  (944 649 EUR) un 8.2.2.SAM 3.kārtai daļu rezerves (191 418 EUR) un atlikumu (401 299 EUR). Atlikumu paredzot 8.2.3.SAM otrās kārtas īstenošanai.</t>
  </si>
  <si>
    <t xml:space="preserve">SM piedāvājums novirzīt finansējumu *** 4.5.1.1.pasākumam 20 000 000 EUR (Liepājas un Daugavpils tramvaju infrastruktūras attīstības projektu īstenošanai);  6.1.2.SAM 1 500 000 EUR (Latvijas gaisa telpas drošības uzlabošanai);  jaunam 6.1.6.SAM 5 000 000 EUR;
Atlikušo finansējumu izmantos 6.2.1.2.pasākumā jaunam projektam. </t>
  </si>
  <si>
    <t>Saglabāt rezervi 9.2.2.1.pasākumam. Neatbilstības novrizīt 9.2.1.1.pasākumam (8 658 EUR). Papildus rezerve no 7.2.1.3.pasākuma (1 274 049 EUR), kā arī atlikums (t.sk. papildu plānotais) no 9.1.1.2.pasākuma (2 018 796 EUR), 9.1.4.2.pasākuma (150 072 EUR, t.sk. neatbilstības), 9.1.4.4.pasākuma (297 500 EUR) un 9.2.1.1.pasākuma (205 EUR), lai palielinātu bērniem ar funkcionālajiem traucējumiem sociālās rehabilitācijas pakalpojumu pieejamību.</t>
  </si>
  <si>
    <t>Plānoto atlikumu novirzīt 9.3.1.1.pasākumam (3 019 248 EUR).</t>
  </si>
  <si>
    <t xml:space="preserve">Daļu rezerves 4 054 500 pārdalīt DI projektiem (9.3.1.SAM), pārējo izmantot pasākumā atbilstoši plānotajam.  </t>
  </si>
  <si>
    <t>Rezervi plānotajam (Ādaži), atlikumu DI projektiem (9.3.1.SAM). Papildu atlikums no Natura 2000.</t>
  </si>
  <si>
    <t>Rezerve nav. Daļa atlikumu uz DI (9.3.1.SAM)
Pārējie atlikumi uz 5.1.1.SAM 3.kārtu.</t>
  </si>
  <si>
    <t>**Atbildīgās iestādes priekšlikumus sniedza par finansējuma atlikumu uz 17.06.2019. Lai nodrošinātu aktuālākās informācijas atspoguļošanu, ziņojumā iekļauti faktiskie atlikumi uz 11.09.2019., attiecīgi novirzāmā atlikuma summa var atsķirties no atbildīgās iestādes sākotnēji piedāvātā. Atbildīgo iestāžu priekšlikumi savas "aploksnes" ietvaros pēc būtības tiks vērtēti, saskaņojot MK noteikumu par SAM/pasākumu īstenošanu grozījumus, t.sk. ņemot vērā uz konkrēto brīdi faktiski pieejamo juridiski brīvo finansējuma atlikumu.</t>
  </si>
  <si>
    <t xml:space="preserve">jolanta.balduncika@fm.gov.lv </t>
  </si>
  <si>
    <r>
      <t xml:space="preserve">Piešķirtās virsaistības </t>
    </r>
    <r>
      <rPr>
        <i/>
        <sz val="10"/>
        <rFont val="Times New Roman"/>
        <family val="1"/>
        <charset val="186"/>
      </rPr>
      <t>(ES fondu daļa), EUR</t>
    </r>
  </si>
  <si>
    <r>
      <t xml:space="preserve">ES fondu REZERVE MKN </t>
    </r>
    <r>
      <rPr>
        <i/>
        <sz val="10"/>
        <rFont val="Times New Roman"/>
        <family val="1"/>
        <charset val="186"/>
      </rPr>
      <t>EUR*</t>
    </r>
  </si>
  <si>
    <r>
      <rPr>
        <b/>
        <i/>
        <sz val="10"/>
        <rFont val="Times New Roman"/>
        <family val="1"/>
        <charset val="186"/>
      </rPr>
      <t>MK lēmums par ātrāku rezerves piešķiršanu   (ES fondu daļa</t>
    </r>
    <r>
      <rPr>
        <i/>
        <sz val="10"/>
        <rFont val="Times New Roman"/>
        <family val="1"/>
        <charset val="186"/>
      </rPr>
      <t>EUR</t>
    </r>
  </si>
  <si>
    <r>
      <t>ES fondu finansējuma ATLIKUMS  
(</t>
    </r>
    <r>
      <rPr>
        <b/>
        <i/>
        <sz val="10"/>
        <color rgb="FFFF0000"/>
        <rFont val="Times New Roman"/>
        <family val="1"/>
        <charset val="186"/>
      </rPr>
      <t>bez rezerves)</t>
    </r>
    <r>
      <rPr>
        <b/>
        <i/>
        <sz val="10"/>
        <rFont val="Times New Roman"/>
        <family val="1"/>
        <charset val="186"/>
      </rPr>
      <t xml:space="preserve"> </t>
    </r>
    <r>
      <rPr>
        <i/>
        <sz val="10"/>
        <rFont val="Times New Roman"/>
        <family val="1"/>
        <charset val="186"/>
      </rPr>
      <t xml:space="preserve">EUR
</t>
    </r>
    <r>
      <rPr>
        <i/>
        <sz val="10"/>
        <color rgb="FFFF0000"/>
        <rFont val="Times New Roman"/>
        <family val="1"/>
        <charset val="186"/>
      </rPr>
      <t>(11.09.2019 dati)</t>
    </r>
    <r>
      <rPr>
        <b/>
        <i/>
        <sz val="10"/>
        <rFont val="Times New Roman"/>
        <family val="1"/>
        <charset val="186"/>
      </rPr>
      <t xml:space="preserve">
</t>
    </r>
  </si>
  <si>
    <r>
      <t>ES fondu finansējuma atlikums (</t>
    </r>
    <r>
      <rPr>
        <b/>
        <i/>
        <sz val="10"/>
        <color rgb="FFFF0000"/>
        <rFont val="Times New Roman"/>
        <family val="1"/>
        <charset val="186"/>
      </rPr>
      <t>bez rezerves,</t>
    </r>
    <r>
      <rPr>
        <b/>
        <i/>
        <sz val="10"/>
        <color theme="4" tint="-0.249977111117893"/>
        <rFont val="Times New Roman"/>
        <family val="1"/>
        <charset val="186"/>
      </rPr>
      <t xml:space="preserve">bez izsludinātajām atlasēm, </t>
    </r>
    <r>
      <rPr>
        <b/>
        <i/>
        <sz val="10"/>
        <color theme="9" tint="-0.249977111117893"/>
        <rFont val="Times New Roman"/>
        <family val="1"/>
        <charset val="186"/>
      </rPr>
      <t>bez plānotā atlikuma</t>
    </r>
    <r>
      <rPr>
        <b/>
        <i/>
        <sz val="10"/>
        <rFont val="Times New Roman"/>
        <family val="1"/>
        <charset val="186"/>
      </rPr>
      <t xml:space="preserve">) </t>
    </r>
    <r>
      <rPr>
        <i/>
        <sz val="10"/>
        <rFont val="Times New Roman"/>
        <family val="1"/>
        <charset val="186"/>
      </rPr>
      <t xml:space="preserve">EUR
</t>
    </r>
    <r>
      <rPr>
        <i/>
        <sz val="10"/>
        <color rgb="FFFF0000"/>
        <rFont val="Times New Roman"/>
        <family val="1"/>
        <charset val="186"/>
      </rPr>
      <t>(11.09.2019 dati)</t>
    </r>
  </si>
  <si>
    <r>
      <t>Priekšfinansēta rezerve (līgumos)</t>
    </r>
    <r>
      <rPr>
        <i/>
        <sz val="10"/>
        <rFont val="Times New Roman"/>
        <family val="1"/>
        <charset val="186"/>
      </rPr>
      <t>EUR</t>
    </r>
    <r>
      <rPr>
        <i/>
        <sz val="10"/>
        <color rgb="FFFF0000"/>
        <rFont val="Times New Roman"/>
        <family val="1"/>
        <charset val="186"/>
      </rPr>
      <t xml:space="preserve"> (11.09.2019)</t>
    </r>
  </si>
  <si>
    <r>
      <t>Priekšfinansēta rezerve (vērtēšanā)</t>
    </r>
    <r>
      <rPr>
        <i/>
        <sz val="10"/>
        <rFont val="Times New Roman"/>
        <family val="1"/>
        <charset val="186"/>
      </rPr>
      <t xml:space="preserve">EUR </t>
    </r>
    <r>
      <rPr>
        <i/>
        <sz val="10"/>
        <color rgb="FFFF0000"/>
        <rFont val="Times New Roman"/>
        <family val="1"/>
        <charset val="186"/>
      </rPr>
      <t>(11.09.2019)</t>
    </r>
  </si>
  <si>
    <r>
      <t>Rezerves finansējuma sadalījums</t>
    </r>
    <r>
      <rPr>
        <sz val="10"/>
        <rFont val="Times New Roman"/>
        <family val="1"/>
        <charset val="186"/>
      </rPr>
      <t>, ES fondu daļa, EUR</t>
    </r>
    <r>
      <rPr>
        <b/>
        <i/>
        <sz val="10"/>
        <color rgb="FFFF0000"/>
        <rFont val="Calibri"/>
        <family val="2"/>
        <charset val="186"/>
        <scheme val="minor"/>
      </rPr>
      <t/>
    </r>
  </si>
  <si>
    <r>
      <t>Finansējuma atlikumu sadalījums</t>
    </r>
    <r>
      <rPr>
        <sz val="10"/>
        <rFont val="Times New Roman"/>
        <family val="1"/>
        <charset val="186"/>
      </rPr>
      <t>, ES fondu daļa, EUR</t>
    </r>
  </si>
  <si>
    <r>
      <t xml:space="preserve"> ES fondu gala finansējums atbilstoši piedāvājumam,  </t>
    </r>
    <r>
      <rPr>
        <sz val="10"/>
        <rFont val="Times New Roman"/>
        <family val="1"/>
        <charset val="186"/>
      </rPr>
      <t>EUR</t>
    </r>
  </si>
  <si>
    <r>
      <t>Antropogēno slodzi mazinošas infrastruktūras izbūve un rekonstrukcija</t>
    </r>
    <r>
      <rPr>
        <i/>
        <sz val="10"/>
        <rFont val="Times New Roman"/>
        <family val="1"/>
        <charset val="186"/>
      </rPr>
      <t xml:space="preserve"> Natura</t>
    </r>
    <r>
      <rPr>
        <sz val="10"/>
        <rFont val="Times New Roman"/>
        <family val="1"/>
        <charset val="186"/>
      </rPr>
      <t xml:space="preserve"> </t>
    </r>
    <r>
      <rPr>
        <i/>
        <sz val="10"/>
        <rFont val="Times New Roman"/>
        <family val="1"/>
        <charset val="186"/>
      </rPr>
      <t xml:space="preserve">2000 </t>
    </r>
    <r>
      <rPr>
        <sz val="10"/>
        <rFont val="Times New Roman"/>
        <family val="1"/>
        <charset val="186"/>
      </rPr>
      <t>teritorijās</t>
    </r>
  </si>
  <si>
    <t>1.pielikums
Informatīvajam ziņojumam “Par Eiropas Savienības struktūrfondu un Kohēzijas fonda 2014.–2020.gada plānošanas perioda darbības programmas “Izaugsme un nodarbinātība” snieguma ietvarā noteikto mērķu sasniegšanas progresu un snieguma rezerves finansējuma tālāku izmantošanu”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</si>
</sst>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 &quot;€&quot;"/>
  </numFmts>
  <fonts count="65" x14ac:knownFonts="1">
    <font>
      <sz val="11"/>
      <color theme="1"/>
      <name val="Calibri"/>
      <family val="2"/>
      <charset val="186"/>
      <scheme val="minor"/>
    </font>
    <font>
      <sz val="11"/>
      <color theme="1"/>
      <name val="Calibri"/>
      <family val="2"/>
      <charset val="186"/>
      <scheme val="minor"/>
    </font>
    <font>
      <sz val="10"/>
      <color theme="1"/>
      <name val="Calibri"/>
      <family val="2"/>
      <charset val="186"/>
      <scheme val="minor"/>
    </font>
    <font>
      <b/>
      <sz val="10"/>
      <name val="Calibri"/>
      <family val="2"/>
      <charset val="186"/>
      <scheme val="minor"/>
    </font>
    <font>
      <sz val="10"/>
      <name val="Calibri"/>
      <family val="2"/>
      <charset val="186"/>
      <scheme val="minor"/>
    </font>
    <font>
      <b/>
      <sz val="10"/>
      <color theme="1"/>
      <name val="Calibri"/>
      <family val="2"/>
      <charset val="186"/>
      <scheme val="minor"/>
    </font>
    <font>
      <b/>
      <sz val="11"/>
      <color theme="1"/>
      <name val="Calibri"/>
      <family val="2"/>
      <charset val="186"/>
      <scheme val="minor"/>
    </font>
    <font>
      <sz val="9"/>
      <color indexed="81"/>
      <name val="Tahoma"/>
      <family val="2"/>
      <charset val="186"/>
    </font>
    <font>
      <b/>
      <sz val="9"/>
      <color indexed="81"/>
      <name val="Tahoma"/>
      <family val="2"/>
      <charset val="186"/>
    </font>
    <font>
      <b/>
      <sz val="10"/>
      <name val="Calibri"/>
      <family val="2"/>
      <charset val="186"/>
    </font>
    <font>
      <sz val="10"/>
      <color rgb="FF000000"/>
      <name val="Calibri"/>
      <family val="2"/>
      <charset val="186"/>
    </font>
    <font>
      <b/>
      <i/>
      <sz val="10"/>
      <name val="Calibri"/>
      <family val="2"/>
      <charset val="186"/>
    </font>
    <font>
      <sz val="10"/>
      <name val="Calibri"/>
      <family val="2"/>
      <charset val="186"/>
    </font>
    <font>
      <b/>
      <sz val="10"/>
      <color rgb="FF000000"/>
      <name val="Calibri"/>
      <family val="2"/>
      <charset val="186"/>
    </font>
    <font>
      <b/>
      <sz val="10"/>
      <color rgb="FF006600"/>
      <name val="Calibri"/>
      <family val="2"/>
      <charset val="186"/>
      <scheme val="minor"/>
    </font>
    <font>
      <sz val="10"/>
      <color theme="1"/>
      <name val="Calibri"/>
      <family val="2"/>
      <charset val="186"/>
    </font>
    <font>
      <i/>
      <sz val="10"/>
      <color rgb="FFFF0000"/>
      <name val="Calibri"/>
      <family val="2"/>
      <charset val="186"/>
      <scheme val="minor"/>
    </font>
    <font>
      <sz val="10"/>
      <color rgb="FF000000"/>
      <name val="Calibri"/>
      <family val="2"/>
      <charset val="186"/>
      <scheme val="minor"/>
    </font>
    <font>
      <b/>
      <i/>
      <sz val="10"/>
      <name val="Calibri"/>
      <family val="2"/>
      <charset val="186"/>
      <scheme val="minor"/>
    </font>
    <font>
      <b/>
      <i/>
      <sz val="10"/>
      <color rgb="FFFF0000"/>
      <name val="Calibri"/>
      <family val="2"/>
      <charset val="186"/>
      <scheme val="minor"/>
    </font>
    <font>
      <u/>
      <sz val="9"/>
      <color indexed="81"/>
      <name val="Tahoma"/>
      <family val="2"/>
      <charset val="186"/>
    </font>
    <font>
      <b/>
      <sz val="12"/>
      <name val="Calibri"/>
      <family val="2"/>
      <charset val="186"/>
      <scheme val="minor"/>
    </font>
    <font>
      <sz val="12"/>
      <name val="Calibri"/>
      <family val="2"/>
      <charset val="186"/>
      <scheme val="minor"/>
    </font>
    <font>
      <i/>
      <sz val="12"/>
      <name val="Calibri"/>
      <family val="2"/>
      <charset val="186"/>
      <scheme val="minor"/>
    </font>
    <font>
      <sz val="12"/>
      <color theme="1"/>
      <name val="Calibri"/>
      <family val="2"/>
      <charset val="186"/>
      <scheme val="minor"/>
    </font>
    <font>
      <b/>
      <i/>
      <sz val="12"/>
      <name val="Calibri"/>
      <family val="2"/>
      <charset val="186"/>
      <scheme val="minor"/>
    </font>
    <font>
      <i/>
      <sz val="12"/>
      <color theme="1"/>
      <name val="Calibri"/>
      <family val="2"/>
      <charset val="186"/>
      <scheme val="minor"/>
    </font>
    <font>
      <b/>
      <i/>
      <sz val="12"/>
      <color rgb="FFFF0000"/>
      <name val="Calibri"/>
      <family val="2"/>
      <charset val="186"/>
      <scheme val="minor"/>
    </font>
    <font>
      <sz val="12"/>
      <color rgb="FFFF0000"/>
      <name val="Calibri"/>
      <family val="2"/>
      <charset val="186"/>
      <scheme val="minor"/>
    </font>
    <font>
      <b/>
      <i/>
      <sz val="12"/>
      <color theme="1"/>
      <name val="Calibri"/>
      <family val="2"/>
      <charset val="186"/>
      <scheme val="minor"/>
    </font>
    <font>
      <b/>
      <i/>
      <sz val="13"/>
      <color theme="1"/>
      <name val="Calibri"/>
      <family val="2"/>
      <charset val="186"/>
      <scheme val="minor"/>
    </font>
    <font>
      <b/>
      <sz val="14"/>
      <color theme="1"/>
      <name val="Calibri"/>
      <family val="2"/>
      <charset val="186"/>
      <scheme val="minor"/>
    </font>
    <font>
      <sz val="10"/>
      <name val="Calibri"/>
      <family val="2"/>
      <scheme val="minor"/>
    </font>
    <font>
      <b/>
      <i/>
      <sz val="9"/>
      <name val="Calibri"/>
      <family val="2"/>
      <charset val="186"/>
      <scheme val="minor"/>
    </font>
    <font>
      <i/>
      <sz val="9"/>
      <name val="Calibri"/>
      <family val="2"/>
      <charset val="186"/>
      <scheme val="minor"/>
    </font>
    <font>
      <b/>
      <i/>
      <sz val="9"/>
      <color rgb="FFFF0000"/>
      <name val="Calibri"/>
      <family val="2"/>
      <charset val="186"/>
      <scheme val="minor"/>
    </font>
    <font>
      <i/>
      <sz val="9"/>
      <color rgb="FFFF0000"/>
      <name val="Calibri"/>
      <family val="2"/>
      <charset val="186"/>
      <scheme val="minor"/>
    </font>
    <font>
      <b/>
      <i/>
      <sz val="9"/>
      <color theme="4" tint="-0.249977111117893"/>
      <name val="Calibri"/>
      <family val="2"/>
      <charset val="186"/>
      <scheme val="minor"/>
    </font>
    <font>
      <b/>
      <sz val="14"/>
      <name val="Calibri"/>
      <family val="2"/>
      <charset val="186"/>
      <scheme val="minor"/>
    </font>
    <font>
      <sz val="14"/>
      <name val="Calibri"/>
      <family val="2"/>
      <charset val="186"/>
      <scheme val="minor"/>
    </font>
    <font>
      <i/>
      <sz val="14"/>
      <name val="Calibri"/>
      <family val="2"/>
      <charset val="186"/>
      <scheme val="minor"/>
    </font>
    <font>
      <sz val="14"/>
      <color theme="1"/>
      <name val="Calibri"/>
      <family val="2"/>
      <charset val="186"/>
      <scheme val="minor"/>
    </font>
    <font>
      <i/>
      <sz val="14"/>
      <color theme="1"/>
      <name val="Calibri"/>
      <family val="2"/>
      <charset val="186"/>
      <scheme val="minor"/>
    </font>
    <font>
      <b/>
      <i/>
      <sz val="14"/>
      <name val="Calibri"/>
      <family val="2"/>
      <charset val="186"/>
      <scheme val="minor"/>
    </font>
    <font>
      <sz val="11"/>
      <color rgb="FFFF0000"/>
      <name val="Calibri"/>
      <family val="2"/>
      <charset val="186"/>
      <scheme val="minor"/>
    </font>
    <font>
      <b/>
      <u/>
      <sz val="11"/>
      <color theme="1"/>
      <name val="Calibri"/>
      <family val="2"/>
      <charset val="186"/>
      <scheme val="minor"/>
    </font>
    <font>
      <u/>
      <sz val="11"/>
      <color theme="10"/>
      <name val="Calibri"/>
      <family val="2"/>
      <charset val="186"/>
      <scheme val="minor"/>
    </font>
    <font>
      <sz val="10"/>
      <color theme="1"/>
      <name val="Times New Roman"/>
      <family val="1"/>
      <charset val="186"/>
    </font>
    <font>
      <b/>
      <sz val="10"/>
      <color theme="1"/>
      <name val="Times New Roman"/>
      <family val="1"/>
      <charset val="186"/>
    </font>
    <font>
      <b/>
      <i/>
      <sz val="10"/>
      <name val="Times New Roman"/>
      <family val="1"/>
      <charset val="186"/>
    </font>
    <font>
      <i/>
      <sz val="10"/>
      <name val="Times New Roman"/>
      <family val="1"/>
      <charset val="186"/>
    </font>
    <font>
      <b/>
      <i/>
      <sz val="10"/>
      <color rgb="FFFF0000"/>
      <name val="Times New Roman"/>
      <family val="1"/>
      <charset val="186"/>
    </font>
    <font>
      <i/>
      <sz val="10"/>
      <color rgb="FFFF0000"/>
      <name val="Times New Roman"/>
      <family val="1"/>
      <charset val="186"/>
    </font>
    <font>
      <b/>
      <i/>
      <sz val="10"/>
      <color theme="4" tint="-0.249977111117893"/>
      <name val="Times New Roman"/>
      <family val="1"/>
      <charset val="186"/>
    </font>
    <font>
      <b/>
      <i/>
      <sz val="10"/>
      <color theme="9" tint="-0.249977111117893"/>
      <name val="Times New Roman"/>
      <family val="1"/>
      <charset val="186"/>
    </font>
    <font>
      <b/>
      <sz val="10"/>
      <name val="Times New Roman"/>
      <family val="1"/>
      <charset val="186"/>
    </font>
    <font>
      <sz val="10"/>
      <name val="Times New Roman"/>
      <family val="1"/>
      <charset val="186"/>
    </font>
    <font>
      <sz val="10"/>
      <color rgb="FFFF0000"/>
      <name val="Times New Roman"/>
      <family val="1"/>
      <charset val="186"/>
    </font>
    <font>
      <b/>
      <sz val="10"/>
      <color rgb="FFFF0000"/>
      <name val="Times New Roman"/>
      <family val="1"/>
      <charset val="186"/>
    </font>
    <font>
      <u/>
      <sz val="10"/>
      <color theme="10"/>
      <name val="Times New Roman"/>
      <family val="1"/>
      <charset val="186"/>
    </font>
    <font>
      <b/>
      <sz val="14"/>
      <color theme="1"/>
      <name val="Times New Roman"/>
      <family val="1"/>
      <charset val="186"/>
    </font>
    <font>
      <sz val="16"/>
      <name val="Times New Roman"/>
      <family val="1"/>
      <charset val="186"/>
    </font>
    <font>
      <i/>
      <sz val="16"/>
      <name val="Times New Roman"/>
      <family val="1"/>
      <charset val="186"/>
    </font>
    <font>
      <sz val="16"/>
      <color theme="1"/>
      <name val="Times New Roman"/>
      <family val="1"/>
      <charset val="186"/>
    </font>
    <font>
      <sz val="11"/>
      <color theme="1"/>
      <name val="Times New Roman"/>
      <family val="1"/>
      <charset val="186"/>
    </font>
  </fonts>
  <fills count="25">
    <fill>
      <patternFill patternType="none"/>
    </fill>
    <fill>
      <patternFill patternType="gray125"/>
    </fill>
    <fill>
      <patternFill patternType="solid">
        <fgColor theme="9" tint="0.79998168889431442"/>
        <bgColor indexed="64"/>
      </patternFill>
    </fill>
    <fill>
      <patternFill patternType="solid">
        <fgColor theme="6" tint="0.39997558519241921"/>
        <bgColor rgb="FF000000"/>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9" tint="0.39997558519241921"/>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92D050"/>
        <bgColor rgb="FF000000"/>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9" tint="0.39997558519241921"/>
        <bgColor rgb="FF000000"/>
      </patternFill>
    </fill>
    <fill>
      <patternFill patternType="solid">
        <fgColor theme="9" tint="0.59999389629810485"/>
        <bgColor rgb="FF000000"/>
      </patternFill>
    </fill>
    <fill>
      <patternFill patternType="solid">
        <fgColor theme="2" tint="-0.249977111117893"/>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rgb="FF00B0F0"/>
        <bgColor indexed="64"/>
      </patternFill>
    </fill>
  </fills>
  <borders count="5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auto="1"/>
      </top>
      <bottom style="medium">
        <color auto="1"/>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auto="1"/>
      </right>
      <top style="thin">
        <color indexed="64"/>
      </top>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indexed="64"/>
      </right>
      <top style="thin">
        <color indexed="64"/>
      </top>
      <bottom style="medium">
        <color indexed="64"/>
      </bottom>
      <diagonal/>
    </border>
    <border>
      <left/>
      <right style="medium">
        <color auto="1"/>
      </right>
      <top style="medium">
        <color indexed="64"/>
      </top>
      <bottom/>
      <diagonal/>
    </border>
    <border>
      <left style="medium">
        <color auto="1"/>
      </left>
      <right/>
      <top/>
      <bottom style="thin">
        <color indexed="64"/>
      </bottom>
      <diagonal/>
    </border>
    <border>
      <left style="medium">
        <color auto="1"/>
      </left>
      <right/>
      <top style="medium">
        <color indexed="64"/>
      </top>
      <bottom style="medium">
        <color indexed="64"/>
      </bottom>
      <diagonal/>
    </border>
    <border>
      <left style="medium">
        <color auto="1"/>
      </left>
      <right/>
      <top style="thin">
        <color indexed="64"/>
      </top>
      <bottom style="thin">
        <color indexed="64"/>
      </bottom>
      <diagonal/>
    </border>
    <border>
      <left style="thin">
        <color indexed="64"/>
      </left>
      <right style="medium">
        <color auto="1"/>
      </right>
      <top style="thin">
        <color indexed="64"/>
      </top>
      <bottom style="medium">
        <color indexed="64"/>
      </bottom>
      <diagonal/>
    </border>
    <border>
      <left style="medium">
        <color auto="1"/>
      </left>
      <right style="thin">
        <color auto="1"/>
      </right>
      <top style="thin">
        <color auto="1"/>
      </top>
      <bottom/>
      <diagonal/>
    </border>
    <border>
      <left style="medium">
        <color auto="1"/>
      </left>
      <right style="thin">
        <color indexed="64"/>
      </right>
      <top style="thin">
        <color indexed="64"/>
      </top>
      <bottom style="thin">
        <color indexed="64"/>
      </bottom>
      <diagonal/>
    </border>
    <border>
      <left/>
      <right style="medium">
        <color auto="1"/>
      </right>
      <top/>
      <bottom style="medium">
        <color auto="1"/>
      </bottom>
      <diagonal/>
    </border>
    <border>
      <left style="medium">
        <color auto="1"/>
      </left>
      <right style="thin">
        <color indexed="64"/>
      </right>
      <top/>
      <bottom/>
      <diagonal/>
    </border>
  </borders>
  <cellStyleXfs count="5">
    <xf numFmtId="0" fontId="0" fillId="0" borderId="0"/>
    <xf numFmtId="0" fontId="1" fillId="0" borderId="0"/>
    <xf numFmtId="0" fontId="1" fillId="0" borderId="0"/>
    <xf numFmtId="9" fontId="1" fillId="0" borderId="0" applyFont="0" applyFill="0" applyBorder="0" applyAlignment="0" applyProtection="0"/>
    <xf numFmtId="0" fontId="46" fillId="0" borderId="0" applyNumberFormat="0" applyFill="0" applyBorder="0" applyAlignment="0" applyProtection="0"/>
  </cellStyleXfs>
  <cellXfs count="488">
    <xf numFmtId="0" fontId="0" fillId="0" borderId="0" xfId="0"/>
    <xf numFmtId="0" fontId="4" fillId="0" borderId="0" xfId="0" applyFont="1" applyFill="1"/>
    <xf numFmtId="0" fontId="0" fillId="2" borderId="0" xfId="0" applyFill="1"/>
    <xf numFmtId="0" fontId="6" fillId="0" borderId="0" xfId="0" applyFont="1"/>
    <xf numFmtId="3" fontId="4" fillId="0" borderId="3" xfId="0" applyNumberFormat="1" applyFont="1" applyFill="1" applyBorder="1"/>
    <xf numFmtId="0" fontId="5" fillId="2" borderId="8" xfId="0" applyFont="1" applyFill="1" applyBorder="1" applyAlignment="1">
      <alignment horizontal="right" vertical="top"/>
    </xf>
    <xf numFmtId="0" fontId="4" fillId="0" borderId="0" xfId="0" applyFont="1" applyFill="1" applyAlignment="1">
      <alignment vertical="top" wrapText="1"/>
    </xf>
    <xf numFmtId="0" fontId="4" fillId="0" borderId="0" xfId="0" applyFont="1" applyFill="1" applyAlignment="1">
      <alignment horizontal="center"/>
    </xf>
    <xf numFmtId="0" fontId="4" fillId="0" borderId="0" xfId="0" applyFont="1" applyFill="1" applyAlignment="1">
      <alignment horizontal="left" vertical="top" wrapText="1"/>
    </xf>
    <xf numFmtId="49" fontId="9" fillId="9" borderId="3" xfId="1" applyNumberFormat="1" applyFont="1" applyFill="1" applyBorder="1" applyAlignment="1">
      <alignment horizontal="center" vertical="center" wrapText="1"/>
    </xf>
    <xf numFmtId="0" fontId="10" fillId="0" borderId="3" xfId="0" applyFont="1" applyFill="1" applyBorder="1" applyAlignment="1">
      <alignment horizontal="left" vertical="top" wrapText="1"/>
    </xf>
    <xf numFmtId="0" fontId="10" fillId="0" borderId="8" xfId="0" applyFont="1" applyFill="1" applyBorder="1" applyAlignment="1">
      <alignment horizontal="left" vertical="top" wrapText="1"/>
    </xf>
    <xf numFmtId="0" fontId="0" fillId="11" borderId="24" xfId="0" applyFill="1" applyBorder="1"/>
    <xf numFmtId="3" fontId="6" fillId="11" borderId="24" xfId="0" applyNumberFormat="1" applyFont="1" applyFill="1" applyBorder="1" applyAlignment="1">
      <alignment horizontal="right"/>
    </xf>
    <xf numFmtId="49" fontId="9" fillId="3" borderId="3" xfId="1" applyNumberFormat="1" applyFont="1" applyFill="1" applyBorder="1" applyAlignment="1">
      <alignment horizontal="center" vertical="center" wrapText="1"/>
    </xf>
    <xf numFmtId="3" fontId="13" fillId="11" borderId="19" xfId="0" applyNumberFormat="1" applyFont="1" applyFill="1" applyBorder="1" applyAlignment="1">
      <alignment horizontal="right" vertical="center"/>
    </xf>
    <xf numFmtId="3" fontId="0" fillId="0" borderId="3" xfId="0" applyNumberFormat="1" applyBorder="1"/>
    <xf numFmtId="3" fontId="4" fillId="0" borderId="8" xfId="0" applyNumberFormat="1" applyFont="1" applyFill="1" applyBorder="1"/>
    <xf numFmtId="10" fontId="14" fillId="0" borderId="0" xfId="0" applyNumberFormat="1" applyFont="1" applyFill="1"/>
    <xf numFmtId="10" fontId="3" fillId="8" borderId="0" xfId="0" applyNumberFormat="1" applyFont="1" applyFill="1"/>
    <xf numFmtId="0" fontId="4" fillId="0" borderId="0" xfId="0" applyFont="1" applyFill="1" applyAlignment="1">
      <alignment horizontal="center" wrapText="1"/>
    </xf>
    <xf numFmtId="3" fontId="3" fillId="0" borderId="7" xfId="0" applyNumberFormat="1" applyFont="1" applyFill="1" applyBorder="1"/>
    <xf numFmtId="3" fontId="2" fillId="7" borderId="3" xfId="0" applyNumberFormat="1" applyFont="1" applyFill="1" applyBorder="1" applyAlignment="1">
      <alignment horizontal="left" vertical="top" wrapText="1"/>
    </xf>
    <xf numFmtId="0" fontId="2" fillId="7" borderId="8" xfId="0" applyFont="1" applyFill="1" applyBorder="1" applyAlignment="1">
      <alignment horizontal="left" vertical="top" wrapText="1"/>
    </xf>
    <xf numFmtId="0" fontId="5" fillId="7" borderId="7" xfId="0" applyFont="1" applyFill="1" applyBorder="1" applyAlignment="1">
      <alignment horizontal="left" vertical="top" wrapText="1"/>
    </xf>
    <xf numFmtId="0" fontId="5" fillId="8" borderId="3" xfId="0" applyFont="1" applyFill="1" applyBorder="1" applyAlignment="1">
      <alignment horizontal="left" vertical="top" wrapText="1"/>
    </xf>
    <xf numFmtId="0" fontId="2" fillId="0" borderId="3" xfId="0" applyFont="1" applyBorder="1" applyAlignment="1">
      <alignment horizontal="left" vertical="top"/>
    </xf>
    <xf numFmtId="0" fontId="5" fillId="8" borderId="3" xfId="0" applyFont="1" applyFill="1" applyBorder="1" applyAlignment="1">
      <alignment horizontal="left" vertical="top"/>
    </xf>
    <xf numFmtId="0" fontId="4" fillId="0" borderId="3" xfId="1" applyNumberFormat="1" applyFont="1" applyFill="1" applyBorder="1" applyAlignment="1">
      <alignment horizontal="left" vertical="top"/>
    </xf>
    <xf numFmtId="0" fontId="4" fillId="0" borderId="3" xfId="0" applyFont="1" applyFill="1" applyBorder="1" applyAlignment="1">
      <alignment horizontal="left" vertical="top"/>
    </xf>
    <xf numFmtId="0" fontId="4" fillId="0" borderId="8" xfId="0" applyFont="1" applyFill="1" applyBorder="1" applyAlignment="1">
      <alignment horizontal="left" vertical="top"/>
    </xf>
    <xf numFmtId="0" fontId="4" fillId="0" borderId="7" xfId="1" applyNumberFormat="1" applyFont="1" applyFill="1" applyBorder="1" applyAlignment="1">
      <alignment horizontal="left" vertical="top"/>
    </xf>
    <xf numFmtId="0" fontId="4" fillId="0" borderId="6" xfId="0" applyFont="1" applyFill="1" applyBorder="1" applyAlignment="1">
      <alignment horizontal="left" vertical="top"/>
    </xf>
    <xf numFmtId="0" fontId="10" fillId="0" borderId="3" xfId="0" applyFont="1" applyFill="1" applyBorder="1" applyAlignment="1">
      <alignment horizontal="left" vertical="top"/>
    </xf>
    <xf numFmtId="0" fontId="10" fillId="10" borderId="3" xfId="0" applyFont="1" applyFill="1" applyBorder="1" applyAlignment="1">
      <alignment horizontal="left" vertical="top"/>
    </xf>
    <xf numFmtId="0" fontId="10" fillId="0" borderId="8" xfId="0" applyFont="1" applyFill="1" applyBorder="1" applyAlignment="1">
      <alignment horizontal="left" vertical="top"/>
    </xf>
    <xf numFmtId="0" fontId="10" fillId="0" borderId="7" xfId="0" applyFont="1" applyFill="1" applyBorder="1" applyAlignment="1">
      <alignment horizontal="left" vertical="top"/>
    </xf>
    <xf numFmtId="0" fontId="10" fillId="0" borderId="6" xfId="0" applyFont="1" applyFill="1" applyBorder="1" applyAlignment="1">
      <alignment horizontal="left" vertical="top"/>
    </xf>
    <xf numFmtId="3" fontId="10" fillId="0" borderId="3" xfId="0" applyNumberFormat="1" applyFont="1" applyFill="1" applyBorder="1" applyAlignment="1">
      <alignment horizontal="right" vertical="top"/>
    </xf>
    <xf numFmtId="3" fontId="15" fillId="0" borderId="3" xfId="0" applyNumberFormat="1" applyFont="1" applyBorder="1" applyAlignment="1">
      <alignment horizontal="right" vertical="top"/>
    </xf>
    <xf numFmtId="3" fontId="10" fillId="0" borderId="8" xfId="0" applyNumberFormat="1" applyFont="1" applyFill="1" applyBorder="1" applyAlignment="1">
      <alignment horizontal="right" vertical="top"/>
    </xf>
    <xf numFmtId="3" fontId="15" fillId="0" borderId="8" xfId="0" applyNumberFormat="1" applyFont="1" applyBorder="1" applyAlignment="1">
      <alignment horizontal="right" vertical="top"/>
    </xf>
    <xf numFmtId="3" fontId="12" fillId="0" borderId="7" xfId="0" applyNumberFormat="1" applyFont="1" applyFill="1" applyBorder="1" applyAlignment="1">
      <alignment horizontal="right" vertical="top" wrapText="1"/>
    </xf>
    <xf numFmtId="3" fontId="10" fillId="10" borderId="6" xfId="0" applyNumberFormat="1" applyFont="1" applyFill="1" applyBorder="1" applyAlignment="1">
      <alignment horizontal="right" vertical="top" wrapText="1"/>
    </xf>
    <xf numFmtId="0" fontId="0" fillId="0" borderId="0" xfId="0" applyAlignment="1">
      <alignment horizontal="left"/>
    </xf>
    <xf numFmtId="0" fontId="4" fillId="2"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6" fillId="0" borderId="0" xfId="0" applyFont="1" applyFill="1" applyBorder="1"/>
    <xf numFmtId="0" fontId="4" fillId="0" borderId="3" xfId="0" applyFont="1" applyFill="1" applyBorder="1" applyAlignment="1">
      <alignment horizontal="right" vertical="top"/>
    </xf>
    <xf numFmtId="0" fontId="2" fillId="0" borderId="3" xfId="0" applyFont="1" applyBorder="1" applyAlignment="1">
      <alignment horizontal="right" vertical="top"/>
    </xf>
    <xf numFmtId="0" fontId="2" fillId="0" borderId="3" xfId="0" applyFont="1" applyFill="1" applyBorder="1" applyAlignment="1">
      <alignment horizontal="right" vertical="top"/>
    </xf>
    <xf numFmtId="3" fontId="4" fillId="4" borderId="3" xfId="1" applyNumberFormat="1" applyFont="1" applyFill="1" applyBorder="1" applyAlignment="1" applyProtection="1">
      <alignment horizontal="center" vertical="center" wrapText="1"/>
      <protection locked="0"/>
    </xf>
    <xf numFmtId="0" fontId="2" fillId="2" borderId="3"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4" fillId="0" borderId="7" xfId="0" applyFont="1" applyFill="1" applyBorder="1" applyAlignment="1">
      <alignment horizontal="right" vertical="top"/>
    </xf>
    <xf numFmtId="0" fontId="2" fillId="0" borderId="7" xfId="0" applyFont="1" applyBorder="1" applyAlignment="1">
      <alignment horizontal="right" vertical="top"/>
    </xf>
    <xf numFmtId="0" fontId="2" fillId="0" borderId="7" xfId="0" applyFont="1" applyFill="1" applyBorder="1" applyAlignment="1">
      <alignment horizontal="right" vertical="top"/>
    </xf>
    <xf numFmtId="0" fontId="5" fillId="2" borderId="11" xfId="0" applyFont="1" applyFill="1" applyBorder="1" applyAlignment="1">
      <alignment horizontal="right" vertical="top"/>
    </xf>
    <xf numFmtId="0" fontId="3" fillId="2" borderId="8" xfId="0" applyFont="1" applyFill="1" applyBorder="1" applyAlignment="1">
      <alignment horizontal="right" vertical="top"/>
    </xf>
    <xf numFmtId="0" fontId="17" fillId="0" borderId="1" xfId="0" applyFont="1" applyFill="1" applyBorder="1" applyAlignment="1">
      <alignment horizontal="center" vertical="top"/>
    </xf>
    <xf numFmtId="0" fontId="2" fillId="0" borderId="0" xfId="0" applyFont="1"/>
    <xf numFmtId="3" fontId="5" fillId="2" borderId="8" xfId="0" applyNumberFormat="1" applyFont="1" applyFill="1" applyBorder="1" applyAlignment="1">
      <alignment horizontal="right"/>
    </xf>
    <xf numFmtId="3" fontId="5" fillId="13" borderId="8" xfId="0" applyNumberFormat="1" applyFont="1" applyFill="1" applyBorder="1" applyAlignment="1">
      <alignment horizontal="right"/>
    </xf>
    <xf numFmtId="3" fontId="5" fillId="2" borderId="11" xfId="0" applyNumberFormat="1" applyFont="1" applyFill="1" applyBorder="1" applyAlignment="1">
      <alignment horizontal="right"/>
    </xf>
    <xf numFmtId="3" fontId="5" fillId="13" borderId="11" xfId="0" applyNumberFormat="1" applyFont="1" applyFill="1" applyBorder="1" applyAlignment="1">
      <alignment horizontal="right"/>
    </xf>
    <xf numFmtId="3" fontId="2" fillId="0" borderId="7" xfId="0" applyNumberFormat="1" applyFont="1" applyBorder="1" applyAlignment="1">
      <alignment horizontal="right"/>
    </xf>
    <xf numFmtId="3" fontId="2" fillId="13" borderId="7" xfId="0" applyNumberFormat="1" applyFont="1" applyFill="1" applyBorder="1" applyAlignment="1">
      <alignment horizontal="right"/>
    </xf>
    <xf numFmtId="3" fontId="2" fillId="0" borderId="3" xfId="0" applyNumberFormat="1" applyFont="1" applyBorder="1" applyAlignment="1">
      <alignment horizontal="right"/>
    </xf>
    <xf numFmtId="3" fontId="2" fillId="13" borderId="3" xfId="0" applyNumberFormat="1" applyFont="1" applyFill="1" applyBorder="1" applyAlignment="1">
      <alignment horizontal="right"/>
    </xf>
    <xf numFmtId="0" fontId="2" fillId="0" borderId="0" xfId="0" applyFont="1" applyAlignment="1">
      <alignment horizontal="center" vertical="center"/>
    </xf>
    <xf numFmtId="0" fontId="2" fillId="2" borderId="0" xfId="0" applyFont="1" applyFill="1"/>
    <xf numFmtId="0" fontId="17" fillId="12" borderId="1" xfId="0" applyFont="1" applyFill="1" applyBorder="1" applyAlignment="1">
      <alignment horizontal="center" vertical="top"/>
    </xf>
    <xf numFmtId="3" fontId="2" fillId="12" borderId="7" xfId="0" applyNumberFormat="1" applyFont="1" applyFill="1" applyBorder="1" applyAlignment="1">
      <alignment horizontal="right"/>
    </xf>
    <xf numFmtId="3" fontId="2" fillId="12" borderId="3" xfId="0" applyNumberFormat="1" applyFont="1" applyFill="1" applyBorder="1" applyAlignment="1">
      <alignment horizontal="right"/>
    </xf>
    <xf numFmtId="0" fontId="3" fillId="2" borderId="3" xfId="0" applyFont="1" applyFill="1" applyBorder="1" applyAlignment="1">
      <alignment horizontal="left" vertical="center"/>
    </xf>
    <xf numFmtId="0" fontId="3" fillId="2" borderId="3" xfId="1" applyNumberFormat="1" applyFont="1" applyFill="1" applyBorder="1" applyAlignment="1">
      <alignment horizontal="left" vertical="center"/>
    </xf>
    <xf numFmtId="0" fontId="3" fillId="2" borderId="7" xfId="0" applyFont="1" applyFill="1" applyBorder="1" applyAlignment="1">
      <alignment horizontal="left" vertical="center"/>
    </xf>
    <xf numFmtId="3" fontId="0" fillId="0" borderId="7" xfId="0" applyNumberFormat="1" applyBorder="1"/>
    <xf numFmtId="0" fontId="5" fillId="6" borderId="19" xfId="0" applyFont="1" applyFill="1" applyBorder="1" applyAlignment="1">
      <alignment horizontal="left" vertical="center"/>
    </xf>
    <xf numFmtId="3" fontId="5" fillId="6" borderId="19" xfId="0" applyNumberFormat="1" applyFont="1" applyFill="1" applyBorder="1"/>
    <xf numFmtId="0" fontId="0" fillId="0" borderId="3" xfId="0" applyBorder="1"/>
    <xf numFmtId="0" fontId="6" fillId="0" borderId="3" xfId="0" applyFont="1" applyBorder="1"/>
    <xf numFmtId="0" fontId="6" fillId="14" borderId="3" xfId="0" applyFont="1" applyFill="1" applyBorder="1" applyAlignment="1">
      <alignment wrapText="1"/>
    </xf>
    <xf numFmtId="0" fontId="6" fillId="14" borderId="3" xfId="0" applyFont="1" applyFill="1" applyBorder="1"/>
    <xf numFmtId="0" fontId="21" fillId="17" borderId="3" xfId="0" applyFont="1" applyFill="1" applyBorder="1" applyAlignment="1">
      <alignment horizontal="center" vertical="center" wrapText="1"/>
    </xf>
    <xf numFmtId="3" fontId="21" fillId="6" borderId="3" xfId="1" applyNumberFormat="1" applyFont="1" applyFill="1" applyBorder="1" applyAlignment="1" applyProtection="1">
      <alignment horizontal="center" vertical="center" wrapText="1"/>
      <protection locked="0"/>
    </xf>
    <xf numFmtId="3" fontId="22" fillId="6" borderId="3" xfId="1" applyNumberFormat="1" applyFont="1" applyFill="1" applyBorder="1" applyAlignment="1" applyProtection="1">
      <alignment horizontal="center" vertical="center" wrapText="1"/>
      <protection locked="0"/>
    </xf>
    <xf numFmtId="3" fontId="25" fillId="6" borderId="3" xfId="1" applyNumberFormat="1" applyFont="1" applyFill="1" applyBorder="1" applyAlignment="1" applyProtection="1">
      <alignment horizontal="center" vertical="center" wrapText="1"/>
      <protection locked="0"/>
    </xf>
    <xf numFmtId="3" fontId="22" fillId="0" borderId="3" xfId="0" applyNumberFormat="1" applyFont="1" applyFill="1" applyBorder="1" applyAlignment="1">
      <alignment horizontal="center" vertical="top"/>
    </xf>
    <xf numFmtId="0" fontId="24" fillId="0" borderId="3" xfId="0" applyFont="1" applyFill="1" applyBorder="1" applyAlignment="1">
      <alignment horizontal="left" vertical="top"/>
    </xf>
    <xf numFmtId="3" fontId="24" fillId="0" borderId="3" xfId="0" applyNumberFormat="1" applyFont="1" applyFill="1" applyBorder="1" applyAlignment="1">
      <alignment horizontal="center" vertical="top"/>
    </xf>
    <xf numFmtId="0" fontId="24" fillId="6" borderId="33" xfId="0" applyFont="1" applyFill="1" applyBorder="1" applyAlignment="1">
      <alignment horizontal="center" vertical="center" wrapText="1"/>
    </xf>
    <xf numFmtId="3" fontId="27" fillId="0" borderId="3" xfId="1" applyNumberFormat="1" applyFont="1" applyFill="1" applyBorder="1" applyAlignment="1" applyProtection="1">
      <alignment horizontal="center" vertical="center" wrapText="1"/>
      <protection locked="0"/>
    </xf>
    <xf numFmtId="3" fontId="28" fillId="0" borderId="3" xfId="0" applyNumberFormat="1" applyFont="1" applyFill="1" applyBorder="1" applyAlignment="1">
      <alignment horizontal="center" vertical="top"/>
    </xf>
    <xf numFmtId="3" fontId="28" fillId="0" borderId="8" xfId="0" applyNumberFormat="1" applyFont="1" applyFill="1" applyBorder="1" applyAlignment="1">
      <alignment horizontal="center" vertical="top"/>
    </xf>
    <xf numFmtId="0" fontId="29" fillId="4" borderId="7" xfId="0" applyFont="1" applyFill="1" applyBorder="1" applyAlignment="1">
      <alignment horizontal="center" vertical="top"/>
    </xf>
    <xf numFmtId="3" fontId="30" fillId="4" borderId="7" xfId="0" applyNumberFormat="1" applyFont="1" applyFill="1" applyBorder="1" applyAlignment="1">
      <alignment horizontal="center" vertical="top"/>
    </xf>
    <xf numFmtId="3" fontId="28" fillId="0" borderId="7" xfId="0" applyNumberFormat="1" applyFont="1" applyFill="1" applyBorder="1" applyAlignment="1">
      <alignment horizontal="center" vertical="top"/>
    </xf>
    <xf numFmtId="3" fontId="4" fillId="0" borderId="3" xfId="0" applyNumberFormat="1" applyFont="1" applyFill="1" applyBorder="1" applyAlignment="1">
      <alignment horizontal="center" vertical="top" wrapText="1"/>
    </xf>
    <xf numFmtId="3" fontId="6" fillId="0" borderId="3" xfId="0" applyNumberFormat="1" applyFont="1" applyBorder="1"/>
    <xf numFmtId="3" fontId="24" fillId="0" borderId="3" xfId="0" applyNumberFormat="1" applyFont="1" applyFill="1" applyBorder="1" applyAlignment="1">
      <alignment horizontal="right" vertical="top"/>
    </xf>
    <xf numFmtId="0" fontId="6" fillId="14" borderId="3" xfId="0" applyFont="1" applyFill="1" applyBorder="1" applyAlignment="1">
      <alignment horizontal="center" vertical="center" wrapText="1"/>
    </xf>
    <xf numFmtId="0" fontId="2" fillId="0" borderId="3" xfId="0" applyFont="1" applyFill="1" applyBorder="1" applyAlignment="1">
      <alignment horizontal="justify" vertical="center" wrapText="1"/>
    </xf>
    <xf numFmtId="0" fontId="2" fillId="0" borderId="3" xfId="0" applyFont="1" applyBorder="1" applyAlignment="1">
      <alignment horizontal="justify" vertical="center" wrapText="1"/>
    </xf>
    <xf numFmtId="3" fontId="4" fillId="0" borderId="3" xfId="1" applyNumberFormat="1" applyFont="1" applyFill="1" applyBorder="1" applyAlignment="1" applyProtection="1">
      <alignment horizontal="justify" vertical="center" wrapText="1"/>
      <protection locked="0"/>
    </xf>
    <xf numFmtId="3" fontId="32" fillId="0" borderId="3" xfId="1" applyNumberFormat="1" applyFont="1" applyFill="1" applyBorder="1" applyAlignment="1" applyProtection="1">
      <alignment horizontal="justify" vertical="center" wrapText="1"/>
      <protection locked="0"/>
    </xf>
    <xf numFmtId="0" fontId="2" fillId="0" borderId="3" xfId="0" applyFont="1" applyFill="1" applyBorder="1" applyAlignment="1">
      <alignment horizontal="left" vertical="center" wrapText="1"/>
    </xf>
    <xf numFmtId="0" fontId="2" fillId="0" borderId="3" xfId="0" applyFont="1" applyBorder="1" applyAlignment="1">
      <alignment horizontal="left" vertical="center"/>
    </xf>
    <xf numFmtId="3" fontId="4" fillId="0" borderId="3" xfId="1" applyNumberFormat="1" applyFont="1" applyFill="1" applyBorder="1" applyAlignment="1" applyProtection="1">
      <alignment horizontal="left" vertical="center" wrapText="1"/>
      <protection locked="0"/>
    </xf>
    <xf numFmtId="0" fontId="5" fillId="0" borderId="3"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3" xfId="0" applyFont="1" applyBorder="1" applyAlignment="1">
      <alignment horizontal="left" vertical="center"/>
    </xf>
    <xf numFmtId="3" fontId="3" fillId="0" borderId="3" xfId="1" applyNumberFormat="1" applyFont="1" applyFill="1" applyBorder="1" applyAlignment="1" applyProtection="1">
      <alignment horizontal="left" vertical="center" wrapText="1"/>
      <protection locked="0"/>
    </xf>
    <xf numFmtId="3" fontId="31" fillId="14" borderId="3"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5" fillId="0" borderId="3" xfId="0" applyNumberFormat="1" applyFont="1" applyBorder="1" applyAlignment="1">
      <alignment horizontal="center" vertical="center"/>
    </xf>
    <xf numFmtId="3" fontId="3" fillId="0" borderId="3" xfId="1" applyNumberFormat="1" applyFont="1" applyFill="1" applyBorder="1" applyAlignment="1" applyProtection="1">
      <alignment horizontal="center" vertical="center" wrapText="1"/>
      <protection locked="0"/>
    </xf>
    <xf numFmtId="3" fontId="18" fillId="10" borderId="0" xfId="1" applyNumberFormat="1" applyFont="1" applyFill="1" applyBorder="1" applyAlignment="1" applyProtection="1">
      <alignment horizontal="center" vertical="center" wrapText="1"/>
      <protection locked="0"/>
    </xf>
    <xf numFmtId="0" fontId="24" fillId="12" borderId="3" xfId="0" applyFont="1" applyFill="1" applyBorder="1" applyAlignment="1">
      <alignment horizontal="left" vertical="top"/>
    </xf>
    <xf numFmtId="3" fontId="22" fillId="12" borderId="3" xfId="0" applyNumberFormat="1" applyFont="1" applyFill="1" applyBorder="1" applyAlignment="1">
      <alignment horizontal="center" vertical="top"/>
    </xf>
    <xf numFmtId="3" fontId="24" fillId="12" borderId="3" xfId="0" applyNumberFormat="1" applyFont="1" applyFill="1" applyBorder="1" applyAlignment="1">
      <alignment horizontal="center" vertical="top"/>
    </xf>
    <xf numFmtId="0" fontId="2" fillId="0" borderId="0" xfId="0" applyFont="1" applyFill="1" applyAlignment="1">
      <alignment wrapText="1"/>
    </xf>
    <xf numFmtId="3" fontId="0" fillId="0" borderId="0" xfId="0" applyNumberFormat="1"/>
    <xf numFmtId="3" fontId="33" fillId="19" borderId="12" xfId="1" applyNumberFormat="1" applyFont="1" applyFill="1" applyBorder="1" applyAlignment="1" applyProtection="1">
      <alignment horizontal="center" vertical="top" wrapText="1"/>
      <protection locked="0"/>
    </xf>
    <xf numFmtId="3" fontId="33" fillId="19" borderId="5" xfId="1" applyNumberFormat="1" applyFont="1" applyFill="1" applyBorder="1" applyAlignment="1" applyProtection="1">
      <alignment horizontal="center" vertical="top" wrapText="1"/>
      <protection locked="0"/>
    </xf>
    <xf numFmtId="3" fontId="33" fillId="15" borderId="5" xfId="1" applyNumberFormat="1" applyFont="1" applyFill="1" applyBorder="1" applyAlignment="1" applyProtection="1">
      <alignment horizontal="center" vertical="top" wrapText="1"/>
      <protection locked="0"/>
    </xf>
    <xf numFmtId="0" fontId="0" fillId="20" borderId="0" xfId="0" applyFill="1" applyAlignment="1">
      <alignment horizontal="left" vertical="top"/>
    </xf>
    <xf numFmtId="3" fontId="0" fillId="20" borderId="0" xfId="0" applyNumberFormat="1" applyFill="1"/>
    <xf numFmtId="0" fontId="0" fillId="20" borderId="0" xfId="0" applyFill="1"/>
    <xf numFmtId="0" fontId="0" fillId="21" borderId="0" xfId="0" applyFill="1" applyAlignment="1">
      <alignment horizontal="left" vertical="top"/>
    </xf>
    <xf numFmtId="3" fontId="0" fillId="21" borderId="0" xfId="0" applyNumberFormat="1" applyFill="1"/>
    <xf numFmtId="0" fontId="0" fillId="21" borderId="0" xfId="0" applyFill="1"/>
    <xf numFmtId="0" fontId="6" fillId="0" borderId="0" xfId="0" applyFont="1" applyAlignment="1">
      <alignment horizontal="left" vertical="top"/>
    </xf>
    <xf numFmtId="3" fontId="6" fillId="0" borderId="0" xfId="0" applyNumberFormat="1" applyFont="1"/>
    <xf numFmtId="3" fontId="0" fillId="0" borderId="0" xfId="0" applyNumberFormat="1" applyBorder="1"/>
    <xf numFmtId="3" fontId="6" fillId="14" borderId="3" xfId="0" applyNumberFormat="1" applyFont="1" applyFill="1" applyBorder="1"/>
    <xf numFmtId="0" fontId="6" fillId="0" borderId="3" xfId="0" applyFont="1" applyBorder="1" applyAlignment="1">
      <alignment horizontal="center" vertical="center" wrapText="1"/>
    </xf>
    <xf numFmtId="3" fontId="0" fillId="0" borderId="9" xfId="0" applyNumberFormat="1" applyFill="1" applyBorder="1"/>
    <xf numFmtId="3" fontId="0" fillId="0" borderId="0" xfId="0" applyNumberFormat="1" applyFill="1" applyBorder="1"/>
    <xf numFmtId="0" fontId="6" fillId="21" borderId="3" xfId="0" applyFont="1" applyFill="1" applyBorder="1" applyAlignment="1">
      <alignment horizontal="center" vertical="center" wrapText="1"/>
    </xf>
    <xf numFmtId="164" fontId="0" fillId="0" borderId="0" xfId="0" applyNumberFormat="1"/>
    <xf numFmtId="0" fontId="0" fillId="2" borderId="13" xfId="0" applyFill="1" applyBorder="1" applyAlignment="1">
      <alignment horizontal="center"/>
    </xf>
    <xf numFmtId="0" fontId="38" fillId="17" borderId="3" xfId="0" applyFont="1" applyFill="1" applyBorder="1" applyAlignment="1">
      <alignment horizontal="center" vertical="center" wrapText="1"/>
    </xf>
    <xf numFmtId="3" fontId="38" fillId="6" borderId="3" xfId="1" applyNumberFormat="1" applyFont="1" applyFill="1" applyBorder="1" applyAlignment="1" applyProtection="1">
      <alignment horizontal="center" vertical="center" wrapText="1"/>
      <protection locked="0"/>
    </xf>
    <xf numFmtId="3" fontId="39" fillId="6" borderId="3" xfId="1" applyNumberFormat="1" applyFont="1" applyFill="1" applyBorder="1" applyAlignment="1" applyProtection="1">
      <alignment horizontal="center" vertical="center" wrapText="1"/>
      <protection locked="0"/>
    </xf>
    <xf numFmtId="0" fontId="41" fillId="6" borderId="33" xfId="0" applyFont="1" applyFill="1" applyBorder="1" applyAlignment="1">
      <alignment horizontal="center" vertical="center" wrapText="1"/>
    </xf>
    <xf numFmtId="3" fontId="43" fillId="6" borderId="3" xfId="1" applyNumberFormat="1" applyFont="1" applyFill="1" applyBorder="1" applyAlignment="1" applyProtection="1">
      <alignment horizontal="center" vertical="center" wrapText="1"/>
      <protection locked="0"/>
    </xf>
    <xf numFmtId="3" fontId="40" fillId="6" borderId="3" xfId="1" applyNumberFormat="1" applyFont="1" applyFill="1" applyBorder="1" applyAlignment="1" applyProtection="1">
      <alignment horizontal="center" vertical="center" wrapText="1"/>
      <protection locked="0"/>
    </xf>
    <xf numFmtId="0" fontId="40" fillId="17" borderId="3" xfId="0" applyFont="1" applyFill="1" applyBorder="1" applyAlignment="1">
      <alignment horizontal="center" vertical="center" wrapText="1"/>
    </xf>
    <xf numFmtId="0" fontId="43" fillId="18" borderId="3" xfId="0" applyFont="1" applyFill="1" applyBorder="1" applyAlignment="1">
      <alignment horizontal="right" vertical="center" wrapText="1"/>
    </xf>
    <xf numFmtId="3" fontId="43" fillId="4" borderId="3" xfId="1" applyNumberFormat="1" applyFont="1" applyFill="1" applyBorder="1" applyAlignment="1" applyProtection="1">
      <alignment horizontal="center" vertical="center" wrapText="1"/>
      <protection locked="0"/>
    </xf>
    <xf numFmtId="3" fontId="41" fillId="0" borderId="3" xfId="0" applyNumberFormat="1" applyFont="1" applyFill="1" applyBorder="1" applyAlignment="1">
      <alignment horizontal="center" vertical="top"/>
    </xf>
    <xf numFmtId="0" fontId="41" fillId="0" borderId="3" xfId="0" applyFont="1" applyFill="1" applyBorder="1" applyAlignment="1">
      <alignment horizontal="left" vertical="top"/>
    </xf>
    <xf numFmtId="0" fontId="41" fillId="0" borderId="8" xfId="0" applyFont="1" applyFill="1" applyBorder="1" applyAlignment="1">
      <alignment horizontal="left" vertical="top"/>
    </xf>
    <xf numFmtId="0" fontId="31" fillId="22" borderId="3" xfId="0" applyFont="1" applyFill="1" applyBorder="1" applyAlignment="1">
      <alignment horizontal="left" vertical="top"/>
    </xf>
    <xf numFmtId="3" fontId="31" fillId="22" borderId="3" xfId="0" applyNumberFormat="1" applyFont="1" applyFill="1" applyBorder="1" applyAlignment="1">
      <alignment horizontal="center" vertical="top"/>
    </xf>
    <xf numFmtId="3" fontId="41" fillId="22" borderId="3" xfId="0" applyNumberFormat="1" applyFont="1" applyFill="1" applyBorder="1" applyAlignment="1">
      <alignment horizontal="center" vertical="top"/>
    </xf>
    <xf numFmtId="3" fontId="0" fillId="14" borderId="3" xfId="0" applyNumberFormat="1" applyFill="1" applyBorder="1"/>
    <xf numFmtId="0" fontId="0" fillId="14" borderId="0" xfId="0" applyFill="1"/>
    <xf numFmtId="3" fontId="0" fillId="14" borderId="0" xfId="0" applyNumberFormat="1" applyFill="1" applyBorder="1"/>
    <xf numFmtId="0" fontId="0" fillId="0" borderId="0" xfId="0" applyAlignment="1">
      <alignment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10" fontId="0" fillId="0" borderId="3" xfId="3" applyNumberFormat="1" applyFont="1" applyBorder="1"/>
    <xf numFmtId="10" fontId="44" fillId="0" borderId="3" xfId="3" applyNumberFormat="1" applyFont="1" applyBorder="1"/>
    <xf numFmtId="10" fontId="0" fillId="0" borderId="0" xfId="3" applyNumberFormat="1" applyFont="1"/>
    <xf numFmtId="9" fontId="6" fillId="0" borderId="3" xfId="0" applyNumberFormat="1" applyFont="1" applyBorder="1" applyAlignment="1">
      <alignment wrapText="1"/>
    </xf>
    <xf numFmtId="0" fontId="6" fillId="0" borderId="3" xfId="0" applyFont="1" applyBorder="1" applyAlignment="1">
      <alignment wrapText="1"/>
    </xf>
    <xf numFmtId="0" fontId="6" fillId="2" borderId="3" xfId="0" applyFont="1" applyFill="1" applyBorder="1" applyAlignment="1">
      <alignment horizontal="center"/>
    </xf>
    <xf numFmtId="0" fontId="0" fillId="2" borderId="3" xfId="0" applyFill="1" applyBorder="1"/>
    <xf numFmtId="10" fontId="0" fillId="0" borderId="0" xfId="0" applyNumberFormat="1"/>
    <xf numFmtId="0" fontId="47" fillId="0" borderId="0" xfId="0" applyFont="1" applyAlignment="1">
      <alignment horizontal="left" vertical="top"/>
    </xf>
    <xf numFmtId="0" fontId="47" fillId="0" borderId="0" xfId="0" applyFont="1" applyAlignment="1">
      <alignment horizontal="left" wrapText="1"/>
    </xf>
    <xf numFmtId="0" fontId="47" fillId="0" borderId="0" xfId="0" applyFont="1" applyAlignment="1">
      <alignment horizontal="left" vertical="top" wrapText="1"/>
    </xf>
    <xf numFmtId="0" fontId="47" fillId="0" borderId="0" xfId="0" applyFont="1" applyAlignment="1">
      <alignment horizontal="right" vertical="top"/>
    </xf>
    <xf numFmtId="0" fontId="47" fillId="0" borderId="0" xfId="0" applyFont="1"/>
    <xf numFmtId="3" fontId="47" fillId="0" borderId="0" xfId="0" applyNumberFormat="1" applyFont="1" applyAlignment="1">
      <alignment horizontal="right" vertical="top"/>
    </xf>
    <xf numFmtId="3" fontId="47" fillId="0" borderId="0" xfId="0" applyNumberFormat="1" applyFont="1"/>
    <xf numFmtId="0" fontId="47" fillId="15" borderId="1" xfId="0" applyFont="1" applyFill="1" applyBorder="1" applyAlignment="1">
      <alignment vertical="top"/>
    </xf>
    <xf numFmtId="0" fontId="47" fillId="15" borderId="29" xfId="0" applyFont="1" applyFill="1" applyBorder="1" applyAlignment="1">
      <alignment vertical="top"/>
    </xf>
    <xf numFmtId="3" fontId="47" fillId="15" borderId="29" xfId="0" applyNumberFormat="1" applyFont="1" applyFill="1" applyBorder="1" applyAlignment="1">
      <alignment vertical="top"/>
    </xf>
    <xf numFmtId="0" fontId="47" fillId="15" borderId="2" xfId="0" applyFont="1" applyFill="1" applyBorder="1" applyAlignment="1">
      <alignment vertical="top"/>
    </xf>
    <xf numFmtId="0" fontId="47" fillId="6" borderId="0" xfId="0" applyFont="1" applyFill="1" applyBorder="1" applyAlignment="1">
      <alignment horizontal="center" vertical="center" wrapText="1"/>
    </xf>
    <xf numFmtId="49" fontId="49" fillId="15" borderId="9" xfId="1" applyNumberFormat="1" applyFont="1" applyFill="1" applyBorder="1" applyAlignment="1">
      <alignment horizontal="center" vertical="center" wrapText="1"/>
    </xf>
    <xf numFmtId="0" fontId="49" fillId="16" borderId="9" xfId="0" applyFont="1" applyFill="1" applyBorder="1" applyAlignment="1">
      <alignment horizontal="center" vertical="center" wrapText="1"/>
    </xf>
    <xf numFmtId="0" fontId="49" fillId="16" borderId="4" xfId="0" applyFont="1" applyFill="1" applyBorder="1" applyAlignment="1">
      <alignment horizontal="center" vertical="center" wrapText="1"/>
    </xf>
    <xf numFmtId="3" fontId="49" fillId="15" borderId="9" xfId="1" applyNumberFormat="1" applyFont="1" applyFill="1" applyBorder="1" applyAlignment="1" applyProtection="1">
      <alignment horizontal="center" vertical="center" wrapText="1"/>
      <protection locked="0"/>
    </xf>
    <xf numFmtId="3" fontId="49" fillId="15" borderId="25" xfId="1" applyNumberFormat="1" applyFont="1" applyFill="1" applyBorder="1" applyAlignment="1" applyProtection="1">
      <alignment horizontal="center" vertical="center" wrapText="1"/>
      <protection locked="0"/>
    </xf>
    <xf numFmtId="0" fontId="50" fillId="16" borderId="0" xfId="0" applyFont="1" applyFill="1" applyBorder="1" applyAlignment="1">
      <alignment horizontal="center" vertical="center" wrapText="1"/>
    </xf>
    <xf numFmtId="0" fontId="50" fillId="16" borderId="9" xfId="0" applyFont="1" applyFill="1" applyBorder="1" applyAlignment="1">
      <alignment horizontal="center" vertical="center" wrapText="1"/>
    </xf>
    <xf numFmtId="3" fontId="49" fillId="15" borderId="5" xfId="1" applyNumberFormat="1" applyFont="1" applyFill="1" applyBorder="1" applyAlignment="1" applyProtection="1">
      <alignment horizontal="center" vertical="center" wrapText="1"/>
      <protection locked="0"/>
    </xf>
    <xf numFmtId="3" fontId="55" fillId="4" borderId="50" xfId="1" applyNumberFormat="1" applyFont="1" applyFill="1" applyBorder="1" applyAlignment="1" applyProtection="1">
      <alignment horizontal="center" vertical="center" wrapText="1"/>
      <protection locked="0"/>
    </xf>
    <xf numFmtId="3" fontId="55" fillId="4" borderId="3" xfId="1" applyNumberFormat="1" applyFont="1" applyFill="1" applyBorder="1" applyAlignment="1" applyProtection="1">
      <alignment horizontal="center" vertical="center" wrapText="1"/>
      <protection locked="0"/>
    </xf>
    <xf numFmtId="3" fontId="55" fillId="4" borderId="15" xfId="1" applyNumberFormat="1" applyFont="1" applyFill="1" applyBorder="1" applyAlignment="1" applyProtection="1">
      <alignment horizontal="center" vertical="center" wrapText="1"/>
      <protection locked="0"/>
    </xf>
    <xf numFmtId="3" fontId="55" fillId="4" borderId="0" xfId="1" applyNumberFormat="1" applyFont="1" applyFill="1" applyBorder="1" applyAlignment="1" applyProtection="1">
      <alignment horizontal="center" vertical="center" wrapText="1"/>
      <protection locked="0"/>
    </xf>
    <xf numFmtId="0" fontId="47" fillId="0" borderId="0" xfId="0" applyFont="1" applyAlignment="1">
      <alignment wrapText="1"/>
    </xf>
    <xf numFmtId="49" fontId="56" fillId="15" borderId="6" xfId="1" applyNumberFormat="1" applyFont="1" applyFill="1" applyBorder="1" applyAlignment="1">
      <alignment horizontal="center" vertical="center" wrapText="1"/>
    </xf>
    <xf numFmtId="0" fontId="56" fillId="16" borderId="6" xfId="0" applyFont="1" applyFill="1" applyBorder="1" applyAlignment="1">
      <alignment horizontal="center" vertical="center" wrapText="1"/>
    </xf>
    <xf numFmtId="0" fontId="56" fillId="16" borderId="26" xfId="0" applyFont="1" applyFill="1" applyBorder="1" applyAlignment="1">
      <alignment horizontal="center" vertical="center" wrapText="1"/>
    </xf>
    <xf numFmtId="3" fontId="50" fillId="15" borderId="6" xfId="1" applyNumberFormat="1" applyFont="1" applyFill="1" applyBorder="1" applyAlignment="1" applyProtection="1">
      <alignment horizontal="center" vertical="center" wrapText="1"/>
      <protection locked="0"/>
    </xf>
    <xf numFmtId="3" fontId="50" fillId="15" borderId="27" xfId="1" applyNumberFormat="1" applyFont="1" applyFill="1" applyBorder="1" applyAlignment="1" applyProtection="1">
      <alignment horizontal="center" vertical="center" wrapText="1"/>
      <protection locked="0"/>
    </xf>
    <xf numFmtId="0" fontId="50" fillId="16" borderId="33" xfId="0" applyFont="1" applyFill="1" applyBorder="1" applyAlignment="1">
      <alignment horizontal="center" vertical="center" wrapText="1"/>
    </xf>
    <xf numFmtId="0" fontId="50" fillId="16" borderId="6" xfId="0" applyFont="1" applyFill="1" applyBorder="1" applyAlignment="1">
      <alignment horizontal="center" vertical="center" wrapText="1"/>
    </xf>
    <xf numFmtId="3" fontId="50" fillId="15" borderId="3" xfId="1" applyNumberFormat="1" applyFont="1" applyFill="1" applyBorder="1" applyAlignment="1" applyProtection="1">
      <alignment horizontal="center" vertical="center" wrapText="1"/>
      <protection locked="0"/>
    </xf>
    <xf numFmtId="3" fontId="50" fillId="15" borderId="1" xfId="1" applyNumberFormat="1" applyFont="1" applyFill="1" applyBorder="1" applyAlignment="1" applyProtection="1">
      <alignment horizontal="center" vertical="center" wrapText="1"/>
      <protection locked="0"/>
    </xf>
    <xf numFmtId="0" fontId="50" fillId="16" borderId="1" xfId="0" applyFont="1" applyFill="1" applyBorder="1" applyAlignment="1">
      <alignment horizontal="center" vertical="center" wrapText="1"/>
    </xf>
    <xf numFmtId="0" fontId="50" fillId="16" borderId="8" xfId="0" applyFont="1" applyFill="1" applyBorder="1" applyAlignment="1">
      <alignment horizontal="center" vertical="center" wrapText="1"/>
    </xf>
    <xf numFmtId="3" fontId="50" fillId="15" borderId="52" xfId="1" applyNumberFormat="1" applyFont="1" applyFill="1" applyBorder="1" applyAlignment="1" applyProtection="1">
      <alignment horizontal="center" vertical="center" wrapText="1"/>
      <protection locked="0"/>
    </xf>
    <xf numFmtId="3" fontId="50" fillId="15" borderId="25" xfId="1" applyNumberFormat="1" applyFont="1" applyFill="1" applyBorder="1" applyAlignment="1" applyProtection="1">
      <alignment horizontal="center" vertical="center" wrapText="1"/>
      <protection locked="0"/>
    </xf>
    <xf numFmtId="3" fontId="50" fillId="15" borderId="36" xfId="1" applyNumberFormat="1" applyFont="1" applyFill="1" applyBorder="1" applyAlignment="1" applyProtection="1">
      <alignment horizontal="center" vertical="center" wrapText="1"/>
      <protection locked="0"/>
    </xf>
    <xf numFmtId="3" fontId="50" fillId="15" borderId="0" xfId="1" applyNumberFormat="1" applyFont="1" applyFill="1" applyBorder="1" applyAlignment="1" applyProtection="1">
      <alignment horizontal="center" vertical="center" wrapText="1"/>
      <protection locked="0"/>
    </xf>
    <xf numFmtId="0" fontId="47" fillId="0" borderId="0" xfId="0" applyFont="1" applyFill="1" applyBorder="1"/>
    <xf numFmtId="49" fontId="55" fillId="15" borderId="22" xfId="1" applyNumberFormat="1" applyFont="1" applyFill="1" applyBorder="1" applyAlignment="1">
      <alignment horizontal="center" vertical="center" wrapText="1"/>
    </xf>
    <xf numFmtId="0" fontId="55" fillId="16" borderId="19" xfId="0" applyFont="1" applyFill="1" applyBorder="1" applyAlignment="1">
      <alignment horizontal="center" vertical="center" wrapText="1"/>
    </xf>
    <xf numFmtId="0" fontId="55" fillId="16" borderId="30" xfId="0" applyFont="1" applyFill="1" applyBorder="1" applyAlignment="1">
      <alignment horizontal="center" vertical="center" wrapText="1"/>
    </xf>
    <xf numFmtId="3" fontId="55" fillId="15" borderId="19" xfId="1" applyNumberFormat="1" applyFont="1" applyFill="1" applyBorder="1" applyAlignment="1" applyProtection="1">
      <alignment horizontal="center" vertical="center" wrapText="1"/>
      <protection locked="0"/>
    </xf>
    <xf numFmtId="3" fontId="55" fillId="15" borderId="31" xfId="1" applyNumberFormat="1" applyFont="1" applyFill="1" applyBorder="1" applyAlignment="1" applyProtection="1">
      <alignment horizontal="center" vertical="center" wrapText="1"/>
      <protection locked="0"/>
    </xf>
    <xf numFmtId="3" fontId="55" fillId="15" borderId="24" xfId="1" applyNumberFormat="1" applyFont="1" applyFill="1" applyBorder="1" applyAlignment="1" applyProtection="1">
      <alignment horizontal="center" vertical="center" wrapText="1"/>
      <protection locked="0"/>
    </xf>
    <xf numFmtId="3" fontId="55" fillId="15" borderId="30" xfId="1" applyNumberFormat="1" applyFont="1" applyFill="1" applyBorder="1" applyAlignment="1" applyProtection="1">
      <alignment horizontal="center" vertical="center" wrapText="1"/>
      <protection locked="0"/>
    </xf>
    <xf numFmtId="3" fontId="55" fillId="15" borderId="34" xfId="1" applyNumberFormat="1" applyFont="1" applyFill="1" applyBorder="1" applyAlignment="1" applyProtection="1">
      <alignment horizontal="center" vertical="center" wrapText="1"/>
      <protection locked="0"/>
    </xf>
    <xf numFmtId="3" fontId="55" fillId="15" borderId="22" xfId="1" applyNumberFormat="1" applyFont="1" applyFill="1" applyBorder="1" applyAlignment="1" applyProtection="1">
      <alignment horizontal="center" vertical="center" wrapText="1"/>
      <protection locked="0"/>
    </xf>
    <xf numFmtId="3" fontId="55" fillId="15" borderId="0" xfId="1" applyNumberFormat="1" applyFont="1" applyFill="1" applyBorder="1" applyAlignment="1" applyProtection="1">
      <alignment horizontal="center" vertical="center" wrapText="1"/>
      <protection locked="0"/>
    </xf>
    <xf numFmtId="0" fontId="48" fillId="0" borderId="0" xfId="0" applyFont="1" applyFill="1" applyBorder="1" applyAlignment="1">
      <alignment horizontal="center" vertical="center"/>
    </xf>
    <xf numFmtId="0" fontId="56" fillId="14" borderId="7" xfId="1" applyNumberFormat="1" applyFont="1" applyFill="1" applyBorder="1" applyAlignment="1">
      <alignment horizontal="left" vertical="top"/>
    </xf>
    <xf numFmtId="0" fontId="56" fillId="14" borderId="7" xfId="1" applyNumberFormat="1" applyFont="1" applyFill="1" applyBorder="1" applyAlignment="1">
      <alignment horizontal="left" vertical="top" wrapText="1"/>
    </xf>
    <xf numFmtId="0" fontId="56" fillId="14" borderId="5" xfId="1" applyNumberFormat="1" applyFont="1" applyFill="1" applyBorder="1" applyAlignment="1">
      <alignment horizontal="left" vertical="top"/>
    </xf>
    <xf numFmtId="3" fontId="56" fillId="14" borderId="7" xfId="0" applyNumberFormat="1" applyFont="1" applyFill="1" applyBorder="1" applyAlignment="1">
      <alignment horizontal="right" vertical="top"/>
    </xf>
    <xf numFmtId="3" fontId="56" fillId="14" borderId="12" xfId="0" applyNumberFormat="1" applyFont="1" applyFill="1" applyBorder="1" applyAlignment="1">
      <alignment horizontal="right" vertical="top"/>
    </xf>
    <xf numFmtId="3" fontId="56" fillId="14" borderId="12" xfId="0" applyNumberFormat="1" applyFont="1" applyFill="1" applyBorder="1" applyAlignment="1">
      <alignment horizontal="right" vertical="top" wrapText="1"/>
    </xf>
    <xf numFmtId="0" fontId="56" fillId="14" borderId="13" xfId="0" applyFont="1" applyFill="1" applyBorder="1" applyAlignment="1">
      <alignment horizontal="right" vertical="top"/>
    </xf>
    <xf numFmtId="3" fontId="55" fillId="15" borderId="7" xfId="1" applyNumberFormat="1" applyFont="1" applyFill="1" applyBorder="1" applyAlignment="1" applyProtection="1">
      <alignment horizontal="right" vertical="top" wrapText="1"/>
      <protection locked="0"/>
    </xf>
    <xf numFmtId="3" fontId="56" fillId="14" borderId="3" xfId="1" applyNumberFormat="1" applyFont="1" applyFill="1" applyBorder="1" applyAlignment="1" applyProtection="1">
      <alignment horizontal="right" vertical="top" wrapText="1"/>
      <protection locked="0"/>
    </xf>
    <xf numFmtId="3" fontId="56" fillId="14" borderId="1" xfId="1" applyNumberFormat="1" applyFont="1" applyFill="1" applyBorder="1" applyAlignment="1" applyProtection="1">
      <alignment horizontal="right" vertical="top" wrapText="1"/>
      <protection locked="0"/>
    </xf>
    <xf numFmtId="3" fontId="56" fillId="14" borderId="1" xfId="0" applyNumberFormat="1" applyFont="1" applyFill="1" applyBorder="1" applyAlignment="1">
      <alignment horizontal="right" vertical="top" wrapText="1"/>
    </xf>
    <xf numFmtId="3" fontId="56" fillId="14" borderId="7" xfId="0" applyNumberFormat="1" applyFont="1" applyFill="1" applyBorder="1" applyAlignment="1">
      <alignment horizontal="right" vertical="top" wrapText="1"/>
    </xf>
    <xf numFmtId="3" fontId="56" fillId="0" borderId="45" xfId="1" applyNumberFormat="1" applyFont="1" applyFill="1" applyBorder="1" applyAlignment="1" applyProtection="1">
      <alignment horizontal="right" vertical="top" wrapText="1"/>
      <protection locked="0"/>
    </xf>
    <xf numFmtId="3" fontId="56" fillId="0" borderId="7" xfId="1" applyNumberFormat="1" applyFont="1" applyFill="1" applyBorder="1" applyAlignment="1" applyProtection="1">
      <alignment horizontal="right" vertical="top" wrapText="1"/>
      <protection locked="0"/>
    </xf>
    <xf numFmtId="3" fontId="56" fillId="0" borderId="14" xfId="1" applyNumberFormat="1" applyFont="1" applyFill="1" applyBorder="1" applyAlignment="1" applyProtection="1">
      <alignment horizontal="justify" vertical="top" wrapText="1"/>
      <protection locked="0"/>
    </xf>
    <xf numFmtId="3" fontId="56" fillId="0" borderId="0" xfId="1" applyNumberFormat="1" applyFont="1" applyFill="1" applyBorder="1" applyAlignment="1" applyProtection="1">
      <alignment horizontal="left" vertical="top" wrapText="1"/>
      <protection locked="0"/>
    </xf>
    <xf numFmtId="0" fontId="47" fillId="0" borderId="0" xfId="0" applyFont="1" applyFill="1"/>
    <xf numFmtId="0" fontId="56" fillId="14" borderId="3" xfId="1" applyNumberFormat="1" applyFont="1" applyFill="1" applyBorder="1" applyAlignment="1">
      <alignment horizontal="left" vertical="top"/>
    </xf>
    <xf numFmtId="0" fontId="56" fillId="14" borderId="1" xfId="1" applyNumberFormat="1" applyFont="1" applyFill="1" applyBorder="1" applyAlignment="1">
      <alignment horizontal="left" vertical="top"/>
    </xf>
    <xf numFmtId="3" fontId="56" fillId="14" borderId="3" xfId="0" applyNumberFormat="1" applyFont="1" applyFill="1" applyBorder="1" applyAlignment="1">
      <alignment horizontal="right" vertical="top"/>
    </xf>
    <xf numFmtId="3" fontId="56" fillId="14" borderId="2" xfId="0" applyNumberFormat="1" applyFont="1" applyFill="1" applyBorder="1" applyAlignment="1">
      <alignment horizontal="right" vertical="top"/>
    </xf>
    <xf numFmtId="3" fontId="56" fillId="14" borderId="2" xfId="0" applyNumberFormat="1" applyFont="1" applyFill="1" applyBorder="1" applyAlignment="1">
      <alignment horizontal="right" vertical="top" wrapText="1"/>
    </xf>
    <xf numFmtId="0" fontId="56" fillId="14" borderId="29" xfId="0" applyFont="1" applyFill="1" applyBorder="1" applyAlignment="1">
      <alignment horizontal="right" vertical="top"/>
    </xf>
    <xf numFmtId="3" fontId="55" fillId="15" borderId="3" xfId="1" applyNumberFormat="1" applyFont="1" applyFill="1" applyBorder="1" applyAlignment="1" applyProtection="1">
      <alignment horizontal="right" vertical="top" wrapText="1"/>
      <protection locked="0"/>
    </xf>
    <xf numFmtId="3" fontId="56" fillId="14" borderId="3" xfId="0" applyNumberFormat="1" applyFont="1" applyFill="1" applyBorder="1" applyAlignment="1">
      <alignment horizontal="right" vertical="top" wrapText="1"/>
    </xf>
    <xf numFmtId="3" fontId="56" fillId="0" borderId="3" xfId="1" applyNumberFormat="1" applyFont="1" applyFill="1" applyBorder="1" applyAlignment="1" applyProtection="1">
      <alignment horizontal="right" vertical="top" wrapText="1"/>
      <protection locked="0"/>
    </xf>
    <xf numFmtId="3" fontId="56" fillId="0" borderId="15" xfId="1" applyNumberFormat="1" applyFont="1" applyFill="1" applyBorder="1" applyAlignment="1" applyProtection="1">
      <alignment horizontal="justify" vertical="top" wrapText="1"/>
      <protection locked="0"/>
    </xf>
    <xf numFmtId="0" fontId="52" fillId="14" borderId="3" xfId="1" applyNumberFormat="1" applyFont="1" applyFill="1" applyBorder="1" applyAlignment="1">
      <alignment horizontal="left" vertical="top"/>
    </xf>
    <xf numFmtId="0" fontId="52" fillId="14" borderId="7" xfId="1" applyNumberFormat="1" applyFont="1" applyFill="1" applyBorder="1" applyAlignment="1">
      <alignment horizontal="left" vertical="top" wrapText="1"/>
    </xf>
    <xf numFmtId="0" fontId="52" fillId="14" borderId="3" xfId="1" applyNumberFormat="1" applyFont="1" applyFill="1" applyBorder="1" applyAlignment="1">
      <alignment horizontal="left" vertical="top" wrapText="1"/>
    </xf>
    <xf numFmtId="0" fontId="52" fillId="14" borderId="1" xfId="1" applyNumberFormat="1" applyFont="1" applyFill="1" applyBorder="1" applyAlignment="1">
      <alignment horizontal="left" vertical="top"/>
    </xf>
    <xf numFmtId="3" fontId="52" fillId="14" borderId="3" xfId="0" applyNumberFormat="1" applyFont="1" applyFill="1" applyBorder="1" applyAlignment="1">
      <alignment horizontal="right" vertical="top"/>
    </xf>
    <xf numFmtId="3" fontId="52" fillId="14" borderId="2" xfId="0" applyNumberFormat="1" applyFont="1" applyFill="1" applyBorder="1" applyAlignment="1">
      <alignment horizontal="right" vertical="top"/>
    </xf>
    <xf numFmtId="3" fontId="52" fillId="14" borderId="2" xfId="0" applyNumberFormat="1" applyFont="1" applyFill="1" applyBorder="1" applyAlignment="1">
      <alignment horizontal="right" vertical="top" wrapText="1"/>
    </xf>
    <xf numFmtId="0" fontId="52" fillId="14" borderId="1" xfId="0" applyFont="1" applyFill="1" applyBorder="1" applyAlignment="1">
      <alignment horizontal="right" vertical="top"/>
    </xf>
    <xf numFmtId="3" fontId="51" fillId="15" borderId="3" xfId="1" applyNumberFormat="1" applyFont="1" applyFill="1" applyBorder="1" applyAlignment="1" applyProtection="1">
      <alignment horizontal="right" vertical="top" wrapText="1"/>
      <protection locked="0"/>
    </xf>
    <xf numFmtId="0" fontId="52" fillId="14" borderId="3" xfId="0" applyFont="1" applyFill="1" applyBorder="1" applyAlignment="1">
      <alignment horizontal="right" vertical="top"/>
    </xf>
    <xf numFmtId="3" fontId="52" fillId="14" borderId="1" xfId="0" applyNumberFormat="1" applyFont="1" applyFill="1" applyBorder="1" applyAlignment="1">
      <alignment horizontal="right" vertical="top" wrapText="1"/>
    </xf>
    <xf numFmtId="3" fontId="52" fillId="14" borderId="3" xfId="0" applyNumberFormat="1" applyFont="1" applyFill="1" applyBorder="1" applyAlignment="1">
      <alignment horizontal="right" vertical="top" wrapText="1"/>
    </xf>
    <xf numFmtId="3" fontId="52" fillId="0" borderId="45" xfId="1" applyNumberFormat="1" applyFont="1" applyFill="1" applyBorder="1" applyAlignment="1" applyProtection="1">
      <alignment horizontal="right" vertical="top" wrapText="1"/>
      <protection locked="0"/>
    </xf>
    <xf numFmtId="3" fontId="52" fillId="0" borderId="3" xfId="1" applyNumberFormat="1" applyFont="1" applyFill="1" applyBorder="1" applyAlignment="1" applyProtection="1">
      <alignment horizontal="right" vertical="top" wrapText="1"/>
      <protection locked="0"/>
    </xf>
    <xf numFmtId="3" fontId="52" fillId="0" borderId="7" xfId="1" applyNumberFormat="1" applyFont="1" applyFill="1" applyBorder="1" applyAlignment="1" applyProtection="1">
      <alignment horizontal="right" vertical="top" wrapText="1"/>
      <protection locked="0"/>
    </xf>
    <xf numFmtId="3" fontId="52" fillId="0" borderId="15" xfId="1" applyNumberFormat="1" applyFont="1" applyFill="1" applyBorder="1" applyAlignment="1" applyProtection="1">
      <alignment horizontal="justify" vertical="top" wrapText="1"/>
      <protection locked="0"/>
    </xf>
    <xf numFmtId="3" fontId="57" fillId="0" borderId="0" xfId="1" applyNumberFormat="1" applyFont="1" applyFill="1" applyBorder="1" applyAlignment="1" applyProtection="1">
      <alignment vertical="top" wrapText="1"/>
      <protection locked="0"/>
    </xf>
    <xf numFmtId="0" fontId="52" fillId="0" borderId="0" xfId="0" applyFont="1" applyFill="1"/>
    <xf numFmtId="0" fontId="56" fillId="14" borderId="3" xfId="1" applyNumberFormat="1" applyFont="1" applyFill="1" applyBorder="1" applyAlignment="1">
      <alignment horizontal="left" vertical="top" wrapText="1"/>
    </xf>
    <xf numFmtId="3" fontId="56" fillId="14" borderId="3" xfId="0" applyNumberFormat="1" applyFont="1" applyFill="1" applyBorder="1" applyAlignment="1">
      <alignment horizontal="left" vertical="top"/>
    </xf>
    <xf numFmtId="3" fontId="56" fillId="14" borderId="1" xfId="0" applyNumberFormat="1" applyFont="1" applyFill="1" applyBorder="1" applyAlignment="1">
      <alignment horizontal="left" vertical="top"/>
    </xf>
    <xf numFmtId="0" fontId="47" fillId="14" borderId="29" xfId="0" applyFont="1" applyFill="1" applyBorder="1" applyAlignment="1">
      <alignment horizontal="right" vertical="top"/>
    </xf>
    <xf numFmtId="3" fontId="47" fillId="14" borderId="3" xfId="0" applyNumberFormat="1" applyFont="1" applyFill="1" applyBorder="1" applyAlignment="1">
      <alignment horizontal="right" vertical="top"/>
    </xf>
    <xf numFmtId="3" fontId="56" fillId="14" borderId="29" xfId="0" applyNumberFormat="1" applyFont="1" applyFill="1" applyBorder="1" applyAlignment="1">
      <alignment horizontal="right" vertical="top"/>
    </xf>
    <xf numFmtId="49" fontId="56" fillId="14" borderId="3" xfId="1" applyNumberFormat="1" applyFont="1" applyFill="1" applyBorder="1" applyAlignment="1">
      <alignment horizontal="left" vertical="top"/>
    </xf>
    <xf numFmtId="49" fontId="56" fillId="14" borderId="3" xfId="1" applyNumberFormat="1" applyFont="1" applyFill="1" applyBorder="1" applyAlignment="1">
      <alignment horizontal="left" vertical="top" wrapText="1"/>
    </xf>
    <xf numFmtId="0" fontId="56" fillId="14" borderId="3" xfId="0" applyFont="1" applyFill="1" applyBorder="1" applyAlignment="1">
      <alignment horizontal="left" vertical="top" wrapText="1"/>
    </xf>
    <xf numFmtId="0" fontId="56" fillId="14" borderId="1" xfId="0" applyFont="1" applyFill="1" applyBorder="1" applyAlignment="1">
      <alignment horizontal="left" vertical="top" wrapText="1"/>
    </xf>
    <xf numFmtId="49" fontId="52" fillId="14" borderId="3" xfId="1" applyNumberFormat="1" applyFont="1" applyFill="1" applyBorder="1" applyAlignment="1">
      <alignment horizontal="left" vertical="top"/>
    </xf>
    <xf numFmtId="49" fontId="52" fillId="14" borderId="3" xfId="1" applyNumberFormat="1" applyFont="1" applyFill="1" applyBorder="1" applyAlignment="1">
      <alignment horizontal="left" vertical="top" wrapText="1"/>
    </xf>
    <xf numFmtId="0" fontId="52" fillId="14" borderId="3" xfId="0" applyFont="1" applyFill="1" applyBorder="1" applyAlignment="1">
      <alignment horizontal="left" vertical="top" wrapText="1"/>
    </xf>
    <xf numFmtId="0" fontId="52" fillId="14" borderId="1" xfId="0" applyFont="1" applyFill="1" applyBorder="1" applyAlignment="1">
      <alignment horizontal="left" vertical="top" wrapText="1"/>
    </xf>
    <xf numFmtId="0" fontId="52" fillId="14" borderId="29" xfId="0" applyFont="1" applyFill="1" applyBorder="1" applyAlignment="1">
      <alignment horizontal="right" vertical="top"/>
    </xf>
    <xf numFmtId="3" fontId="52" fillId="14" borderId="3" xfId="1" applyNumberFormat="1" applyFont="1" applyFill="1" applyBorder="1" applyAlignment="1" applyProtection="1">
      <alignment horizontal="right" vertical="top" wrapText="1"/>
      <protection locked="0"/>
    </xf>
    <xf numFmtId="3" fontId="57" fillId="0" borderId="0" xfId="1" applyNumberFormat="1" applyFont="1" applyFill="1" applyBorder="1" applyAlignment="1" applyProtection="1">
      <alignment horizontal="left" vertical="top" wrapText="1"/>
      <protection locked="0"/>
    </xf>
    <xf numFmtId="0" fontId="56" fillId="14" borderId="6" xfId="0" applyFont="1" applyFill="1" applyBorder="1" applyAlignment="1">
      <alignment horizontal="left" vertical="top" wrapText="1"/>
    </xf>
    <xf numFmtId="0" fontId="56" fillId="14" borderId="26" xfId="0" applyFont="1" applyFill="1" applyBorder="1" applyAlignment="1">
      <alignment horizontal="left" vertical="top" wrapText="1"/>
    </xf>
    <xf numFmtId="3" fontId="56" fillId="14" borderId="6" xfId="0" applyNumberFormat="1" applyFont="1" applyFill="1" applyBorder="1" applyAlignment="1">
      <alignment horizontal="right" vertical="top" wrapText="1"/>
    </xf>
    <xf numFmtId="3" fontId="56" fillId="14" borderId="27" xfId="0" applyNumberFormat="1" applyFont="1" applyFill="1" applyBorder="1" applyAlignment="1">
      <alignment horizontal="right" vertical="top" wrapText="1"/>
    </xf>
    <xf numFmtId="0" fontId="56" fillId="14" borderId="33" xfId="0" applyFont="1" applyFill="1" applyBorder="1" applyAlignment="1">
      <alignment horizontal="right" vertical="top"/>
    </xf>
    <xf numFmtId="3" fontId="56" fillId="0" borderId="6" xfId="1" applyNumberFormat="1" applyFont="1" applyFill="1" applyBorder="1" applyAlignment="1" applyProtection="1">
      <alignment horizontal="right" vertical="top" wrapText="1"/>
      <protection locked="0"/>
    </xf>
    <xf numFmtId="3" fontId="56" fillId="0" borderId="28" xfId="1" applyNumberFormat="1" applyFont="1" applyFill="1" applyBorder="1" applyAlignment="1" applyProtection="1">
      <alignment horizontal="justify" vertical="top" wrapText="1"/>
      <protection locked="0"/>
    </xf>
    <xf numFmtId="0" fontId="55" fillId="2" borderId="19" xfId="0" applyFont="1" applyFill="1" applyBorder="1" applyAlignment="1">
      <alignment horizontal="left" vertical="top" wrapText="1"/>
    </xf>
    <xf numFmtId="0" fontId="55" fillId="2" borderId="30" xfId="0" applyFont="1" applyFill="1" applyBorder="1" applyAlignment="1">
      <alignment horizontal="left" vertical="top" wrapText="1"/>
    </xf>
    <xf numFmtId="3" fontId="55" fillId="2" borderId="19" xfId="0" applyNumberFormat="1" applyFont="1" applyFill="1" applyBorder="1" applyAlignment="1">
      <alignment horizontal="right" vertical="top"/>
    </xf>
    <xf numFmtId="3" fontId="55" fillId="2" borderId="31" xfId="0" applyNumberFormat="1" applyFont="1" applyFill="1" applyBorder="1" applyAlignment="1">
      <alignment horizontal="right" vertical="top"/>
    </xf>
    <xf numFmtId="3" fontId="55" fillId="2" borderId="24" xfId="0" applyNumberFormat="1" applyFont="1" applyFill="1" applyBorder="1" applyAlignment="1">
      <alignment horizontal="right" vertical="top"/>
    </xf>
    <xf numFmtId="3" fontId="55" fillId="2" borderId="30" xfId="0" applyNumberFormat="1" applyFont="1" applyFill="1" applyBorder="1" applyAlignment="1">
      <alignment horizontal="right" vertical="top"/>
    </xf>
    <xf numFmtId="3" fontId="55" fillId="2" borderId="22" xfId="0" applyNumberFormat="1" applyFont="1" applyFill="1" applyBorder="1" applyAlignment="1">
      <alignment horizontal="right" vertical="top"/>
    </xf>
    <xf numFmtId="3" fontId="55" fillId="2" borderId="23" xfId="0" applyNumberFormat="1" applyFont="1" applyFill="1" applyBorder="1" applyAlignment="1">
      <alignment horizontal="justify" vertical="top"/>
    </xf>
    <xf numFmtId="3" fontId="55" fillId="2" borderId="0" xfId="0" applyNumberFormat="1" applyFont="1" applyFill="1" applyBorder="1" applyAlignment="1">
      <alignment horizontal="right" vertical="top"/>
    </xf>
    <xf numFmtId="0" fontId="48" fillId="0" borderId="0" xfId="0" applyFont="1" applyFill="1"/>
    <xf numFmtId="0" fontId="56" fillId="14" borderId="20" xfId="1" applyNumberFormat="1" applyFont="1" applyFill="1" applyBorder="1" applyAlignment="1">
      <alignment horizontal="left" vertical="top"/>
    </xf>
    <xf numFmtId="49" fontId="56" fillId="14" borderId="20" xfId="1" applyNumberFormat="1" applyFont="1" applyFill="1" applyBorder="1" applyAlignment="1">
      <alignment horizontal="left" vertical="top"/>
    </xf>
    <xf numFmtId="49" fontId="56" fillId="14" borderId="20" xfId="1" applyNumberFormat="1" applyFont="1" applyFill="1" applyBorder="1" applyAlignment="1">
      <alignment horizontal="left" vertical="top" wrapText="1"/>
    </xf>
    <xf numFmtId="0" fontId="56" fillId="14" borderId="20" xfId="0" applyFont="1" applyFill="1" applyBorder="1" applyAlignment="1">
      <alignment horizontal="left" vertical="top"/>
    </xf>
    <xf numFmtId="0" fontId="56" fillId="14" borderId="21" xfId="0" applyFont="1" applyFill="1" applyBorder="1" applyAlignment="1">
      <alignment horizontal="left" vertical="top"/>
    </xf>
    <xf numFmtId="3" fontId="56" fillId="0" borderId="20" xfId="1" applyNumberFormat="1" applyFont="1" applyFill="1" applyBorder="1" applyAlignment="1" applyProtection="1">
      <alignment horizontal="right" vertical="top" wrapText="1"/>
      <protection locked="0"/>
    </xf>
    <xf numFmtId="3" fontId="47" fillId="0" borderId="3" xfId="0" applyNumberFormat="1" applyFont="1" applyFill="1" applyBorder="1" applyAlignment="1">
      <alignment horizontal="right" vertical="top"/>
    </xf>
    <xf numFmtId="3" fontId="56" fillId="0" borderId="42" xfId="1" applyNumberFormat="1" applyFont="1" applyFill="1" applyBorder="1" applyAlignment="1" applyProtection="1">
      <alignment horizontal="justify" vertical="top" wrapText="1"/>
      <protection locked="0"/>
    </xf>
    <xf numFmtId="0" fontId="56" fillId="14" borderId="3" xfId="0" applyFont="1" applyFill="1" applyBorder="1" applyAlignment="1">
      <alignment horizontal="left" vertical="top"/>
    </xf>
    <xf numFmtId="0" fontId="56" fillId="14" borderId="1" xfId="0" applyFont="1" applyFill="1" applyBorder="1" applyAlignment="1">
      <alignment horizontal="left" vertical="top"/>
    </xf>
    <xf numFmtId="3" fontId="56" fillId="12" borderId="0" xfId="1" applyNumberFormat="1" applyFont="1" applyFill="1" applyBorder="1" applyAlignment="1" applyProtection="1">
      <alignment horizontal="left" vertical="top" wrapText="1"/>
      <protection locked="0"/>
    </xf>
    <xf numFmtId="0" fontId="47" fillId="23" borderId="0" xfId="0" applyFont="1" applyFill="1"/>
    <xf numFmtId="0" fontId="56" fillId="14" borderId="3" xfId="0" applyFont="1" applyFill="1" applyBorder="1" applyAlignment="1" applyProtection="1">
      <alignment horizontal="left" vertical="top" wrapText="1"/>
      <protection locked="0"/>
    </xf>
    <xf numFmtId="0" fontId="56" fillId="14" borderId="6" xfId="1" applyNumberFormat="1" applyFont="1" applyFill="1" applyBorder="1" applyAlignment="1">
      <alignment horizontal="left" vertical="top"/>
    </xf>
    <xf numFmtId="49" fontId="56" fillId="14" borderId="6" xfId="1" applyNumberFormat="1" applyFont="1" applyFill="1" applyBorder="1" applyAlignment="1">
      <alignment horizontal="left" vertical="top"/>
    </xf>
    <xf numFmtId="49" fontId="56" fillId="14" borderId="6" xfId="1" applyNumberFormat="1" applyFont="1" applyFill="1" applyBorder="1" applyAlignment="1">
      <alignment horizontal="left" vertical="top" wrapText="1"/>
    </xf>
    <xf numFmtId="0" fontId="56" fillId="14" borderId="6" xfId="0" applyFont="1" applyFill="1" applyBorder="1" applyAlignment="1" applyProtection="1">
      <alignment horizontal="left" vertical="top" wrapText="1"/>
      <protection locked="0"/>
    </xf>
    <xf numFmtId="3" fontId="56" fillId="14" borderId="17" xfId="0" applyNumberFormat="1" applyFont="1" applyFill="1" applyBorder="1" applyAlignment="1">
      <alignment horizontal="right" vertical="top" wrapText="1"/>
    </xf>
    <xf numFmtId="0" fontId="56" fillId="14" borderId="18" xfId="0" applyFont="1" applyFill="1" applyBorder="1" applyAlignment="1">
      <alignment horizontal="right" vertical="top"/>
    </xf>
    <xf numFmtId="0" fontId="55" fillId="2" borderId="19" xfId="1" applyNumberFormat="1" applyFont="1" applyFill="1" applyBorder="1" applyAlignment="1">
      <alignment horizontal="left" vertical="top"/>
    </xf>
    <xf numFmtId="49" fontId="55" fillId="2" borderId="19" xfId="1" applyNumberFormat="1" applyFont="1" applyFill="1" applyBorder="1" applyAlignment="1">
      <alignment horizontal="left" vertical="top"/>
    </xf>
    <xf numFmtId="49" fontId="55" fillId="2" borderId="19" xfId="1" applyNumberFormat="1" applyFont="1" applyFill="1" applyBorder="1" applyAlignment="1">
      <alignment horizontal="left" vertical="top" wrapText="1"/>
    </xf>
    <xf numFmtId="0" fontId="55" fillId="2" borderId="19" xfId="0" applyFont="1" applyFill="1" applyBorder="1" applyAlignment="1" applyProtection="1">
      <alignment horizontal="left" vertical="top" wrapText="1"/>
      <protection locked="0"/>
    </xf>
    <xf numFmtId="3" fontId="55" fillId="2" borderId="19" xfId="0" applyNumberFormat="1" applyFont="1" applyFill="1" applyBorder="1" applyAlignment="1">
      <alignment horizontal="right" vertical="top" wrapText="1"/>
    </xf>
    <xf numFmtId="3" fontId="55" fillId="2" borderId="31" xfId="0" applyNumberFormat="1" applyFont="1" applyFill="1" applyBorder="1" applyAlignment="1">
      <alignment horizontal="right" vertical="top" wrapText="1"/>
    </xf>
    <xf numFmtId="3" fontId="55" fillId="2" borderId="24" xfId="0" applyNumberFormat="1" applyFont="1" applyFill="1" applyBorder="1" applyAlignment="1">
      <alignment horizontal="right" vertical="top" wrapText="1"/>
    </xf>
    <xf numFmtId="3" fontId="55" fillId="2" borderId="30" xfId="0" applyNumberFormat="1" applyFont="1" applyFill="1" applyBorder="1" applyAlignment="1">
      <alignment horizontal="right" vertical="top" wrapText="1"/>
    </xf>
    <xf numFmtId="3" fontId="55" fillId="2" borderId="46" xfId="0" applyNumberFormat="1" applyFont="1" applyFill="1" applyBorder="1" applyAlignment="1">
      <alignment horizontal="right" vertical="top" wrapText="1"/>
    </xf>
    <xf numFmtId="3" fontId="55" fillId="2" borderId="23" xfId="0" applyNumberFormat="1" applyFont="1" applyFill="1" applyBorder="1" applyAlignment="1">
      <alignment horizontal="justify" vertical="top" wrapText="1"/>
    </xf>
    <xf numFmtId="3" fontId="55" fillId="2" borderId="0" xfId="0" applyNumberFormat="1" applyFont="1" applyFill="1" applyBorder="1" applyAlignment="1">
      <alignment horizontal="right" vertical="top" wrapText="1"/>
    </xf>
    <xf numFmtId="49" fontId="56" fillId="14" borderId="7" xfId="1" applyNumberFormat="1" applyFont="1" applyFill="1" applyBorder="1" applyAlignment="1">
      <alignment horizontal="left" vertical="top"/>
    </xf>
    <xf numFmtId="49" fontId="56" fillId="14" borderId="7" xfId="1" applyNumberFormat="1" applyFont="1" applyFill="1" applyBorder="1" applyAlignment="1">
      <alignment horizontal="left" vertical="top" wrapText="1"/>
    </xf>
    <xf numFmtId="0" fontId="56" fillId="14" borderId="7" xfId="0" applyFont="1" applyFill="1" applyBorder="1" applyAlignment="1">
      <alignment horizontal="left" vertical="top" wrapText="1"/>
    </xf>
    <xf numFmtId="0" fontId="56" fillId="14" borderId="5" xfId="0" applyFont="1" applyFill="1" applyBorder="1" applyAlignment="1">
      <alignment horizontal="left" vertical="top" wrapText="1"/>
    </xf>
    <xf numFmtId="3" fontId="47" fillId="0" borderId="7" xfId="0" applyNumberFormat="1" applyFont="1" applyFill="1" applyBorder="1" applyAlignment="1">
      <alignment horizontal="right" vertical="top"/>
    </xf>
    <xf numFmtId="3" fontId="56" fillId="0" borderId="47" xfId="1" applyNumberFormat="1" applyFont="1" applyFill="1" applyBorder="1" applyAlignment="1" applyProtection="1">
      <alignment horizontal="right" vertical="top" wrapText="1"/>
      <protection locked="0"/>
    </xf>
    <xf numFmtId="0" fontId="56" fillId="14" borderId="6" xfId="0" applyFont="1" applyFill="1" applyBorder="1" applyAlignment="1">
      <alignment horizontal="left" vertical="top"/>
    </xf>
    <xf numFmtId="0" fontId="56" fillId="14" borderId="26" xfId="0" applyFont="1" applyFill="1" applyBorder="1" applyAlignment="1">
      <alignment horizontal="left" vertical="top"/>
    </xf>
    <xf numFmtId="3" fontId="56" fillId="14" borderId="17" xfId="0" applyNumberFormat="1" applyFont="1" applyFill="1" applyBorder="1" applyAlignment="1">
      <alignment horizontal="right" vertical="top"/>
    </xf>
    <xf numFmtId="3" fontId="55" fillId="15" borderId="6" xfId="1" applyNumberFormat="1" applyFont="1" applyFill="1" applyBorder="1" applyAlignment="1" applyProtection="1">
      <alignment horizontal="right" vertical="top" wrapText="1"/>
      <protection locked="0"/>
    </xf>
    <xf numFmtId="3" fontId="56" fillId="14" borderId="6" xfId="1" applyNumberFormat="1" applyFont="1" applyFill="1" applyBorder="1" applyAlignment="1" applyProtection="1">
      <alignment horizontal="right" vertical="top" wrapText="1"/>
      <protection locked="0"/>
    </xf>
    <xf numFmtId="3" fontId="56" fillId="14" borderId="26" xfId="1" applyNumberFormat="1" applyFont="1" applyFill="1" applyBorder="1" applyAlignment="1" applyProtection="1">
      <alignment horizontal="right" vertical="top" wrapText="1"/>
      <protection locked="0"/>
    </xf>
    <xf numFmtId="3" fontId="56" fillId="14" borderId="26" xfId="0" applyNumberFormat="1" applyFont="1" applyFill="1" applyBorder="1" applyAlignment="1">
      <alignment horizontal="right" vertical="top" wrapText="1"/>
    </xf>
    <xf numFmtId="3" fontId="56" fillId="0" borderId="38" xfId="1" applyNumberFormat="1" applyFont="1" applyFill="1" applyBorder="1" applyAlignment="1" applyProtection="1">
      <alignment horizontal="right" vertical="top" wrapText="1"/>
      <protection locked="0"/>
    </xf>
    <xf numFmtId="0" fontId="55" fillId="2" borderId="20" xfId="1" applyNumberFormat="1" applyFont="1" applyFill="1" applyBorder="1" applyAlignment="1">
      <alignment horizontal="left" vertical="top"/>
    </xf>
    <xf numFmtId="49" fontId="55" fillId="2" borderId="20" xfId="1" applyNumberFormat="1" applyFont="1" applyFill="1" applyBorder="1" applyAlignment="1">
      <alignment horizontal="left" vertical="top"/>
    </xf>
    <xf numFmtId="49" fontId="55" fillId="2" borderId="20" xfId="1" applyNumberFormat="1" applyFont="1" applyFill="1" applyBorder="1" applyAlignment="1">
      <alignment horizontal="left" vertical="top" wrapText="1"/>
    </xf>
    <xf numFmtId="0" fontId="55" fillId="2" borderId="20" xfId="0" applyFont="1" applyFill="1" applyBorder="1" applyAlignment="1">
      <alignment horizontal="left" vertical="top" wrapText="1"/>
    </xf>
    <xf numFmtId="0" fontId="55" fillId="2" borderId="20" xfId="0" applyFont="1" applyFill="1" applyBorder="1" applyAlignment="1">
      <alignment horizontal="left" vertical="top"/>
    </xf>
    <xf numFmtId="0" fontId="55" fillId="2" borderId="21" xfId="0" applyFont="1" applyFill="1" applyBorder="1" applyAlignment="1">
      <alignment horizontal="left" vertical="top" wrapText="1"/>
    </xf>
    <xf numFmtId="3" fontId="55" fillId="2" borderId="20" xfId="0" applyNumberFormat="1" applyFont="1" applyFill="1" applyBorder="1" applyAlignment="1">
      <alignment horizontal="right" vertical="top" wrapText="1"/>
    </xf>
    <xf numFmtId="3" fontId="55" fillId="2" borderId="12" xfId="0" applyNumberFormat="1" applyFont="1" applyFill="1" applyBorder="1" applyAlignment="1">
      <alignment horizontal="right" vertical="top" wrapText="1"/>
    </xf>
    <xf numFmtId="3" fontId="55" fillId="2" borderId="21" xfId="0" applyNumberFormat="1" applyFont="1" applyFill="1" applyBorder="1" applyAlignment="1">
      <alignment horizontal="right" vertical="top" wrapText="1"/>
    </xf>
    <xf numFmtId="3" fontId="55" fillId="2" borderId="37" xfId="0" applyNumberFormat="1" applyFont="1" applyFill="1" applyBorder="1" applyAlignment="1">
      <alignment horizontal="right" vertical="top" wrapText="1"/>
    </xf>
    <xf numFmtId="3" fontId="55" fillId="2" borderId="39" xfId="0" applyNumberFormat="1" applyFont="1" applyFill="1" applyBorder="1" applyAlignment="1">
      <alignment horizontal="right" vertical="top" wrapText="1"/>
    </xf>
    <xf numFmtId="3" fontId="55" fillId="2" borderId="42" xfId="0" applyNumberFormat="1" applyFont="1" applyFill="1" applyBorder="1" applyAlignment="1">
      <alignment horizontal="justify" vertical="top" wrapText="1"/>
    </xf>
    <xf numFmtId="0" fontId="48" fillId="0" borderId="0" xfId="0" applyFont="1"/>
    <xf numFmtId="0" fontId="55" fillId="2" borderId="8" xfId="1" applyNumberFormat="1" applyFont="1" applyFill="1" applyBorder="1" applyAlignment="1">
      <alignment horizontal="left" vertical="top"/>
    </xf>
    <xf numFmtId="49" fontId="55" fillId="2" borderId="8" xfId="1" applyNumberFormat="1" applyFont="1" applyFill="1" applyBorder="1" applyAlignment="1">
      <alignment horizontal="left" vertical="top"/>
    </xf>
    <xf numFmtId="49" fontId="55" fillId="2" borderId="8" xfId="1" applyNumberFormat="1" applyFont="1" applyFill="1" applyBorder="1" applyAlignment="1">
      <alignment horizontal="left" vertical="top" wrapText="1"/>
    </xf>
    <xf numFmtId="0" fontId="55" fillId="2" borderId="8" xfId="0" applyFont="1" applyFill="1" applyBorder="1" applyAlignment="1">
      <alignment horizontal="left" vertical="top" wrapText="1"/>
    </xf>
    <xf numFmtId="0" fontId="55" fillId="2" borderId="8" xfId="0" applyFont="1" applyFill="1" applyBorder="1" applyAlignment="1">
      <alignment horizontal="left" vertical="top"/>
    </xf>
    <xf numFmtId="0" fontId="55" fillId="2" borderId="10" xfId="0" applyFont="1" applyFill="1" applyBorder="1" applyAlignment="1">
      <alignment horizontal="left" vertical="top"/>
    </xf>
    <xf numFmtId="3" fontId="55" fillId="2" borderId="8" xfId="0" applyNumberFormat="1" applyFont="1" applyFill="1" applyBorder="1" applyAlignment="1">
      <alignment horizontal="right" vertical="top" wrapText="1"/>
    </xf>
    <xf numFmtId="3" fontId="55" fillId="2" borderId="17" xfId="0" applyNumberFormat="1" applyFont="1" applyFill="1" applyBorder="1" applyAlignment="1">
      <alignment horizontal="right" vertical="top" wrapText="1"/>
    </xf>
    <xf numFmtId="3" fontId="55" fillId="2" borderId="10" xfId="0" applyNumberFormat="1" applyFont="1" applyFill="1" applyBorder="1" applyAlignment="1">
      <alignment horizontal="right" vertical="top" wrapText="1"/>
    </xf>
    <xf numFmtId="3" fontId="55" fillId="2" borderId="18" xfId="0" applyNumberFormat="1" applyFont="1" applyFill="1" applyBorder="1" applyAlignment="1">
      <alignment horizontal="right" vertical="top" wrapText="1"/>
    </xf>
    <xf numFmtId="3" fontId="55" fillId="2" borderId="40" xfId="0" applyNumberFormat="1" applyFont="1" applyFill="1" applyBorder="1" applyAlignment="1">
      <alignment horizontal="right" vertical="top" wrapText="1"/>
    </xf>
    <xf numFmtId="3" fontId="55" fillId="2" borderId="48" xfId="0" applyNumberFormat="1" applyFont="1" applyFill="1" applyBorder="1" applyAlignment="1">
      <alignment horizontal="justify" vertical="top" wrapText="1"/>
    </xf>
    <xf numFmtId="3" fontId="47" fillId="0" borderId="7" xfId="0" applyNumberFormat="1" applyFont="1" applyBorder="1" applyAlignment="1">
      <alignment horizontal="right" vertical="top"/>
    </xf>
    <xf numFmtId="0" fontId="52" fillId="14" borderId="3" xfId="0" applyFont="1" applyFill="1" applyBorder="1" applyAlignment="1">
      <alignment horizontal="left" vertical="top"/>
    </xf>
    <xf numFmtId="0" fontId="52" fillId="14" borderId="1" xfId="0" applyFont="1" applyFill="1" applyBorder="1" applyAlignment="1">
      <alignment horizontal="left" vertical="top"/>
    </xf>
    <xf numFmtId="3" fontId="52" fillId="0" borderId="47" xfId="1" applyNumberFormat="1" applyFont="1" applyFill="1" applyBorder="1" applyAlignment="1" applyProtection="1">
      <alignment horizontal="right" vertical="top" wrapText="1"/>
      <protection locked="0"/>
    </xf>
    <xf numFmtId="3" fontId="52" fillId="0" borderId="7" xfId="0" applyNumberFormat="1" applyFont="1" applyBorder="1" applyAlignment="1">
      <alignment horizontal="right" vertical="top"/>
    </xf>
    <xf numFmtId="0" fontId="52" fillId="0" borderId="0" xfId="0" applyFont="1"/>
    <xf numFmtId="0" fontId="56" fillId="14" borderId="3" xfId="2" applyNumberFormat="1" applyFont="1" applyFill="1" applyBorder="1" applyAlignment="1">
      <alignment horizontal="left" vertical="top"/>
    </xf>
    <xf numFmtId="49" fontId="56" fillId="14" borderId="3" xfId="2" applyNumberFormat="1" applyFont="1" applyFill="1" applyBorder="1" applyAlignment="1">
      <alignment horizontal="left" vertical="top"/>
    </xf>
    <xf numFmtId="49" fontId="56" fillId="14" borderId="3" xfId="2" applyNumberFormat="1" applyFont="1" applyFill="1" applyBorder="1" applyAlignment="1">
      <alignment horizontal="left" vertical="top" wrapText="1"/>
    </xf>
    <xf numFmtId="0" fontId="47" fillId="0" borderId="15" xfId="0" applyFont="1" applyBorder="1" applyAlignment="1">
      <alignment horizontal="justify" vertical="top" wrapText="1"/>
    </xf>
    <xf numFmtId="0" fontId="47" fillId="0" borderId="0" xfId="0" applyFont="1" applyBorder="1" applyAlignment="1">
      <alignment vertical="top"/>
    </xf>
    <xf numFmtId="0" fontId="56" fillId="15" borderId="3" xfId="1" applyNumberFormat="1" applyFont="1" applyFill="1" applyBorder="1" applyAlignment="1">
      <alignment horizontal="left" vertical="top"/>
    </xf>
    <xf numFmtId="0" fontId="56" fillId="0" borderId="15" xfId="0" applyFont="1" applyBorder="1" applyAlignment="1">
      <alignment horizontal="justify" vertical="top" wrapText="1"/>
    </xf>
    <xf numFmtId="0" fontId="56" fillId="0" borderId="0" xfId="0" applyFont="1" applyBorder="1" applyAlignment="1">
      <alignment vertical="top" wrapText="1"/>
    </xf>
    <xf numFmtId="0" fontId="47" fillId="0" borderId="15" xfId="0" applyFont="1" applyBorder="1" applyAlignment="1">
      <alignment horizontal="justify" vertical="top"/>
    </xf>
    <xf numFmtId="0" fontId="52" fillId="14" borderId="6" xfId="1" applyNumberFormat="1" applyFont="1" applyFill="1" applyBorder="1" applyAlignment="1">
      <alignment horizontal="left" vertical="top"/>
    </xf>
    <xf numFmtId="49" fontId="52" fillId="14" borderId="6" xfId="1" applyNumberFormat="1" applyFont="1" applyFill="1" applyBorder="1" applyAlignment="1">
      <alignment horizontal="left" vertical="top"/>
    </xf>
    <xf numFmtId="49" fontId="52" fillId="14" borderId="6" xfId="1" applyNumberFormat="1" applyFont="1" applyFill="1" applyBorder="1" applyAlignment="1">
      <alignment horizontal="left" vertical="top" wrapText="1"/>
    </xf>
    <xf numFmtId="0" fontId="52" fillId="14" borderId="6" xfId="0" applyFont="1" applyFill="1" applyBorder="1" applyAlignment="1">
      <alignment horizontal="left" vertical="top" wrapText="1"/>
    </xf>
    <xf numFmtId="0" fontId="52" fillId="14" borderId="6" xfId="0" applyFont="1" applyFill="1" applyBorder="1" applyAlignment="1">
      <alignment horizontal="left" vertical="top"/>
    </xf>
    <xf numFmtId="3" fontId="52" fillId="14" borderId="6" xfId="0" applyNumberFormat="1" applyFont="1" applyFill="1" applyBorder="1" applyAlignment="1">
      <alignment horizontal="right" vertical="top" wrapText="1"/>
    </xf>
    <xf numFmtId="0" fontId="52" fillId="14" borderId="6" xfId="0" applyFont="1" applyFill="1" applyBorder="1" applyAlignment="1">
      <alignment horizontal="right" vertical="top"/>
    </xf>
    <xf numFmtId="3" fontId="51" fillId="15" borderId="6" xfId="1" applyNumberFormat="1" applyFont="1" applyFill="1" applyBorder="1" applyAlignment="1" applyProtection="1">
      <alignment horizontal="right" vertical="top" wrapText="1"/>
      <protection locked="0"/>
    </xf>
    <xf numFmtId="3" fontId="52" fillId="14" borderId="6" xfId="1" applyNumberFormat="1" applyFont="1" applyFill="1" applyBorder="1" applyAlignment="1" applyProtection="1">
      <alignment horizontal="right" vertical="top" wrapText="1"/>
      <protection locked="0"/>
    </xf>
    <xf numFmtId="3" fontId="52" fillId="14" borderId="26" xfId="0" applyNumberFormat="1" applyFont="1" applyFill="1" applyBorder="1" applyAlignment="1">
      <alignment horizontal="right" vertical="top" wrapText="1"/>
    </xf>
    <xf numFmtId="3" fontId="52" fillId="0" borderId="49" xfId="1" applyNumberFormat="1" applyFont="1" applyFill="1" applyBorder="1" applyAlignment="1" applyProtection="1">
      <alignment horizontal="right" vertical="top" wrapText="1"/>
      <protection locked="0"/>
    </xf>
    <xf numFmtId="3" fontId="52" fillId="0" borderId="6" xfId="1" applyNumberFormat="1" applyFont="1" applyFill="1" applyBorder="1" applyAlignment="1" applyProtection="1">
      <alignment horizontal="right" vertical="top" wrapText="1"/>
      <protection locked="0"/>
    </xf>
    <xf numFmtId="3" fontId="52" fillId="0" borderId="7" xfId="0" applyNumberFormat="1" applyFont="1" applyFill="1" applyBorder="1" applyAlignment="1">
      <alignment horizontal="right" vertical="top"/>
    </xf>
    <xf numFmtId="3" fontId="52" fillId="0" borderId="28" xfId="1" applyNumberFormat="1" applyFont="1" applyFill="1" applyBorder="1" applyAlignment="1" applyProtection="1">
      <alignment horizontal="justify" vertical="top" wrapText="1"/>
      <protection locked="0"/>
    </xf>
    <xf numFmtId="3" fontId="58" fillId="0" borderId="0" xfId="1" applyNumberFormat="1" applyFont="1" applyFill="1" applyBorder="1" applyAlignment="1" applyProtection="1">
      <alignment horizontal="left" vertical="top" wrapText="1"/>
      <protection locked="0"/>
    </xf>
    <xf numFmtId="0" fontId="55" fillId="2" borderId="21" xfId="0" applyFont="1" applyFill="1" applyBorder="1" applyAlignment="1">
      <alignment horizontal="left" vertical="top"/>
    </xf>
    <xf numFmtId="3" fontId="55" fillId="2" borderId="20" xfId="1" applyNumberFormat="1" applyFont="1" applyFill="1" applyBorder="1" applyAlignment="1" applyProtection="1">
      <alignment horizontal="right" vertical="top" wrapText="1"/>
      <protection locked="0"/>
    </xf>
    <xf numFmtId="3" fontId="55" fillId="2" borderId="41" xfId="0" applyNumberFormat="1" applyFont="1" applyFill="1" applyBorder="1" applyAlignment="1">
      <alignment horizontal="right" vertical="top" wrapText="1"/>
    </xf>
    <xf numFmtId="3" fontId="55" fillId="2" borderId="3" xfId="1" applyNumberFormat="1" applyFont="1" applyFill="1" applyBorder="1" applyAlignment="1" applyProtection="1">
      <alignment horizontal="right" vertical="top" wrapText="1"/>
      <protection locked="0"/>
    </xf>
    <xf numFmtId="3" fontId="55" fillId="2" borderId="43" xfId="0" applyNumberFormat="1" applyFont="1" applyFill="1" applyBorder="1" applyAlignment="1">
      <alignment horizontal="right" vertical="top" wrapText="1"/>
    </xf>
    <xf numFmtId="3" fontId="47" fillId="0" borderId="50" xfId="0" applyNumberFormat="1" applyFont="1" applyBorder="1" applyAlignment="1">
      <alignment horizontal="right" vertical="top"/>
    </xf>
    <xf numFmtId="3" fontId="56" fillId="14" borderId="3" xfId="1" applyNumberFormat="1" applyFont="1" applyFill="1" applyBorder="1" applyAlignment="1">
      <alignment horizontal="left" vertical="top"/>
    </xf>
    <xf numFmtId="3" fontId="56" fillId="14" borderId="8" xfId="1" applyNumberFormat="1" applyFont="1" applyFill="1" applyBorder="1" applyAlignment="1" applyProtection="1">
      <alignment horizontal="right" vertical="top" wrapText="1"/>
      <protection locked="0"/>
    </xf>
    <xf numFmtId="3" fontId="55" fillId="2" borderId="13" xfId="0" applyNumberFormat="1" applyFont="1" applyFill="1" applyBorder="1" applyAlignment="1">
      <alignment horizontal="right" vertical="top" wrapText="1"/>
    </xf>
    <xf numFmtId="0" fontId="56" fillId="14" borderId="7" xfId="0" applyFont="1" applyFill="1" applyBorder="1" applyAlignment="1">
      <alignment horizontal="left" vertical="top"/>
    </xf>
    <xf numFmtId="0" fontId="56" fillId="14" borderId="5" xfId="0" applyFont="1" applyFill="1" applyBorder="1" applyAlignment="1">
      <alignment horizontal="left" vertical="top"/>
    </xf>
    <xf numFmtId="0" fontId="56" fillId="14" borderId="5" xfId="0" applyFont="1" applyFill="1" applyBorder="1" applyAlignment="1">
      <alignment horizontal="right" vertical="top"/>
    </xf>
    <xf numFmtId="3" fontId="47" fillId="0" borderId="3" xfId="0" applyNumberFormat="1" applyFont="1" applyBorder="1" applyAlignment="1">
      <alignment horizontal="right" vertical="top"/>
    </xf>
    <xf numFmtId="3" fontId="56" fillId="0" borderId="50" xfId="1" applyNumberFormat="1" applyFont="1" applyFill="1" applyBorder="1" applyAlignment="1" applyProtection="1">
      <alignment horizontal="right" vertical="top" wrapText="1"/>
      <protection locked="0"/>
    </xf>
    <xf numFmtId="3" fontId="56" fillId="0" borderId="16" xfId="1" applyNumberFormat="1" applyFont="1" applyFill="1" applyBorder="1" applyAlignment="1" applyProtection="1">
      <alignment horizontal="right" vertical="top" wrapText="1"/>
      <protection locked="0"/>
    </xf>
    <xf numFmtId="3" fontId="56" fillId="0" borderId="12" xfId="1" applyNumberFormat="1" applyFont="1" applyFill="1" applyBorder="1" applyAlignment="1" applyProtection="1">
      <alignment horizontal="right" vertical="top" wrapText="1"/>
      <protection locked="0"/>
    </xf>
    <xf numFmtId="3" fontId="56" fillId="10" borderId="50" xfId="1" applyNumberFormat="1" applyFont="1" applyFill="1" applyBorder="1" applyAlignment="1" applyProtection="1">
      <alignment horizontal="right" vertical="top" wrapText="1"/>
      <protection locked="0"/>
    </xf>
    <xf numFmtId="3" fontId="56" fillId="10" borderId="2" xfId="1" applyNumberFormat="1" applyFont="1" applyFill="1" applyBorder="1" applyAlignment="1" applyProtection="1">
      <alignment horizontal="right" vertical="top" wrapText="1"/>
      <protection locked="0"/>
    </xf>
    <xf numFmtId="3" fontId="56" fillId="0" borderId="2" xfId="1" applyNumberFormat="1" applyFont="1" applyFill="1" applyBorder="1" applyAlignment="1" applyProtection="1">
      <alignment horizontal="right" vertical="top" wrapText="1"/>
      <protection locked="0"/>
    </xf>
    <xf numFmtId="3" fontId="52" fillId="14" borderId="29" xfId="1" applyNumberFormat="1" applyFont="1" applyFill="1" applyBorder="1" applyAlignment="1" applyProtection="1">
      <alignment horizontal="right" vertical="top" wrapText="1"/>
      <protection locked="0"/>
    </xf>
    <xf numFmtId="3" fontId="52" fillId="14" borderId="1" xfId="1" applyNumberFormat="1" applyFont="1" applyFill="1" applyBorder="1" applyAlignment="1" applyProtection="1">
      <alignment horizontal="right" vertical="top" wrapText="1"/>
      <protection locked="0"/>
    </xf>
    <xf numFmtId="3" fontId="52" fillId="10" borderId="50" xfId="1" applyNumberFormat="1" applyFont="1" applyFill="1" applyBorder="1" applyAlignment="1" applyProtection="1">
      <alignment horizontal="right" vertical="top" wrapText="1"/>
      <protection locked="0"/>
    </xf>
    <xf numFmtId="3" fontId="52" fillId="10" borderId="2" xfId="1" applyNumberFormat="1" applyFont="1" applyFill="1" applyBorder="1" applyAlignment="1" applyProtection="1">
      <alignment horizontal="right" vertical="top" wrapText="1"/>
      <protection locked="0"/>
    </xf>
    <xf numFmtId="3" fontId="52" fillId="0" borderId="3" xfId="0" applyNumberFormat="1" applyFont="1" applyFill="1" applyBorder="1" applyAlignment="1">
      <alignment horizontal="right" vertical="top"/>
    </xf>
    <xf numFmtId="3" fontId="52" fillId="0" borderId="14" xfId="1" applyNumberFormat="1" applyFont="1" applyFill="1" applyBorder="1" applyAlignment="1" applyProtection="1">
      <alignment horizontal="justify" vertical="top" wrapText="1"/>
      <protection locked="0"/>
    </xf>
    <xf numFmtId="3" fontId="57" fillId="12" borderId="0" xfId="1" applyNumberFormat="1" applyFont="1" applyFill="1" applyBorder="1" applyAlignment="1" applyProtection="1">
      <alignment horizontal="left" vertical="top" wrapText="1"/>
      <protection locked="0"/>
    </xf>
    <xf numFmtId="0" fontId="57" fillId="0" borderId="0" xfId="0" applyFont="1"/>
    <xf numFmtId="3" fontId="56" fillId="10" borderId="3" xfId="1" applyNumberFormat="1" applyFont="1" applyFill="1" applyBorder="1" applyAlignment="1" applyProtection="1">
      <alignment horizontal="right" vertical="top" wrapText="1"/>
      <protection locked="0"/>
    </xf>
    <xf numFmtId="3" fontId="56" fillId="14" borderId="18" xfId="0" applyNumberFormat="1" applyFont="1" applyFill="1" applyBorder="1" applyAlignment="1">
      <alignment horizontal="right" vertical="top" wrapText="1"/>
    </xf>
    <xf numFmtId="3" fontId="56" fillId="0" borderId="43" xfId="1" applyNumberFormat="1" applyFont="1" applyFill="1" applyBorder="1" applyAlignment="1" applyProtection="1">
      <alignment horizontal="right" vertical="top" wrapText="1"/>
      <protection locked="0"/>
    </xf>
    <xf numFmtId="3" fontId="56" fillId="0" borderId="8" xfId="1" applyNumberFormat="1" applyFont="1" applyFill="1" applyBorder="1" applyAlignment="1" applyProtection="1">
      <alignment horizontal="right" vertical="top" wrapText="1"/>
      <protection locked="0"/>
    </xf>
    <xf numFmtId="3" fontId="55" fillId="2" borderId="8" xfId="1" applyNumberFormat="1" applyFont="1" applyFill="1" applyBorder="1" applyAlignment="1" applyProtection="1">
      <alignment horizontal="right" vertical="top" wrapText="1"/>
      <protection locked="0"/>
    </xf>
    <xf numFmtId="3" fontId="56" fillId="0" borderId="44" xfId="1" applyNumberFormat="1" applyFont="1" applyFill="1" applyBorder="1" applyAlignment="1" applyProtection="1">
      <alignment horizontal="justify" vertical="top" wrapText="1"/>
      <protection locked="0"/>
    </xf>
    <xf numFmtId="3" fontId="56" fillId="0" borderId="51" xfId="1" applyNumberFormat="1" applyFont="1" applyFill="1" applyBorder="1" applyAlignment="1" applyProtection="1">
      <alignment horizontal="justify" vertical="top" wrapText="1"/>
      <protection locked="0"/>
    </xf>
    <xf numFmtId="3" fontId="55" fillId="2" borderId="20" xfId="0" applyNumberFormat="1" applyFont="1" applyFill="1" applyBorder="1" applyAlignment="1">
      <alignment horizontal="right" vertical="top"/>
    </xf>
    <xf numFmtId="3" fontId="55" fillId="2" borderId="8" xfId="0" applyNumberFormat="1" applyFont="1" applyFill="1" applyBorder="1" applyAlignment="1">
      <alignment horizontal="right" vertical="top"/>
    </xf>
    <xf numFmtId="3" fontId="56" fillId="10" borderId="47" xfId="1" applyNumberFormat="1" applyFont="1" applyFill="1" applyBorder="1" applyAlignment="1" applyProtection="1">
      <alignment horizontal="right" vertical="top" wrapText="1"/>
      <protection locked="0"/>
    </xf>
    <xf numFmtId="3" fontId="56" fillId="0" borderId="35" xfId="1" applyNumberFormat="1" applyFont="1" applyFill="1" applyBorder="1" applyAlignment="1" applyProtection="1">
      <alignment horizontal="justify" vertical="top" wrapText="1"/>
      <protection locked="0"/>
    </xf>
    <xf numFmtId="3" fontId="56" fillId="0" borderId="36" xfId="1" applyNumberFormat="1" applyFont="1" applyFill="1" applyBorder="1" applyAlignment="1" applyProtection="1">
      <alignment horizontal="justify" vertical="top" wrapText="1"/>
      <protection locked="0"/>
    </xf>
    <xf numFmtId="0" fontId="56" fillId="14" borderId="3" xfId="0" applyFont="1" applyFill="1" applyBorder="1" applyAlignment="1">
      <alignment horizontal="right" vertical="top"/>
    </xf>
    <xf numFmtId="0" fontId="47" fillId="24" borderId="0" xfId="0" applyFont="1" applyFill="1"/>
    <xf numFmtId="3" fontId="56" fillId="14" borderId="29" xfId="0" applyNumberFormat="1" applyFont="1" applyFill="1" applyBorder="1" applyAlignment="1">
      <alignment horizontal="right" vertical="top" wrapText="1"/>
    </xf>
    <xf numFmtId="3" fontId="56" fillId="14" borderId="8" xfId="0" applyNumberFormat="1" applyFont="1" applyFill="1" applyBorder="1" applyAlignment="1">
      <alignment horizontal="right" vertical="top" wrapText="1"/>
    </xf>
    <xf numFmtId="3" fontId="55" fillId="2" borderId="5" xfId="0" applyNumberFormat="1" applyFont="1" applyFill="1" applyBorder="1" applyAlignment="1">
      <alignment horizontal="right" vertical="top" wrapText="1"/>
    </xf>
    <xf numFmtId="3" fontId="55" fillId="2" borderId="42" xfId="0" applyNumberFormat="1" applyFont="1" applyFill="1" applyBorder="1" applyAlignment="1">
      <alignment horizontal="right" vertical="top" wrapText="1"/>
    </xf>
    <xf numFmtId="3" fontId="47" fillId="0" borderId="0" xfId="0" applyNumberFormat="1" applyFont="1" applyFill="1"/>
    <xf numFmtId="3" fontId="55" fillId="2" borderId="48" xfId="0" applyNumberFormat="1" applyFont="1" applyFill="1" applyBorder="1" applyAlignment="1">
      <alignment horizontal="right" vertical="top" wrapText="1"/>
    </xf>
    <xf numFmtId="0" fontId="56" fillId="0" borderId="0" xfId="1" applyNumberFormat="1" applyFont="1" applyFill="1" applyBorder="1" applyAlignment="1">
      <alignment horizontal="left" vertical="top"/>
    </xf>
    <xf numFmtId="49" fontId="56" fillId="0" borderId="0" xfId="1" applyNumberFormat="1" applyFont="1" applyFill="1" applyBorder="1" applyAlignment="1">
      <alignment horizontal="left" vertical="top"/>
    </xf>
    <xf numFmtId="49" fontId="56" fillId="0" borderId="0" xfId="1" applyNumberFormat="1" applyFont="1" applyFill="1" applyBorder="1" applyAlignment="1">
      <alignment horizontal="left" vertical="top" wrapText="1"/>
    </xf>
    <xf numFmtId="0" fontId="56" fillId="0" borderId="0" xfId="0" applyFont="1" applyFill="1" applyBorder="1" applyAlignment="1">
      <alignment horizontal="left" vertical="top"/>
    </xf>
    <xf numFmtId="3" fontId="56" fillId="0" borderId="0" xfId="0" applyNumberFormat="1" applyFont="1" applyFill="1" applyBorder="1" applyAlignment="1">
      <alignment horizontal="right" vertical="top" wrapText="1"/>
    </xf>
    <xf numFmtId="0" fontId="56" fillId="0" borderId="0" xfId="0" applyFont="1" applyFill="1" applyBorder="1" applyAlignment="1">
      <alignment horizontal="right" vertical="top" wrapText="1"/>
    </xf>
    <xf numFmtId="0" fontId="56" fillId="0" borderId="0" xfId="0" applyFont="1" applyFill="1" applyBorder="1" applyAlignment="1">
      <alignment horizontal="right" vertical="top"/>
    </xf>
    <xf numFmtId="3" fontId="56" fillId="0" borderId="0" xfId="1" applyNumberFormat="1" applyFont="1" applyFill="1" applyBorder="1" applyAlignment="1" applyProtection="1">
      <alignment horizontal="right" vertical="top" wrapText="1"/>
      <protection locked="0"/>
    </xf>
    <xf numFmtId="0" fontId="50" fillId="0" borderId="0" xfId="0" applyFont="1" applyFill="1" applyAlignment="1">
      <alignment horizontal="left" vertical="top"/>
    </xf>
    <xf numFmtId="0" fontId="50" fillId="0" borderId="0" xfId="0" applyFont="1" applyFill="1" applyAlignment="1">
      <alignment horizontal="left" vertical="top" wrapText="1"/>
    </xf>
    <xf numFmtId="0" fontId="56" fillId="0" borderId="0" xfId="0" applyFont="1" applyFill="1" applyAlignment="1">
      <alignment horizontal="left" vertical="top" wrapText="1"/>
    </xf>
    <xf numFmtId="0" fontId="47" fillId="0" borderId="0" xfId="0" applyFont="1" applyBorder="1" applyAlignment="1">
      <alignment horizontal="right" vertical="top"/>
    </xf>
    <xf numFmtId="0" fontId="47" fillId="0" borderId="33" xfId="0" applyFont="1" applyBorder="1"/>
    <xf numFmtId="0" fontId="47" fillId="0" borderId="0" xfId="0" applyFont="1" applyAlignment="1">
      <alignment horizontal="left" vertical="center" wrapText="1"/>
    </xf>
    <xf numFmtId="0" fontId="59" fillId="0" borderId="0" xfId="4" applyFont="1" applyFill="1" applyAlignment="1">
      <alignment horizontal="left" vertical="top" wrapText="1"/>
    </xf>
    <xf numFmtId="0" fontId="61" fillId="0" borderId="0" xfId="0" applyFont="1" applyFill="1" applyAlignment="1">
      <alignment vertical="center" wrapText="1"/>
    </xf>
    <xf numFmtId="0" fontId="62" fillId="0" borderId="0" xfId="0" applyFont="1" applyFill="1" applyAlignment="1">
      <alignment vertical="center" wrapText="1"/>
    </xf>
    <xf numFmtId="0" fontId="63" fillId="0" borderId="0" xfId="0" applyFont="1" applyAlignment="1">
      <alignment vertical="center" wrapText="1"/>
    </xf>
    <xf numFmtId="165" fontId="55" fillId="2" borderId="19" xfId="0" applyNumberFormat="1" applyFont="1" applyFill="1" applyBorder="1" applyAlignment="1">
      <alignment horizontal="right" vertical="top" wrapText="1"/>
    </xf>
    <xf numFmtId="0" fontId="50" fillId="0" borderId="0" xfId="0" applyFont="1" applyFill="1" applyAlignment="1">
      <alignment horizontal="left" vertical="top" wrapText="1"/>
    </xf>
    <xf numFmtId="0" fontId="60" fillId="0" borderId="0" xfId="0" applyFont="1" applyAlignment="1">
      <alignment horizontal="center" vertical="top" wrapText="1"/>
    </xf>
    <xf numFmtId="0" fontId="48" fillId="6" borderId="50" xfId="0" applyFont="1" applyFill="1" applyBorder="1" applyAlignment="1">
      <alignment horizontal="center" vertical="center" wrapText="1"/>
    </xf>
    <xf numFmtId="0" fontId="48" fillId="6" borderId="3" xfId="0" applyFont="1" applyFill="1" applyBorder="1" applyAlignment="1">
      <alignment horizontal="center" vertical="center" wrapText="1"/>
    </xf>
    <xf numFmtId="0" fontId="48" fillId="6" borderId="15" xfId="0" applyFont="1" applyFill="1" applyBorder="1" applyAlignment="1">
      <alignment horizontal="center" vertical="center" wrapText="1"/>
    </xf>
    <xf numFmtId="0" fontId="50" fillId="0" borderId="0" xfId="0" applyFont="1" applyFill="1" applyAlignment="1">
      <alignment horizontal="left" vertical="top"/>
    </xf>
    <xf numFmtId="0" fontId="0" fillId="12" borderId="0" xfId="0" applyFill="1" applyAlignment="1">
      <alignment horizontal="center"/>
    </xf>
    <xf numFmtId="0" fontId="24" fillId="0" borderId="1" xfId="0" applyFont="1" applyFill="1" applyBorder="1" applyAlignment="1">
      <alignment horizontal="center" vertical="top"/>
    </xf>
    <xf numFmtId="0" fontId="24" fillId="0" borderId="29" xfId="0" applyFont="1" applyFill="1" applyBorder="1" applyAlignment="1">
      <alignment horizontal="center" vertical="top"/>
    </xf>
    <xf numFmtId="0" fontId="24" fillId="0" borderId="2" xfId="0" applyFont="1" applyFill="1" applyBorder="1" applyAlignment="1">
      <alignment horizontal="center" vertical="top"/>
    </xf>
    <xf numFmtId="0" fontId="0" fillId="2" borderId="13" xfId="0" applyFill="1" applyBorder="1" applyAlignment="1">
      <alignment horizontal="center"/>
    </xf>
    <xf numFmtId="0" fontId="31" fillId="0" borderId="29" xfId="0" applyFont="1" applyBorder="1" applyAlignment="1">
      <alignment horizontal="center"/>
    </xf>
    <xf numFmtId="0" fontId="41" fillId="0" borderId="29" xfId="0" applyFont="1" applyBorder="1" applyAlignment="1">
      <alignment horizontal="center"/>
    </xf>
    <xf numFmtId="0" fontId="5" fillId="6" borderId="32"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6" fillId="4" borderId="4"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25" xfId="0" applyFont="1" applyFill="1" applyBorder="1" applyAlignment="1">
      <alignment horizontal="left" vertical="center" wrapText="1"/>
    </xf>
    <xf numFmtId="0" fontId="4" fillId="2" borderId="0" xfId="0" applyFont="1" applyFill="1" applyBorder="1" applyAlignment="1">
      <alignment horizontal="left" vertical="top" wrapText="1"/>
    </xf>
    <xf numFmtId="0" fontId="31" fillId="0" borderId="13" xfId="0" applyFont="1" applyBorder="1" applyAlignment="1">
      <alignment horizontal="center" vertical="center"/>
    </xf>
    <xf numFmtId="0" fontId="64" fillId="0" borderId="0" xfId="0" applyFont="1" applyAlignment="1">
      <alignment horizontal="right" wrapText="1"/>
    </xf>
  </cellXfs>
  <cellStyles count="5">
    <cellStyle name="Hyperlink" xfId="4" builtinId="8"/>
    <cellStyle name="Normal" xfId="0" builtinId="0"/>
    <cellStyle name="Normal 2" xfId="1"/>
    <cellStyle name="Normal 2 10 2 2" xfId="2"/>
    <cellStyle name="Percent" xfId="3" builtinId="5"/>
  </cellStyles>
  <dxfs count="0"/>
  <tableStyles count="0" defaultTableStyle="TableStyleMedium2" defaultPivotStyle="PivotStyleLight16"/>
  <colors>
    <mruColors>
      <color rgb="FF00CC66"/>
      <color rgb="FFEBDEFA"/>
      <color rgb="FF006600"/>
      <color rgb="FF00CC99"/>
      <color rgb="FF00FF99"/>
      <color rgb="FF336600"/>
      <color rgb="FF009900"/>
      <color rgb="FF339933"/>
      <color rgb="FF33CC33"/>
      <color rgb="FFDBC3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jolanta.balduncika@fm.gov.lv"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F218"/>
  <sheetViews>
    <sheetView tabSelected="1" view="pageBreakPreview" topLeftCell="A181" zoomScale="80" zoomScaleNormal="90" zoomScaleSheetLayoutView="80" zoomScalePageLayoutView="25" workbookViewId="0">
      <selection activeCell="A189" sqref="A189:V189"/>
    </sheetView>
  </sheetViews>
  <sheetFormatPr defaultRowHeight="12.75" outlineLevelCol="1" x14ac:dyDescent="0.2"/>
  <cols>
    <col min="1" max="1" width="3.5703125" style="171" customWidth="1"/>
    <col min="2" max="2" width="5.85546875" style="171" customWidth="1"/>
    <col min="3" max="3" width="45.85546875" style="173" customWidth="1" outlineLevel="1"/>
    <col min="4" max="4" width="10.5703125" style="171" customWidth="1"/>
    <col min="5" max="5" width="29.140625" style="173" customWidth="1" outlineLevel="1"/>
    <col min="6" max="6" width="7.5703125" style="171" customWidth="1"/>
    <col min="7" max="7" width="11.28515625" style="171" customWidth="1"/>
    <col min="8" max="8" width="10.5703125" style="171" customWidth="1"/>
    <col min="9" max="9" width="13.7109375" style="174" customWidth="1"/>
    <col min="10" max="10" width="14.42578125" style="174" customWidth="1" outlineLevel="1"/>
    <col min="11" max="11" width="11.7109375" style="174" customWidth="1"/>
    <col min="12" max="12" width="11" style="174" customWidth="1"/>
    <col min="13" max="13" width="14.85546875" style="174" hidden="1" customWidth="1"/>
    <col min="14" max="14" width="14.140625" style="174" customWidth="1"/>
    <col min="15" max="15" width="17.7109375" style="174" customWidth="1"/>
    <col min="16" max="16" width="15.7109375" style="174" hidden="1" customWidth="1"/>
    <col min="17" max="17" width="14.28515625" style="174" customWidth="1"/>
    <col min="18" max="18" width="14.42578125" style="174" customWidth="1"/>
    <col min="19" max="19" width="14.85546875" style="175" customWidth="1"/>
    <col min="20" max="20" width="14" style="175" customWidth="1"/>
    <col min="21" max="21" width="16.140625" style="175" customWidth="1"/>
    <col min="22" max="22" width="51.5703125" style="175" customWidth="1"/>
    <col min="23" max="23" width="15" style="175" customWidth="1"/>
    <col min="24" max="24" width="9.140625" style="175" customWidth="1"/>
    <col min="25" max="25" width="10.85546875" style="175" bestFit="1" customWidth="1"/>
    <col min="26" max="26" width="9.85546875" style="175" bestFit="1" customWidth="1"/>
    <col min="27" max="27" width="10.42578125" style="175" bestFit="1" customWidth="1"/>
    <col min="28" max="16384" width="9.140625" style="175"/>
  </cols>
  <sheetData>
    <row r="1" spans="1:32" ht="63.75" customHeight="1" x14ac:dyDescent="0.25">
      <c r="C1" s="172"/>
      <c r="Q1" s="487" t="s">
        <v>726</v>
      </c>
      <c r="R1" s="487"/>
      <c r="S1" s="487"/>
      <c r="T1" s="487"/>
      <c r="U1" s="487"/>
      <c r="V1" s="487"/>
    </row>
    <row r="2" spans="1:32" ht="15" customHeight="1" x14ac:dyDescent="0.2">
      <c r="C2" s="468" t="s">
        <v>601</v>
      </c>
      <c r="D2" s="468"/>
      <c r="E2" s="468"/>
      <c r="F2" s="468"/>
      <c r="G2" s="468"/>
      <c r="H2" s="468"/>
      <c r="I2" s="468"/>
      <c r="J2" s="468"/>
      <c r="K2" s="468"/>
      <c r="L2" s="468"/>
      <c r="M2" s="468"/>
      <c r="N2" s="468"/>
      <c r="O2" s="468"/>
      <c r="P2" s="468"/>
      <c r="Q2" s="468"/>
      <c r="R2" s="468"/>
      <c r="S2" s="468"/>
      <c r="T2" s="468"/>
      <c r="U2" s="468"/>
      <c r="V2" s="468"/>
    </row>
    <row r="3" spans="1:32" ht="17.25" customHeight="1" x14ac:dyDescent="0.2">
      <c r="A3" s="178"/>
      <c r="B3" s="179"/>
      <c r="C3" s="179"/>
      <c r="D3" s="179"/>
      <c r="E3" s="179"/>
      <c r="F3" s="179"/>
      <c r="G3" s="179"/>
      <c r="H3" s="179"/>
      <c r="I3" s="179"/>
      <c r="J3" s="179"/>
      <c r="K3" s="179"/>
      <c r="L3" s="179"/>
      <c r="M3" s="179"/>
      <c r="N3" s="180"/>
      <c r="O3" s="179"/>
      <c r="P3" s="179"/>
      <c r="Q3" s="179"/>
      <c r="R3" s="181"/>
      <c r="S3" s="469" t="s">
        <v>598</v>
      </c>
      <c r="T3" s="470"/>
      <c r="U3" s="470"/>
      <c r="V3" s="471"/>
      <c r="W3" s="182"/>
    </row>
    <row r="4" spans="1:32" ht="120.75" customHeight="1" x14ac:dyDescent="0.2">
      <c r="A4" s="183" t="s">
        <v>245</v>
      </c>
      <c r="B4" s="184" t="s">
        <v>8</v>
      </c>
      <c r="C4" s="184" t="s">
        <v>323</v>
      </c>
      <c r="D4" s="184" t="s">
        <v>0</v>
      </c>
      <c r="E4" s="184" t="s">
        <v>324</v>
      </c>
      <c r="F4" s="184" t="s">
        <v>1</v>
      </c>
      <c r="G4" s="184" t="s">
        <v>2</v>
      </c>
      <c r="H4" s="185" t="s">
        <v>3</v>
      </c>
      <c r="I4" s="186" t="s">
        <v>586</v>
      </c>
      <c r="J4" s="187" t="s">
        <v>715</v>
      </c>
      <c r="K4" s="186" t="s">
        <v>716</v>
      </c>
      <c r="L4" s="188" t="s">
        <v>717</v>
      </c>
      <c r="M4" s="189" t="s">
        <v>494</v>
      </c>
      <c r="N4" s="190" t="s">
        <v>718</v>
      </c>
      <c r="O4" s="190" t="s">
        <v>719</v>
      </c>
      <c r="P4" s="189" t="s">
        <v>494</v>
      </c>
      <c r="Q4" s="190" t="s">
        <v>720</v>
      </c>
      <c r="R4" s="186" t="s">
        <v>721</v>
      </c>
      <c r="S4" s="191" t="s">
        <v>722</v>
      </c>
      <c r="T4" s="192" t="s">
        <v>723</v>
      </c>
      <c r="U4" s="192" t="s">
        <v>724</v>
      </c>
      <c r="V4" s="193" t="s">
        <v>260</v>
      </c>
      <c r="W4" s="194"/>
      <c r="X4" s="195"/>
      <c r="Y4" s="195"/>
      <c r="Z4" s="195"/>
      <c r="AA4" s="195"/>
      <c r="AB4" s="195"/>
      <c r="AC4" s="195"/>
      <c r="AD4" s="195"/>
      <c r="AE4" s="195"/>
      <c r="AF4" s="195"/>
    </row>
    <row r="5" spans="1:32" s="211" customFormat="1" ht="14.25" customHeight="1" thickBot="1" x14ac:dyDescent="0.25">
      <c r="A5" s="196"/>
      <c r="B5" s="197"/>
      <c r="C5" s="197"/>
      <c r="D5" s="197"/>
      <c r="E5" s="197"/>
      <c r="F5" s="197"/>
      <c r="G5" s="197"/>
      <c r="H5" s="198"/>
      <c r="I5" s="199">
        <v>1</v>
      </c>
      <c r="J5" s="200">
        <v>2</v>
      </c>
      <c r="K5" s="200">
        <v>3</v>
      </c>
      <c r="L5" s="201">
        <v>4</v>
      </c>
      <c r="M5" s="202" t="s">
        <v>495</v>
      </c>
      <c r="N5" s="203">
        <v>6</v>
      </c>
      <c r="O5" s="203">
        <v>7</v>
      </c>
      <c r="P5" s="204" t="s">
        <v>595</v>
      </c>
      <c r="Q5" s="205">
        <v>9</v>
      </c>
      <c r="R5" s="206">
        <v>10</v>
      </c>
      <c r="S5" s="207">
        <v>11</v>
      </c>
      <c r="T5" s="208">
        <v>12</v>
      </c>
      <c r="U5" s="208" t="s">
        <v>596</v>
      </c>
      <c r="V5" s="209">
        <v>16</v>
      </c>
      <c r="W5" s="210"/>
    </row>
    <row r="6" spans="1:32" s="222" customFormat="1" ht="45.75" customHeight="1" thickBot="1" x14ac:dyDescent="0.3">
      <c r="A6" s="212"/>
      <c r="B6" s="213"/>
      <c r="C6" s="213"/>
      <c r="D6" s="213"/>
      <c r="E6" s="213"/>
      <c r="F6" s="213"/>
      <c r="G6" s="213"/>
      <c r="H6" s="214" t="s">
        <v>252</v>
      </c>
      <c r="I6" s="215">
        <f>SUM(I7:I29,I31:I34,I36:I54,I57:I72,I76:I102,I105:I115,I118:I125,I128:I156,I159:I185,)</f>
        <v>4316916911</v>
      </c>
      <c r="J6" s="215">
        <f>SUM(J7:J29,J31:J34,J36:J54,J57:J72,J76:J102,J105:J115,J118:J125,J128:J156,J159:J185,)</f>
        <v>66269088</v>
      </c>
      <c r="K6" s="216">
        <f>SUM(K7:K29,K31:K34,K36:K54,K57:K73,K76:K102,K105:K115,K118:K125,K128:K156,K159:K185,)</f>
        <v>267352981</v>
      </c>
      <c r="L6" s="217">
        <f>SUM(L7:L29,L31:L34,L36:L54,L57:L72,L76:L102,L105:L115,L118:L125,L128:L156,L159:L185)</f>
        <v>45646367</v>
      </c>
      <c r="M6" s="215">
        <f>K6-L6</f>
        <v>221706614</v>
      </c>
      <c r="N6" s="218">
        <f>SUM(N7:N29,N31:N34,N36:N54,N57:N73,N76:N102,N105:N115,N118:N125,N128:N156,N159:N185)</f>
        <v>426039846</v>
      </c>
      <c r="O6" s="218">
        <f>SUM(O7:O29,O31:O34,O36:O54,O57:O72,O76:O102,O105:O115,O118:O125,O128:O156,O159:O185)</f>
        <v>202531631</v>
      </c>
      <c r="P6" s="218">
        <f>SUM(P7:P29,P31:P34,P36:P54,P57:P72,P76:P102,P105:P115,P118:P125,P128:P156,P159:P185)</f>
        <v>213074335</v>
      </c>
      <c r="Q6" s="218">
        <f>SUM(Q7:Q29,Q31:Q34,Q36:Q54,Q57:Q72,Q76:Q102,Q105:Q115,Q118:Q125,Q128:Q156,Q159:Q185)</f>
        <v>49160875</v>
      </c>
      <c r="R6" s="215">
        <f>SUM(R7:R29,R31:R34,R36:R54,R57:R72,R76:R102,R105:R115,R118:R125,R128:R156,R159:R185)</f>
        <v>6207252</v>
      </c>
      <c r="S6" s="220">
        <f>SUM(S7:S29,S31:S34,S36:S54,S57:S73,S76:S102,S105:S115,S118:S125,S128:S156,S159:S185)</f>
        <v>267352981</v>
      </c>
      <c r="T6" s="216">
        <f>SUM(T7:T29,T31:T34,T36:T54,T57:T73,T76:T102,T105:T115,T118:T125,T128:T156,T159:T185)</f>
        <v>426039846</v>
      </c>
      <c r="U6" s="216">
        <f>SUM(U7:U29,U31:U34,U36:U54,U57:U73,U76:U102,U105:U115,U118:U125,U128:U156,U159:U185)</f>
        <v>4316916911</v>
      </c>
      <c r="V6" s="219"/>
      <c r="W6" s="221"/>
    </row>
    <row r="7" spans="1:32" s="239" customFormat="1" ht="45.75" customHeight="1" x14ac:dyDescent="0.2">
      <c r="A7" s="223">
        <v>1</v>
      </c>
      <c r="B7" s="223" t="s">
        <v>4</v>
      </c>
      <c r="C7" s="224" t="s">
        <v>521</v>
      </c>
      <c r="D7" s="223" t="s">
        <v>5</v>
      </c>
      <c r="E7" s="224" t="s">
        <v>326</v>
      </c>
      <c r="F7" s="223">
        <v>1</v>
      </c>
      <c r="G7" s="223" t="s">
        <v>6</v>
      </c>
      <c r="H7" s="225" t="s">
        <v>7</v>
      </c>
      <c r="I7" s="226">
        <v>36769760</v>
      </c>
      <c r="J7" s="227">
        <v>0</v>
      </c>
      <c r="K7" s="228">
        <v>0</v>
      </c>
      <c r="L7" s="229">
        <v>0</v>
      </c>
      <c r="M7" s="230">
        <f t="shared" ref="M7:M70" si="0">K7-L7</f>
        <v>0</v>
      </c>
      <c r="N7" s="231">
        <f>ROUNDDOWN((48470.0099999979),0)</f>
        <v>48470</v>
      </c>
      <c r="O7" s="231">
        <f>ROUNDDOWN((48470.0099999979),0)</f>
        <v>48470</v>
      </c>
      <c r="P7" s="232">
        <f>N7-O7</f>
        <v>0</v>
      </c>
      <c r="Q7" s="233">
        <v>0</v>
      </c>
      <c r="R7" s="234">
        <v>0</v>
      </c>
      <c r="S7" s="235">
        <v>0</v>
      </c>
      <c r="T7" s="236">
        <f>N7</f>
        <v>48470</v>
      </c>
      <c r="U7" s="236">
        <f t="shared" ref="U7:U29" si="1">I7-K7-N7+S7+T7</f>
        <v>36769760</v>
      </c>
      <c r="V7" s="237" t="s">
        <v>539</v>
      </c>
      <c r="W7" s="238"/>
    </row>
    <row r="8" spans="1:32" s="239" customFormat="1" ht="44.25" customHeight="1" x14ac:dyDescent="0.2">
      <c r="A8" s="240">
        <v>1</v>
      </c>
      <c r="B8" s="240" t="s">
        <v>4</v>
      </c>
      <c r="C8" s="224" t="s">
        <v>521</v>
      </c>
      <c r="D8" s="240" t="s">
        <v>5</v>
      </c>
      <c r="E8" s="224" t="s">
        <v>326</v>
      </c>
      <c r="F8" s="240">
        <v>2</v>
      </c>
      <c r="G8" s="240" t="s">
        <v>6</v>
      </c>
      <c r="H8" s="241" t="s">
        <v>7</v>
      </c>
      <c r="I8" s="242">
        <v>17832302</v>
      </c>
      <c r="J8" s="243">
        <v>0</v>
      </c>
      <c r="K8" s="244">
        <v>0</v>
      </c>
      <c r="L8" s="245">
        <v>0</v>
      </c>
      <c r="M8" s="246">
        <f t="shared" si="0"/>
        <v>0</v>
      </c>
      <c r="N8" s="231">
        <f>ROUNDDOWN((1883.48000000417),0)</f>
        <v>1883</v>
      </c>
      <c r="O8" s="233">
        <f>ROUNDDOWN((1883.48000000417),0)</f>
        <v>1883</v>
      </c>
      <c r="P8" s="232">
        <f t="shared" ref="P8:P29" si="2">N8-O8</f>
        <v>0</v>
      </c>
      <c r="Q8" s="233">
        <v>0</v>
      </c>
      <c r="R8" s="247">
        <v>0</v>
      </c>
      <c r="S8" s="235">
        <v>0</v>
      </c>
      <c r="T8" s="248">
        <f>N8</f>
        <v>1883</v>
      </c>
      <c r="U8" s="236">
        <f t="shared" si="1"/>
        <v>17832302</v>
      </c>
      <c r="V8" s="249" t="s">
        <v>539</v>
      </c>
      <c r="W8" s="238"/>
    </row>
    <row r="9" spans="1:32" s="239" customFormat="1" ht="45.75" customHeight="1" x14ac:dyDescent="0.2">
      <c r="A9" s="240">
        <v>1</v>
      </c>
      <c r="B9" s="240" t="s">
        <v>4</v>
      </c>
      <c r="C9" s="224" t="s">
        <v>325</v>
      </c>
      <c r="D9" s="240" t="s">
        <v>5</v>
      </c>
      <c r="E9" s="224" t="s">
        <v>326</v>
      </c>
      <c r="F9" s="240">
        <v>3</v>
      </c>
      <c r="G9" s="240" t="s">
        <v>6</v>
      </c>
      <c r="H9" s="241" t="s">
        <v>7</v>
      </c>
      <c r="I9" s="242">
        <v>10433880</v>
      </c>
      <c r="J9" s="243">
        <v>0</v>
      </c>
      <c r="K9" s="244">
        <v>0</v>
      </c>
      <c r="L9" s="245">
        <v>0</v>
      </c>
      <c r="M9" s="246">
        <f t="shared" si="0"/>
        <v>0</v>
      </c>
      <c r="N9" s="231">
        <v>10433880</v>
      </c>
      <c r="O9" s="231">
        <v>0</v>
      </c>
      <c r="P9" s="232" t="s">
        <v>594</v>
      </c>
      <c r="Q9" s="233">
        <v>0</v>
      </c>
      <c r="R9" s="247">
        <v>0</v>
      </c>
      <c r="S9" s="235">
        <v>0</v>
      </c>
      <c r="T9" s="248">
        <f>N9</f>
        <v>10433880</v>
      </c>
      <c r="U9" s="236">
        <f t="shared" si="1"/>
        <v>10433880</v>
      </c>
      <c r="V9" s="249" t="s">
        <v>602</v>
      </c>
      <c r="W9" s="238"/>
    </row>
    <row r="10" spans="1:32" s="267" customFormat="1" ht="66" customHeight="1" x14ac:dyDescent="0.2">
      <c r="A10" s="250">
        <v>1</v>
      </c>
      <c r="B10" s="250" t="s">
        <v>4</v>
      </c>
      <c r="C10" s="251" t="s">
        <v>325</v>
      </c>
      <c r="D10" s="250" t="s">
        <v>5</v>
      </c>
      <c r="E10" s="251" t="s">
        <v>326</v>
      </c>
      <c r="F10" s="252" t="s">
        <v>632</v>
      </c>
      <c r="G10" s="250" t="s">
        <v>6</v>
      </c>
      <c r="H10" s="253" t="s">
        <v>7</v>
      </c>
      <c r="I10" s="254">
        <v>0</v>
      </c>
      <c r="J10" s="255">
        <v>0</v>
      </c>
      <c r="K10" s="256">
        <v>0</v>
      </c>
      <c r="L10" s="257">
        <v>0</v>
      </c>
      <c r="M10" s="258">
        <f t="shared" si="0"/>
        <v>0</v>
      </c>
      <c r="N10" s="259">
        <v>0</v>
      </c>
      <c r="O10" s="259">
        <v>0</v>
      </c>
      <c r="P10" s="232">
        <f t="shared" si="2"/>
        <v>0</v>
      </c>
      <c r="Q10" s="260">
        <v>0</v>
      </c>
      <c r="R10" s="261">
        <v>0</v>
      </c>
      <c r="S10" s="262">
        <f>K13+751017+2125000</f>
        <v>7925320</v>
      </c>
      <c r="T10" s="263">
        <v>0</v>
      </c>
      <c r="U10" s="264">
        <f t="shared" si="1"/>
        <v>7925320</v>
      </c>
      <c r="V10" s="265" t="s">
        <v>603</v>
      </c>
      <c r="W10" s="266"/>
      <c r="X10" s="239"/>
      <c r="Y10" s="239"/>
    </row>
    <row r="11" spans="1:32" s="239" customFormat="1" ht="44.25" customHeight="1" x14ac:dyDescent="0.2">
      <c r="A11" s="240">
        <v>1</v>
      </c>
      <c r="B11" s="240" t="s">
        <v>4</v>
      </c>
      <c r="C11" s="224" t="s">
        <v>325</v>
      </c>
      <c r="D11" s="240" t="s">
        <v>79</v>
      </c>
      <c r="E11" s="268" t="s">
        <v>345</v>
      </c>
      <c r="F11" s="269" t="s">
        <v>89</v>
      </c>
      <c r="G11" s="269" t="s">
        <v>6</v>
      </c>
      <c r="H11" s="270" t="s">
        <v>7</v>
      </c>
      <c r="I11" s="242">
        <v>54424846</v>
      </c>
      <c r="J11" s="243">
        <v>0</v>
      </c>
      <c r="K11" s="244">
        <v>0</v>
      </c>
      <c r="L11" s="245">
        <v>0</v>
      </c>
      <c r="M11" s="246">
        <f t="shared" si="0"/>
        <v>0</v>
      </c>
      <c r="N11" s="231">
        <v>0</v>
      </c>
      <c r="O11" s="231">
        <v>0</v>
      </c>
      <c r="P11" s="232">
        <f t="shared" si="2"/>
        <v>0</v>
      </c>
      <c r="Q11" s="233">
        <v>0</v>
      </c>
      <c r="R11" s="247">
        <v>0</v>
      </c>
      <c r="S11" s="235">
        <v>0</v>
      </c>
      <c r="T11" s="248">
        <v>0</v>
      </c>
      <c r="U11" s="236">
        <f t="shared" si="1"/>
        <v>54424846</v>
      </c>
      <c r="V11" s="249" t="s">
        <v>604</v>
      </c>
      <c r="W11" s="238"/>
    </row>
    <row r="12" spans="1:32" s="239" customFormat="1" ht="39.75" customHeight="1" x14ac:dyDescent="0.2">
      <c r="A12" s="240">
        <v>1</v>
      </c>
      <c r="B12" s="240" t="s">
        <v>4</v>
      </c>
      <c r="C12" s="224" t="s">
        <v>325</v>
      </c>
      <c r="D12" s="240" t="s">
        <v>80</v>
      </c>
      <c r="E12" s="268" t="s">
        <v>346</v>
      </c>
      <c r="F12" s="269">
        <v>1</v>
      </c>
      <c r="G12" s="269" t="s">
        <v>6</v>
      </c>
      <c r="H12" s="270" t="s">
        <v>7</v>
      </c>
      <c r="I12" s="242">
        <v>10690671</v>
      </c>
      <c r="J12" s="243">
        <v>0</v>
      </c>
      <c r="K12" s="244">
        <v>0</v>
      </c>
      <c r="L12" s="271">
        <v>0</v>
      </c>
      <c r="M12" s="246">
        <f t="shared" si="0"/>
        <v>0</v>
      </c>
      <c r="N12" s="231">
        <v>0</v>
      </c>
      <c r="O12" s="231">
        <v>0</v>
      </c>
      <c r="P12" s="232">
        <f t="shared" si="2"/>
        <v>0</v>
      </c>
      <c r="Q12" s="233">
        <v>0</v>
      </c>
      <c r="R12" s="247">
        <v>0</v>
      </c>
      <c r="S12" s="235">
        <v>0</v>
      </c>
      <c r="T12" s="248">
        <v>0</v>
      </c>
      <c r="U12" s="236">
        <f t="shared" si="1"/>
        <v>10690671</v>
      </c>
      <c r="V12" s="249" t="s">
        <v>674</v>
      </c>
      <c r="W12" s="238"/>
    </row>
    <row r="13" spans="1:32" s="239" customFormat="1" ht="96.75" customHeight="1" x14ac:dyDescent="0.2">
      <c r="A13" s="240">
        <v>1</v>
      </c>
      <c r="B13" s="240" t="s">
        <v>4</v>
      </c>
      <c r="C13" s="224" t="s">
        <v>325</v>
      </c>
      <c r="D13" s="240" t="s">
        <v>80</v>
      </c>
      <c r="E13" s="268" t="s">
        <v>346</v>
      </c>
      <c r="F13" s="269">
        <v>2</v>
      </c>
      <c r="G13" s="269" t="s">
        <v>6</v>
      </c>
      <c r="H13" s="270" t="s">
        <v>7</v>
      </c>
      <c r="I13" s="242">
        <v>9844987</v>
      </c>
      <c r="J13" s="243">
        <v>0</v>
      </c>
      <c r="K13" s="244">
        <f>9049303-4000000</f>
        <v>5049303</v>
      </c>
      <c r="L13" s="245">
        <v>0</v>
      </c>
      <c r="M13" s="246">
        <f t="shared" si="0"/>
        <v>5049303</v>
      </c>
      <c r="N13" s="233">
        <v>0</v>
      </c>
      <c r="O13" s="233">
        <v>0</v>
      </c>
      <c r="P13" s="232">
        <f t="shared" si="2"/>
        <v>0</v>
      </c>
      <c r="Q13" s="233">
        <v>0</v>
      </c>
      <c r="R13" s="247">
        <v>0</v>
      </c>
      <c r="S13" s="235">
        <v>0</v>
      </c>
      <c r="T13" s="248">
        <v>0</v>
      </c>
      <c r="U13" s="236">
        <f t="shared" si="1"/>
        <v>4795684</v>
      </c>
      <c r="V13" s="249" t="s">
        <v>675</v>
      </c>
      <c r="W13" s="238"/>
    </row>
    <row r="14" spans="1:32" s="239" customFormat="1" ht="82.5" customHeight="1" x14ac:dyDescent="0.2">
      <c r="A14" s="240">
        <v>1</v>
      </c>
      <c r="B14" s="240" t="s">
        <v>4</v>
      </c>
      <c r="C14" s="224" t="s">
        <v>325</v>
      </c>
      <c r="D14" s="240" t="s">
        <v>81</v>
      </c>
      <c r="E14" s="268" t="s">
        <v>522</v>
      </c>
      <c r="F14" s="269" t="s">
        <v>89</v>
      </c>
      <c r="G14" s="269" t="s">
        <v>6</v>
      </c>
      <c r="H14" s="270" t="s">
        <v>7</v>
      </c>
      <c r="I14" s="272">
        <f>102964724+4489000+4000000</f>
        <v>111453724</v>
      </c>
      <c r="J14" s="243">
        <v>0</v>
      </c>
      <c r="K14" s="244">
        <f>4489000+4000000</f>
        <v>8489000</v>
      </c>
      <c r="L14" s="273">
        <f>4000000+4489000</f>
        <v>8489000</v>
      </c>
      <c r="M14" s="246">
        <f t="shared" si="0"/>
        <v>0</v>
      </c>
      <c r="N14" s="231">
        <f>ROUNDDOWN((8523.93000000715),0)</f>
        <v>8523</v>
      </c>
      <c r="O14" s="231">
        <f>ROUNDDOWN((8523.93000000715),0)</f>
        <v>8523</v>
      </c>
      <c r="P14" s="232">
        <f t="shared" si="2"/>
        <v>0</v>
      </c>
      <c r="Q14" s="233">
        <v>0</v>
      </c>
      <c r="R14" s="247">
        <v>0</v>
      </c>
      <c r="S14" s="235">
        <f>K14</f>
        <v>8489000</v>
      </c>
      <c r="T14" s="248">
        <f>N14</f>
        <v>8523</v>
      </c>
      <c r="U14" s="236">
        <f t="shared" si="1"/>
        <v>111453724</v>
      </c>
      <c r="V14" s="249" t="s">
        <v>676</v>
      </c>
      <c r="W14" s="238"/>
    </row>
    <row r="15" spans="1:32" s="239" customFormat="1" ht="45" customHeight="1" x14ac:dyDescent="0.2">
      <c r="A15" s="240">
        <v>1</v>
      </c>
      <c r="B15" s="240" t="s">
        <v>4</v>
      </c>
      <c r="C15" s="224" t="s">
        <v>325</v>
      </c>
      <c r="D15" s="240" t="s">
        <v>82</v>
      </c>
      <c r="E15" s="268" t="s">
        <v>347</v>
      </c>
      <c r="F15" s="240">
        <v>1</v>
      </c>
      <c r="G15" s="240" t="s">
        <v>6</v>
      </c>
      <c r="H15" s="241" t="s">
        <v>7</v>
      </c>
      <c r="I15" s="242">
        <v>14140333</v>
      </c>
      <c r="J15" s="243">
        <v>0</v>
      </c>
      <c r="K15" s="244">
        <v>3545103</v>
      </c>
      <c r="L15" s="245">
        <v>0</v>
      </c>
      <c r="M15" s="246">
        <f t="shared" si="0"/>
        <v>3545103</v>
      </c>
      <c r="N15" s="231">
        <f>ROUNDDOWN((2.66999999992549),0)</f>
        <v>2</v>
      </c>
      <c r="O15" s="231">
        <f>ROUNDDOWN((2.66999999992549),0)</f>
        <v>2</v>
      </c>
      <c r="P15" s="232">
        <f t="shared" si="2"/>
        <v>0</v>
      </c>
      <c r="Q15" s="233">
        <v>0</v>
      </c>
      <c r="R15" s="247">
        <v>0</v>
      </c>
      <c r="S15" s="235">
        <f>K15-751017</f>
        <v>2794086</v>
      </c>
      <c r="T15" s="248">
        <f>N15</f>
        <v>2</v>
      </c>
      <c r="U15" s="236">
        <f t="shared" si="1"/>
        <v>13389316</v>
      </c>
      <c r="V15" s="249" t="s">
        <v>677</v>
      </c>
      <c r="W15" s="238"/>
    </row>
    <row r="16" spans="1:32" s="239" customFormat="1" ht="48" customHeight="1" x14ac:dyDescent="0.2">
      <c r="A16" s="240">
        <v>1</v>
      </c>
      <c r="B16" s="240" t="s">
        <v>4</v>
      </c>
      <c r="C16" s="224" t="s">
        <v>325</v>
      </c>
      <c r="D16" s="240" t="s">
        <v>82</v>
      </c>
      <c r="E16" s="268" t="s">
        <v>347</v>
      </c>
      <c r="F16" s="240">
        <v>2</v>
      </c>
      <c r="G16" s="240" t="s">
        <v>6</v>
      </c>
      <c r="H16" s="241" t="s">
        <v>7</v>
      </c>
      <c r="I16" s="242">
        <v>5624535</v>
      </c>
      <c r="J16" s="243">
        <v>0</v>
      </c>
      <c r="K16" s="244">
        <v>293009</v>
      </c>
      <c r="L16" s="245">
        <v>0</v>
      </c>
      <c r="M16" s="246">
        <f t="shared" si="0"/>
        <v>293009</v>
      </c>
      <c r="N16" s="231">
        <f>ROUNDDOWN((24143.5499999998),0)</f>
        <v>24143</v>
      </c>
      <c r="O16" s="231">
        <f>ROUNDDOWN((24143.5499999998),0)</f>
        <v>24143</v>
      </c>
      <c r="P16" s="232">
        <f t="shared" si="2"/>
        <v>0</v>
      </c>
      <c r="Q16" s="233">
        <v>0</v>
      </c>
      <c r="R16" s="247">
        <v>0</v>
      </c>
      <c r="S16" s="235">
        <f>K16</f>
        <v>293009</v>
      </c>
      <c r="T16" s="248">
        <f>N16</f>
        <v>24143</v>
      </c>
      <c r="U16" s="236">
        <f t="shared" si="1"/>
        <v>5624535</v>
      </c>
      <c r="V16" s="249" t="s">
        <v>496</v>
      </c>
      <c r="W16" s="238"/>
    </row>
    <row r="17" spans="1:25" s="239" customFormat="1" ht="69.75" customHeight="1" x14ac:dyDescent="0.2">
      <c r="A17" s="240">
        <v>1</v>
      </c>
      <c r="B17" s="240" t="s">
        <v>4</v>
      </c>
      <c r="C17" s="224" t="s">
        <v>325</v>
      </c>
      <c r="D17" s="240" t="s">
        <v>82</v>
      </c>
      <c r="E17" s="268" t="s">
        <v>347</v>
      </c>
      <c r="F17" s="240">
        <v>3</v>
      </c>
      <c r="G17" s="240" t="s">
        <v>6</v>
      </c>
      <c r="H17" s="241" t="s">
        <v>7</v>
      </c>
      <c r="I17" s="242">
        <v>12269342</v>
      </c>
      <c r="J17" s="243">
        <v>0</v>
      </c>
      <c r="K17" s="244">
        <v>3825000</v>
      </c>
      <c r="L17" s="245">
        <v>0</v>
      </c>
      <c r="M17" s="246">
        <f t="shared" si="0"/>
        <v>3825000</v>
      </c>
      <c r="N17" s="231">
        <v>0</v>
      </c>
      <c r="O17" s="231">
        <v>0</v>
      </c>
      <c r="P17" s="232">
        <f t="shared" si="2"/>
        <v>0</v>
      </c>
      <c r="Q17" s="233">
        <v>0</v>
      </c>
      <c r="R17" s="247">
        <v>0</v>
      </c>
      <c r="S17" s="235">
        <f>K17-2125000</f>
        <v>1700000</v>
      </c>
      <c r="T17" s="248">
        <v>0</v>
      </c>
      <c r="U17" s="236">
        <f t="shared" si="1"/>
        <v>10144342</v>
      </c>
      <c r="V17" s="249" t="s">
        <v>678</v>
      </c>
      <c r="W17" s="238"/>
    </row>
    <row r="18" spans="1:25" s="239" customFormat="1" ht="41.25" customHeight="1" x14ac:dyDescent="0.2">
      <c r="A18" s="240">
        <v>1</v>
      </c>
      <c r="B18" s="274" t="s">
        <v>10</v>
      </c>
      <c r="C18" s="275" t="s">
        <v>523</v>
      </c>
      <c r="D18" s="274" t="s">
        <v>83</v>
      </c>
      <c r="E18" s="275" t="s">
        <v>348</v>
      </c>
      <c r="F18" s="276">
        <v>1</v>
      </c>
      <c r="G18" s="276" t="s">
        <v>153</v>
      </c>
      <c r="H18" s="277" t="s">
        <v>7</v>
      </c>
      <c r="I18" s="247">
        <v>1000000</v>
      </c>
      <c r="J18" s="243">
        <v>0</v>
      </c>
      <c r="K18" s="244">
        <v>0</v>
      </c>
      <c r="L18" s="245">
        <v>0</v>
      </c>
      <c r="M18" s="246">
        <f t="shared" si="0"/>
        <v>0</v>
      </c>
      <c r="N18" s="231">
        <v>0</v>
      </c>
      <c r="O18" s="231">
        <v>0</v>
      </c>
      <c r="P18" s="232">
        <f t="shared" si="2"/>
        <v>0</v>
      </c>
      <c r="Q18" s="233">
        <v>0</v>
      </c>
      <c r="R18" s="247">
        <v>0</v>
      </c>
      <c r="S18" s="235">
        <v>0</v>
      </c>
      <c r="T18" s="248">
        <v>0</v>
      </c>
      <c r="U18" s="236">
        <f t="shared" si="1"/>
        <v>1000000</v>
      </c>
      <c r="V18" s="249" t="s">
        <v>314</v>
      </c>
      <c r="W18" s="238"/>
    </row>
    <row r="19" spans="1:25" s="239" customFormat="1" ht="42.75" customHeight="1" x14ac:dyDescent="0.2">
      <c r="A19" s="240">
        <v>1</v>
      </c>
      <c r="B19" s="274" t="s">
        <v>10</v>
      </c>
      <c r="C19" s="275" t="s">
        <v>523</v>
      </c>
      <c r="D19" s="274" t="s">
        <v>83</v>
      </c>
      <c r="E19" s="275" t="s">
        <v>348</v>
      </c>
      <c r="F19" s="276">
        <v>2</v>
      </c>
      <c r="G19" s="276" t="s">
        <v>153</v>
      </c>
      <c r="H19" s="277" t="s">
        <v>7</v>
      </c>
      <c r="I19" s="247">
        <v>25650000</v>
      </c>
      <c r="J19" s="243">
        <v>0</v>
      </c>
      <c r="K19" s="244">
        <v>0</v>
      </c>
      <c r="L19" s="245">
        <v>0</v>
      </c>
      <c r="M19" s="246">
        <f t="shared" si="0"/>
        <v>0</v>
      </c>
      <c r="N19" s="231">
        <f>ROUNDDOWN((996739.170000002),0)</f>
        <v>996739</v>
      </c>
      <c r="O19" s="233">
        <f>ROUNDDOWN((996739.170000002),0)</f>
        <v>996739</v>
      </c>
      <c r="P19" s="232">
        <f t="shared" si="2"/>
        <v>0</v>
      </c>
      <c r="Q19" s="233">
        <v>0</v>
      </c>
      <c r="R19" s="247">
        <v>0</v>
      </c>
      <c r="S19" s="235">
        <v>0</v>
      </c>
      <c r="T19" s="248">
        <v>0</v>
      </c>
      <c r="U19" s="236">
        <f t="shared" si="1"/>
        <v>24653261</v>
      </c>
      <c r="V19" s="249" t="s">
        <v>605</v>
      </c>
      <c r="W19" s="238"/>
    </row>
    <row r="20" spans="1:25" s="239" customFormat="1" ht="15" customHeight="1" x14ac:dyDescent="0.2">
      <c r="A20" s="240">
        <v>1</v>
      </c>
      <c r="B20" s="274" t="s">
        <v>10</v>
      </c>
      <c r="C20" s="275" t="s">
        <v>523</v>
      </c>
      <c r="D20" s="274" t="s">
        <v>83</v>
      </c>
      <c r="E20" s="275" t="s">
        <v>348</v>
      </c>
      <c r="F20" s="276">
        <v>3</v>
      </c>
      <c r="G20" s="276" t="s">
        <v>153</v>
      </c>
      <c r="H20" s="277" t="s">
        <v>7</v>
      </c>
      <c r="I20" s="247">
        <v>0</v>
      </c>
      <c r="J20" s="243">
        <v>0</v>
      </c>
      <c r="K20" s="244">
        <v>0</v>
      </c>
      <c r="L20" s="245">
        <v>0</v>
      </c>
      <c r="M20" s="246">
        <f t="shared" si="0"/>
        <v>0</v>
      </c>
      <c r="N20" s="231">
        <v>0</v>
      </c>
      <c r="O20" s="231">
        <v>0</v>
      </c>
      <c r="P20" s="232">
        <f t="shared" si="2"/>
        <v>0</v>
      </c>
      <c r="Q20" s="233">
        <v>0</v>
      </c>
      <c r="R20" s="247">
        <v>0</v>
      </c>
      <c r="S20" s="235">
        <v>0</v>
      </c>
      <c r="T20" s="248">
        <v>0</v>
      </c>
      <c r="U20" s="236">
        <f t="shared" si="1"/>
        <v>0</v>
      </c>
      <c r="V20" s="249" t="s">
        <v>314</v>
      </c>
      <c r="W20" s="238"/>
    </row>
    <row r="21" spans="1:25" s="239" customFormat="1" ht="15" customHeight="1" x14ac:dyDescent="0.2">
      <c r="A21" s="240">
        <v>1</v>
      </c>
      <c r="B21" s="274" t="s">
        <v>10</v>
      </c>
      <c r="C21" s="275" t="s">
        <v>523</v>
      </c>
      <c r="D21" s="274" t="s">
        <v>83</v>
      </c>
      <c r="E21" s="275" t="s">
        <v>348</v>
      </c>
      <c r="F21" s="276">
        <v>4</v>
      </c>
      <c r="G21" s="276" t="s">
        <v>153</v>
      </c>
      <c r="H21" s="277" t="s">
        <v>7</v>
      </c>
      <c r="I21" s="247">
        <v>37664892</v>
      </c>
      <c r="J21" s="243">
        <v>0</v>
      </c>
      <c r="K21" s="244">
        <v>0</v>
      </c>
      <c r="L21" s="245">
        <v>0</v>
      </c>
      <c r="M21" s="246">
        <f t="shared" si="0"/>
        <v>0</v>
      </c>
      <c r="N21" s="231">
        <v>0</v>
      </c>
      <c r="O21" s="231">
        <v>0</v>
      </c>
      <c r="P21" s="232">
        <f t="shared" si="2"/>
        <v>0</v>
      </c>
      <c r="Q21" s="233">
        <v>0</v>
      </c>
      <c r="R21" s="247">
        <v>0</v>
      </c>
      <c r="S21" s="235">
        <v>0</v>
      </c>
      <c r="T21" s="248">
        <v>0</v>
      </c>
      <c r="U21" s="236">
        <f t="shared" si="1"/>
        <v>37664892</v>
      </c>
      <c r="V21" s="249" t="s">
        <v>314</v>
      </c>
      <c r="W21" s="238"/>
    </row>
    <row r="22" spans="1:25" s="267" customFormat="1" ht="57" customHeight="1" x14ac:dyDescent="0.2">
      <c r="A22" s="250">
        <v>1</v>
      </c>
      <c r="B22" s="278" t="s">
        <v>10</v>
      </c>
      <c r="C22" s="279" t="s">
        <v>523</v>
      </c>
      <c r="D22" s="278" t="s">
        <v>83</v>
      </c>
      <c r="E22" s="279" t="s">
        <v>348</v>
      </c>
      <c r="F22" s="280" t="s">
        <v>632</v>
      </c>
      <c r="G22" s="280" t="s">
        <v>153</v>
      </c>
      <c r="H22" s="281" t="s">
        <v>7</v>
      </c>
      <c r="I22" s="261">
        <v>0</v>
      </c>
      <c r="J22" s="255"/>
      <c r="K22" s="256">
        <v>0</v>
      </c>
      <c r="L22" s="282">
        <v>0</v>
      </c>
      <c r="M22" s="258">
        <f t="shared" si="0"/>
        <v>0</v>
      </c>
      <c r="N22" s="283">
        <v>0</v>
      </c>
      <c r="O22" s="283">
        <v>0</v>
      </c>
      <c r="P22" s="232">
        <f t="shared" si="2"/>
        <v>0</v>
      </c>
      <c r="Q22" s="260">
        <v>0</v>
      </c>
      <c r="R22" s="261">
        <v>0</v>
      </c>
      <c r="S22" s="262">
        <v>4767614</v>
      </c>
      <c r="T22" s="263">
        <f>N19</f>
        <v>996739</v>
      </c>
      <c r="U22" s="264">
        <f t="shared" si="1"/>
        <v>5764353</v>
      </c>
      <c r="V22" s="265" t="s">
        <v>606</v>
      </c>
      <c r="W22" s="284"/>
      <c r="X22" s="239"/>
      <c r="Y22" s="239"/>
    </row>
    <row r="23" spans="1:25" s="239" customFormat="1" ht="96.75" customHeight="1" x14ac:dyDescent="0.2">
      <c r="A23" s="240">
        <v>1</v>
      </c>
      <c r="B23" s="274" t="s">
        <v>10</v>
      </c>
      <c r="C23" s="275" t="s">
        <v>523</v>
      </c>
      <c r="D23" s="274" t="s">
        <v>84</v>
      </c>
      <c r="E23" s="275" t="s">
        <v>349</v>
      </c>
      <c r="F23" s="276" t="s">
        <v>89</v>
      </c>
      <c r="G23" s="276" t="s">
        <v>153</v>
      </c>
      <c r="H23" s="277" t="s">
        <v>7</v>
      </c>
      <c r="I23" s="247">
        <v>30011000</v>
      </c>
      <c r="J23" s="243">
        <v>0</v>
      </c>
      <c r="K23" s="244">
        <v>12761000</v>
      </c>
      <c r="L23" s="273">
        <v>0</v>
      </c>
      <c r="M23" s="246">
        <f t="shared" si="0"/>
        <v>12761000</v>
      </c>
      <c r="N23" s="233">
        <v>0</v>
      </c>
      <c r="O23" s="233">
        <v>0</v>
      </c>
      <c r="P23" s="232">
        <f t="shared" si="2"/>
        <v>0</v>
      </c>
      <c r="Q23" s="233">
        <v>0</v>
      </c>
      <c r="R23" s="247">
        <v>0</v>
      </c>
      <c r="S23" s="235">
        <f>K23-4767614</f>
        <v>7993386</v>
      </c>
      <c r="T23" s="248">
        <v>0</v>
      </c>
      <c r="U23" s="236">
        <f t="shared" si="1"/>
        <v>25243386</v>
      </c>
      <c r="V23" s="249" t="s">
        <v>679</v>
      </c>
      <c r="W23" s="238"/>
    </row>
    <row r="24" spans="1:25" s="239" customFormat="1" ht="27.75" customHeight="1" x14ac:dyDescent="0.2">
      <c r="A24" s="240">
        <v>1</v>
      </c>
      <c r="B24" s="274" t="s">
        <v>10</v>
      </c>
      <c r="C24" s="275" t="s">
        <v>523</v>
      </c>
      <c r="D24" s="274" t="s">
        <v>85</v>
      </c>
      <c r="E24" s="275" t="s">
        <v>350</v>
      </c>
      <c r="F24" s="276">
        <v>1</v>
      </c>
      <c r="G24" s="276" t="s">
        <v>153</v>
      </c>
      <c r="H24" s="277" t="s">
        <v>7</v>
      </c>
      <c r="I24" s="247">
        <v>22248706</v>
      </c>
      <c r="J24" s="243">
        <v>0</v>
      </c>
      <c r="K24" s="244">
        <v>0</v>
      </c>
      <c r="L24" s="245">
        <v>0</v>
      </c>
      <c r="M24" s="246">
        <f t="shared" si="0"/>
        <v>0</v>
      </c>
      <c r="N24" s="231">
        <f>ROUNDDOWN((7969.8599999994),0)</f>
        <v>7969</v>
      </c>
      <c r="O24" s="231">
        <f>ROUNDDOWN((7969.8599999994),0)</f>
        <v>7969</v>
      </c>
      <c r="P24" s="232">
        <f t="shared" si="2"/>
        <v>0</v>
      </c>
      <c r="Q24" s="233">
        <v>0</v>
      </c>
      <c r="R24" s="247">
        <v>0</v>
      </c>
      <c r="S24" s="235">
        <v>0</v>
      </c>
      <c r="T24" s="248">
        <v>0</v>
      </c>
      <c r="U24" s="236">
        <f t="shared" si="1"/>
        <v>22240737</v>
      </c>
      <c r="V24" s="249" t="s">
        <v>607</v>
      </c>
      <c r="W24" s="238"/>
    </row>
    <row r="25" spans="1:25" s="239" customFormat="1" ht="30" customHeight="1" x14ac:dyDescent="0.2">
      <c r="A25" s="240">
        <v>1</v>
      </c>
      <c r="B25" s="274" t="s">
        <v>10</v>
      </c>
      <c r="C25" s="275" t="s">
        <v>523</v>
      </c>
      <c r="D25" s="274" t="s">
        <v>85</v>
      </c>
      <c r="E25" s="275" t="s">
        <v>350</v>
      </c>
      <c r="F25" s="276">
        <v>2</v>
      </c>
      <c r="G25" s="276" t="s">
        <v>153</v>
      </c>
      <c r="H25" s="277" t="s">
        <v>7</v>
      </c>
      <c r="I25" s="247">
        <v>37751294</v>
      </c>
      <c r="J25" s="243">
        <v>0</v>
      </c>
      <c r="K25" s="244">
        <v>0</v>
      </c>
      <c r="L25" s="245">
        <v>0</v>
      </c>
      <c r="M25" s="246">
        <f t="shared" si="0"/>
        <v>0</v>
      </c>
      <c r="N25" s="231">
        <f>ROUNDDOWN((1963699.05),0)</f>
        <v>1963699</v>
      </c>
      <c r="O25" s="233">
        <f>ROUNDDOWN((1963699.05),0)</f>
        <v>1963699</v>
      </c>
      <c r="P25" s="232">
        <f t="shared" si="2"/>
        <v>0</v>
      </c>
      <c r="Q25" s="233">
        <v>0</v>
      </c>
      <c r="R25" s="247">
        <v>0</v>
      </c>
      <c r="S25" s="235">
        <v>0</v>
      </c>
      <c r="T25" s="248">
        <f>N25+N24</f>
        <v>1971668</v>
      </c>
      <c r="U25" s="236">
        <f t="shared" si="1"/>
        <v>37759263</v>
      </c>
      <c r="V25" s="249" t="s">
        <v>608</v>
      </c>
      <c r="W25" s="238"/>
    </row>
    <row r="26" spans="1:25" s="239" customFormat="1" ht="28.5" customHeight="1" x14ac:dyDescent="0.2">
      <c r="A26" s="276">
        <v>1</v>
      </c>
      <c r="B26" s="276" t="s">
        <v>11</v>
      </c>
      <c r="C26" s="276" t="s">
        <v>351</v>
      </c>
      <c r="D26" s="276" t="s">
        <v>86</v>
      </c>
      <c r="E26" s="276" t="s">
        <v>352</v>
      </c>
      <c r="F26" s="276">
        <v>1</v>
      </c>
      <c r="G26" s="276" t="s">
        <v>153</v>
      </c>
      <c r="H26" s="277" t="s">
        <v>7</v>
      </c>
      <c r="I26" s="247">
        <v>9000000</v>
      </c>
      <c r="J26" s="243">
        <v>0</v>
      </c>
      <c r="K26" s="244">
        <v>0</v>
      </c>
      <c r="L26" s="245">
        <v>0</v>
      </c>
      <c r="M26" s="246">
        <f t="shared" si="0"/>
        <v>0</v>
      </c>
      <c r="N26" s="231">
        <f>ROUNDDOWN((15334.4000000003),0)</f>
        <v>15334</v>
      </c>
      <c r="O26" s="231">
        <f>ROUNDDOWN((15334.4000000003),0)</f>
        <v>15334</v>
      </c>
      <c r="P26" s="232">
        <f t="shared" si="2"/>
        <v>0</v>
      </c>
      <c r="Q26" s="233">
        <v>0</v>
      </c>
      <c r="R26" s="247">
        <v>0</v>
      </c>
      <c r="S26" s="235">
        <v>0</v>
      </c>
      <c r="T26" s="248">
        <v>0</v>
      </c>
      <c r="U26" s="236">
        <f t="shared" si="1"/>
        <v>8984666</v>
      </c>
      <c r="V26" s="249" t="s">
        <v>609</v>
      </c>
      <c r="W26" s="238"/>
    </row>
    <row r="27" spans="1:25" s="239" customFormat="1" ht="27.75" customHeight="1" x14ac:dyDescent="0.2">
      <c r="A27" s="276">
        <v>1</v>
      </c>
      <c r="B27" s="276" t="s">
        <v>11</v>
      </c>
      <c r="C27" s="276" t="s">
        <v>351</v>
      </c>
      <c r="D27" s="276" t="s">
        <v>86</v>
      </c>
      <c r="E27" s="276" t="s">
        <v>352</v>
      </c>
      <c r="F27" s="276">
        <v>2</v>
      </c>
      <c r="G27" s="276" t="s">
        <v>153</v>
      </c>
      <c r="H27" s="277" t="s">
        <v>7</v>
      </c>
      <c r="I27" s="247">
        <v>9000000</v>
      </c>
      <c r="J27" s="243">
        <v>0</v>
      </c>
      <c r="K27" s="244">
        <v>0</v>
      </c>
      <c r="L27" s="245">
        <v>0</v>
      </c>
      <c r="M27" s="246">
        <f t="shared" si="0"/>
        <v>0</v>
      </c>
      <c r="N27" s="231">
        <f>ROUNDDOWN((9000000),0)</f>
        <v>9000000</v>
      </c>
      <c r="O27" s="231">
        <f>ROUNDDOWN((9000000),0)</f>
        <v>9000000</v>
      </c>
      <c r="P27" s="232">
        <f t="shared" si="2"/>
        <v>0</v>
      </c>
      <c r="Q27" s="233">
        <v>0</v>
      </c>
      <c r="R27" s="247">
        <v>0</v>
      </c>
      <c r="S27" s="235">
        <v>0</v>
      </c>
      <c r="T27" s="248">
        <f>N27+N26</f>
        <v>9015334</v>
      </c>
      <c r="U27" s="236">
        <f t="shared" si="1"/>
        <v>9015334</v>
      </c>
      <c r="V27" s="249" t="s">
        <v>610</v>
      </c>
      <c r="W27" s="238"/>
    </row>
    <row r="28" spans="1:25" s="239" customFormat="1" ht="17.25" customHeight="1" x14ac:dyDescent="0.2">
      <c r="A28" s="276">
        <v>1</v>
      </c>
      <c r="B28" s="276" t="s">
        <v>11</v>
      </c>
      <c r="C28" s="276" t="s">
        <v>351</v>
      </c>
      <c r="D28" s="276" t="s">
        <v>87</v>
      </c>
      <c r="E28" s="276" t="s">
        <v>353</v>
      </c>
      <c r="F28" s="276" t="s">
        <v>89</v>
      </c>
      <c r="G28" s="276" t="s">
        <v>153</v>
      </c>
      <c r="H28" s="277" t="s">
        <v>7</v>
      </c>
      <c r="I28" s="247">
        <v>4801192</v>
      </c>
      <c r="J28" s="243">
        <v>0</v>
      </c>
      <c r="K28" s="244">
        <v>292850</v>
      </c>
      <c r="L28" s="245">
        <v>0</v>
      </c>
      <c r="M28" s="246">
        <f t="shared" si="0"/>
        <v>292850</v>
      </c>
      <c r="N28" s="231">
        <v>0</v>
      </c>
      <c r="O28" s="231">
        <v>0</v>
      </c>
      <c r="P28" s="232">
        <f t="shared" si="2"/>
        <v>0</v>
      </c>
      <c r="Q28" s="233">
        <v>0</v>
      </c>
      <c r="R28" s="247">
        <v>0</v>
      </c>
      <c r="S28" s="235">
        <f>K28</f>
        <v>292850</v>
      </c>
      <c r="T28" s="248">
        <v>0</v>
      </c>
      <c r="U28" s="236">
        <f t="shared" si="1"/>
        <v>4801192</v>
      </c>
      <c r="V28" s="249" t="s">
        <v>257</v>
      </c>
      <c r="W28" s="238"/>
    </row>
    <row r="29" spans="1:25" s="239" customFormat="1" ht="44.25" customHeight="1" thickBot="1" x14ac:dyDescent="0.25">
      <c r="A29" s="285">
        <v>1</v>
      </c>
      <c r="B29" s="285" t="s">
        <v>11</v>
      </c>
      <c r="C29" s="285" t="s">
        <v>351</v>
      </c>
      <c r="D29" s="285" t="s">
        <v>88</v>
      </c>
      <c r="E29" s="285" t="s">
        <v>354</v>
      </c>
      <c r="F29" s="285" t="s">
        <v>89</v>
      </c>
      <c r="G29" s="285" t="s">
        <v>153</v>
      </c>
      <c r="H29" s="286" t="s">
        <v>7</v>
      </c>
      <c r="I29" s="287">
        <v>6908242</v>
      </c>
      <c r="J29" s="288">
        <v>0</v>
      </c>
      <c r="K29" s="288">
        <v>0</v>
      </c>
      <c r="L29" s="289">
        <v>0</v>
      </c>
      <c r="M29" s="246">
        <f t="shared" si="0"/>
        <v>0</v>
      </c>
      <c r="N29" s="231">
        <f>ROUNDDOWN((2304.5),0)</f>
        <v>2304</v>
      </c>
      <c r="O29" s="231">
        <f>ROUNDDOWN((2304.5),0)</f>
        <v>2304</v>
      </c>
      <c r="P29" s="232">
        <f t="shared" si="2"/>
        <v>0</v>
      </c>
      <c r="Q29" s="233">
        <v>0</v>
      </c>
      <c r="R29" s="247">
        <v>0</v>
      </c>
      <c r="S29" s="235">
        <v>0</v>
      </c>
      <c r="T29" s="290">
        <f>N29</f>
        <v>2304</v>
      </c>
      <c r="U29" s="236">
        <f t="shared" si="1"/>
        <v>6908242</v>
      </c>
      <c r="V29" s="291" t="s">
        <v>611</v>
      </c>
      <c r="W29" s="238"/>
    </row>
    <row r="30" spans="1:25" s="301" customFormat="1" ht="15" customHeight="1" thickBot="1" x14ac:dyDescent="0.25">
      <c r="A30" s="292" t="s">
        <v>233</v>
      </c>
      <c r="B30" s="292"/>
      <c r="C30" s="292"/>
      <c r="D30" s="292"/>
      <c r="E30" s="292"/>
      <c r="F30" s="292"/>
      <c r="G30" s="292"/>
      <c r="H30" s="293" t="s">
        <v>7</v>
      </c>
      <c r="I30" s="294">
        <f>SUM(I7:I29)</f>
        <v>467519706</v>
      </c>
      <c r="J30" s="294">
        <f>SUM(J7:J29)</f>
        <v>0</v>
      </c>
      <c r="K30" s="295">
        <f>SUM(K7:K29)</f>
        <v>34255265</v>
      </c>
      <c r="L30" s="296">
        <f>SUM(L7:L29)</f>
        <v>8489000</v>
      </c>
      <c r="M30" s="296">
        <f t="shared" ref="M30" si="3">SUM(M7:M29)</f>
        <v>25766265</v>
      </c>
      <c r="N30" s="297">
        <f t="shared" ref="N30" si="4">SUM(N7:N29)</f>
        <v>22502946</v>
      </c>
      <c r="O30" s="297">
        <f t="shared" ref="O30:R30" si="5">SUM(O7:O29)</f>
        <v>12069066</v>
      </c>
      <c r="P30" s="297">
        <f t="shared" si="5"/>
        <v>0</v>
      </c>
      <c r="Q30" s="297">
        <f t="shared" si="5"/>
        <v>0</v>
      </c>
      <c r="R30" s="297">
        <f t="shared" si="5"/>
        <v>0</v>
      </c>
      <c r="S30" s="298">
        <f>SUM(S7:S29)</f>
        <v>34255265</v>
      </c>
      <c r="T30" s="294">
        <f>SUM(T7:T29)</f>
        <v>22502946</v>
      </c>
      <c r="U30" s="294">
        <f t="shared" ref="U30" si="6">SUM(U7:U29)</f>
        <v>467519706</v>
      </c>
      <c r="V30" s="299">
        <v>0</v>
      </c>
      <c r="W30" s="300"/>
      <c r="X30" s="239"/>
      <c r="Y30" s="239"/>
    </row>
    <row r="31" spans="1:25" s="239" customFormat="1" ht="29.25" customHeight="1" x14ac:dyDescent="0.2">
      <c r="A31" s="302">
        <v>2</v>
      </c>
      <c r="B31" s="303" t="s">
        <v>12</v>
      </c>
      <c r="C31" s="304" t="s">
        <v>355</v>
      </c>
      <c r="D31" s="305" t="s">
        <v>89</v>
      </c>
      <c r="E31" s="305" t="s">
        <v>89</v>
      </c>
      <c r="F31" s="305">
        <v>1</v>
      </c>
      <c r="G31" s="305" t="s">
        <v>154</v>
      </c>
      <c r="H31" s="306" t="s">
        <v>7</v>
      </c>
      <c r="I31" s="234">
        <v>39724115</v>
      </c>
      <c r="J31" s="228">
        <v>0</v>
      </c>
      <c r="K31" s="228">
        <v>0</v>
      </c>
      <c r="L31" s="229">
        <v>0</v>
      </c>
      <c r="M31" s="246">
        <f t="shared" si="0"/>
        <v>0</v>
      </c>
      <c r="N31" s="231">
        <v>0</v>
      </c>
      <c r="O31" s="231">
        <v>0</v>
      </c>
      <c r="P31" s="232">
        <f>N31-O31</f>
        <v>0</v>
      </c>
      <c r="Q31" s="233">
        <v>0</v>
      </c>
      <c r="R31" s="247">
        <v>0</v>
      </c>
      <c r="S31" s="235">
        <v>0</v>
      </c>
      <c r="T31" s="307">
        <f>N31</f>
        <v>0</v>
      </c>
      <c r="U31" s="308">
        <f>I31-K31-N31+S31+T31</f>
        <v>39724115</v>
      </c>
      <c r="V31" s="309" t="s">
        <v>314</v>
      </c>
      <c r="W31" s="238"/>
    </row>
    <row r="32" spans="1:25" s="239" customFormat="1" ht="32.25" customHeight="1" x14ac:dyDescent="0.2">
      <c r="A32" s="240">
        <v>2</v>
      </c>
      <c r="B32" s="274" t="s">
        <v>12</v>
      </c>
      <c r="C32" s="275" t="s">
        <v>355</v>
      </c>
      <c r="D32" s="310" t="s">
        <v>89</v>
      </c>
      <c r="E32" s="310" t="s">
        <v>89</v>
      </c>
      <c r="F32" s="310">
        <v>2</v>
      </c>
      <c r="G32" s="310" t="s">
        <v>154</v>
      </c>
      <c r="H32" s="311" t="s">
        <v>7</v>
      </c>
      <c r="I32" s="247">
        <v>4250000</v>
      </c>
      <c r="J32" s="244">
        <v>0</v>
      </c>
      <c r="K32" s="244">
        <v>2682212</v>
      </c>
      <c r="L32" s="245">
        <v>0</v>
      </c>
      <c r="M32" s="246">
        <f t="shared" si="0"/>
        <v>2682212</v>
      </c>
      <c r="N32" s="231">
        <f>I32-K32</f>
        <v>1567788</v>
      </c>
      <c r="O32" s="231">
        <f>I32-K32</f>
        <v>1567788</v>
      </c>
      <c r="P32" s="232">
        <f t="shared" ref="P32:P34" si="7">N32-O32</f>
        <v>0</v>
      </c>
      <c r="Q32" s="233">
        <v>0</v>
      </c>
      <c r="R32" s="247">
        <v>0</v>
      </c>
      <c r="S32" s="235">
        <v>0</v>
      </c>
      <c r="T32" s="248">
        <v>0</v>
      </c>
      <c r="U32" s="308">
        <f>I32-K32-N32+S32+T32</f>
        <v>0</v>
      </c>
      <c r="V32" s="249" t="s">
        <v>630</v>
      </c>
      <c r="W32" s="312"/>
      <c r="Y32" s="313"/>
    </row>
    <row r="33" spans="1:25" s="239" customFormat="1" ht="57.75" customHeight="1" x14ac:dyDescent="0.2">
      <c r="A33" s="240">
        <v>2</v>
      </c>
      <c r="B33" s="274" t="s">
        <v>13</v>
      </c>
      <c r="C33" s="275" t="s">
        <v>356</v>
      </c>
      <c r="D33" s="314" t="s">
        <v>90</v>
      </c>
      <c r="E33" s="314" t="s">
        <v>357</v>
      </c>
      <c r="F33" s="275" t="s">
        <v>89</v>
      </c>
      <c r="G33" s="276" t="s">
        <v>155</v>
      </c>
      <c r="H33" s="277" t="s">
        <v>7</v>
      </c>
      <c r="I33" s="247">
        <v>118694714</v>
      </c>
      <c r="J33" s="244">
        <v>0</v>
      </c>
      <c r="K33" s="244">
        <v>7856780</v>
      </c>
      <c r="L33" s="245">
        <v>0</v>
      </c>
      <c r="M33" s="246">
        <f t="shared" si="0"/>
        <v>7856780</v>
      </c>
      <c r="N33" s="231">
        <f>ROUNDDOWN((8871574.01000001),0)</f>
        <v>8871574</v>
      </c>
      <c r="O33" s="231">
        <v>0</v>
      </c>
      <c r="P33" s="232">
        <f t="shared" si="7"/>
        <v>8871574</v>
      </c>
      <c r="Q33" s="233">
        <v>0</v>
      </c>
      <c r="R33" s="247">
        <v>0</v>
      </c>
      <c r="S33" s="235">
        <f>K33-4054500</f>
        <v>3802280</v>
      </c>
      <c r="T33" s="248">
        <f>N33</f>
        <v>8871574</v>
      </c>
      <c r="U33" s="308">
        <f>I33-K33-N33+S33+T33</f>
        <v>114640214</v>
      </c>
      <c r="V33" s="249" t="s">
        <v>710</v>
      </c>
      <c r="W33" s="238"/>
    </row>
    <row r="34" spans="1:25" s="239" customFormat="1" ht="43.5" customHeight="1" thickBot="1" x14ac:dyDescent="0.25">
      <c r="A34" s="315">
        <v>2</v>
      </c>
      <c r="B34" s="316" t="s">
        <v>13</v>
      </c>
      <c r="C34" s="317" t="s">
        <v>356</v>
      </c>
      <c r="D34" s="318" t="s">
        <v>91</v>
      </c>
      <c r="E34" s="318" t="s">
        <v>524</v>
      </c>
      <c r="F34" s="317" t="s">
        <v>89</v>
      </c>
      <c r="G34" s="285" t="s">
        <v>155</v>
      </c>
      <c r="H34" s="286" t="s">
        <v>7</v>
      </c>
      <c r="I34" s="287">
        <v>10115000</v>
      </c>
      <c r="J34" s="288">
        <v>0</v>
      </c>
      <c r="K34" s="319">
        <v>0</v>
      </c>
      <c r="L34" s="320">
        <v>0</v>
      </c>
      <c r="M34" s="246">
        <f t="shared" si="0"/>
        <v>0</v>
      </c>
      <c r="N34" s="231">
        <v>0</v>
      </c>
      <c r="O34" s="231">
        <v>0</v>
      </c>
      <c r="P34" s="232">
        <f t="shared" si="7"/>
        <v>0</v>
      </c>
      <c r="Q34" s="233">
        <v>0</v>
      </c>
      <c r="R34" s="247">
        <v>0</v>
      </c>
      <c r="S34" s="235">
        <v>0</v>
      </c>
      <c r="T34" s="290">
        <f>N34</f>
        <v>0</v>
      </c>
      <c r="U34" s="308">
        <f>I34-K34-N34+S34+T34</f>
        <v>10115000</v>
      </c>
      <c r="V34" s="291" t="s">
        <v>612</v>
      </c>
      <c r="W34" s="238"/>
    </row>
    <row r="35" spans="1:25" s="301" customFormat="1" ht="18.75" customHeight="1" thickBot="1" x14ac:dyDescent="0.25">
      <c r="A35" s="321" t="s">
        <v>234</v>
      </c>
      <c r="B35" s="322"/>
      <c r="C35" s="323"/>
      <c r="D35" s="324"/>
      <c r="E35" s="324"/>
      <c r="F35" s="323"/>
      <c r="G35" s="292"/>
      <c r="H35" s="293" t="s">
        <v>7</v>
      </c>
      <c r="I35" s="325">
        <f t="shared" ref="I35:M35" si="8">SUM(I31:I34)</f>
        <v>172783829</v>
      </c>
      <c r="J35" s="325">
        <f t="shared" si="8"/>
        <v>0</v>
      </c>
      <c r="K35" s="326">
        <f t="shared" si="8"/>
        <v>10538992</v>
      </c>
      <c r="L35" s="466">
        <f t="shared" si="8"/>
        <v>0</v>
      </c>
      <c r="M35" s="327">
        <f t="shared" si="8"/>
        <v>10538992</v>
      </c>
      <c r="N35" s="328">
        <f t="shared" ref="N35" si="9">SUM(N31:N34)</f>
        <v>10439362</v>
      </c>
      <c r="O35" s="328">
        <f t="shared" ref="O35:Q35" si="10">SUM(O31:O34)</f>
        <v>1567788</v>
      </c>
      <c r="P35" s="328">
        <f t="shared" si="10"/>
        <v>8871574</v>
      </c>
      <c r="Q35" s="328">
        <f t="shared" si="10"/>
        <v>0</v>
      </c>
      <c r="R35" s="325">
        <f>SUM(R31:R34)</f>
        <v>0</v>
      </c>
      <c r="S35" s="329">
        <f>SUM(S31:S34)</f>
        <v>3802280</v>
      </c>
      <c r="T35" s="325">
        <f>SUM(T31:T34)</f>
        <v>8871574</v>
      </c>
      <c r="U35" s="325">
        <f>SUM(U31:U34)</f>
        <v>164479329</v>
      </c>
      <c r="V35" s="330"/>
      <c r="W35" s="331"/>
      <c r="X35" s="239"/>
      <c r="Y35" s="239"/>
    </row>
    <row r="36" spans="1:25" s="239" customFormat="1" ht="28.5" customHeight="1" x14ac:dyDescent="0.2">
      <c r="A36" s="223">
        <v>3</v>
      </c>
      <c r="B36" s="332" t="s">
        <v>14</v>
      </c>
      <c r="C36" s="333" t="s">
        <v>358</v>
      </c>
      <c r="D36" s="334" t="s">
        <v>92</v>
      </c>
      <c r="E36" s="334" t="s">
        <v>359</v>
      </c>
      <c r="F36" s="334" t="s">
        <v>89</v>
      </c>
      <c r="G36" s="334" t="s">
        <v>153</v>
      </c>
      <c r="H36" s="335" t="s">
        <v>7</v>
      </c>
      <c r="I36" s="234">
        <v>44800000</v>
      </c>
      <c r="J36" s="228">
        <v>0</v>
      </c>
      <c r="K36" s="228">
        <v>6510677</v>
      </c>
      <c r="L36" s="229">
        <v>0</v>
      </c>
      <c r="M36" s="246">
        <f t="shared" si="0"/>
        <v>6510677</v>
      </c>
      <c r="N36" s="231">
        <f>ROUNDDOWN((26911.1300000026),0)</f>
        <v>26911</v>
      </c>
      <c r="O36" s="231">
        <f>ROUNDDOWN((26911.1300000026),0)</f>
        <v>26911</v>
      </c>
      <c r="P36" s="232">
        <f>N36-O36</f>
        <v>0</v>
      </c>
      <c r="Q36" s="233">
        <v>0</v>
      </c>
      <c r="R36" s="247">
        <v>0</v>
      </c>
      <c r="S36" s="235">
        <f>K36</f>
        <v>6510677</v>
      </c>
      <c r="T36" s="236">
        <f>N36</f>
        <v>26911</v>
      </c>
      <c r="U36" s="336">
        <f t="shared" ref="U36:U54" si="11">I36-K36-N36+S36+T36</f>
        <v>44800000</v>
      </c>
      <c r="V36" s="237" t="s">
        <v>257</v>
      </c>
      <c r="W36" s="238"/>
    </row>
    <row r="37" spans="1:25" s="239" customFormat="1" ht="30" customHeight="1" x14ac:dyDescent="0.2">
      <c r="A37" s="240">
        <v>3</v>
      </c>
      <c r="B37" s="274" t="s">
        <v>14</v>
      </c>
      <c r="C37" s="275" t="s">
        <v>358</v>
      </c>
      <c r="D37" s="276" t="s">
        <v>93</v>
      </c>
      <c r="E37" s="276" t="s">
        <v>360</v>
      </c>
      <c r="F37" s="276" t="s">
        <v>89</v>
      </c>
      <c r="G37" s="276" t="s">
        <v>153</v>
      </c>
      <c r="H37" s="277" t="s">
        <v>7</v>
      </c>
      <c r="I37" s="247">
        <v>7000000</v>
      </c>
      <c r="J37" s="244">
        <v>0</v>
      </c>
      <c r="K37" s="244">
        <v>1200129</v>
      </c>
      <c r="L37" s="245">
        <v>0</v>
      </c>
      <c r="M37" s="246">
        <f t="shared" si="0"/>
        <v>1200129</v>
      </c>
      <c r="N37" s="231">
        <f>ROUNDDOWN((335.099999999627),0)</f>
        <v>335</v>
      </c>
      <c r="O37" s="231">
        <f>ROUNDDOWN((335.099999999627),0)</f>
        <v>335</v>
      </c>
      <c r="P37" s="232">
        <f t="shared" ref="P37:P54" si="12">N37-O37</f>
        <v>0</v>
      </c>
      <c r="Q37" s="233">
        <v>0</v>
      </c>
      <c r="R37" s="247">
        <v>0</v>
      </c>
      <c r="S37" s="235">
        <f>K37</f>
        <v>1200129</v>
      </c>
      <c r="T37" s="236">
        <f>N37</f>
        <v>335</v>
      </c>
      <c r="U37" s="336">
        <f t="shared" si="11"/>
        <v>7000000</v>
      </c>
      <c r="V37" s="249" t="s">
        <v>257</v>
      </c>
      <c r="W37" s="238"/>
    </row>
    <row r="38" spans="1:25" s="239" customFormat="1" ht="40.5" customHeight="1" x14ac:dyDescent="0.2">
      <c r="A38" s="240">
        <v>3</v>
      </c>
      <c r="B38" s="274" t="s">
        <v>14</v>
      </c>
      <c r="C38" s="275" t="s">
        <v>358</v>
      </c>
      <c r="D38" s="276" t="s">
        <v>94</v>
      </c>
      <c r="E38" s="276" t="s">
        <v>508</v>
      </c>
      <c r="F38" s="276" t="s">
        <v>89</v>
      </c>
      <c r="G38" s="276" t="s">
        <v>153</v>
      </c>
      <c r="H38" s="277" t="s">
        <v>7</v>
      </c>
      <c r="I38" s="247">
        <v>0</v>
      </c>
      <c r="J38" s="244">
        <v>0</v>
      </c>
      <c r="K38" s="244">
        <v>0</v>
      </c>
      <c r="L38" s="245">
        <v>0</v>
      </c>
      <c r="M38" s="246">
        <f t="shared" si="0"/>
        <v>0</v>
      </c>
      <c r="N38" s="231">
        <v>0</v>
      </c>
      <c r="O38" s="231">
        <v>0</v>
      </c>
      <c r="P38" s="232">
        <f t="shared" si="12"/>
        <v>0</v>
      </c>
      <c r="Q38" s="233">
        <v>0</v>
      </c>
      <c r="R38" s="247">
        <v>0</v>
      </c>
      <c r="S38" s="235">
        <f>K40+467148</f>
        <v>2000000</v>
      </c>
      <c r="T38" s="248">
        <f>N38</f>
        <v>0</v>
      </c>
      <c r="U38" s="336">
        <f t="shared" si="11"/>
        <v>2000000</v>
      </c>
      <c r="V38" s="249" t="s">
        <v>613</v>
      </c>
      <c r="W38" s="238"/>
    </row>
    <row r="39" spans="1:25" s="239" customFormat="1" ht="33.75" customHeight="1" x14ac:dyDescent="0.2">
      <c r="A39" s="240">
        <v>3</v>
      </c>
      <c r="B39" s="274" t="s">
        <v>14</v>
      </c>
      <c r="C39" s="275" t="s">
        <v>358</v>
      </c>
      <c r="D39" s="276" t="s">
        <v>95</v>
      </c>
      <c r="E39" s="276" t="s">
        <v>361</v>
      </c>
      <c r="F39" s="276" t="s">
        <v>89</v>
      </c>
      <c r="G39" s="276" t="s">
        <v>153</v>
      </c>
      <c r="H39" s="277" t="s">
        <v>7</v>
      </c>
      <c r="I39" s="247">
        <v>4000000</v>
      </c>
      <c r="J39" s="244">
        <v>0</v>
      </c>
      <c r="K39" s="244">
        <v>0</v>
      </c>
      <c r="L39" s="245">
        <v>0</v>
      </c>
      <c r="M39" s="246">
        <f t="shared" si="0"/>
        <v>0</v>
      </c>
      <c r="N39" s="231">
        <f>ROUNDDOWN((2420.49000000022),0)</f>
        <v>2420</v>
      </c>
      <c r="O39" s="231">
        <f>ROUNDDOWN((2420.49000000022),0)</f>
        <v>2420</v>
      </c>
      <c r="P39" s="232">
        <f t="shared" si="12"/>
        <v>0</v>
      </c>
      <c r="Q39" s="233">
        <v>0</v>
      </c>
      <c r="R39" s="247">
        <v>0</v>
      </c>
      <c r="S39" s="235">
        <v>0</v>
      </c>
      <c r="T39" s="248">
        <f>N39</f>
        <v>2420</v>
      </c>
      <c r="U39" s="336">
        <f t="shared" si="11"/>
        <v>4000000</v>
      </c>
      <c r="V39" s="249" t="s">
        <v>257</v>
      </c>
      <c r="W39" s="238"/>
    </row>
    <row r="40" spans="1:25" s="239" customFormat="1" ht="43.5" customHeight="1" x14ac:dyDescent="0.2">
      <c r="A40" s="240">
        <v>3</v>
      </c>
      <c r="B40" s="274" t="s">
        <v>14</v>
      </c>
      <c r="C40" s="275" t="s">
        <v>358</v>
      </c>
      <c r="D40" s="276" t="s">
        <v>96</v>
      </c>
      <c r="E40" s="276" t="s">
        <v>362</v>
      </c>
      <c r="F40" s="276">
        <v>1</v>
      </c>
      <c r="G40" s="276" t="s">
        <v>153</v>
      </c>
      <c r="H40" s="277" t="s">
        <v>7</v>
      </c>
      <c r="I40" s="247">
        <f>25130687-27407</f>
        <v>25103280</v>
      </c>
      <c r="J40" s="244">
        <v>0</v>
      </c>
      <c r="K40" s="244">
        <v>1532852</v>
      </c>
      <c r="L40" s="245">
        <v>0</v>
      </c>
      <c r="M40" s="246">
        <f t="shared" si="0"/>
        <v>1532852</v>
      </c>
      <c r="N40" s="233">
        <f>ROUNDDOWN((3541181.9),0)</f>
        <v>3541181</v>
      </c>
      <c r="O40" s="233">
        <f>ROUNDDOWN((3541181.9),0)</f>
        <v>3541181</v>
      </c>
      <c r="P40" s="232">
        <f t="shared" si="12"/>
        <v>0</v>
      </c>
      <c r="Q40" s="233">
        <v>0</v>
      </c>
      <c r="R40" s="247">
        <v>0</v>
      </c>
      <c r="S40" s="235">
        <v>0</v>
      </c>
      <c r="T40" s="248">
        <v>0</v>
      </c>
      <c r="U40" s="336">
        <f t="shared" si="11"/>
        <v>20029247</v>
      </c>
      <c r="V40" s="249" t="s">
        <v>614</v>
      </c>
      <c r="W40" s="238"/>
    </row>
    <row r="41" spans="1:25" s="239" customFormat="1" ht="45" customHeight="1" x14ac:dyDescent="0.2">
      <c r="A41" s="240">
        <v>3</v>
      </c>
      <c r="B41" s="274" t="s">
        <v>14</v>
      </c>
      <c r="C41" s="275" t="s">
        <v>358</v>
      </c>
      <c r="D41" s="276" t="s">
        <v>96</v>
      </c>
      <c r="E41" s="276" t="s">
        <v>362</v>
      </c>
      <c r="F41" s="276">
        <v>2</v>
      </c>
      <c r="G41" s="276" t="s">
        <v>153</v>
      </c>
      <c r="H41" s="277" t="s">
        <v>7</v>
      </c>
      <c r="I41" s="247">
        <v>25443922</v>
      </c>
      <c r="J41" s="244">
        <v>0</v>
      </c>
      <c r="K41" s="244">
        <v>0</v>
      </c>
      <c r="L41" s="245">
        <v>0</v>
      </c>
      <c r="M41" s="246">
        <f t="shared" si="0"/>
        <v>0</v>
      </c>
      <c r="N41" s="233">
        <f>ROUNDDOWN((10369427.46),0)</f>
        <v>10369427</v>
      </c>
      <c r="O41" s="233">
        <f>ROUNDDOWN((10369427.46),0)</f>
        <v>10369427</v>
      </c>
      <c r="P41" s="232">
        <f t="shared" si="12"/>
        <v>0</v>
      </c>
      <c r="Q41" s="233">
        <v>0</v>
      </c>
      <c r="R41" s="247">
        <v>0</v>
      </c>
      <c r="S41" s="235">
        <v>0</v>
      </c>
      <c r="T41" s="248">
        <f>N40+N41</f>
        <v>13910608</v>
      </c>
      <c r="U41" s="336">
        <f t="shared" si="11"/>
        <v>28985103</v>
      </c>
      <c r="V41" s="249" t="s">
        <v>597</v>
      </c>
      <c r="W41" s="238"/>
    </row>
    <row r="42" spans="1:25" ht="43.5" customHeight="1" x14ac:dyDescent="0.2">
      <c r="A42" s="240">
        <v>3</v>
      </c>
      <c r="B42" s="274" t="s">
        <v>14</v>
      </c>
      <c r="C42" s="275" t="s">
        <v>358</v>
      </c>
      <c r="D42" s="276" t="s">
        <v>97</v>
      </c>
      <c r="E42" s="276" t="s">
        <v>363</v>
      </c>
      <c r="F42" s="276" t="s">
        <v>89</v>
      </c>
      <c r="G42" s="276" t="s">
        <v>153</v>
      </c>
      <c r="H42" s="277" t="s">
        <v>7</v>
      </c>
      <c r="I42" s="247">
        <v>27900000</v>
      </c>
      <c r="J42" s="244">
        <v>0</v>
      </c>
      <c r="K42" s="244">
        <v>1701767</v>
      </c>
      <c r="L42" s="245">
        <v>0</v>
      </c>
      <c r="M42" s="246">
        <f t="shared" si="0"/>
        <v>1701767</v>
      </c>
      <c r="N42" s="232">
        <f>ROUNDDOWN((1141.23000000044),0)</f>
        <v>1141</v>
      </c>
      <c r="O42" s="232">
        <f>ROUNDDOWN((1141.23000000044),0)</f>
        <v>1141</v>
      </c>
      <c r="P42" s="232">
        <f t="shared" si="12"/>
        <v>0</v>
      </c>
      <c r="Q42" s="233">
        <v>0</v>
      </c>
      <c r="R42" s="247">
        <v>0</v>
      </c>
      <c r="S42" s="235">
        <f>K42-467148</f>
        <v>1234619</v>
      </c>
      <c r="T42" s="248">
        <f>N42</f>
        <v>1141</v>
      </c>
      <c r="U42" s="336">
        <f t="shared" si="11"/>
        <v>27432852</v>
      </c>
      <c r="V42" s="249" t="s">
        <v>615</v>
      </c>
      <c r="W42" s="238"/>
      <c r="X42" s="239"/>
      <c r="Y42" s="239"/>
    </row>
    <row r="43" spans="1:25" ht="19.5" customHeight="1" x14ac:dyDescent="0.2">
      <c r="A43" s="240">
        <v>3</v>
      </c>
      <c r="B43" s="274" t="s">
        <v>15</v>
      </c>
      <c r="C43" s="275" t="s">
        <v>364</v>
      </c>
      <c r="D43" s="276" t="s">
        <v>98</v>
      </c>
      <c r="E43" s="276" t="s">
        <v>365</v>
      </c>
      <c r="F43" s="276" t="s">
        <v>89</v>
      </c>
      <c r="G43" s="276" t="s">
        <v>153</v>
      </c>
      <c r="H43" s="277" t="s">
        <v>7</v>
      </c>
      <c r="I43" s="247">
        <v>32200000</v>
      </c>
      <c r="J43" s="244">
        <v>0</v>
      </c>
      <c r="K43" s="244">
        <v>0</v>
      </c>
      <c r="L43" s="245">
        <v>0</v>
      </c>
      <c r="M43" s="246">
        <f t="shared" si="0"/>
        <v>0</v>
      </c>
      <c r="N43" s="231">
        <v>0</v>
      </c>
      <c r="O43" s="231">
        <v>0</v>
      </c>
      <c r="P43" s="232">
        <f t="shared" si="12"/>
        <v>0</v>
      </c>
      <c r="Q43" s="233">
        <v>0</v>
      </c>
      <c r="R43" s="247">
        <v>0</v>
      </c>
      <c r="S43" s="235">
        <v>0</v>
      </c>
      <c r="T43" s="248">
        <v>0</v>
      </c>
      <c r="U43" s="336">
        <f t="shared" si="11"/>
        <v>32200000</v>
      </c>
      <c r="V43" s="249" t="s">
        <v>314</v>
      </c>
      <c r="W43" s="238"/>
      <c r="X43" s="239"/>
      <c r="Y43" s="239"/>
    </row>
    <row r="44" spans="1:25" ht="17.25" customHeight="1" x14ac:dyDescent="0.2">
      <c r="A44" s="240">
        <v>3</v>
      </c>
      <c r="B44" s="274" t="s">
        <v>15</v>
      </c>
      <c r="C44" s="275" t="s">
        <v>364</v>
      </c>
      <c r="D44" s="276" t="s">
        <v>99</v>
      </c>
      <c r="E44" s="276" t="s">
        <v>366</v>
      </c>
      <c r="F44" s="276" t="s">
        <v>89</v>
      </c>
      <c r="G44" s="276" t="s">
        <v>153</v>
      </c>
      <c r="H44" s="277" t="s">
        <v>7</v>
      </c>
      <c r="I44" s="247">
        <v>13000000</v>
      </c>
      <c r="J44" s="244">
        <v>0</v>
      </c>
      <c r="K44" s="244">
        <v>0</v>
      </c>
      <c r="L44" s="245">
        <v>0</v>
      </c>
      <c r="M44" s="246">
        <f t="shared" si="0"/>
        <v>0</v>
      </c>
      <c r="N44" s="231">
        <v>0</v>
      </c>
      <c r="O44" s="231">
        <v>0</v>
      </c>
      <c r="P44" s="232">
        <f t="shared" si="12"/>
        <v>0</v>
      </c>
      <c r="Q44" s="233">
        <v>0</v>
      </c>
      <c r="R44" s="247">
        <v>0</v>
      </c>
      <c r="S44" s="235">
        <v>0</v>
      </c>
      <c r="T44" s="248">
        <v>0</v>
      </c>
      <c r="U44" s="336">
        <f t="shared" si="11"/>
        <v>13000000</v>
      </c>
      <c r="V44" s="249" t="s">
        <v>314</v>
      </c>
      <c r="W44" s="238"/>
      <c r="X44" s="239"/>
      <c r="Y44" s="239"/>
    </row>
    <row r="45" spans="1:25" ht="30" customHeight="1" x14ac:dyDescent="0.2">
      <c r="A45" s="240">
        <v>3</v>
      </c>
      <c r="B45" s="274" t="s">
        <v>16</v>
      </c>
      <c r="C45" s="275" t="s">
        <v>367</v>
      </c>
      <c r="D45" s="276" t="s">
        <v>100</v>
      </c>
      <c r="E45" s="276" t="s">
        <v>368</v>
      </c>
      <c r="F45" s="276" t="s">
        <v>89</v>
      </c>
      <c r="G45" s="276" t="s">
        <v>153</v>
      </c>
      <c r="H45" s="277" t="s">
        <v>7</v>
      </c>
      <c r="I45" s="247">
        <v>6200001</v>
      </c>
      <c r="J45" s="244">
        <v>0</v>
      </c>
      <c r="K45" s="244">
        <v>378171</v>
      </c>
      <c r="L45" s="245">
        <v>0</v>
      </c>
      <c r="M45" s="246">
        <f t="shared" si="0"/>
        <v>378171</v>
      </c>
      <c r="N45" s="232">
        <f>ROUNDDOWN((48712.6799999997),0)</f>
        <v>48712</v>
      </c>
      <c r="O45" s="232">
        <f>ROUNDDOWN((48712.6799999997),0)</f>
        <v>48712</v>
      </c>
      <c r="P45" s="232">
        <f t="shared" si="12"/>
        <v>0</v>
      </c>
      <c r="Q45" s="233">
        <v>0</v>
      </c>
      <c r="R45" s="247">
        <v>0</v>
      </c>
      <c r="S45" s="235">
        <f>K45</f>
        <v>378171</v>
      </c>
      <c r="T45" s="248">
        <f>N45</f>
        <v>48712</v>
      </c>
      <c r="U45" s="336">
        <f t="shared" si="11"/>
        <v>6200001</v>
      </c>
      <c r="V45" s="249" t="s">
        <v>257</v>
      </c>
      <c r="W45" s="238"/>
      <c r="X45" s="239"/>
      <c r="Y45" s="239"/>
    </row>
    <row r="46" spans="1:25" ht="33.75" customHeight="1" x14ac:dyDescent="0.2">
      <c r="A46" s="240">
        <v>3</v>
      </c>
      <c r="B46" s="274" t="s">
        <v>16</v>
      </c>
      <c r="C46" s="275" t="s">
        <v>367</v>
      </c>
      <c r="D46" s="276" t="s">
        <v>101</v>
      </c>
      <c r="E46" s="276" t="s">
        <v>369</v>
      </c>
      <c r="F46" s="276" t="s">
        <v>89</v>
      </c>
      <c r="G46" s="276" t="s">
        <v>153</v>
      </c>
      <c r="H46" s="277" t="s">
        <v>7</v>
      </c>
      <c r="I46" s="247">
        <v>51527355</v>
      </c>
      <c r="J46" s="244">
        <v>0</v>
      </c>
      <c r="K46" s="244">
        <v>3143014</v>
      </c>
      <c r="L46" s="245">
        <v>0</v>
      </c>
      <c r="M46" s="246">
        <f t="shared" si="0"/>
        <v>3143014</v>
      </c>
      <c r="N46" s="233">
        <f>ROUNDDOWN((39862.1400000005),0)</f>
        <v>39862</v>
      </c>
      <c r="O46" s="233">
        <f>ROUNDDOWN((39862.1400000005),0)</f>
        <v>39862</v>
      </c>
      <c r="P46" s="232">
        <f t="shared" si="12"/>
        <v>0</v>
      </c>
      <c r="Q46" s="233">
        <v>0</v>
      </c>
      <c r="R46" s="247">
        <v>0</v>
      </c>
      <c r="S46" s="248">
        <f>K46</f>
        <v>3143014</v>
      </c>
      <c r="T46" s="248">
        <f>N46</f>
        <v>39862</v>
      </c>
      <c r="U46" s="336">
        <f t="shared" si="11"/>
        <v>51527355</v>
      </c>
      <c r="V46" s="249" t="s">
        <v>257</v>
      </c>
      <c r="W46" s="238"/>
      <c r="X46" s="239"/>
      <c r="Y46" s="239"/>
    </row>
    <row r="47" spans="1:25" ht="66" customHeight="1" x14ac:dyDescent="0.2">
      <c r="A47" s="240">
        <v>3</v>
      </c>
      <c r="B47" s="274" t="s">
        <v>17</v>
      </c>
      <c r="C47" s="275" t="s">
        <v>370</v>
      </c>
      <c r="D47" s="276" t="s">
        <v>89</v>
      </c>
      <c r="E47" s="276" t="s">
        <v>89</v>
      </c>
      <c r="F47" s="276">
        <v>1</v>
      </c>
      <c r="G47" s="276" t="s">
        <v>155</v>
      </c>
      <c r="H47" s="277" t="s">
        <v>7</v>
      </c>
      <c r="I47" s="247">
        <v>10911633</v>
      </c>
      <c r="J47" s="244">
        <v>5202550</v>
      </c>
      <c r="K47" s="244">
        <v>665558</v>
      </c>
      <c r="L47" s="245">
        <v>0</v>
      </c>
      <c r="M47" s="246">
        <f t="shared" si="0"/>
        <v>665558</v>
      </c>
      <c r="N47" s="231">
        <f>ROUNDDOWN((2606956.22),0)</f>
        <v>2606956</v>
      </c>
      <c r="O47" s="231">
        <v>0</v>
      </c>
      <c r="P47" s="232">
        <f t="shared" si="12"/>
        <v>2606956</v>
      </c>
      <c r="Q47" s="233">
        <v>153770</v>
      </c>
      <c r="R47" s="233">
        <v>51919</v>
      </c>
      <c r="S47" s="235">
        <f>K47</f>
        <v>665558</v>
      </c>
      <c r="T47" s="248">
        <f>N47</f>
        <v>2606956</v>
      </c>
      <c r="U47" s="336">
        <f t="shared" si="11"/>
        <v>10911633</v>
      </c>
      <c r="V47" s="249" t="s">
        <v>257</v>
      </c>
      <c r="W47" s="238"/>
      <c r="X47" s="239"/>
      <c r="Y47" s="239"/>
    </row>
    <row r="48" spans="1:25" ht="71.25" customHeight="1" x14ac:dyDescent="0.2">
      <c r="A48" s="240">
        <v>3</v>
      </c>
      <c r="B48" s="274" t="s">
        <v>17</v>
      </c>
      <c r="C48" s="275" t="s">
        <v>370</v>
      </c>
      <c r="D48" s="276" t="s">
        <v>89</v>
      </c>
      <c r="E48" s="276" t="s">
        <v>89</v>
      </c>
      <c r="F48" s="276">
        <v>2</v>
      </c>
      <c r="G48" s="276" t="s">
        <v>155</v>
      </c>
      <c r="H48" s="277" t="s">
        <v>7</v>
      </c>
      <c r="I48" s="247">
        <v>10911633</v>
      </c>
      <c r="J48" s="244">
        <v>0</v>
      </c>
      <c r="K48" s="244">
        <v>665558</v>
      </c>
      <c r="L48" s="245">
        <v>0</v>
      </c>
      <c r="M48" s="246">
        <f t="shared" si="0"/>
        <v>665558</v>
      </c>
      <c r="N48" s="231">
        <f>ROUNDDOWN((1148492.88),0)</f>
        <v>1148492</v>
      </c>
      <c r="O48" s="231">
        <v>19889</v>
      </c>
      <c r="P48" s="232">
        <f t="shared" si="12"/>
        <v>1128603</v>
      </c>
      <c r="Q48" s="233">
        <v>294040</v>
      </c>
      <c r="R48" s="233">
        <v>0</v>
      </c>
      <c r="S48" s="235">
        <f>K48+K49</f>
        <v>2934182</v>
      </c>
      <c r="T48" s="248">
        <f>N48+N49</f>
        <v>3872008</v>
      </c>
      <c r="U48" s="336">
        <f t="shared" si="11"/>
        <v>15903773</v>
      </c>
      <c r="V48" s="249" t="s">
        <v>616</v>
      </c>
      <c r="W48" s="238"/>
      <c r="X48" s="239"/>
      <c r="Y48" s="239"/>
    </row>
    <row r="49" spans="1:25" ht="70.5" customHeight="1" x14ac:dyDescent="0.2">
      <c r="A49" s="240">
        <v>3</v>
      </c>
      <c r="B49" s="274" t="s">
        <v>17</v>
      </c>
      <c r="C49" s="275" t="s">
        <v>370</v>
      </c>
      <c r="D49" s="276" t="s">
        <v>89</v>
      </c>
      <c r="E49" s="276" t="s">
        <v>89</v>
      </c>
      <c r="F49" s="276">
        <v>3</v>
      </c>
      <c r="G49" s="276" t="s">
        <v>155</v>
      </c>
      <c r="H49" s="277" t="s">
        <v>7</v>
      </c>
      <c r="I49" s="247">
        <v>37193476</v>
      </c>
      <c r="J49" s="244">
        <v>0</v>
      </c>
      <c r="K49" s="244">
        <v>2268624</v>
      </c>
      <c r="L49" s="245">
        <v>0</v>
      </c>
      <c r="M49" s="246">
        <f t="shared" si="0"/>
        <v>2268624</v>
      </c>
      <c r="N49" s="231">
        <f>ROUNDDOWN((2723516.26),0)</f>
        <v>2723516</v>
      </c>
      <c r="O49" s="231">
        <f>ROUNDDOWN((2723516.26),0)</f>
        <v>2723516</v>
      </c>
      <c r="P49" s="232">
        <f t="shared" si="12"/>
        <v>0</v>
      </c>
      <c r="Q49" s="233">
        <v>0</v>
      </c>
      <c r="R49" s="247">
        <v>0</v>
      </c>
      <c r="S49" s="235">
        <v>0</v>
      </c>
      <c r="T49" s="248">
        <v>0</v>
      </c>
      <c r="U49" s="336">
        <f t="shared" si="11"/>
        <v>32201336</v>
      </c>
      <c r="V49" s="249" t="s">
        <v>261</v>
      </c>
      <c r="W49" s="238"/>
      <c r="X49" s="239"/>
      <c r="Y49" s="239"/>
    </row>
    <row r="50" spans="1:25" ht="40.5" customHeight="1" x14ac:dyDescent="0.2">
      <c r="A50" s="240">
        <v>3</v>
      </c>
      <c r="B50" s="274" t="s">
        <v>18</v>
      </c>
      <c r="C50" s="275" t="s">
        <v>371</v>
      </c>
      <c r="D50" s="310" t="s">
        <v>89</v>
      </c>
      <c r="E50" s="310" t="s">
        <v>89</v>
      </c>
      <c r="F50" s="310" t="s">
        <v>89</v>
      </c>
      <c r="G50" s="310" t="s">
        <v>156</v>
      </c>
      <c r="H50" s="311" t="s">
        <v>157</v>
      </c>
      <c r="I50" s="247">
        <v>9493984</v>
      </c>
      <c r="J50" s="244">
        <v>0</v>
      </c>
      <c r="K50" s="243">
        <v>590385</v>
      </c>
      <c r="L50" s="245">
        <v>0</v>
      </c>
      <c r="M50" s="246">
        <f t="shared" si="0"/>
        <v>590385</v>
      </c>
      <c r="N50" s="231">
        <f>ROUNDDOWN((0.300000000745058),0)</f>
        <v>0</v>
      </c>
      <c r="O50" s="231">
        <f>ROUNDDOWN((0.300000000745058),0)</f>
        <v>0</v>
      </c>
      <c r="P50" s="232">
        <f t="shared" si="12"/>
        <v>0</v>
      </c>
      <c r="Q50" s="233">
        <v>0</v>
      </c>
      <c r="R50" s="247">
        <v>0</v>
      </c>
      <c r="S50" s="337">
        <f>K50</f>
        <v>590385</v>
      </c>
      <c r="T50" s="248">
        <v>0</v>
      </c>
      <c r="U50" s="336">
        <f t="shared" si="11"/>
        <v>9493984</v>
      </c>
      <c r="V50" s="249" t="s">
        <v>547</v>
      </c>
      <c r="W50" s="238"/>
    </row>
    <row r="51" spans="1:25" ht="91.5" customHeight="1" x14ac:dyDescent="0.2">
      <c r="A51" s="240">
        <v>3</v>
      </c>
      <c r="B51" s="274" t="s">
        <v>19</v>
      </c>
      <c r="C51" s="275" t="s">
        <v>372</v>
      </c>
      <c r="D51" s="276" t="s">
        <v>102</v>
      </c>
      <c r="E51" s="276" t="s">
        <v>373</v>
      </c>
      <c r="F51" s="276">
        <v>1</v>
      </c>
      <c r="G51" s="310" t="s">
        <v>158</v>
      </c>
      <c r="H51" s="311" t="s">
        <v>157</v>
      </c>
      <c r="I51" s="247">
        <v>6699373</v>
      </c>
      <c r="J51" s="244">
        <v>0</v>
      </c>
      <c r="K51" s="243">
        <v>453603</v>
      </c>
      <c r="L51" s="245">
        <v>0</v>
      </c>
      <c r="M51" s="246">
        <f t="shared" si="0"/>
        <v>453603</v>
      </c>
      <c r="N51" s="231">
        <f>ROUNDDOWN((507.139999999664),0)</f>
        <v>507</v>
      </c>
      <c r="O51" s="231">
        <f>ROUNDDOWN((507.139999999664),0)</f>
        <v>507</v>
      </c>
      <c r="P51" s="232">
        <f t="shared" si="12"/>
        <v>0</v>
      </c>
      <c r="Q51" s="233">
        <v>0</v>
      </c>
      <c r="R51" s="247">
        <v>0</v>
      </c>
      <c r="S51" s="337">
        <f>K51</f>
        <v>453603</v>
      </c>
      <c r="T51" s="248">
        <f>N51+215</f>
        <v>722</v>
      </c>
      <c r="U51" s="336">
        <f t="shared" si="11"/>
        <v>6699588</v>
      </c>
      <c r="V51" s="249" t="s">
        <v>666</v>
      </c>
      <c r="W51" s="238"/>
    </row>
    <row r="52" spans="1:25" ht="92.25" customHeight="1" x14ac:dyDescent="0.2">
      <c r="A52" s="240">
        <v>3</v>
      </c>
      <c r="B52" s="274" t="s">
        <v>19</v>
      </c>
      <c r="C52" s="275" t="s">
        <v>372</v>
      </c>
      <c r="D52" s="276" t="s">
        <v>102</v>
      </c>
      <c r="E52" s="276" t="s">
        <v>374</v>
      </c>
      <c r="F52" s="276">
        <v>2</v>
      </c>
      <c r="G52" s="310" t="s">
        <v>158</v>
      </c>
      <c r="H52" s="311" t="s">
        <v>157</v>
      </c>
      <c r="I52" s="247">
        <v>255000</v>
      </c>
      <c r="J52" s="244">
        <v>0</v>
      </c>
      <c r="K52" s="243">
        <v>0</v>
      </c>
      <c r="L52" s="245">
        <v>0</v>
      </c>
      <c r="M52" s="246">
        <f t="shared" si="0"/>
        <v>0</v>
      </c>
      <c r="N52" s="231">
        <f>ROUNDDOWN((215.98999999999),0)</f>
        <v>215</v>
      </c>
      <c r="O52" s="231">
        <v>215</v>
      </c>
      <c r="P52" s="232">
        <f t="shared" si="12"/>
        <v>0</v>
      </c>
      <c r="Q52" s="233">
        <v>0</v>
      </c>
      <c r="R52" s="247">
        <v>0</v>
      </c>
      <c r="S52" s="337">
        <v>0</v>
      </c>
      <c r="T52" s="248">
        <v>0</v>
      </c>
      <c r="U52" s="336">
        <f t="shared" si="11"/>
        <v>254785</v>
      </c>
      <c r="V52" s="249" t="s">
        <v>667</v>
      </c>
      <c r="W52" s="238"/>
    </row>
    <row r="53" spans="1:25" ht="55.5" customHeight="1" x14ac:dyDescent="0.2">
      <c r="A53" s="240">
        <v>3</v>
      </c>
      <c r="B53" s="274" t="s">
        <v>19</v>
      </c>
      <c r="C53" s="275" t="s">
        <v>372</v>
      </c>
      <c r="D53" s="276" t="s">
        <v>103</v>
      </c>
      <c r="E53" s="276" t="s">
        <v>375</v>
      </c>
      <c r="F53" s="276" t="s">
        <v>89</v>
      </c>
      <c r="G53" s="310" t="s">
        <v>158</v>
      </c>
      <c r="H53" s="311" t="s">
        <v>157</v>
      </c>
      <c r="I53" s="247">
        <v>1275000</v>
      </c>
      <c r="J53" s="244">
        <v>0</v>
      </c>
      <c r="K53" s="243">
        <v>79286</v>
      </c>
      <c r="L53" s="245">
        <v>0</v>
      </c>
      <c r="M53" s="246">
        <f t="shared" si="0"/>
        <v>79286</v>
      </c>
      <c r="N53" s="231">
        <v>0</v>
      </c>
      <c r="O53" s="231">
        <v>0</v>
      </c>
      <c r="P53" s="232">
        <f t="shared" si="12"/>
        <v>0</v>
      </c>
      <c r="Q53" s="233">
        <v>0</v>
      </c>
      <c r="R53" s="247">
        <v>0</v>
      </c>
      <c r="S53" s="337">
        <f>K53</f>
        <v>79286</v>
      </c>
      <c r="T53" s="248">
        <v>0</v>
      </c>
      <c r="U53" s="336">
        <f t="shared" si="11"/>
        <v>1275000</v>
      </c>
      <c r="V53" s="249" t="s">
        <v>584</v>
      </c>
      <c r="W53" s="238"/>
    </row>
    <row r="54" spans="1:25" ht="54" customHeight="1" thickBot="1" x14ac:dyDescent="0.25">
      <c r="A54" s="315">
        <v>3</v>
      </c>
      <c r="B54" s="316" t="s">
        <v>19</v>
      </c>
      <c r="C54" s="275" t="s">
        <v>372</v>
      </c>
      <c r="D54" s="285" t="s">
        <v>104</v>
      </c>
      <c r="E54" s="285" t="s">
        <v>376</v>
      </c>
      <c r="F54" s="285" t="s">
        <v>89</v>
      </c>
      <c r="G54" s="338" t="s">
        <v>158</v>
      </c>
      <c r="H54" s="339" t="s">
        <v>157</v>
      </c>
      <c r="I54" s="287">
        <v>340000</v>
      </c>
      <c r="J54" s="288">
        <v>0</v>
      </c>
      <c r="K54" s="340">
        <v>0</v>
      </c>
      <c r="L54" s="289">
        <v>0</v>
      </c>
      <c r="M54" s="341">
        <f t="shared" si="0"/>
        <v>0</v>
      </c>
      <c r="N54" s="342">
        <v>0</v>
      </c>
      <c r="O54" s="342">
        <v>0</v>
      </c>
      <c r="P54" s="343">
        <f t="shared" si="12"/>
        <v>0</v>
      </c>
      <c r="Q54" s="344">
        <v>0</v>
      </c>
      <c r="R54" s="287">
        <v>0</v>
      </c>
      <c r="S54" s="345">
        <v>0</v>
      </c>
      <c r="T54" s="290">
        <v>0</v>
      </c>
      <c r="U54" s="336">
        <f t="shared" si="11"/>
        <v>340000</v>
      </c>
      <c r="V54" s="249" t="s">
        <v>314</v>
      </c>
      <c r="W54" s="238"/>
    </row>
    <row r="55" spans="1:25" s="358" customFormat="1" ht="15.75" customHeight="1" x14ac:dyDescent="0.2">
      <c r="A55" s="346" t="s">
        <v>235</v>
      </c>
      <c r="B55" s="347"/>
      <c r="C55" s="348"/>
      <c r="D55" s="349"/>
      <c r="E55" s="349"/>
      <c r="F55" s="349"/>
      <c r="G55" s="350"/>
      <c r="H55" s="351" t="s">
        <v>7</v>
      </c>
      <c r="I55" s="352">
        <f t="shared" ref="I55:M55" si="13">SUM(I36:I49)</f>
        <v>296191300</v>
      </c>
      <c r="J55" s="352">
        <f t="shared" si="13"/>
        <v>5202550</v>
      </c>
      <c r="K55" s="353">
        <f t="shared" si="13"/>
        <v>18066350</v>
      </c>
      <c r="L55" s="354">
        <f t="shared" si="13"/>
        <v>0</v>
      </c>
      <c r="M55" s="355">
        <f t="shared" si="13"/>
        <v>18066350</v>
      </c>
      <c r="N55" s="354">
        <f t="shared" ref="N55" si="14">SUM(N36:N49)</f>
        <v>20508953</v>
      </c>
      <c r="O55" s="354">
        <f t="shared" ref="O55:Q55" si="15">SUM(O36:O49)</f>
        <v>16773394</v>
      </c>
      <c r="P55" s="354">
        <f t="shared" ref="P55" si="16">SUM(P36:P49)</f>
        <v>3735559</v>
      </c>
      <c r="Q55" s="354">
        <f t="shared" si="15"/>
        <v>447810</v>
      </c>
      <c r="R55" s="354">
        <f>SUM(R36:R54)</f>
        <v>51919</v>
      </c>
      <c r="S55" s="356">
        <f>SUM(S36:S49)</f>
        <v>18066350</v>
      </c>
      <c r="T55" s="352">
        <f>SUM(T36:T49)</f>
        <v>20508953</v>
      </c>
      <c r="U55" s="352">
        <f>SUM(U36:U49)</f>
        <v>296191300</v>
      </c>
      <c r="V55" s="357"/>
      <c r="W55" s="331"/>
      <c r="X55" s="239"/>
      <c r="Y55" s="239"/>
    </row>
    <row r="56" spans="1:25" s="358" customFormat="1" ht="15.75" customHeight="1" thickBot="1" x14ac:dyDescent="0.25">
      <c r="A56" s="359" t="s">
        <v>235</v>
      </c>
      <c r="B56" s="360"/>
      <c r="C56" s="361"/>
      <c r="D56" s="362"/>
      <c r="E56" s="362"/>
      <c r="F56" s="362"/>
      <c r="G56" s="363"/>
      <c r="H56" s="364" t="s">
        <v>157</v>
      </c>
      <c r="I56" s="365">
        <f t="shared" ref="I56:M56" si="17">SUM(I50:I54)</f>
        <v>18063357</v>
      </c>
      <c r="J56" s="365">
        <f t="shared" si="17"/>
        <v>0</v>
      </c>
      <c r="K56" s="366">
        <f t="shared" si="17"/>
        <v>1123274</v>
      </c>
      <c r="L56" s="367">
        <f t="shared" si="17"/>
        <v>0</v>
      </c>
      <c r="M56" s="368">
        <f t="shared" si="17"/>
        <v>1123274</v>
      </c>
      <c r="N56" s="367">
        <f t="shared" ref="N56" si="18">SUM(N50:N54)</f>
        <v>722</v>
      </c>
      <c r="O56" s="367">
        <f t="shared" ref="O56:Q56" si="19">SUM(O50:O54)</f>
        <v>722</v>
      </c>
      <c r="P56" s="367">
        <f t="shared" ref="P56" si="20">SUM(P50:P54)</f>
        <v>0</v>
      </c>
      <c r="Q56" s="367">
        <f t="shared" si="19"/>
        <v>0</v>
      </c>
      <c r="R56" s="367">
        <f>SUM(R50:R54)</f>
        <v>0</v>
      </c>
      <c r="S56" s="369">
        <f>SUM(S50:S54)</f>
        <v>1123274</v>
      </c>
      <c r="T56" s="365">
        <f>SUM(T50:T54)</f>
        <v>722</v>
      </c>
      <c r="U56" s="365">
        <f>SUM(U50:U54)</f>
        <v>18063357</v>
      </c>
      <c r="V56" s="370"/>
      <c r="W56" s="331"/>
    </row>
    <row r="57" spans="1:25" ht="40.5" customHeight="1" x14ac:dyDescent="0.2">
      <c r="A57" s="240">
        <v>4</v>
      </c>
      <c r="B57" s="274" t="s">
        <v>20</v>
      </c>
      <c r="C57" s="275" t="s">
        <v>377</v>
      </c>
      <c r="D57" s="276" t="s">
        <v>89</v>
      </c>
      <c r="E57" s="276" t="s">
        <v>89</v>
      </c>
      <c r="F57" s="310">
        <v>1</v>
      </c>
      <c r="G57" s="310" t="s">
        <v>153</v>
      </c>
      <c r="H57" s="311" t="s">
        <v>159</v>
      </c>
      <c r="I57" s="247">
        <v>10375825</v>
      </c>
      <c r="J57" s="228">
        <v>0</v>
      </c>
      <c r="K57" s="228">
        <v>2015429</v>
      </c>
      <c r="L57" s="229">
        <v>0</v>
      </c>
      <c r="M57" s="246">
        <f t="shared" si="0"/>
        <v>2015429</v>
      </c>
      <c r="N57" s="233">
        <f>ROUNDDOWN((2475088.95),0)</f>
        <v>2475088</v>
      </c>
      <c r="O57" s="233">
        <f>ROUNDDOWN((2475088.95),0)</f>
        <v>2475088</v>
      </c>
      <c r="P57" s="232">
        <f>N57-O57</f>
        <v>0</v>
      </c>
      <c r="Q57" s="233">
        <v>0</v>
      </c>
      <c r="R57" s="247">
        <v>0</v>
      </c>
      <c r="S57" s="337">
        <v>0</v>
      </c>
      <c r="T57" s="248">
        <v>0</v>
      </c>
      <c r="U57" s="371">
        <f t="shared" ref="U57:U73" si="21">I57-K57-N57+S57+T57</f>
        <v>5885308</v>
      </c>
      <c r="V57" s="249" t="s">
        <v>258</v>
      </c>
      <c r="W57" s="238"/>
    </row>
    <row r="58" spans="1:25" ht="41.25" customHeight="1" x14ac:dyDescent="0.2">
      <c r="A58" s="240">
        <v>4</v>
      </c>
      <c r="B58" s="274" t="s">
        <v>20</v>
      </c>
      <c r="C58" s="275" t="s">
        <v>377</v>
      </c>
      <c r="D58" s="276" t="s">
        <v>89</v>
      </c>
      <c r="E58" s="276" t="s">
        <v>89</v>
      </c>
      <c r="F58" s="310">
        <v>2</v>
      </c>
      <c r="G58" s="310" t="s">
        <v>153</v>
      </c>
      <c r="H58" s="311" t="s">
        <v>159</v>
      </c>
      <c r="I58" s="247">
        <v>15373430</v>
      </c>
      <c r="J58" s="244">
        <v>0</v>
      </c>
      <c r="K58" s="244">
        <v>0</v>
      </c>
      <c r="L58" s="245">
        <v>0</v>
      </c>
      <c r="M58" s="246">
        <f t="shared" si="0"/>
        <v>0</v>
      </c>
      <c r="N58" s="231">
        <f>ROUNDDOWN((9204705.71),0)</f>
        <v>9204705</v>
      </c>
      <c r="O58" s="231">
        <f>ROUNDDOWN((9204705.71),0)</f>
        <v>9204705</v>
      </c>
      <c r="P58" s="232">
        <f t="shared" ref="P58:P73" si="22">N58-O58</f>
        <v>0</v>
      </c>
      <c r="Q58" s="233">
        <v>0</v>
      </c>
      <c r="R58" s="247">
        <v>0</v>
      </c>
      <c r="S58" s="337">
        <v>0</v>
      </c>
      <c r="T58" s="248">
        <v>0</v>
      </c>
      <c r="U58" s="371">
        <f t="shared" si="21"/>
        <v>6168725</v>
      </c>
      <c r="V58" s="249" t="s">
        <v>617</v>
      </c>
      <c r="W58" s="238"/>
    </row>
    <row r="59" spans="1:25" s="376" customFormat="1" ht="39.75" customHeight="1" x14ac:dyDescent="0.2">
      <c r="A59" s="250">
        <v>4</v>
      </c>
      <c r="B59" s="278" t="s">
        <v>20</v>
      </c>
      <c r="C59" s="279" t="s">
        <v>377</v>
      </c>
      <c r="D59" s="280" t="s">
        <v>89</v>
      </c>
      <c r="E59" s="280" t="s">
        <v>89</v>
      </c>
      <c r="F59" s="280" t="s">
        <v>632</v>
      </c>
      <c r="G59" s="372" t="s">
        <v>153</v>
      </c>
      <c r="H59" s="373" t="s">
        <v>159</v>
      </c>
      <c r="I59" s="261">
        <v>0</v>
      </c>
      <c r="J59" s="256">
        <v>0</v>
      </c>
      <c r="K59" s="256">
        <v>0</v>
      </c>
      <c r="L59" s="282">
        <v>0</v>
      </c>
      <c r="M59" s="258">
        <f t="shared" si="0"/>
        <v>0</v>
      </c>
      <c r="N59" s="283">
        <v>0</v>
      </c>
      <c r="O59" s="283">
        <v>0</v>
      </c>
      <c r="P59" s="232">
        <f t="shared" si="22"/>
        <v>0</v>
      </c>
      <c r="Q59" s="260">
        <v>0</v>
      </c>
      <c r="R59" s="261">
        <v>0</v>
      </c>
      <c r="S59" s="374">
        <v>0</v>
      </c>
      <c r="T59" s="263">
        <f>N57+N58</f>
        <v>11679793</v>
      </c>
      <c r="U59" s="375">
        <f t="shared" si="21"/>
        <v>11679793</v>
      </c>
      <c r="V59" s="265" t="s">
        <v>259</v>
      </c>
      <c r="W59" s="284"/>
    </row>
    <row r="60" spans="1:25" ht="30" customHeight="1" x14ac:dyDescent="0.2">
      <c r="A60" s="377">
        <v>4</v>
      </c>
      <c r="B60" s="378" t="s">
        <v>21</v>
      </c>
      <c r="C60" s="379" t="s">
        <v>378</v>
      </c>
      <c r="D60" s="276" t="s">
        <v>105</v>
      </c>
      <c r="E60" s="276" t="s">
        <v>379</v>
      </c>
      <c r="F60" s="310">
        <v>1</v>
      </c>
      <c r="G60" s="310" t="s">
        <v>153</v>
      </c>
      <c r="H60" s="311" t="s">
        <v>7</v>
      </c>
      <c r="I60" s="247">
        <v>141493317</v>
      </c>
      <c r="J60" s="244">
        <v>0</v>
      </c>
      <c r="K60" s="244">
        <v>11408355</v>
      </c>
      <c r="L60" s="245">
        <v>0</v>
      </c>
      <c r="M60" s="246">
        <f t="shared" si="0"/>
        <v>11408355</v>
      </c>
      <c r="N60" s="232">
        <v>8</v>
      </c>
      <c r="O60" s="232">
        <v>8</v>
      </c>
      <c r="P60" s="232">
        <f t="shared" si="22"/>
        <v>0</v>
      </c>
      <c r="Q60" s="233">
        <v>0</v>
      </c>
      <c r="R60" s="247">
        <v>0</v>
      </c>
      <c r="S60" s="337">
        <f>K60</f>
        <v>11408355</v>
      </c>
      <c r="T60" s="248">
        <f>N60</f>
        <v>8</v>
      </c>
      <c r="U60" s="371">
        <f t="shared" si="21"/>
        <v>141493317</v>
      </c>
      <c r="V60" s="249" t="s">
        <v>257</v>
      </c>
      <c r="W60" s="238"/>
      <c r="X60" s="239"/>
      <c r="Y60" s="239"/>
    </row>
    <row r="61" spans="1:25" ht="56.25" customHeight="1" x14ac:dyDescent="0.2">
      <c r="A61" s="377">
        <v>4</v>
      </c>
      <c r="B61" s="378" t="s">
        <v>21</v>
      </c>
      <c r="C61" s="379" t="s">
        <v>378</v>
      </c>
      <c r="D61" s="276" t="s">
        <v>105</v>
      </c>
      <c r="E61" s="276" t="s">
        <v>380</v>
      </c>
      <c r="F61" s="310">
        <v>2</v>
      </c>
      <c r="G61" s="310" t="s">
        <v>153</v>
      </c>
      <c r="H61" s="311" t="s">
        <v>7</v>
      </c>
      <c r="I61" s="247">
        <v>8506683</v>
      </c>
      <c r="J61" s="244">
        <v>0</v>
      </c>
      <c r="K61" s="244">
        <v>517787</v>
      </c>
      <c r="L61" s="245">
        <v>0</v>
      </c>
      <c r="M61" s="246">
        <f t="shared" si="0"/>
        <v>517787</v>
      </c>
      <c r="N61" s="233">
        <v>7988896</v>
      </c>
      <c r="O61" s="233">
        <v>7988896</v>
      </c>
      <c r="P61" s="232">
        <f t="shared" si="22"/>
        <v>0</v>
      </c>
      <c r="Q61" s="233">
        <v>0</v>
      </c>
      <c r="R61" s="247">
        <v>0</v>
      </c>
      <c r="S61" s="337">
        <v>0</v>
      </c>
      <c r="T61" s="248">
        <v>0</v>
      </c>
      <c r="U61" s="371">
        <f t="shared" si="21"/>
        <v>0</v>
      </c>
      <c r="V61" s="249" t="s">
        <v>657</v>
      </c>
      <c r="W61" s="238"/>
      <c r="X61" s="239"/>
      <c r="Y61" s="313"/>
    </row>
    <row r="62" spans="1:25" ht="42.75" customHeight="1" x14ac:dyDescent="0.2">
      <c r="A62" s="240">
        <v>4</v>
      </c>
      <c r="B62" s="274" t="s">
        <v>21</v>
      </c>
      <c r="C62" s="275" t="s">
        <v>378</v>
      </c>
      <c r="D62" s="276" t="s">
        <v>106</v>
      </c>
      <c r="E62" s="276" t="s">
        <v>381</v>
      </c>
      <c r="F62" s="310">
        <v>1</v>
      </c>
      <c r="G62" s="310" t="s">
        <v>153</v>
      </c>
      <c r="H62" s="311" t="s">
        <v>7</v>
      </c>
      <c r="I62" s="247">
        <v>68381649</v>
      </c>
      <c r="J62" s="244">
        <v>0</v>
      </c>
      <c r="K62" s="244">
        <v>3192016</v>
      </c>
      <c r="L62" s="245">
        <v>0</v>
      </c>
      <c r="M62" s="246">
        <f t="shared" si="0"/>
        <v>3192016</v>
      </c>
      <c r="N62" s="233">
        <f>ROUNDDOWN((9163861.42),0)</f>
        <v>9163861</v>
      </c>
      <c r="O62" s="233">
        <v>311</v>
      </c>
      <c r="P62" s="232">
        <f t="shared" si="22"/>
        <v>9163550</v>
      </c>
      <c r="Q62" s="233">
        <v>0</v>
      </c>
      <c r="R62" s="247">
        <v>0</v>
      </c>
      <c r="S62" s="337">
        <f>K62</f>
        <v>3192016</v>
      </c>
      <c r="T62" s="248">
        <f>N62</f>
        <v>9163861</v>
      </c>
      <c r="U62" s="371">
        <f t="shared" si="21"/>
        <v>68381649</v>
      </c>
      <c r="V62" s="249" t="s">
        <v>618</v>
      </c>
      <c r="W62" s="238"/>
      <c r="X62" s="239"/>
      <c r="Y62" s="239"/>
    </row>
    <row r="63" spans="1:25" ht="44.25" customHeight="1" x14ac:dyDescent="0.2">
      <c r="A63" s="240">
        <v>4</v>
      </c>
      <c r="B63" s="274" t="s">
        <v>21</v>
      </c>
      <c r="C63" s="275" t="s">
        <v>378</v>
      </c>
      <c r="D63" s="276" t="s">
        <v>106</v>
      </c>
      <c r="E63" s="276" t="s">
        <v>382</v>
      </c>
      <c r="F63" s="310">
        <v>2</v>
      </c>
      <c r="G63" s="310" t="s">
        <v>153</v>
      </c>
      <c r="H63" s="311" t="s">
        <v>7</v>
      </c>
      <c r="I63" s="247">
        <f>29476324-1</f>
        <v>29476323</v>
      </c>
      <c r="J63" s="244">
        <v>0</v>
      </c>
      <c r="K63" s="244">
        <v>0</v>
      </c>
      <c r="L63" s="245">
        <v>0</v>
      </c>
      <c r="M63" s="246">
        <f t="shared" si="0"/>
        <v>0</v>
      </c>
      <c r="N63" s="233">
        <f>ROUNDDOWN((4804362.2),0)</f>
        <v>4804362</v>
      </c>
      <c r="O63" s="231">
        <v>0</v>
      </c>
      <c r="P63" s="232">
        <f t="shared" si="22"/>
        <v>4804362</v>
      </c>
      <c r="Q63" s="233">
        <v>0</v>
      </c>
      <c r="R63" s="247">
        <v>0</v>
      </c>
      <c r="S63" s="337">
        <v>0</v>
      </c>
      <c r="T63" s="248">
        <f>N63</f>
        <v>4804362</v>
      </c>
      <c r="U63" s="371">
        <f t="shared" si="21"/>
        <v>29476323</v>
      </c>
      <c r="V63" s="249" t="s">
        <v>600</v>
      </c>
      <c r="W63" s="238"/>
      <c r="X63" s="239"/>
      <c r="Y63" s="239"/>
    </row>
    <row r="64" spans="1:25" ht="45" customHeight="1" x14ac:dyDescent="0.2">
      <c r="A64" s="240">
        <v>4</v>
      </c>
      <c r="B64" s="274" t="s">
        <v>22</v>
      </c>
      <c r="C64" s="275" t="s">
        <v>383</v>
      </c>
      <c r="D64" s="276" t="s">
        <v>89</v>
      </c>
      <c r="E64" s="276" t="s">
        <v>89</v>
      </c>
      <c r="F64" s="310">
        <v>1</v>
      </c>
      <c r="G64" s="310" t="s">
        <v>155</v>
      </c>
      <c r="H64" s="311" t="s">
        <v>7</v>
      </c>
      <c r="I64" s="247">
        <v>15696829</v>
      </c>
      <c r="J64" s="244">
        <v>15602736</v>
      </c>
      <c r="K64" s="244">
        <v>957432</v>
      </c>
      <c r="L64" s="245">
        <v>0</v>
      </c>
      <c r="M64" s="246">
        <f t="shared" si="0"/>
        <v>957432</v>
      </c>
      <c r="N64" s="231">
        <f>ROUNDDOWN((3133009.3),0)</f>
        <v>3133009</v>
      </c>
      <c r="O64" s="231">
        <v>72635</v>
      </c>
      <c r="P64" s="232">
        <f t="shared" si="22"/>
        <v>3060374</v>
      </c>
      <c r="Q64" s="247">
        <v>101558</v>
      </c>
      <c r="R64" s="247">
        <v>121621</v>
      </c>
      <c r="S64" s="337">
        <f>K64</f>
        <v>957432</v>
      </c>
      <c r="T64" s="248">
        <f>N64</f>
        <v>3133009</v>
      </c>
      <c r="U64" s="371">
        <f t="shared" si="21"/>
        <v>15696829</v>
      </c>
      <c r="V64" s="249" t="s">
        <v>257</v>
      </c>
      <c r="W64" s="238"/>
      <c r="X64" s="239"/>
      <c r="Y64" s="239"/>
    </row>
    <row r="65" spans="1:25" ht="42.75" customHeight="1" x14ac:dyDescent="0.2">
      <c r="A65" s="240">
        <v>4</v>
      </c>
      <c r="B65" s="274" t="s">
        <v>22</v>
      </c>
      <c r="C65" s="275" t="s">
        <v>383</v>
      </c>
      <c r="D65" s="276" t="s">
        <v>89</v>
      </c>
      <c r="E65" s="276" t="s">
        <v>89</v>
      </c>
      <c r="F65" s="240">
        <v>2</v>
      </c>
      <c r="G65" s="274" t="s">
        <v>155</v>
      </c>
      <c r="H65" s="277" t="s">
        <v>7</v>
      </c>
      <c r="I65" s="247">
        <v>15696829</v>
      </c>
      <c r="J65" s="244">
        <v>0</v>
      </c>
      <c r="K65" s="244">
        <v>957432</v>
      </c>
      <c r="L65" s="245">
        <v>0</v>
      </c>
      <c r="M65" s="246">
        <f t="shared" si="0"/>
        <v>957432</v>
      </c>
      <c r="N65" s="233">
        <f>ROUNDDOWN((3534898.25),0)</f>
        <v>3534898</v>
      </c>
      <c r="O65" s="233">
        <f>ROUNDDOWN((3534898.25),0)</f>
        <v>3534898</v>
      </c>
      <c r="P65" s="232">
        <f t="shared" si="22"/>
        <v>0</v>
      </c>
      <c r="Q65" s="233">
        <v>0</v>
      </c>
      <c r="R65" s="247">
        <v>0</v>
      </c>
      <c r="S65" s="337">
        <v>0</v>
      </c>
      <c r="T65" s="248">
        <v>0</v>
      </c>
      <c r="U65" s="371">
        <f t="shared" si="21"/>
        <v>11204499</v>
      </c>
      <c r="V65" s="249" t="s">
        <v>263</v>
      </c>
      <c r="W65" s="238"/>
      <c r="X65" s="239"/>
      <c r="Y65" s="239"/>
    </row>
    <row r="66" spans="1:25" s="376" customFormat="1" ht="54" customHeight="1" x14ac:dyDescent="0.2">
      <c r="A66" s="250">
        <v>4</v>
      </c>
      <c r="B66" s="278" t="s">
        <v>22</v>
      </c>
      <c r="C66" s="279" t="s">
        <v>383</v>
      </c>
      <c r="D66" s="280" t="s">
        <v>89</v>
      </c>
      <c r="E66" s="280" t="s">
        <v>89</v>
      </c>
      <c r="F66" s="252" t="s">
        <v>632</v>
      </c>
      <c r="G66" s="278" t="s">
        <v>155</v>
      </c>
      <c r="H66" s="281" t="s">
        <v>7</v>
      </c>
      <c r="I66" s="261">
        <v>0</v>
      </c>
      <c r="J66" s="256">
        <v>0</v>
      </c>
      <c r="K66" s="256">
        <v>0</v>
      </c>
      <c r="L66" s="282">
        <v>0</v>
      </c>
      <c r="M66" s="258">
        <f t="shared" si="0"/>
        <v>0</v>
      </c>
      <c r="N66" s="283">
        <v>0</v>
      </c>
      <c r="O66" s="283">
        <v>0</v>
      </c>
      <c r="P66" s="232">
        <f t="shared" si="22"/>
        <v>0</v>
      </c>
      <c r="Q66" s="260">
        <v>0</v>
      </c>
      <c r="R66" s="261">
        <v>0</v>
      </c>
      <c r="S66" s="374">
        <f>K65</f>
        <v>957432</v>
      </c>
      <c r="T66" s="263">
        <f>N65</f>
        <v>3534898</v>
      </c>
      <c r="U66" s="375">
        <f t="shared" si="21"/>
        <v>4492330</v>
      </c>
      <c r="V66" s="265" t="s">
        <v>619</v>
      </c>
      <c r="W66" s="284"/>
      <c r="X66" s="239"/>
      <c r="Y66" s="239"/>
    </row>
    <row r="67" spans="1:25" ht="44.25" customHeight="1" x14ac:dyDescent="0.2">
      <c r="A67" s="240">
        <v>4</v>
      </c>
      <c r="B67" s="274" t="s">
        <v>23</v>
      </c>
      <c r="C67" s="275" t="s">
        <v>384</v>
      </c>
      <c r="D67" s="276" t="s">
        <v>89</v>
      </c>
      <c r="E67" s="276" t="s">
        <v>89</v>
      </c>
      <c r="F67" s="310">
        <v>1</v>
      </c>
      <c r="G67" s="310" t="s">
        <v>153</v>
      </c>
      <c r="H67" s="311" t="s">
        <v>159</v>
      </c>
      <c r="I67" s="247">
        <v>41805775</v>
      </c>
      <c r="J67" s="244">
        <v>0</v>
      </c>
      <c r="K67" s="244">
        <v>0</v>
      </c>
      <c r="L67" s="245">
        <v>0</v>
      </c>
      <c r="M67" s="246">
        <f t="shared" si="0"/>
        <v>0</v>
      </c>
      <c r="N67" s="233">
        <f>ROUNDDOWN((3077312.45),0)</f>
        <v>3077312</v>
      </c>
      <c r="O67" s="233">
        <f>ROUNDDOWN((3077312.45),0)</f>
        <v>3077312</v>
      </c>
      <c r="P67" s="232">
        <f t="shared" si="22"/>
        <v>0</v>
      </c>
      <c r="Q67" s="233">
        <v>0</v>
      </c>
      <c r="R67" s="247">
        <v>0</v>
      </c>
      <c r="S67" s="337">
        <v>0</v>
      </c>
      <c r="T67" s="248">
        <v>0</v>
      </c>
      <c r="U67" s="371">
        <f t="shared" si="21"/>
        <v>38728463</v>
      </c>
      <c r="V67" s="249" t="s">
        <v>686</v>
      </c>
      <c r="W67" s="238"/>
    </row>
    <row r="68" spans="1:25" ht="36" customHeight="1" x14ac:dyDescent="0.2">
      <c r="A68" s="240">
        <v>4</v>
      </c>
      <c r="B68" s="274" t="s">
        <v>23</v>
      </c>
      <c r="C68" s="275" t="s">
        <v>384</v>
      </c>
      <c r="D68" s="276" t="s">
        <v>89</v>
      </c>
      <c r="E68" s="276" t="s">
        <v>89</v>
      </c>
      <c r="F68" s="310">
        <v>2</v>
      </c>
      <c r="G68" s="310" t="s">
        <v>153</v>
      </c>
      <c r="H68" s="311" t="s">
        <v>159</v>
      </c>
      <c r="I68" s="247">
        <v>18194494</v>
      </c>
      <c r="J68" s="244">
        <v>0</v>
      </c>
      <c r="K68" s="244">
        <v>3290568</v>
      </c>
      <c r="L68" s="245">
        <v>0</v>
      </c>
      <c r="M68" s="246">
        <f t="shared" si="0"/>
        <v>3290568</v>
      </c>
      <c r="N68" s="231">
        <f>ROUNDDOWN((3409760.7),0)</f>
        <v>3409760</v>
      </c>
      <c r="O68" s="231">
        <f>ROUNDDOWN((3409760.7),0)</f>
        <v>3409760</v>
      </c>
      <c r="P68" s="232">
        <f t="shared" si="22"/>
        <v>0</v>
      </c>
      <c r="Q68" s="233">
        <v>0</v>
      </c>
      <c r="R68" s="247">
        <v>0</v>
      </c>
      <c r="S68" s="337">
        <v>0</v>
      </c>
      <c r="T68" s="248">
        <v>0</v>
      </c>
      <c r="U68" s="371">
        <f t="shared" si="21"/>
        <v>11494166</v>
      </c>
      <c r="V68" s="249" t="s">
        <v>685</v>
      </c>
      <c r="W68" s="238"/>
    </row>
    <row r="69" spans="1:25" s="376" customFormat="1" ht="27" customHeight="1" x14ac:dyDescent="0.2">
      <c r="A69" s="250">
        <v>4</v>
      </c>
      <c r="B69" s="278" t="s">
        <v>23</v>
      </c>
      <c r="C69" s="279" t="s">
        <v>384</v>
      </c>
      <c r="D69" s="280" t="s">
        <v>89</v>
      </c>
      <c r="E69" s="280" t="s">
        <v>89</v>
      </c>
      <c r="F69" s="280" t="s">
        <v>632</v>
      </c>
      <c r="G69" s="372" t="s">
        <v>153</v>
      </c>
      <c r="H69" s="373" t="s">
        <v>159</v>
      </c>
      <c r="I69" s="261">
        <v>0</v>
      </c>
      <c r="J69" s="256">
        <v>0</v>
      </c>
      <c r="K69" s="256">
        <v>0</v>
      </c>
      <c r="L69" s="282">
        <v>0</v>
      </c>
      <c r="M69" s="258">
        <f t="shared" si="0"/>
        <v>0</v>
      </c>
      <c r="N69" s="283">
        <v>0</v>
      </c>
      <c r="O69" s="283">
        <v>0</v>
      </c>
      <c r="P69" s="232">
        <f t="shared" si="22"/>
        <v>0</v>
      </c>
      <c r="Q69" s="260">
        <v>0</v>
      </c>
      <c r="R69" s="261">
        <v>0</v>
      </c>
      <c r="S69" s="374">
        <f>K57</f>
        <v>2015429</v>
      </c>
      <c r="T69" s="263">
        <v>1375455</v>
      </c>
      <c r="U69" s="375">
        <f t="shared" si="21"/>
        <v>3390884</v>
      </c>
      <c r="V69" s="265" t="s">
        <v>620</v>
      </c>
      <c r="W69" s="238"/>
    </row>
    <row r="70" spans="1:25" ht="46.5" customHeight="1" x14ac:dyDescent="0.2">
      <c r="A70" s="240">
        <v>4</v>
      </c>
      <c r="B70" s="274" t="s">
        <v>24</v>
      </c>
      <c r="C70" s="275" t="s">
        <v>385</v>
      </c>
      <c r="D70" s="276" t="s">
        <v>89</v>
      </c>
      <c r="E70" s="276" t="s">
        <v>89</v>
      </c>
      <c r="F70" s="310" t="s">
        <v>89</v>
      </c>
      <c r="G70" s="310" t="s">
        <v>154</v>
      </c>
      <c r="H70" s="311" t="s">
        <v>7</v>
      </c>
      <c r="I70" s="247">
        <v>7092599</v>
      </c>
      <c r="J70" s="244">
        <v>0</v>
      </c>
      <c r="K70" s="244">
        <v>432615</v>
      </c>
      <c r="L70" s="245">
        <v>0</v>
      </c>
      <c r="M70" s="246">
        <f t="shared" si="0"/>
        <v>432615</v>
      </c>
      <c r="N70" s="231">
        <f>ROUNDDOWN((28539.9599999999),0)</f>
        <v>28539</v>
      </c>
      <c r="O70" s="231">
        <f>ROUNDDOWN((28539.9599999999),0)</f>
        <v>28539</v>
      </c>
      <c r="P70" s="232">
        <f t="shared" si="22"/>
        <v>0</v>
      </c>
      <c r="Q70" s="233">
        <v>0</v>
      </c>
      <c r="R70" s="247">
        <v>0</v>
      </c>
      <c r="S70" s="337">
        <v>0</v>
      </c>
      <c r="T70" s="248">
        <v>0</v>
      </c>
      <c r="U70" s="371">
        <f t="shared" si="21"/>
        <v>6631445</v>
      </c>
      <c r="V70" s="380" t="s">
        <v>631</v>
      </c>
      <c r="W70" s="381"/>
      <c r="X70" s="239"/>
      <c r="Y70" s="313"/>
    </row>
    <row r="71" spans="1:25" ht="72.75" customHeight="1" x14ac:dyDescent="0.2">
      <c r="A71" s="382">
        <v>4</v>
      </c>
      <c r="B71" s="274" t="s">
        <v>25</v>
      </c>
      <c r="C71" s="275" t="s">
        <v>386</v>
      </c>
      <c r="D71" s="276" t="s">
        <v>107</v>
      </c>
      <c r="E71" s="276" t="s">
        <v>387</v>
      </c>
      <c r="F71" s="310" t="s">
        <v>89</v>
      </c>
      <c r="G71" s="310" t="s">
        <v>154</v>
      </c>
      <c r="H71" s="311" t="s">
        <v>159</v>
      </c>
      <c r="I71" s="247">
        <v>96000000</v>
      </c>
      <c r="J71" s="244">
        <v>0</v>
      </c>
      <c r="K71" s="244">
        <v>5939203</v>
      </c>
      <c r="L71" s="245">
        <v>0</v>
      </c>
      <c r="M71" s="246">
        <f t="shared" ref="M71:M136" si="23">K71-L71</f>
        <v>5939203</v>
      </c>
      <c r="N71" s="231">
        <f>ROUNDDOWN((65673861.44),0)</f>
        <v>65673861</v>
      </c>
      <c r="O71" s="231">
        <f>ROUNDDOWN((65673861.44),0)</f>
        <v>65673861</v>
      </c>
      <c r="P71" s="232">
        <f t="shared" si="22"/>
        <v>0</v>
      </c>
      <c r="Q71" s="233">
        <v>1608670</v>
      </c>
      <c r="R71" s="247">
        <v>0</v>
      </c>
      <c r="S71" s="337">
        <f>Q71</f>
        <v>1608670</v>
      </c>
      <c r="T71" s="248">
        <f>20000000</f>
        <v>20000000</v>
      </c>
      <c r="U71" s="336">
        <f t="shared" si="21"/>
        <v>45995606</v>
      </c>
      <c r="V71" s="383" t="s">
        <v>688</v>
      </c>
      <c r="W71" s="384"/>
    </row>
    <row r="72" spans="1:25" ht="31.5" customHeight="1" x14ac:dyDescent="0.2">
      <c r="A72" s="315">
        <v>4</v>
      </c>
      <c r="B72" s="316" t="s">
        <v>25</v>
      </c>
      <c r="C72" s="317" t="s">
        <v>386</v>
      </c>
      <c r="D72" s="285" t="s">
        <v>108</v>
      </c>
      <c r="E72" s="285" t="s">
        <v>386</v>
      </c>
      <c r="F72" s="338" t="s">
        <v>89</v>
      </c>
      <c r="G72" s="338" t="s">
        <v>154</v>
      </c>
      <c r="H72" s="339" t="s">
        <v>159</v>
      </c>
      <c r="I72" s="287">
        <v>12516768</v>
      </c>
      <c r="J72" s="288">
        <v>0</v>
      </c>
      <c r="K72" s="288">
        <v>774371</v>
      </c>
      <c r="L72" s="289">
        <v>0</v>
      </c>
      <c r="M72" s="341">
        <f t="shared" si="23"/>
        <v>774371</v>
      </c>
      <c r="N72" s="231">
        <f>ROUNDDOWN((92868.8900000006),0)</f>
        <v>92868</v>
      </c>
      <c r="O72" s="231">
        <f>ROUNDDOWN((92868.8900000006),0)</f>
        <v>92868</v>
      </c>
      <c r="P72" s="232">
        <f t="shared" si="22"/>
        <v>0</v>
      </c>
      <c r="Q72" s="233">
        <v>0</v>
      </c>
      <c r="R72" s="247">
        <v>0</v>
      </c>
      <c r="S72" s="345">
        <f>K72</f>
        <v>774371</v>
      </c>
      <c r="T72" s="290">
        <f>N72</f>
        <v>92868</v>
      </c>
      <c r="U72" s="371">
        <f t="shared" si="21"/>
        <v>12516768</v>
      </c>
      <c r="V72" s="385" t="s">
        <v>599</v>
      </c>
      <c r="W72" s="381"/>
    </row>
    <row r="73" spans="1:25" s="376" customFormat="1" ht="151.5" customHeight="1" thickBot="1" x14ac:dyDescent="0.25">
      <c r="A73" s="386">
        <v>4</v>
      </c>
      <c r="B73" s="387" t="s">
        <v>25</v>
      </c>
      <c r="C73" s="388" t="s">
        <v>386</v>
      </c>
      <c r="D73" s="389" t="s">
        <v>500</v>
      </c>
      <c r="E73" s="389"/>
      <c r="F73" s="389" t="s">
        <v>633</v>
      </c>
      <c r="G73" s="390" t="s">
        <v>154</v>
      </c>
      <c r="H73" s="390" t="s">
        <v>159</v>
      </c>
      <c r="I73" s="391">
        <v>0</v>
      </c>
      <c r="J73" s="391">
        <v>0</v>
      </c>
      <c r="K73" s="391">
        <v>0</v>
      </c>
      <c r="L73" s="392">
        <v>0</v>
      </c>
      <c r="M73" s="393">
        <f t="shared" si="23"/>
        <v>0</v>
      </c>
      <c r="N73" s="394">
        <v>0</v>
      </c>
      <c r="O73" s="394">
        <v>0</v>
      </c>
      <c r="P73" s="232">
        <f t="shared" si="22"/>
        <v>0</v>
      </c>
      <c r="Q73" s="395">
        <v>0</v>
      </c>
      <c r="R73" s="391">
        <v>0</v>
      </c>
      <c r="S73" s="396">
        <f>K32+K61+K67+K68+K70+K71-1608670+K108+K109-517787</f>
        <v>12659571</v>
      </c>
      <c r="T73" s="397">
        <f>N32+N61+N67+N68-1375455+N70+N71+N108+N109-7988896</f>
        <v>101551502</v>
      </c>
      <c r="U73" s="398">
        <f t="shared" si="21"/>
        <v>114211073</v>
      </c>
      <c r="V73" s="399" t="s">
        <v>695</v>
      </c>
      <c r="W73" s="400"/>
    </row>
    <row r="74" spans="1:25" s="358" customFormat="1" ht="15" customHeight="1" x14ac:dyDescent="0.2">
      <c r="A74" s="346" t="s">
        <v>236</v>
      </c>
      <c r="B74" s="347"/>
      <c r="C74" s="348"/>
      <c r="D74" s="349"/>
      <c r="E74" s="349"/>
      <c r="F74" s="350"/>
      <c r="G74" s="350"/>
      <c r="H74" s="401" t="s">
        <v>7</v>
      </c>
      <c r="I74" s="352">
        <f>I60+I61+I62+I63+I64+I65+I66+I70</f>
        <v>286344229</v>
      </c>
      <c r="J74" s="352">
        <f>J60+J61+J62+J63+J64+J65+J66+J70</f>
        <v>15602736</v>
      </c>
      <c r="K74" s="352">
        <f>K60+K61+K62+K63+K64+K65+K66+K70</f>
        <v>17465637</v>
      </c>
      <c r="L74" s="354">
        <f>L60+L61+L62+L63+L64+L65+L66+L70</f>
        <v>0</v>
      </c>
      <c r="M74" s="402">
        <f t="shared" si="23"/>
        <v>17465637</v>
      </c>
      <c r="N74" s="354">
        <f t="shared" ref="N74" si="24">N60+N61+N62+N63+N64+N65+N66+N70</f>
        <v>28653573</v>
      </c>
      <c r="O74" s="354">
        <f t="shared" ref="O74:Q74" si="25">O60+O61+O62+O63+O64+O65+O66+O70</f>
        <v>11625287</v>
      </c>
      <c r="P74" s="354">
        <f t="shared" ref="P74" si="26">P60+P61+P62+P63+P64+P65+P66+P70</f>
        <v>17028286</v>
      </c>
      <c r="Q74" s="354">
        <f t="shared" si="25"/>
        <v>101558</v>
      </c>
      <c r="R74" s="352">
        <f>R60+R61+R62+R63+R64+R65+R66+R70</f>
        <v>121621</v>
      </c>
      <c r="S74" s="403">
        <f>S60+S61+S62+S63+S64+S65+S66+S70</f>
        <v>16515235</v>
      </c>
      <c r="T74" s="352">
        <f>T60+T61+T62+T63+T64+T65+T66+T70</f>
        <v>20636138</v>
      </c>
      <c r="U74" s="352">
        <f>U60+U61+U62+U63+U64+U65+U66+U70</f>
        <v>277376392</v>
      </c>
      <c r="V74" s="357"/>
      <c r="W74" s="331"/>
      <c r="X74" s="239"/>
      <c r="Y74" s="239"/>
    </row>
    <row r="75" spans="1:25" s="358" customFormat="1" ht="18.75" customHeight="1" thickBot="1" x14ac:dyDescent="0.25">
      <c r="A75" s="359" t="s">
        <v>236</v>
      </c>
      <c r="B75" s="360"/>
      <c r="C75" s="361"/>
      <c r="D75" s="362"/>
      <c r="E75" s="362"/>
      <c r="F75" s="363"/>
      <c r="G75" s="363"/>
      <c r="H75" s="364" t="s">
        <v>159</v>
      </c>
      <c r="I75" s="365">
        <f>I57+I58+I59+I67+I68+I69+I71+I72+I73</f>
        <v>194266292</v>
      </c>
      <c r="J75" s="365">
        <f t="shared" ref="J75:L75" si="27">J57+J58+J59+J67+J68+J69+J71+J72+J73</f>
        <v>0</v>
      </c>
      <c r="K75" s="365">
        <f t="shared" si="27"/>
        <v>12019571</v>
      </c>
      <c r="L75" s="365">
        <f t="shared" si="27"/>
        <v>0</v>
      </c>
      <c r="M75" s="404">
        <f t="shared" si="23"/>
        <v>12019571</v>
      </c>
      <c r="N75" s="367">
        <f t="shared" ref="N75" si="28">N57+N58+N59+N67+N68+N69+N71+N72+N73</f>
        <v>83933594</v>
      </c>
      <c r="O75" s="367">
        <f t="shared" ref="O75:Q75" si="29">O57+O58+O59+O67+O68+O69+O71+O72+O73</f>
        <v>83933594</v>
      </c>
      <c r="P75" s="367">
        <f t="shared" ref="P75" si="30">P57+P58+P59+P67+P68+P69+P71+P72+P73</f>
        <v>0</v>
      </c>
      <c r="Q75" s="367">
        <f t="shared" si="29"/>
        <v>1608670</v>
      </c>
      <c r="R75" s="365">
        <f>R57+R58+R59+R67+R68+R69+R71+R72+R73</f>
        <v>0</v>
      </c>
      <c r="S75" s="405">
        <f t="shared" ref="S75:T75" si="31">S57+S58+S59+S67+S68+S69+S71+S72+S73</f>
        <v>17058041</v>
      </c>
      <c r="T75" s="365">
        <f t="shared" si="31"/>
        <v>134699618</v>
      </c>
      <c r="U75" s="365">
        <f t="shared" ref="U75" si="32">U57+U58+U59+U67+U68+U69+U71+U72+U73</f>
        <v>250070786</v>
      </c>
      <c r="V75" s="370"/>
      <c r="W75" s="331"/>
    </row>
    <row r="76" spans="1:25" ht="32.25" customHeight="1" x14ac:dyDescent="0.2">
      <c r="A76" s="240">
        <v>5</v>
      </c>
      <c r="B76" s="274" t="s">
        <v>26</v>
      </c>
      <c r="C76" s="275" t="s">
        <v>388</v>
      </c>
      <c r="D76" s="310" t="s">
        <v>89</v>
      </c>
      <c r="E76" s="310" t="s">
        <v>89</v>
      </c>
      <c r="F76" s="310">
        <v>1</v>
      </c>
      <c r="G76" s="310" t="s">
        <v>155</v>
      </c>
      <c r="H76" s="311" t="s">
        <v>7</v>
      </c>
      <c r="I76" s="247">
        <v>785971</v>
      </c>
      <c r="J76" s="228">
        <v>0</v>
      </c>
      <c r="K76" s="228">
        <v>0</v>
      </c>
      <c r="L76" s="229">
        <v>0</v>
      </c>
      <c r="M76" s="246">
        <f t="shared" si="23"/>
        <v>0</v>
      </c>
      <c r="N76" s="231">
        <f>ROUNDDOWN((0.67000000004191),0)</f>
        <v>0</v>
      </c>
      <c r="O76" s="231">
        <f>ROUNDDOWN((0.67000000004191),0)</f>
        <v>0</v>
      </c>
      <c r="P76" s="232">
        <f>N76-O76</f>
        <v>0</v>
      </c>
      <c r="Q76" s="233">
        <v>0</v>
      </c>
      <c r="R76" s="247">
        <v>0</v>
      </c>
      <c r="S76" s="235">
        <v>0</v>
      </c>
      <c r="T76" s="236">
        <v>0</v>
      </c>
      <c r="U76" s="371">
        <f t="shared" ref="U76:U102" si="33">I76-K76-N76+S76+T76</f>
        <v>785971</v>
      </c>
      <c r="V76" s="249" t="s">
        <v>314</v>
      </c>
      <c r="W76" s="238"/>
      <c r="X76" s="239"/>
      <c r="Y76" s="239"/>
    </row>
    <row r="77" spans="1:25" ht="35.25" customHeight="1" x14ac:dyDescent="0.2">
      <c r="A77" s="240">
        <v>5</v>
      </c>
      <c r="B77" s="274" t="s">
        <v>26</v>
      </c>
      <c r="C77" s="275" t="s">
        <v>388</v>
      </c>
      <c r="D77" s="310" t="s">
        <v>89</v>
      </c>
      <c r="E77" s="310" t="s">
        <v>89</v>
      </c>
      <c r="F77" s="310">
        <v>2</v>
      </c>
      <c r="G77" s="310" t="s">
        <v>155</v>
      </c>
      <c r="H77" s="311" t="s">
        <v>7</v>
      </c>
      <c r="I77" s="247">
        <v>25184501</v>
      </c>
      <c r="J77" s="244">
        <v>0</v>
      </c>
      <c r="K77" s="244">
        <v>914929</v>
      </c>
      <c r="L77" s="245">
        <v>0</v>
      </c>
      <c r="M77" s="246">
        <f t="shared" si="23"/>
        <v>914929</v>
      </c>
      <c r="N77" s="231">
        <f>ROUNDDOWN((1642893.39),0)</f>
        <v>1642893</v>
      </c>
      <c r="O77" s="231">
        <f>ROUNDDOWN((1642893.39),0)</f>
        <v>1642893</v>
      </c>
      <c r="P77" s="232">
        <f t="shared" ref="P77:P102" si="34">N77-O77</f>
        <v>0</v>
      </c>
      <c r="Q77" s="233">
        <v>0</v>
      </c>
      <c r="R77" s="247">
        <v>0</v>
      </c>
      <c r="S77" s="337">
        <v>0</v>
      </c>
      <c r="T77" s="248">
        <v>0</v>
      </c>
      <c r="U77" s="371">
        <f t="shared" si="33"/>
        <v>22626679</v>
      </c>
      <c r="V77" s="249" t="s">
        <v>680</v>
      </c>
      <c r="W77" s="238"/>
      <c r="X77" s="239"/>
      <c r="Y77" s="239"/>
    </row>
    <row r="78" spans="1:25" ht="31.5" customHeight="1" x14ac:dyDescent="0.2">
      <c r="A78" s="240">
        <v>5</v>
      </c>
      <c r="B78" s="274" t="s">
        <v>26</v>
      </c>
      <c r="C78" s="275" t="s">
        <v>388</v>
      </c>
      <c r="D78" s="310" t="s">
        <v>89</v>
      </c>
      <c r="E78" s="310" t="s">
        <v>89</v>
      </c>
      <c r="F78" s="310">
        <v>3</v>
      </c>
      <c r="G78" s="310" t="s">
        <v>155</v>
      </c>
      <c r="H78" s="311" t="s">
        <v>7</v>
      </c>
      <c r="I78" s="247">
        <f>2911958+55375</f>
        <v>2967333</v>
      </c>
      <c r="J78" s="244">
        <v>0</v>
      </c>
      <c r="K78" s="244">
        <v>1765068</v>
      </c>
      <c r="L78" s="245">
        <v>0</v>
      </c>
      <c r="M78" s="246">
        <f t="shared" si="23"/>
        <v>1765068</v>
      </c>
      <c r="N78" s="231">
        <f>ROUNDDOWN((306000.000000896),0)</f>
        <v>306000</v>
      </c>
      <c r="O78" s="231">
        <f>ROUNDDOWN((306000.000000896),0)</f>
        <v>306000</v>
      </c>
      <c r="P78" s="232">
        <f t="shared" si="34"/>
        <v>0</v>
      </c>
      <c r="Q78" s="233">
        <v>0</v>
      </c>
      <c r="R78" s="247">
        <v>0</v>
      </c>
      <c r="S78" s="337">
        <f t="shared" ref="S78:S83" si="35">K78</f>
        <v>1765068</v>
      </c>
      <c r="T78" s="248">
        <f>N89-316668</f>
        <v>10611</v>
      </c>
      <c r="U78" s="371">
        <f t="shared" si="33"/>
        <v>2671944</v>
      </c>
      <c r="V78" s="249" t="s">
        <v>711</v>
      </c>
      <c r="W78" s="238"/>
      <c r="X78" s="239"/>
      <c r="Y78" s="239"/>
    </row>
    <row r="79" spans="1:25" ht="21" customHeight="1" x14ac:dyDescent="0.2">
      <c r="A79" s="240">
        <v>5</v>
      </c>
      <c r="B79" s="274" t="s">
        <v>27</v>
      </c>
      <c r="C79" s="275" t="s">
        <v>389</v>
      </c>
      <c r="D79" s="276" t="s">
        <v>89</v>
      </c>
      <c r="E79" s="276" t="s">
        <v>89</v>
      </c>
      <c r="F79" s="310" t="s">
        <v>89</v>
      </c>
      <c r="G79" s="310" t="s">
        <v>160</v>
      </c>
      <c r="H79" s="311" t="s">
        <v>7</v>
      </c>
      <c r="I79" s="247">
        <v>36881516</v>
      </c>
      <c r="J79" s="244">
        <v>0</v>
      </c>
      <c r="K79" s="244">
        <v>2249597</v>
      </c>
      <c r="L79" s="245">
        <v>0</v>
      </c>
      <c r="M79" s="246">
        <f t="shared" si="23"/>
        <v>2249597</v>
      </c>
      <c r="N79" s="231">
        <f>ROUNDDOWN((2105348.35),0)</f>
        <v>2105348</v>
      </c>
      <c r="O79" s="231">
        <f>ROUNDDOWN((2105348.35),0)</f>
        <v>2105348</v>
      </c>
      <c r="P79" s="232">
        <f t="shared" si="34"/>
        <v>0</v>
      </c>
      <c r="Q79" s="233">
        <v>0</v>
      </c>
      <c r="R79" s="247">
        <v>0</v>
      </c>
      <c r="S79" s="406">
        <f t="shared" si="35"/>
        <v>2249597</v>
      </c>
      <c r="T79" s="371">
        <f>N79</f>
        <v>2105348</v>
      </c>
      <c r="U79" s="371">
        <f t="shared" si="33"/>
        <v>36881516</v>
      </c>
      <c r="V79" s="249" t="s">
        <v>257</v>
      </c>
      <c r="W79" s="238"/>
      <c r="X79" s="239"/>
      <c r="Y79" s="239"/>
    </row>
    <row r="80" spans="1:25" ht="37.5" customHeight="1" x14ac:dyDescent="0.2">
      <c r="A80" s="240">
        <v>5</v>
      </c>
      <c r="B80" s="274" t="s">
        <v>28</v>
      </c>
      <c r="C80" s="275" t="s">
        <v>390</v>
      </c>
      <c r="D80" s="276" t="s">
        <v>109</v>
      </c>
      <c r="E80" s="276" t="s">
        <v>391</v>
      </c>
      <c r="F80" s="310" t="s">
        <v>89</v>
      </c>
      <c r="G80" s="310" t="s">
        <v>155</v>
      </c>
      <c r="H80" s="311" t="s">
        <v>159</v>
      </c>
      <c r="I80" s="247">
        <v>161891</v>
      </c>
      <c r="J80" s="244">
        <v>0</v>
      </c>
      <c r="K80" s="244">
        <v>0</v>
      </c>
      <c r="L80" s="245">
        <v>0</v>
      </c>
      <c r="M80" s="246">
        <f t="shared" si="23"/>
        <v>0</v>
      </c>
      <c r="N80" s="231">
        <f>ROUNDDOWN((10491.98),0)</f>
        <v>10491</v>
      </c>
      <c r="O80" s="231">
        <f>ROUNDDOWN((10491.98),0)</f>
        <v>10491</v>
      </c>
      <c r="P80" s="232">
        <f t="shared" si="34"/>
        <v>0</v>
      </c>
      <c r="Q80" s="233">
        <v>0</v>
      </c>
      <c r="R80" s="247">
        <v>0</v>
      </c>
      <c r="S80" s="337">
        <f t="shared" si="35"/>
        <v>0</v>
      </c>
      <c r="T80" s="248">
        <v>0</v>
      </c>
      <c r="U80" s="371">
        <f t="shared" si="33"/>
        <v>151400</v>
      </c>
      <c r="V80" s="249" t="s">
        <v>266</v>
      </c>
      <c r="W80" s="238"/>
    </row>
    <row r="81" spans="1:25" ht="33.75" customHeight="1" x14ac:dyDescent="0.2">
      <c r="A81" s="240">
        <v>5</v>
      </c>
      <c r="B81" s="274" t="s">
        <v>28</v>
      </c>
      <c r="C81" s="275" t="s">
        <v>390</v>
      </c>
      <c r="D81" s="276" t="s">
        <v>110</v>
      </c>
      <c r="E81" s="276" t="s">
        <v>525</v>
      </c>
      <c r="F81" s="310">
        <v>1</v>
      </c>
      <c r="G81" s="310" t="s">
        <v>155</v>
      </c>
      <c r="H81" s="311" t="s">
        <v>159</v>
      </c>
      <c r="I81" s="247">
        <v>5286704</v>
      </c>
      <c r="J81" s="244">
        <v>0</v>
      </c>
      <c r="K81" s="244">
        <v>0</v>
      </c>
      <c r="L81" s="245">
        <v>0</v>
      </c>
      <c r="M81" s="246">
        <f t="shared" si="23"/>
        <v>0</v>
      </c>
      <c r="N81" s="231">
        <f>ROUNDDOWN((0.860000000335276),0)</f>
        <v>0</v>
      </c>
      <c r="O81" s="231">
        <f>ROUNDDOWN((0.860000000335276),0)</f>
        <v>0</v>
      </c>
      <c r="P81" s="232">
        <f t="shared" si="34"/>
        <v>0</v>
      </c>
      <c r="Q81" s="233">
        <v>0</v>
      </c>
      <c r="R81" s="247">
        <v>0</v>
      </c>
      <c r="S81" s="337">
        <f t="shared" si="35"/>
        <v>0</v>
      </c>
      <c r="T81" s="248">
        <v>0</v>
      </c>
      <c r="U81" s="371">
        <f t="shared" si="33"/>
        <v>5286704</v>
      </c>
      <c r="V81" s="249" t="s">
        <v>314</v>
      </c>
      <c r="W81" s="238"/>
    </row>
    <row r="82" spans="1:25" ht="34.5" customHeight="1" x14ac:dyDescent="0.2">
      <c r="A82" s="240">
        <v>5</v>
      </c>
      <c r="B82" s="274" t="s">
        <v>28</v>
      </c>
      <c r="C82" s="275" t="s">
        <v>390</v>
      </c>
      <c r="D82" s="276" t="s">
        <v>110</v>
      </c>
      <c r="E82" s="276" t="s">
        <v>525</v>
      </c>
      <c r="F82" s="310">
        <v>2</v>
      </c>
      <c r="G82" s="310" t="s">
        <v>155</v>
      </c>
      <c r="H82" s="311" t="s">
        <v>159</v>
      </c>
      <c r="I82" s="247">
        <v>1588415</v>
      </c>
      <c r="J82" s="244">
        <v>0</v>
      </c>
      <c r="K82" s="244">
        <v>0</v>
      </c>
      <c r="L82" s="245">
        <v>0</v>
      </c>
      <c r="M82" s="246">
        <f t="shared" si="23"/>
        <v>0</v>
      </c>
      <c r="N82" s="231">
        <v>0</v>
      </c>
      <c r="O82" s="231">
        <v>0</v>
      </c>
      <c r="P82" s="232">
        <f t="shared" si="34"/>
        <v>0</v>
      </c>
      <c r="Q82" s="233">
        <v>0</v>
      </c>
      <c r="R82" s="247">
        <v>0</v>
      </c>
      <c r="S82" s="337">
        <f t="shared" si="35"/>
        <v>0</v>
      </c>
      <c r="T82" s="248">
        <v>0</v>
      </c>
      <c r="U82" s="371">
        <f t="shared" si="33"/>
        <v>1588415</v>
      </c>
      <c r="V82" s="249" t="s">
        <v>314</v>
      </c>
      <c r="W82" s="238"/>
    </row>
    <row r="83" spans="1:25" ht="42" customHeight="1" x14ac:dyDescent="0.2">
      <c r="A83" s="240">
        <v>5</v>
      </c>
      <c r="B83" s="274" t="s">
        <v>28</v>
      </c>
      <c r="C83" s="275" t="s">
        <v>390</v>
      </c>
      <c r="D83" s="276" t="s">
        <v>110</v>
      </c>
      <c r="E83" s="276" t="s">
        <v>525</v>
      </c>
      <c r="F83" s="310">
        <v>3</v>
      </c>
      <c r="G83" s="310" t="s">
        <v>155</v>
      </c>
      <c r="H83" s="311" t="s">
        <v>159</v>
      </c>
      <c r="I83" s="247">
        <v>33972439</v>
      </c>
      <c r="J83" s="244">
        <v>0</v>
      </c>
      <c r="K83" s="244">
        <v>1642779</v>
      </c>
      <c r="L83" s="245">
        <v>0</v>
      </c>
      <c r="M83" s="246">
        <f t="shared" si="23"/>
        <v>1642779</v>
      </c>
      <c r="N83" s="231">
        <f>ROUNDDOWN((2776255.74),0)</f>
        <v>2776255</v>
      </c>
      <c r="O83" s="231">
        <f>ROUNDDOWN((2776255.74),0)</f>
        <v>2776255</v>
      </c>
      <c r="P83" s="232">
        <f t="shared" si="34"/>
        <v>0</v>
      </c>
      <c r="Q83" s="233">
        <v>0</v>
      </c>
      <c r="R83" s="247">
        <v>0</v>
      </c>
      <c r="S83" s="337">
        <f t="shared" si="35"/>
        <v>1642779</v>
      </c>
      <c r="T83" s="248">
        <f>N83+N80</f>
        <v>2786746</v>
      </c>
      <c r="U83" s="371">
        <f t="shared" si="33"/>
        <v>33982930</v>
      </c>
      <c r="V83" s="249" t="s">
        <v>621</v>
      </c>
      <c r="W83" s="238"/>
    </row>
    <row r="84" spans="1:25" ht="33" customHeight="1" x14ac:dyDescent="0.2">
      <c r="A84" s="240">
        <v>5</v>
      </c>
      <c r="B84" s="274" t="s">
        <v>28</v>
      </c>
      <c r="C84" s="275" t="s">
        <v>390</v>
      </c>
      <c r="D84" s="276" t="s">
        <v>111</v>
      </c>
      <c r="E84" s="276" t="s">
        <v>392</v>
      </c>
      <c r="F84" s="310" t="s">
        <v>89</v>
      </c>
      <c r="G84" s="310" t="s">
        <v>155</v>
      </c>
      <c r="H84" s="311" t="s">
        <v>159</v>
      </c>
      <c r="I84" s="247">
        <v>9184249</v>
      </c>
      <c r="J84" s="244">
        <v>0</v>
      </c>
      <c r="K84" s="244">
        <v>0</v>
      </c>
      <c r="L84" s="245">
        <v>0</v>
      </c>
      <c r="M84" s="246">
        <f t="shared" si="23"/>
        <v>0</v>
      </c>
      <c r="N84" s="231">
        <v>0</v>
      </c>
      <c r="O84" s="231">
        <v>0</v>
      </c>
      <c r="P84" s="232">
        <f t="shared" si="34"/>
        <v>0</v>
      </c>
      <c r="Q84" s="232">
        <v>0</v>
      </c>
      <c r="R84" s="231">
        <v>0</v>
      </c>
      <c r="S84" s="337">
        <v>0</v>
      </c>
      <c r="T84" s="248">
        <v>0</v>
      </c>
      <c r="U84" s="371">
        <f t="shared" si="33"/>
        <v>9184249</v>
      </c>
      <c r="V84" s="249" t="s">
        <v>253</v>
      </c>
      <c r="W84" s="238"/>
    </row>
    <row r="85" spans="1:25" ht="44.25" customHeight="1" x14ac:dyDescent="0.2">
      <c r="A85" s="240">
        <v>5</v>
      </c>
      <c r="B85" s="274" t="s">
        <v>29</v>
      </c>
      <c r="C85" s="275" t="s">
        <v>393</v>
      </c>
      <c r="D85" s="276" t="s">
        <v>89</v>
      </c>
      <c r="E85" s="276" t="s">
        <v>89</v>
      </c>
      <c r="F85" s="310">
        <v>1</v>
      </c>
      <c r="G85" s="310" t="s">
        <v>155</v>
      </c>
      <c r="H85" s="311" t="s">
        <v>159</v>
      </c>
      <c r="I85" s="247">
        <v>56721226</v>
      </c>
      <c r="J85" s="244">
        <v>0</v>
      </c>
      <c r="K85" s="244">
        <v>0</v>
      </c>
      <c r="L85" s="245">
        <v>0</v>
      </c>
      <c r="M85" s="246">
        <f t="shared" si="23"/>
        <v>0</v>
      </c>
      <c r="N85" s="231">
        <f>ROUNDDOWN((425596.899999999),0)</f>
        <v>425596</v>
      </c>
      <c r="O85" s="231">
        <f>ROUNDDOWN((425596.899999999),0)</f>
        <v>425596</v>
      </c>
      <c r="P85" s="232">
        <f t="shared" si="34"/>
        <v>0</v>
      </c>
      <c r="Q85" s="233">
        <v>0</v>
      </c>
      <c r="R85" s="247">
        <v>0</v>
      </c>
      <c r="S85" s="337">
        <v>0</v>
      </c>
      <c r="T85" s="248">
        <v>0</v>
      </c>
      <c r="U85" s="371">
        <f t="shared" si="33"/>
        <v>56295630</v>
      </c>
      <c r="V85" s="249" t="s">
        <v>269</v>
      </c>
      <c r="W85" s="238"/>
    </row>
    <row r="86" spans="1:25" ht="45" customHeight="1" x14ac:dyDescent="0.2">
      <c r="A86" s="240">
        <v>5</v>
      </c>
      <c r="B86" s="274" t="s">
        <v>29</v>
      </c>
      <c r="C86" s="275" t="s">
        <v>394</v>
      </c>
      <c r="D86" s="276" t="s">
        <v>89</v>
      </c>
      <c r="E86" s="276" t="s">
        <v>89</v>
      </c>
      <c r="F86" s="310">
        <v>2</v>
      </c>
      <c r="G86" s="310" t="s">
        <v>155</v>
      </c>
      <c r="H86" s="311" t="s">
        <v>159</v>
      </c>
      <c r="I86" s="247">
        <v>35027320</v>
      </c>
      <c r="J86" s="244">
        <v>0</v>
      </c>
      <c r="K86" s="244">
        <v>0</v>
      </c>
      <c r="L86" s="245">
        <v>0</v>
      </c>
      <c r="M86" s="246">
        <f t="shared" si="23"/>
        <v>0</v>
      </c>
      <c r="N86" s="231">
        <f>ROUNDDOWN((642132.799999997),0)</f>
        <v>642132</v>
      </c>
      <c r="O86" s="231">
        <f>ROUNDDOWN((642132.799999997),0)</f>
        <v>642132</v>
      </c>
      <c r="P86" s="232">
        <f t="shared" si="34"/>
        <v>0</v>
      </c>
      <c r="Q86" s="233">
        <v>0</v>
      </c>
      <c r="R86" s="247">
        <v>0</v>
      </c>
      <c r="S86" s="337">
        <v>0</v>
      </c>
      <c r="T86" s="248">
        <v>0</v>
      </c>
      <c r="U86" s="371">
        <f t="shared" si="33"/>
        <v>34385188</v>
      </c>
      <c r="V86" s="249" t="s">
        <v>269</v>
      </c>
      <c r="W86" s="238"/>
    </row>
    <row r="87" spans="1:25" ht="43.5" customHeight="1" x14ac:dyDescent="0.2">
      <c r="A87" s="240">
        <v>5</v>
      </c>
      <c r="B87" s="274" t="s">
        <v>29</v>
      </c>
      <c r="C87" s="275" t="s">
        <v>395</v>
      </c>
      <c r="D87" s="276" t="s">
        <v>89</v>
      </c>
      <c r="E87" s="276" t="s">
        <v>89</v>
      </c>
      <c r="F87" s="310">
        <v>3</v>
      </c>
      <c r="G87" s="310" t="s">
        <v>155</v>
      </c>
      <c r="H87" s="311" t="s">
        <v>159</v>
      </c>
      <c r="I87" s="247">
        <v>11707775</v>
      </c>
      <c r="J87" s="244">
        <v>0</v>
      </c>
      <c r="K87" s="244">
        <v>0</v>
      </c>
      <c r="L87" s="245">
        <v>0</v>
      </c>
      <c r="M87" s="246">
        <f t="shared" si="23"/>
        <v>0</v>
      </c>
      <c r="N87" s="231">
        <v>0</v>
      </c>
      <c r="O87" s="231">
        <v>0</v>
      </c>
      <c r="P87" s="232">
        <f t="shared" si="34"/>
        <v>0</v>
      </c>
      <c r="Q87" s="233">
        <v>0</v>
      </c>
      <c r="R87" s="247">
        <v>0</v>
      </c>
      <c r="S87" s="337">
        <v>0</v>
      </c>
      <c r="T87" s="248">
        <v>0</v>
      </c>
      <c r="U87" s="371">
        <f t="shared" si="33"/>
        <v>11707775</v>
      </c>
      <c r="V87" s="249" t="s">
        <v>314</v>
      </c>
      <c r="W87" s="238"/>
    </row>
    <row r="88" spans="1:25" ht="47.25" customHeight="1" x14ac:dyDescent="0.2">
      <c r="A88" s="240">
        <v>5</v>
      </c>
      <c r="B88" s="274" t="s">
        <v>29</v>
      </c>
      <c r="C88" s="275" t="s">
        <v>396</v>
      </c>
      <c r="D88" s="276" t="s">
        <v>89</v>
      </c>
      <c r="E88" s="276" t="s">
        <v>89</v>
      </c>
      <c r="F88" s="310">
        <v>4</v>
      </c>
      <c r="G88" s="310" t="s">
        <v>155</v>
      </c>
      <c r="H88" s="311" t="s">
        <v>159</v>
      </c>
      <c r="I88" s="247">
        <v>3588193</v>
      </c>
      <c r="J88" s="244">
        <v>0</v>
      </c>
      <c r="K88" s="244">
        <v>0</v>
      </c>
      <c r="L88" s="245">
        <v>0</v>
      </c>
      <c r="M88" s="246">
        <f t="shared" si="23"/>
        <v>0</v>
      </c>
      <c r="N88" s="231">
        <v>3588193</v>
      </c>
      <c r="O88" s="231">
        <v>3588193</v>
      </c>
      <c r="P88" s="232">
        <f t="shared" si="34"/>
        <v>0</v>
      </c>
      <c r="Q88" s="233">
        <v>0</v>
      </c>
      <c r="R88" s="247">
        <v>0</v>
      </c>
      <c r="S88" s="337">
        <f>K93</f>
        <v>2289729</v>
      </c>
      <c r="T88" s="248">
        <f>$N$88+$N$85+$N$86</f>
        <v>4655921</v>
      </c>
      <c r="U88" s="371">
        <f t="shared" si="33"/>
        <v>6945650</v>
      </c>
      <c r="V88" s="249" t="s">
        <v>267</v>
      </c>
      <c r="W88" s="238"/>
    </row>
    <row r="89" spans="1:25" ht="55.5" customHeight="1" x14ac:dyDescent="0.2">
      <c r="A89" s="240">
        <v>5</v>
      </c>
      <c r="B89" s="274" t="s">
        <v>30</v>
      </c>
      <c r="C89" s="275" t="s">
        <v>397</v>
      </c>
      <c r="D89" s="276" t="s">
        <v>112</v>
      </c>
      <c r="E89" s="276" t="s">
        <v>725</v>
      </c>
      <c r="F89" s="310" t="s">
        <v>89</v>
      </c>
      <c r="G89" s="310" t="s">
        <v>155</v>
      </c>
      <c r="H89" s="311" t="s">
        <v>7</v>
      </c>
      <c r="I89" s="247">
        <v>3400000</v>
      </c>
      <c r="J89" s="244">
        <v>0</v>
      </c>
      <c r="K89" s="244">
        <v>0</v>
      </c>
      <c r="L89" s="245">
        <v>0</v>
      </c>
      <c r="M89" s="246">
        <f t="shared" si="23"/>
        <v>0</v>
      </c>
      <c r="N89" s="231">
        <f>ROUNDDOWN((327279.06),0)</f>
        <v>327279</v>
      </c>
      <c r="O89" s="231">
        <f>ROUNDDOWN((327279.06),0)</f>
        <v>327279</v>
      </c>
      <c r="P89" s="232">
        <f t="shared" si="34"/>
        <v>0</v>
      </c>
      <c r="Q89" s="233">
        <v>0</v>
      </c>
      <c r="R89" s="247">
        <v>0</v>
      </c>
      <c r="S89" s="337">
        <v>0</v>
      </c>
      <c r="T89" s="248">
        <v>0</v>
      </c>
      <c r="U89" s="371">
        <f t="shared" si="33"/>
        <v>3072721</v>
      </c>
      <c r="V89" s="249" t="s">
        <v>712</v>
      </c>
      <c r="W89" s="238"/>
      <c r="X89" s="239"/>
      <c r="Y89" s="239"/>
    </row>
    <row r="90" spans="1:25" ht="43.5" customHeight="1" x14ac:dyDescent="0.2">
      <c r="A90" s="240">
        <v>5</v>
      </c>
      <c r="B90" s="274" t="s">
        <v>31</v>
      </c>
      <c r="C90" s="275" t="s">
        <v>398</v>
      </c>
      <c r="D90" s="276" t="s">
        <v>113</v>
      </c>
      <c r="E90" s="276" t="s">
        <v>399</v>
      </c>
      <c r="F90" s="310" t="s">
        <v>89</v>
      </c>
      <c r="G90" s="310" t="s">
        <v>155</v>
      </c>
      <c r="H90" s="311" t="s">
        <v>159</v>
      </c>
      <c r="I90" s="247">
        <v>8075000</v>
      </c>
      <c r="J90" s="244">
        <v>0</v>
      </c>
      <c r="K90" s="244">
        <v>0</v>
      </c>
      <c r="L90" s="245">
        <v>0</v>
      </c>
      <c r="M90" s="246">
        <f t="shared" si="23"/>
        <v>0</v>
      </c>
      <c r="N90" s="231">
        <v>0</v>
      </c>
      <c r="O90" s="231">
        <v>0</v>
      </c>
      <c r="P90" s="232">
        <f t="shared" si="34"/>
        <v>0</v>
      </c>
      <c r="Q90" s="233">
        <v>0</v>
      </c>
      <c r="R90" s="247">
        <v>0</v>
      </c>
      <c r="S90" s="337">
        <f>470058</f>
        <v>470058</v>
      </c>
      <c r="T90" s="248">
        <v>0</v>
      </c>
      <c r="U90" s="371">
        <f t="shared" si="33"/>
        <v>8545058</v>
      </c>
      <c r="V90" s="249" t="s">
        <v>268</v>
      </c>
      <c r="W90" s="238"/>
    </row>
    <row r="91" spans="1:25" ht="54.75" customHeight="1" x14ac:dyDescent="0.2">
      <c r="A91" s="407">
        <v>5</v>
      </c>
      <c r="B91" s="274" t="s">
        <v>31</v>
      </c>
      <c r="C91" s="275" t="s">
        <v>398</v>
      </c>
      <c r="D91" s="276" t="s">
        <v>114</v>
      </c>
      <c r="E91" s="276" t="s">
        <v>527</v>
      </c>
      <c r="F91" s="310">
        <v>1</v>
      </c>
      <c r="G91" s="310" t="s">
        <v>155</v>
      </c>
      <c r="H91" s="311" t="s">
        <v>159</v>
      </c>
      <c r="I91" s="247">
        <v>11857231</v>
      </c>
      <c r="J91" s="244">
        <v>0</v>
      </c>
      <c r="K91" s="244">
        <v>0</v>
      </c>
      <c r="L91" s="245">
        <v>0</v>
      </c>
      <c r="M91" s="246">
        <f t="shared" si="23"/>
        <v>0</v>
      </c>
      <c r="N91" s="231">
        <v>0</v>
      </c>
      <c r="O91" s="231">
        <v>0</v>
      </c>
      <c r="P91" s="232">
        <f t="shared" si="34"/>
        <v>0</v>
      </c>
      <c r="Q91" s="233">
        <v>0</v>
      </c>
      <c r="R91" s="247">
        <v>0</v>
      </c>
      <c r="S91" s="337">
        <v>0</v>
      </c>
      <c r="T91" s="248">
        <v>0</v>
      </c>
      <c r="U91" s="371">
        <f t="shared" si="33"/>
        <v>11857231</v>
      </c>
      <c r="V91" s="249" t="s">
        <v>314</v>
      </c>
      <c r="W91" s="238"/>
    </row>
    <row r="92" spans="1:25" ht="57" customHeight="1" x14ac:dyDescent="0.2">
      <c r="A92" s="407">
        <v>5</v>
      </c>
      <c r="B92" s="274" t="s">
        <v>31</v>
      </c>
      <c r="C92" s="275" t="s">
        <v>398</v>
      </c>
      <c r="D92" s="276" t="s">
        <v>114</v>
      </c>
      <c r="E92" s="276" t="s">
        <v>527</v>
      </c>
      <c r="F92" s="310">
        <v>2</v>
      </c>
      <c r="G92" s="310" t="s">
        <v>155</v>
      </c>
      <c r="H92" s="311" t="s">
        <v>159</v>
      </c>
      <c r="I92" s="247">
        <v>2847500</v>
      </c>
      <c r="J92" s="244">
        <v>0</v>
      </c>
      <c r="K92" s="244">
        <v>0</v>
      </c>
      <c r="L92" s="245">
        <v>0</v>
      </c>
      <c r="M92" s="246">
        <f t="shared" si="23"/>
        <v>0</v>
      </c>
      <c r="N92" s="231">
        <v>0</v>
      </c>
      <c r="O92" s="231">
        <v>0</v>
      </c>
      <c r="P92" s="232">
        <f t="shared" si="34"/>
        <v>0</v>
      </c>
      <c r="Q92" s="233">
        <v>0</v>
      </c>
      <c r="R92" s="247">
        <v>0</v>
      </c>
      <c r="S92" s="337">
        <v>0</v>
      </c>
      <c r="T92" s="248">
        <v>0</v>
      </c>
      <c r="U92" s="371">
        <f t="shared" si="33"/>
        <v>2847500</v>
      </c>
      <c r="V92" s="249" t="s">
        <v>314</v>
      </c>
      <c r="W92" s="238"/>
    </row>
    <row r="93" spans="1:25" ht="57" customHeight="1" x14ac:dyDescent="0.2">
      <c r="A93" s="407">
        <v>5</v>
      </c>
      <c r="B93" s="274" t="s">
        <v>31</v>
      </c>
      <c r="C93" s="275" t="s">
        <v>398</v>
      </c>
      <c r="D93" s="276" t="s">
        <v>114</v>
      </c>
      <c r="E93" s="276" t="s">
        <v>527</v>
      </c>
      <c r="F93" s="310">
        <v>3</v>
      </c>
      <c r="G93" s="310" t="s">
        <v>155</v>
      </c>
      <c r="H93" s="311" t="s">
        <v>159</v>
      </c>
      <c r="I93" s="247">
        <f>1333895+955834</f>
        <v>2289729</v>
      </c>
      <c r="J93" s="244">
        <v>0</v>
      </c>
      <c r="K93" s="244">
        <v>2289729</v>
      </c>
      <c r="L93" s="245">
        <v>0</v>
      </c>
      <c r="M93" s="246">
        <f t="shared" si="23"/>
        <v>2289729</v>
      </c>
      <c r="N93" s="231">
        <v>0</v>
      </c>
      <c r="O93" s="231">
        <v>0</v>
      </c>
      <c r="P93" s="232">
        <f t="shared" si="34"/>
        <v>0</v>
      </c>
      <c r="Q93" s="233">
        <v>0</v>
      </c>
      <c r="R93" s="247">
        <v>0</v>
      </c>
      <c r="S93" s="337">
        <v>0</v>
      </c>
      <c r="T93" s="248">
        <v>0</v>
      </c>
      <c r="U93" s="371">
        <f t="shared" si="33"/>
        <v>0</v>
      </c>
      <c r="V93" s="249" t="s">
        <v>526</v>
      </c>
      <c r="W93" s="238"/>
    </row>
    <row r="94" spans="1:25" ht="43.5" customHeight="1" x14ac:dyDescent="0.2">
      <c r="A94" s="407">
        <v>5</v>
      </c>
      <c r="B94" s="274" t="s">
        <v>32</v>
      </c>
      <c r="C94" s="275" t="s">
        <v>398</v>
      </c>
      <c r="D94" s="276" t="s">
        <v>89</v>
      </c>
      <c r="E94" s="276" t="s">
        <v>89</v>
      </c>
      <c r="F94" s="310" t="s">
        <v>89</v>
      </c>
      <c r="G94" s="310" t="s">
        <v>155</v>
      </c>
      <c r="H94" s="311" t="s">
        <v>159</v>
      </c>
      <c r="I94" s="247">
        <v>7830726</v>
      </c>
      <c r="J94" s="244">
        <v>0</v>
      </c>
      <c r="K94" s="244">
        <v>7830726</v>
      </c>
      <c r="L94" s="245">
        <v>0</v>
      </c>
      <c r="M94" s="246">
        <f t="shared" si="23"/>
        <v>7830726</v>
      </c>
      <c r="N94" s="231">
        <v>0</v>
      </c>
      <c r="O94" s="231">
        <v>0</v>
      </c>
      <c r="P94" s="232">
        <f t="shared" si="34"/>
        <v>0</v>
      </c>
      <c r="Q94" s="233">
        <v>0</v>
      </c>
      <c r="R94" s="247">
        <v>0</v>
      </c>
      <c r="S94" s="337">
        <f>K94-470058</f>
        <v>7360668</v>
      </c>
      <c r="T94" s="248">
        <f>N94</f>
        <v>0</v>
      </c>
      <c r="U94" s="371">
        <f t="shared" si="33"/>
        <v>7360668</v>
      </c>
      <c r="V94" s="249" t="s">
        <v>528</v>
      </c>
      <c r="W94" s="238"/>
    </row>
    <row r="95" spans="1:25" ht="43.5" customHeight="1" x14ac:dyDescent="0.2">
      <c r="A95" s="240">
        <v>5</v>
      </c>
      <c r="B95" s="274" t="s">
        <v>33</v>
      </c>
      <c r="C95" s="275" t="s">
        <v>400</v>
      </c>
      <c r="D95" s="276" t="s">
        <v>89</v>
      </c>
      <c r="E95" s="276" t="s">
        <v>89</v>
      </c>
      <c r="F95" s="310">
        <v>1</v>
      </c>
      <c r="G95" s="310" t="s">
        <v>161</v>
      </c>
      <c r="H95" s="311" t="s">
        <v>7</v>
      </c>
      <c r="I95" s="247">
        <v>20190555</v>
      </c>
      <c r="J95" s="244">
        <v>0</v>
      </c>
      <c r="K95" s="244">
        <v>1231528</v>
      </c>
      <c r="L95" s="245">
        <v>0</v>
      </c>
      <c r="M95" s="246">
        <f t="shared" si="23"/>
        <v>1231528</v>
      </c>
      <c r="N95" s="233">
        <f>ROUNDDOWN((146038.649999999),0)</f>
        <v>146038</v>
      </c>
      <c r="O95" s="233">
        <f>ROUNDDOWN((146038.649999999),0)</f>
        <v>146038</v>
      </c>
      <c r="P95" s="232">
        <f t="shared" si="34"/>
        <v>0</v>
      </c>
      <c r="Q95" s="233">
        <v>1104997</v>
      </c>
      <c r="R95" s="247">
        <v>0</v>
      </c>
      <c r="S95" s="337">
        <f t="shared" ref="S95:S101" si="36">K95</f>
        <v>1231528</v>
      </c>
      <c r="T95" s="248">
        <v>0</v>
      </c>
      <c r="U95" s="371">
        <f t="shared" si="33"/>
        <v>20044517</v>
      </c>
      <c r="V95" s="249" t="s">
        <v>273</v>
      </c>
      <c r="W95" s="238"/>
      <c r="X95" s="239"/>
      <c r="Y95" s="239"/>
    </row>
    <row r="96" spans="1:25" ht="45" customHeight="1" x14ac:dyDescent="0.2">
      <c r="A96" s="240">
        <v>5</v>
      </c>
      <c r="B96" s="274" t="s">
        <v>33</v>
      </c>
      <c r="C96" s="275" t="s">
        <v>400</v>
      </c>
      <c r="D96" s="276" t="s">
        <v>89</v>
      </c>
      <c r="E96" s="276" t="s">
        <v>89</v>
      </c>
      <c r="F96" s="310">
        <v>2</v>
      </c>
      <c r="G96" s="310" t="s">
        <v>161</v>
      </c>
      <c r="H96" s="311" t="s">
        <v>7</v>
      </c>
      <c r="I96" s="247">
        <v>15000000</v>
      </c>
      <c r="J96" s="244">
        <v>0</v>
      </c>
      <c r="K96" s="244">
        <v>914929</v>
      </c>
      <c r="L96" s="245">
        <v>0</v>
      </c>
      <c r="M96" s="246">
        <f t="shared" si="23"/>
        <v>914929</v>
      </c>
      <c r="N96" s="231">
        <f>ROUNDDOWN((63805.4700000006),0)</f>
        <v>63805</v>
      </c>
      <c r="O96" s="231">
        <f>ROUNDDOWN((63805.4700000006),0)</f>
        <v>63805</v>
      </c>
      <c r="P96" s="232">
        <f t="shared" si="34"/>
        <v>0</v>
      </c>
      <c r="Q96" s="233">
        <v>913321</v>
      </c>
      <c r="R96" s="247">
        <v>0</v>
      </c>
      <c r="S96" s="337">
        <f t="shared" si="36"/>
        <v>914929</v>
      </c>
      <c r="T96" s="248">
        <v>0</v>
      </c>
      <c r="U96" s="371">
        <f t="shared" si="33"/>
        <v>14936195</v>
      </c>
      <c r="V96" s="249" t="s">
        <v>273</v>
      </c>
      <c r="W96" s="238"/>
      <c r="X96" s="239"/>
      <c r="Y96" s="239"/>
    </row>
    <row r="97" spans="1:25" ht="47.25" customHeight="1" x14ac:dyDescent="0.2">
      <c r="A97" s="240">
        <v>5</v>
      </c>
      <c r="B97" s="274" t="s">
        <v>33</v>
      </c>
      <c r="C97" s="275" t="s">
        <v>400</v>
      </c>
      <c r="D97" s="276" t="s">
        <v>89</v>
      </c>
      <c r="E97" s="276" t="s">
        <v>89</v>
      </c>
      <c r="F97" s="310">
        <v>3</v>
      </c>
      <c r="G97" s="310" t="s">
        <v>161</v>
      </c>
      <c r="H97" s="311" t="s">
        <v>7</v>
      </c>
      <c r="I97" s="247">
        <v>23192193</v>
      </c>
      <c r="J97" s="244">
        <v>28099280</v>
      </c>
      <c r="K97" s="244">
        <v>2451484</v>
      </c>
      <c r="L97" s="245">
        <v>0</v>
      </c>
      <c r="M97" s="246">
        <f t="shared" si="23"/>
        <v>2451484</v>
      </c>
      <c r="N97" s="231">
        <v>32705022</v>
      </c>
      <c r="O97" s="233">
        <f>I97-K97+2419222</f>
        <v>23159931</v>
      </c>
      <c r="P97" s="232">
        <f t="shared" si="34"/>
        <v>9545091</v>
      </c>
      <c r="Q97" s="233">
        <v>0</v>
      </c>
      <c r="R97" s="247">
        <v>0</v>
      </c>
      <c r="S97" s="337">
        <f t="shared" si="36"/>
        <v>2451484</v>
      </c>
      <c r="T97" s="248">
        <f>N97-16100000</f>
        <v>16605022</v>
      </c>
      <c r="U97" s="371">
        <f t="shared" si="33"/>
        <v>7092193</v>
      </c>
      <c r="V97" s="249" t="s">
        <v>665</v>
      </c>
      <c r="W97" s="312"/>
      <c r="X97" s="239"/>
      <c r="Y97" s="239"/>
    </row>
    <row r="98" spans="1:25" ht="45.75" customHeight="1" x14ac:dyDescent="0.2">
      <c r="A98" s="240">
        <v>5</v>
      </c>
      <c r="B98" s="274" t="s">
        <v>34</v>
      </c>
      <c r="C98" s="275" t="s">
        <v>401</v>
      </c>
      <c r="D98" s="276" t="s">
        <v>89</v>
      </c>
      <c r="E98" s="276" t="s">
        <v>89</v>
      </c>
      <c r="F98" s="310" t="s">
        <v>89</v>
      </c>
      <c r="G98" s="310" t="s">
        <v>161</v>
      </c>
      <c r="H98" s="311" t="s">
        <v>7</v>
      </c>
      <c r="I98" s="247">
        <v>57190598</v>
      </c>
      <c r="J98" s="244">
        <v>0</v>
      </c>
      <c r="K98" s="244">
        <v>2451484</v>
      </c>
      <c r="L98" s="245">
        <v>0</v>
      </c>
      <c r="M98" s="246">
        <f t="shared" si="23"/>
        <v>2451484</v>
      </c>
      <c r="N98" s="231">
        <f>ROUNDDOWN((685301.609999999),0)</f>
        <v>685301</v>
      </c>
      <c r="O98" s="231">
        <f>ROUNDDOWN((685301.609999999),0)</f>
        <v>685301</v>
      </c>
      <c r="P98" s="232">
        <f t="shared" si="34"/>
        <v>0</v>
      </c>
      <c r="Q98" s="233">
        <v>2447359</v>
      </c>
      <c r="R98" s="247">
        <v>0</v>
      </c>
      <c r="S98" s="337">
        <f t="shared" si="36"/>
        <v>2451484</v>
      </c>
      <c r="T98" s="248">
        <f>N98+N95+N96</f>
        <v>895144</v>
      </c>
      <c r="U98" s="371">
        <f t="shared" si="33"/>
        <v>57400441</v>
      </c>
      <c r="V98" s="249" t="s">
        <v>529</v>
      </c>
      <c r="W98" s="238"/>
      <c r="X98" s="239"/>
      <c r="Y98" s="239"/>
    </row>
    <row r="99" spans="1:25" ht="45.75" customHeight="1" x14ac:dyDescent="0.2">
      <c r="A99" s="240">
        <v>5</v>
      </c>
      <c r="B99" s="274" t="s">
        <v>35</v>
      </c>
      <c r="C99" s="275" t="s">
        <v>402</v>
      </c>
      <c r="D99" s="276" t="s">
        <v>89</v>
      </c>
      <c r="E99" s="276" t="s">
        <v>89</v>
      </c>
      <c r="F99" s="276">
        <v>1</v>
      </c>
      <c r="G99" s="310" t="s">
        <v>155</v>
      </c>
      <c r="H99" s="311" t="s">
        <v>7</v>
      </c>
      <c r="I99" s="247">
        <v>92138673</v>
      </c>
      <c r="J99" s="244">
        <v>0</v>
      </c>
      <c r="K99" s="244">
        <v>5620021</v>
      </c>
      <c r="L99" s="245">
        <v>0</v>
      </c>
      <c r="M99" s="246">
        <f t="shared" si="23"/>
        <v>5620021</v>
      </c>
      <c r="N99" s="231">
        <f>ROUNDDOWN((21948324.6),0)</f>
        <v>21948324</v>
      </c>
      <c r="O99" s="233">
        <v>119</v>
      </c>
      <c r="P99" s="232">
        <f t="shared" si="34"/>
        <v>21948205</v>
      </c>
      <c r="Q99" s="233">
        <v>0</v>
      </c>
      <c r="R99" s="247">
        <v>3183682</v>
      </c>
      <c r="S99" s="337">
        <f t="shared" si="36"/>
        <v>5620021</v>
      </c>
      <c r="T99" s="248">
        <f>N99</f>
        <v>21948324</v>
      </c>
      <c r="U99" s="371">
        <f t="shared" si="33"/>
        <v>92138673</v>
      </c>
      <c r="V99" s="249" t="s">
        <v>257</v>
      </c>
      <c r="W99" s="238"/>
      <c r="X99" s="239"/>
      <c r="Y99" s="239"/>
    </row>
    <row r="100" spans="1:25" ht="46.5" customHeight="1" x14ac:dyDescent="0.2">
      <c r="A100" s="240">
        <v>5</v>
      </c>
      <c r="B100" s="274" t="s">
        <v>35</v>
      </c>
      <c r="C100" s="275" t="s">
        <v>402</v>
      </c>
      <c r="D100" s="276" t="s">
        <v>89</v>
      </c>
      <c r="E100" s="276" t="s">
        <v>89</v>
      </c>
      <c r="F100" s="276">
        <v>2</v>
      </c>
      <c r="G100" s="310" t="s">
        <v>155</v>
      </c>
      <c r="H100" s="311" t="s">
        <v>7</v>
      </c>
      <c r="I100" s="247">
        <v>92138673</v>
      </c>
      <c r="J100" s="244">
        <v>0</v>
      </c>
      <c r="K100" s="244">
        <v>5620021</v>
      </c>
      <c r="L100" s="245">
        <v>0</v>
      </c>
      <c r="M100" s="246">
        <f t="shared" si="23"/>
        <v>5620021</v>
      </c>
      <c r="N100" s="231">
        <f>ROUNDDOWN((17425887.57),0)</f>
        <v>17425887</v>
      </c>
      <c r="O100" s="233">
        <v>2629</v>
      </c>
      <c r="P100" s="232">
        <f t="shared" si="34"/>
        <v>17423258</v>
      </c>
      <c r="Q100" s="247">
        <v>1763879</v>
      </c>
      <c r="R100" s="247">
        <v>1242080</v>
      </c>
      <c r="S100" s="337">
        <f t="shared" si="36"/>
        <v>5620021</v>
      </c>
      <c r="T100" s="248">
        <f>N100-60000</f>
        <v>17365887</v>
      </c>
      <c r="U100" s="371">
        <f t="shared" si="33"/>
        <v>92078673</v>
      </c>
      <c r="V100" s="249" t="s">
        <v>265</v>
      </c>
      <c r="W100" s="238"/>
      <c r="X100" s="239"/>
      <c r="Y100" s="239"/>
    </row>
    <row r="101" spans="1:25" ht="45" customHeight="1" x14ac:dyDescent="0.2">
      <c r="A101" s="240">
        <v>5</v>
      </c>
      <c r="B101" s="274" t="s">
        <v>35</v>
      </c>
      <c r="C101" s="275" t="s">
        <v>402</v>
      </c>
      <c r="D101" s="276" t="s">
        <v>89</v>
      </c>
      <c r="E101" s="276" t="s">
        <v>89</v>
      </c>
      <c r="F101" s="276">
        <v>3</v>
      </c>
      <c r="G101" s="310" t="s">
        <v>155</v>
      </c>
      <c r="H101" s="311" t="s">
        <v>7</v>
      </c>
      <c r="I101" s="247">
        <v>52247026</v>
      </c>
      <c r="J101" s="244">
        <v>0</v>
      </c>
      <c r="K101" s="244">
        <v>3186819</v>
      </c>
      <c r="L101" s="245">
        <v>0</v>
      </c>
      <c r="M101" s="246">
        <f t="shared" si="23"/>
        <v>3186819</v>
      </c>
      <c r="N101" s="233">
        <f>ROUNDDOWN((4212830.59),0)</f>
        <v>4212830</v>
      </c>
      <c r="O101" s="233">
        <v>546</v>
      </c>
      <c r="P101" s="232">
        <f t="shared" si="34"/>
        <v>4212284</v>
      </c>
      <c r="Q101" s="233">
        <v>0</v>
      </c>
      <c r="R101" s="247">
        <v>0</v>
      </c>
      <c r="S101" s="337">
        <f t="shared" si="36"/>
        <v>3186819</v>
      </c>
      <c r="T101" s="248">
        <f>N101+60000</f>
        <v>4272830</v>
      </c>
      <c r="U101" s="371">
        <f t="shared" si="33"/>
        <v>52307026</v>
      </c>
      <c r="V101" s="249" t="s">
        <v>622</v>
      </c>
      <c r="W101" s="238"/>
      <c r="X101" s="239"/>
      <c r="Y101" s="239"/>
    </row>
    <row r="102" spans="1:25" ht="17.25" customHeight="1" thickBot="1" x14ac:dyDescent="0.25">
      <c r="A102" s="315">
        <v>5</v>
      </c>
      <c r="B102" s="316" t="s">
        <v>36</v>
      </c>
      <c r="C102" s="317" t="s">
        <v>403</v>
      </c>
      <c r="D102" s="285" t="s">
        <v>89</v>
      </c>
      <c r="E102" s="285" t="s">
        <v>89</v>
      </c>
      <c r="F102" s="338" t="s">
        <v>89</v>
      </c>
      <c r="G102" s="338" t="s">
        <v>155</v>
      </c>
      <c r="H102" s="339" t="s">
        <v>7</v>
      </c>
      <c r="I102" s="344">
        <v>11600000</v>
      </c>
      <c r="J102" s="408">
        <f>13680000-410912</f>
        <v>13269088</v>
      </c>
      <c r="K102" s="319">
        <v>0</v>
      </c>
      <c r="L102" s="320">
        <v>0</v>
      </c>
      <c r="M102" s="246">
        <f t="shared" si="23"/>
        <v>0</v>
      </c>
      <c r="N102" s="342">
        <f>ROUNDDOWN((3.39000000059604),0)</f>
        <v>3</v>
      </c>
      <c r="O102" s="342">
        <f>ROUNDDOWN((3.39000000059604),0)</f>
        <v>3</v>
      </c>
      <c r="P102" s="232">
        <f t="shared" si="34"/>
        <v>0</v>
      </c>
      <c r="Q102" s="344">
        <v>0</v>
      </c>
      <c r="R102" s="247"/>
      <c r="S102" s="345">
        <v>0</v>
      </c>
      <c r="T102" s="290">
        <f>N102</f>
        <v>3</v>
      </c>
      <c r="U102" s="371">
        <f t="shared" si="33"/>
        <v>11600000</v>
      </c>
      <c r="V102" s="291" t="s">
        <v>314</v>
      </c>
      <c r="W102" s="238"/>
      <c r="X102" s="239"/>
      <c r="Y102" s="239"/>
    </row>
    <row r="103" spans="1:25" s="301" customFormat="1" ht="15" customHeight="1" x14ac:dyDescent="0.2">
      <c r="A103" s="346" t="s">
        <v>232</v>
      </c>
      <c r="B103" s="347"/>
      <c r="C103" s="348"/>
      <c r="D103" s="349"/>
      <c r="E103" s="349"/>
      <c r="F103" s="350"/>
      <c r="G103" s="350"/>
      <c r="H103" s="401" t="s">
        <v>7</v>
      </c>
      <c r="I103" s="352">
        <f>I76+I77+I78+I79+I89+I95+I96+I97+I98+I99+I100+I101+I102</f>
        <v>432917039</v>
      </c>
      <c r="J103" s="352">
        <f>J76+J77+J78+J79+J89+J95+J96+J97+J98+J99+J100+J101+J102</f>
        <v>41368368</v>
      </c>
      <c r="K103" s="353">
        <f>K76+K77+K78+K79+K89+K95+K96+K97+K98+K99+K100+K101+K102</f>
        <v>26405880</v>
      </c>
      <c r="L103" s="409">
        <f>L76+L77+L78+L79+L89+L95+L96+L97+L98+L99+L100+L101+L102</f>
        <v>0</v>
      </c>
      <c r="M103" s="246">
        <f t="shared" si="23"/>
        <v>26405880</v>
      </c>
      <c r="N103" s="354">
        <f t="shared" ref="N103:U103" si="37">N76+N77+N78+N79+N89+N95+N96+N97+N98+N99+N100+N101+N102</f>
        <v>81568730</v>
      </c>
      <c r="O103" s="354">
        <f t="shared" si="37"/>
        <v>28439892</v>
      </c>
      <c r="P103" s="354">
        <f t="shared" si="37"/>
        <v>53128838</v>
      </c>
      <c r="Q103" s="352">
        <f t="shared" si="37"/>
        <v>6229556</v>
      </c>
      <c r="R103" s="352">
        <f t="shared" si="37"/>
        <v>4425762</v>
      </c>
      <c r="S103" s="356">
        <f t="shared" si="37"/>
        <v>25490951</v>
      </c>
      <c r="T103" s="352">
        <f t="shared" si="37"/>
        <v>63203169</v>
      </c>
      <c r="U103" s="352">
        <f t="shared" si="37"/>
        <v>413636549</v>
      </c>
      <c r="V103" s="357"/>
      <c r="W103" s="331"/>
      <c r="X103" s="239"/>
      <c r="Y103" s="239"/>
    </row>
    <row r="104" spans="1:25" s="301" customFormat="1" ht="15" customHeight="1" thickBot="1" x14ac:dyDescent="0.25">
      <c r="A104" s="359" t="s">
        <v>232</v>
      </c>
      <c r="B104" s="360"/>
      <c r="C104" s="361"/>
      <c r="D104" s="362"/>
      <c r="E104" s="362"/>
      <c r="F104" s="363"/>
      <c r="G104" s="363"/>
      <c r="H104" s="364" t="s">
        <v>159</v>
      </c>
      <c r="I104" s="365">
        <f>I80+I81+I82+I83+I84+I85+I86+I87+I88+I90+I91+I92+I93+I94</f>
        <v>190138398</v>
      </c>
      <c r="J104" s="365">
        <f>J80+J81+J82+J83+J84+J85+J86+J87+J88+J90+J91+J92+J93+J94</f>
        <v>0</v>
      </c>
      <c r="K104" s="366">
        <f>K80+K81+K82+K83+K84+K85+K86+K87+K88+K90+K91+K92+K93+K94</f>
        <v>11763234</v>
      </c>
      <c r="L104" s="368">
        <f>L80+L81+L82+L83+L84+L85+L86+L87+L88+L90+L91+L92+L93+L94</f>
        <v>0</v>
      </c>
      <c r="M104" s="246">
        <f t="shared" si="23"/>
        <v>11763234</v>
      </c>
      <c r="N104" s="367">
        <f t="shared" ref="N104:U104" si="38">N80+N81+N82+N83+N84+N85+N86+N87+N88+N90+N91+N92+N93+N94</f>
        <v>7442667</v>
      </c>
      <c r="O104" s="367">
        <f t="shared" si="38"/>
        <v>7442667</v>
      </c>
      <c r="P104" s="367">
        <f t="shared" si="38"/>
        <v>0</v>
      </c>
      <c r="Q104" s="367">
        <f t="shared" si="38"/>
        <v>0</v>
      </c>
      <c r="R104" s="365">
        <f t="shared" si="38"/>
        <v>0</v>
      </c>
      <c r="S104" s="369">
        <f t="shared" si="38"/>
        <v>11763234</v>
      </c>
      <c r="T104" s="365">
        <f t="shared" si="38"/>
        <v>7442667</v>
      </c>
      <c r="U104" s="365">
        <f t="shared" si="38"/>
        <v>190138398</v>
      </c>
      <c r="V104" s="370"/>
      <c r="W104" s="331"/>
    </row>
    <row r="105" spans="1:25" ht="30" customHeight="1" x14ac:dyDescent="0.2">
      <c r="A105" s="223">
        <v>6</v>
      </c>
      <c r="B105" s="332" t="s">
        <v>37</v>
      </c>
      <c r="C105" s="333" t="s">
        <v>404</v>
      </c>
      <c r="D105" s="334" t="s">
        <v>89</v>
      </c>
      <c r="E105" s="334" t="s">
        <v>89</v>
      </c>
      <c r="F105" s="334" t="s">
        <v>89</v>
      </c>
      <c r="G105" s="410" t="s">
        <v>154</v>
      </c>
      <c r="H105" s="411" t="s">
        <v>159</v>
      </c>
      <c r="I105" s="234">
        <v>89312625</v>
      </c>
      <c r="J105" s="234">
        <v>0</v>
      </c>
      <c r="K105" s="234">
        <v>5525477</v>
      </c>
      <c r="L105" s="412">
        <v>0</v>
      </c>
      <c r="M105" s="246">
        <f t="shared" si="23"/>
        <v>5525477</v>
      </c>
      <c r="N105" s="231">
        <f>ROUNDDOWN((755420),0)</f>
        <v>755420</v>
      </c>
      <c r="O105" s="231">
        <f>ROUNDDOWN((755420),0)</f>
        <v>755420</v>
      </c>
      <c r="P105" s="232">
        <f>N105-O105</f>
        <v>0</v>
      </c>
      <c r="Q105" s="247">
        <v>5525477</v>
      </c>
      <c r="R105" s="247">
        <v>0</v>
      </c>
      <c r="S105" s="235">
        <f>K105</f>
        <v>5525477</v>
      </c>
      <c r="T105" s="236">
        <f>N105</f>
        <v>755420</v>
      </c>
      <c r="U105" s="413">
        <f>I105-K105-N105+S105+T105</f>
        <v>89312625</v>
      </c>
      <c r="V105" s="309" t="s">
        <v>257</v>
      </c>
      <c r="W105" s="238"/>
    </row>
    <row r="106" spans="1:25" ht="47.25" customHeight="1" x14ac:dyDescent="0.2">
      <c r="A106" s="240">
        <v>6</v>
      </c>
      <c r="B106" s="274" t="s">
        <v>38</v>
      </c>
      <c r="C106" s="275" t="s">
        <v>405</v>
      </c>
      <c r="D106" s="276" t="s">
        <v>89</v>
      </c>
      <c r="E106" s="276" t="s">
        <v>89</v>
      </c>
      <c r="F106" s="276" t="s">
        <v>89</v>
      </c>
      <c r="G106" s="310" t="s">
        <v>154</v>
      </c>
      <c r="H106" s="311" t="s">
        <v>159</v>
      </c>
      <c r="I106" s="247">
        <v>11484765</v>
      </c>
      <c r="J106" s="244">
        <v>0</v>
      </c>
      <c r="K106" s="244">
        <v>710524</v>
      </c>
      <c r="L106" s="245">
        <v>0</v>
      </c>
      <c r="M106" s="246">
        <f t="shared" si="23"/>
        <v>710524</v>
      </c>
      <c r="N106" s="231">
        <v>0</v>
      </c>
      <c r="O106" s="231">
        <v>0</v>
      </c>
      <c r="P106" s="232">
        <f t="shared" ref="P106:P115" si="39">N106-O106</f>
        <v>0</v>
      </c>
      <c r="Q106" s="233">
        <v>710524</v>
      </c>
      <c r="R106" s="247">
        <v>0</v>
      </c>
      <c r="S106" s="235">
        <f>K106</f>
        <v>710524</v>
      </c>
      <c r="T106" s="248">
        <f>N106+1500000</f>
        <v>1500000</v>
      </c>
      <c r="U106" s="248">
        <f>I106-K106-N106+S106+T106</f>
        <v>12984765</v>
      </c>
      <c r="V106" s="237" t="s">
        <v>689</v>
      </c>
      <c r="W106" s="238"/>
    </row>
    <row r="107" spans="1:25" ht="84" customHeight="1" x14ac:dyDescent="0.2">
      <c r="A107" s="240">
        <v>6</v>
      </c>
      <c r="B107" s="274" t="s">
        <v>39</v>
      </c>
      <c r="C107" s="275" t="s">
        <v>406</v>
      </c>
      <c r="D107" s="276" t="s">
        <v>115</v>
      </c>
      <c r="E107" s="276" t="s">
        <v>411</v>
      </c>
      <c r="F107" s="310" t="s">
        <v>89</v>
      </c>
      <c r="G107" s="310" t="s">
        <v>154</v>
      </c>
      <c r="H107" s="311" t="s">
        <v>159</v>
      </c>
      <c r="I107" s="247">
        <v>75109464</v>
      </c>
      <c r="J107" s="244">
        <v>0</v>
      </c>
      <c r="K107" s="244">
        <v>4646774</v>
      </c>
      <c r="L107" s="245">
        <v>0</v>
      </c>
      <c r="M107" s="246">
        <f t="shared" si="23"/>
        <v>4646774</v>
      </c>
      <c r="N107" s="231">
        <f>ROUNDDOWN((18317359.93),0)</f>
        <v>18317359</v>
      </c>
      <c r="O107" s="231">
        <v>0</v>
      </c>
      <c r="P107" s="232">
        <f t="shared" si="39"/>
        <v>18317359</v>
      </c>
      <c r="Q107" s="233">
        <v>0</v>
      </c>
      <c r="R107" s="247">
        <v>0</v>
      </c>
      <c r="S107" s="414">
        <f>K107</f>
        <v>4646774</v>
      </c>
      <c r="T107" s="248">
        <f>N107</f>
        <v>18317359</v>
      </c>
      <c r="U107" s="308">
        <f>I107-K107-N107+S107+T107</f>
        <v>75109464</v>
      </c>
      <c r="V107" s="249" t="s">
        <v>687</v>
      </c>
      <c r="W107" s="312"/>
    </row>
    <row r="108" spans="1:25" ht="41.25" customHeight="1" x14ac:dyDescent="0.2">
      <c r="A108" s="240">
        <v>6</v>
      </c>
      <c r="B108" s="274" t="s">
        <v>39</v>
      </c>
      <c r="C108" s="275" t="s">
        <v>406</v>
      </c>
      <c r="D108" s="276" t="s">
        <v>116</v>
      </c>
      <c r="E108" s="276" t="s">
        <v>412</v>
      </c>
      <c r="F108" s="310" t="s">
        <v>89</v>
      </c>
      <c r="G108" s="310" t="s">
        <v>154</v>
      </c>
      <c r="H108" s="311" t="s">
        <v>159</v>
      </c>
      <c r="I108" s="247">
        <v>7093340</v>
      </c>
      <c r="J108" s="244">
        <v>0</v>
      </c>
      <c r="K108" s="244">
        <v>438842</v>
      </c>
      <c r="L108" s="245">
        <v>0</v>
      </c>
      <c r="M108" s="246">
        <f t="shared" si="23"/>
        <v>438842</v>
      </c>
      <c r="N108" s="231">
        <f>I108-K108</f>
        <v>6654498</v>
      </c>
      <c r="O108" s="231">
        <v>0</v>
      </c>
      <c r="P108" s="232">
        <f t="shared" si="39"/>
        <v>6654498</v>
      </c>
      <c r="Q108" s="233">
        <v>0</v>
      </c>
      <c r="R108" s="247">
        <v>438842</v>
      </c>
      <c r="S108" s="415">
        <v>0</v>
      </c>
      <c r="T108" s="416">
        <v>0</v>
      </c>
      <c r="U108" s="336">
        <v>0</v>
      </c>
      <c r="V108" s="249" t="s">
        <v>683</v>
      </c>
      <c r="W108" s="312"/>
    </row>
    <row r="109" spans="1:25" ht="84" customHeight="1" x14ac:dyDescent="0.2">
      <c r="A109" s="240">
        <v>6</v>
      </c>
      <c r="B109" s="274" t="s">
        <v>40</v>
      </c>
      <c r="C109" s="275" t="s">
        <v>407</v>
      </c>
      <c r="D109" s="276" t="s">
        <v>117</v>
      </c>
      <c r="E109" s="276" t="s">
        <v>413</v>
      </c>
      <c r="F109" s="310" t="s">
        <v>89</v>
      </c>
      <c r="G109" s="310" t="s">
        <v>154</v>
      </c>
      <c r="H109" s="311" t="s">
        <v>159</v>
      </c>
      <c r="I109" s="247">
        <v>24000000</v>
      </c>
      <c r="J109" s="244">
        <v>0</v>
      </c>
      <c r="K109" s="244">
        <v>1484801</v>
      </c>
      <c r="L109" s="245">
        <v>0</v>
      </c>
      <c r="M109" s="246">
        <f t="shared" si="23"/>
        <v>1484801</v>
      </c>
      <c r="N109" s="231">
        <f>I109-1484801</f>
        <v>22515199</v>
      </c>
      <c r="O109" s="231">
        <v>0</v>
      </c>
      <c r="P109" s="232">
        <f t="shared" si="39"/>
        <v>22515199</v>
      </c>
      <c r="Q109" s="233">
        <v>1484801</v>
      </c>
      <c r="R109" s="247">
        <v>0</v>
      </c>
      <c r="S109" s="417">
        <v>0</v>
      </c>
      <c r="T109" s="418">
        <v>0</v>
      </c>
      <c r="U109" s="308">
        <f t="shared" ref="U109:U115" si="40">I109-K109-N109+S109+T109</f>
        <v>0</v>
      </c>
      <c r="V109" s="237" t="s">
        <v>694</v>
      </c>
      <c r="W109" s="238"/>
    </row>
    <row r="110" spans="1:25" ht="31.5" customHeight="1" x14ac:dyDescent="0.2">
      <c r="A110" s="240">
        <v>6</v>
      </c>
      <c r="B110" s="274" t="s">
        <v>40</v>
      </c>
      <c r="C110" s="275" t="s">
        <v>407</v>
      </c>
      <c r="D110" s="276" t="s">
        <v>118</v>
      </c>
      <c r="E110" s="276" t="s">
        <v>414</v>
      </c>
      <c r="F110" s="310" t="s">
        <v>89</v>
      </c>
      <c r="G110" s="310" t="s">
        <v>154</v>
      </c>
      <c r="H110" s="311" t="s">
        <v>159</v>
      </c>
      <c r="I110" s="247">
        <v>44916932</v>
      </c>
      <c r="J110" s="244">
        <v>0</v>
      </c>
      <c r="K110" s="244">
        <v>2778862</v>
      </c>
      <c r="L110" s="245">
        <v>0</v>
      </c>
      <c r="M110" s="246">
        <f t="shared" si="23"/>
        <v>2778862</v>
      </c>
      <c r="N110" s="231">
        <f>ROUNDDOWN((3026157.71),0)</f>
        <v>3026157</v>
      </c>
      <c r="O110" s="231">
        <v>3026157</v>
      </c>
      <c r="P110" s="232">
        <f t="shared" si="39"/>
        <v>0</v>
      </c>
      <c r="Q110" s="233">
        <v>2442297</v>
      </c>
      <c r="R110" s="247">
        <v>0</v>
      </c>
      <c r="S110" s="417">
        <f>K110</f>
        <v>2778862</v>
      </c>
      <c r="T110" s="419">
        <f>N110</f>
        <v>3026157</v>
      </c>
      <c r="U110" s="413">
        <f t="shared" si="40"/>
        <v>44916932</v>
      </c>
      <c r="V110" s="237" t="s">
        <v>257</v>
      </c>
      <c r="W110" s="238"/>
    </row>
    <row r="111" spans="1:25" ht="56.25" customHeight="1" x14ac:dyDescent="0.2">
      <c r="A111" s="240">
        <v>6</v>
      </c>
      <c r="B111" s="274" t="s">
        <v>41</v>
      </c>
      <c r="C111" s="275" t="s">
        <v>408</v>
      </c>
      <c r="D111" s="276" t="s">
        <v>89</v>
      </c>
      <c r="E111" s="276" t="s">
        <v>89</v>
      </c>
      <c r="F111" s="310" t="s">
        <v>89</v>
      </c>
      <c r="G111" s="310" t="s">
        <v>154</v>
      </c>
      <c r="H111" s="311" t="s">
        <v>159</v>
      </c>
      <c r="I111" s="247">
        <v>218449803</v>
      </c>
      <c r="J111" s="244">
        <v>0</v>
      </c>
      <c r="K111" s="244">
        <v>13514768</v>
      </c>
      <c r="L111" s="231">
        <v>13514768</v>
      </c>
      <c r="M111" s="246">
        <f t="shared" si="23"/>
        <v>0</v>
      </c>
      <c r="N111" s="231">
        <f>ROUNDDOWN((6547380.15000001),0)</f>
        <v>6547380</v>
      </c>
      <c r="O111" s="231">
        <f>ROUNDDOWN((6547380.15000001),0)</f>
        <v>6547380</v>
      </c>
      <c r="P111" s="232">
        <f t="shared" si="39"/>
        <v>0</v>
      </c>
      <c r="Q111" s="233">
        <v>0</v>
      </c>
      <c r="R111" s="247">
        <v>0</v>
      </c>
      <c r="S111" s="417">
        <f>K111+517787</f>
        <v>14032555</v>
      </c>
      <c r="T111" s="419">
        <f>N111+7988896</f>
        <v>14536276</v>
      </c>
      <c r="U111" s="413">
        <f t="shared" si="40"/>
        <v>226956486</v>
      </c>
      <c r="V111" s="237" t="s">
        <v>658</v>
      </c>
      <c r="W111" s="312"/>
    </row>
    <row r="112" spans="1:25" s="427" customFormat="1" ht="39" customHeight="1" x14ac:dyDescent="0.2">
      <c r="A112" s="250">
        <v>6</v>
      </c>
      <c r="B112" s="278" t="s">
        <v>690</v>
      </c>
      <c r="C112" s="279" t="s">
        <v>691</v>
      </c>
      <c r="D112" s="280" t="s">
        <v>89</v>
      </c>
      <c r="E112" s="280" t="s">
        <v>89</v>
      </c>
      <c r="F112" s="389" t="s">
        <v>692</v>
      </c>
      <c r="G112" s="372" t="s">
        <v>154</v>
      </c>
      <c r="H112" s="373" t="s">
        <v>159</v>
      </c>
      <c r="I112" s="261">
        <v>0</v>
      </c>
      <c r="J112" s="256">
        <v>0</v>
      </c>
      <c r="K112" s="256">
        <v>0</v>
      </c>
      <c r="L112" s="420">
        <v>0</v>
      </c>
      <c r="M112" s="258">
        <f t="shared" si="23"/>
        <v>0</v>
      </c>
      <c r="N112" s="283">
        <v>0</v>
      </c>
      <c r="O112" s="283">
        <v>0</v>
      </c>
      <c r="P112" s="421"/>
      <c r="Q112" s="260">
        <v>0</v>
      </c>
      <c r="R112" s="261">
        <v>0</v>
      </c>
      <c r="S112" s="422">
        <f>K112</f>
        <v>0</v>
      </c>
      <c r="T112" s="423">
        <f>N112+5000000</f>
        <v>5000000</v>
      </c>
      <c r="U112" s="424">
        <f t="shared" si="40"/>
        <v>5000000</v>
      </c>
      <c r="V112" s="425" t="s">
        <v>693</v>
      </c>
      <c r="W112" s="426"/>
    </row>
    <row r="113" spans="1:25" ht="45.75" customHeight="1" x14ac:dyDescent="0.2">
      <c r="A113" s="240">
        <v>6</v>
      </c>
      <c r="B113" s="274" t="s">
        <v>42</v>
      </c>
      <c r="C113" s="275" t="s">
        <v>409</v>
      </c>
      <c r="D113" s="276" t="s">
        <v>119</v>
      </c>
      <c r="E113" s="276" t="s">
        <v>415</v>
      </c>
      <c r="F113" s="310" t="s">
        <v>89</v>
      </c>
      <c r="G113" s="310" t="s">
        <v>154</v>
      </c>
      <c r="H113" s="311" t="s">
        <v>159</v>
      </c>
      <c r="I113" s="247">
        <v>346639348</v>
      </c>
      <c r="J113" s="244">
        <v>0</v>
      </c>
      <c r="K113" s="244">
        <v>28082986</v>
      </c>
      <c r="L113" s="245">
        <v>0</v>
      </c>
      <c r="M113" s="246">
        <f t="shared" si="23"/>
        <v>28082986</v>
      </c>
      <c r="N113" s="231">
        <v>0</v>
      </c>
      <c r="O113" s="231">
        <v>0</v>
      </c>
      <c r="P113" s="232">
        <f t="shared" si="39"/>
        <v>0</v>
      </c>
      <c r="Q113" s="247">
        <v>28082986</v>
      </c>
      <c r="R113" s="247">
        <v>0</v>
      </c>
      <c r="S113" s="417">
        <f>K113</f>
        <v>28082986</v>
      </c>
      <c r="T113" s="419">
        <f>N113</f>
        <v>0</v>
      </c>
      <c r="U113" s="413">
        <f t="shared" si="40"/>
        <v>346639348</v>
      </c>
      <c r="V113" s="237" t="s">
        <v>257</v>
      </c>
      <c r="W113" s="238"/>
    </row>
    <row r="114" spans="1:25" ht="96.75" customHeight="1" x14ac:dyDescent="0.2">
      <c r="A114" s="240">
        <v>6</v>
      </c>
      <c r="B114" s="274" t="s">
        <v>42</v>
      </c>
      <c r="C114" s="275" t="s">
        <v>409</v>
      </c>
      <c r="D114" s="276" t="s">
        <v>120</v>
      </c>
      <c r="E114" s="276" t="s">
        <v>416</v>
      </c>
      <c r="F114" s="310" t="s">
        <v>89</v>
      </c>
      <c r="G114" s="310" t="s">
        <v>154</v>
      </c>
      <c r="H114" s="311" t="s">
        <v>159</v>
      </c>
      <c r="I114" s="247">
        <v>107288018</v>
      </c>
      <c r="J114" s="244">
        <v>0</v>
      </c>
      <c r="K114" s="244">
        <v>0</v>
      </c>
      <c r="L114" s="245">
        <v>0</v>
      </c>
      <c r="M114" s="246">
        <f t="shared" si="23"/>
        <v>0</v>
      </c>
      <c r="N114" s="231">
        <f>3+31127000+17910515</f>
        <v>49037518</v>
      </c>
      <c r="O114" s="231">
        <v>3</v>
      </c>
      <c r="P114" s="232">
        <f t="shared" si="39"/>
        <v>49037515</v>
      </c>
      <c r="Q114" s="233">
        <v>0</v>
      </c>
      <c r="R114" s="247">
        <v>0</v>
      </c>
      <c r="S114" s="414">
        <f>K114</f>
        <v>0</v>
      </c>
      <c r="T114" s="428">
        <f>N114-20000000-1500000-5000000</f>
        <v>22537518</v>
      </c>
      <c r="U114" s="308">
        <f t="shared" si="40"/>
        <v>80788018</v>
      </c>
      <c r="V114" s="237" t="s">
        <v>707</v>
      </c>
      <c r="W114" s="238"/>
    </row>
    <row r="115" spans="1:25" ht="30" customHeight="1" thickBot="1" x14ac:dyDescent="0.25">
      <c r="A115" s="315">
        <v>6</v>
      </c>
      <c r="B115" s="316" t="s">
        <v>43</v>
      </c>
      <c r="C115" s="317" t="s">
        <v>410</v>
      </c>
      <c r="D115" s="285" t="s">
        <v>89</v>
      </c>
      <c r="E115" s="285" t="s">
        <v>89</v>
      </c>
      <c r="F115" s="338" t="s">
        <v>89</v>
      </c>
      <c r="G115" s="338" t="s">
        <v>154</v>
      </c>
      <c r="H115" s="339" t="s">
        <v>7</v>
      </c>
      <c r="I115" s="287">
        <v>235477563</v>
      </c>
      <c r="J115" s="244">
        <v>0</v>
      </c>
      <c r="K115" s="319">
        <v>14363011</v>
      </c>
      <c r="L115" s="429">
        <v>14363011</v>
      </c>
      <c r="M115" s="341">
        <f t="shared" si="23"/>
        <v>0</v>
      </c>
      <c r="N115" s="231">
        <f>ROUNDDOWN((675817.979999989),0)</f>
        <v>675817</v>
      </c>
      <c r="O115" s="231">
        <f>ROUNDDOWN((675817.979999989),0)</f>
        <v>675817</v>
      </c>
      <c r="P115" s="232">
        <f t="shared" si="39"/>
        <v>0</v>
      </c>
      <c r="Q115" s="233">
        <v>0</v>
      </c>
      <c r="R115" s="247">
        <v>0</v>
      </c>
      <c r="S115" s="430">
        <f>K115</f>
        <v>14363011</v>
      </c>
      <c r="T115" s="431">
        <f>N115</f>
        <v>675817</v>
      </c>
      <c r="U115" s="413">
        <f t="shared" si="40"/>
        <v>235477563</v>
      </c>
      <c r="V115" s="237" t="s">
        <v>257</v>
      </c>
      <c r="W115" s="238"/>
      <c r="X115" s="239"/>
      <c r="Y115" s="239"/>
    </row>
    <row r="116" spans="1:25" s="358" customFormat="1" ht="15" customHeight="1" x14ac:dyDescent="0.2">
      <c r="A116" s="346" t="s">
        <v>237</v>
      </c>
      <c r="B116" s="347"/>
      <c r="C116" s="348"/>
      <c r="D116" s="349"/>
      <c r="E116" s="349"/>
      <c r="F116" s="350"/>
      <c r="G116" s="350"/>
      <c r="H116" s="401" t="s">
        <v>7</v>
      </c>
      <c r="I116" s="352">
        <f>I115</f>
        <v>235477563</v>
      </c>
      <c r="J116" s="352">
        <f>J115</f>
        <v>0</v>
      </c>
      <c r="K116" s="353">
        <f>K115</f>
        <v>14363011</v>
      </c>
      <c r="L116" s="409">
        <f>L115</f>
        <v>14363011</v>
      </c>
      <c r="M116" s="402">
        <f t="shared" si="23"/>
        <v>0</v>
      </c>
      <c r="N116" s="354">
        <f t="shared" ref="N116" si="41">N115</f>
        <v>675817</v>
      </c>
      <c r="O116" s="354">
        <f t="shared" ref="O116:Q116" si="42">O115</f>
        <v>675817</v>
      </c>
      <c r="P116" s="354">
        <f t="shared" ref="P116" si="43">P115</f>
        <v>0</v>
      </c>
      <c r="Q116" s="354">
        <f t="shared" si="42"/>
        <v>0</v>
      </c>
      <c r="R116" s="354">
        <f>R115</f>
        <v>0</v>
      </c>
      <c r="S116" s="356">
        <f>S115</f>
        <v>14363011</v>
      </c>
      <c r="T116" s="352">
        <f>T115</f>
        <v>675817</v>
      </c>
      <c r="U116" s="352">
        <f>U115</f>
        <v>235477563</v>
      </c>
      <c r="V116" s="357"/>
      <c r="W116" s="331"/>
      <c r="X116" s="239"/>
      <c r="Y116" s="239"/>
    </row>
    <row r="117" spans="1:25" s="358" customFormat="1" ht="15" customHeight="1" thickBot="1" x14ac:dyDescent="0.25">
      <c r="A117" s="359" t="s">
        <v>237</v>
      </c>
      <c r="B117" s="360"/>
      <c r="C117" s="361"/>
      <c r="D117" s="362"/>
      <c r="E117" s="362"/>
      <c r="F117" s="363"/>
      <c r="G117" s="363"/>
      <c r="H117" s="364" t="s">
        <v>159</v>
      </c>
      <c r="I117" s="365">
        <f>SUM(I105:I114)</f>
        <v>924294295</v>
      </c>
      <c r="J117" s="365">
        <f>SUM(J105:J114)</f>
        <v>0</v>
      </c>
      <c r="K117" s="366">
        <f>SUM(K105:K114)</f>
        <v>57183034</v>
      </c>
      <c r="L117" s="368">
        <f>SUM(L105:L114)</f>
        <v>13514768</v>
      </c>
      <c r="M117" s="432">
        <f t="shared" si="23"/>
        <v>43668266</v>
      </c>
      <c r="N117" s="367">
        <f t="shared" ref="N117" si="44">SUM(N105:N114)</f>
        <v>106853531</v>
      </c>
      <c r="O117" s="367">
        <f t="shared" ref="O117:Q117" si="45">SUM(O105:O114)</f>
        <v>10328960</v>
      </c>
      <c r="P117" s="367">
        <f t="shared" ref="P117" si="46">SUM(P105:P114)</f>
        <v>96524571</v>
      </c>
      <c r="Q117" s="367">
        <f t="shared" si="45"/>
        <v>38246085</v>
      </c>
      <c r="R117" s="367">
        <f>SUM(R105:R114)</f>
        <v>438842</v>
      </c>
      <c r="S117" s="369">
        <f>SUM(S105:S114)</f>
        <v>55777178</v>
      </c>
      <c r="T117" s="365">
        <f>SUM(T105:T114)</f>
        <v>65672730</v>
      </c>
      <c r="U117" s="365">
        <f>SUM(U105:U114)</f>
        <v>881707638</v>
      </c>
      <c r="V117" s="370"/>
      <c r="W117" s="331"/>
    </row>
    <row r="118" spans="1:25" ht="69.75" customHeight="1" x14ac:dyDescent="0.2">
      <c r="A118" s="223">
        <v>7</v>
      </c>
      <c r="B118" s="332" t="s">
        <v>44</v>
      </c>
      <c r="C118" s="333" t="s">
        <v>417</v>
      </c>
      <c r="D118" s="334" t="s">
        <v>89</v>
      </c>
      <c r="E118" s="334" t="s">
        <v>89</v>
      </c>
      <c r="F118" s="334" t="s">
        <v>89</v>
      </c>
      <c r="G118" s="410" t="s">
        <v>162</v>
      </c>
      <c r="H118" s="411" t="s">
        <v>157</v>
      </c>
      <c r="I118" s="234">
        <v>83459853</v>
      </c>
      <c r="J118" s="228">
        <v>0</v>
      </c>
      <c r="K118" s="228">
        <v>5699925</v>
      </c>
      <c r="L118" s="229">
        <v>0</v>
      </c>
      <c r="M118" s="230">
        <f t="shared" si="23"/>
        <v>5699925</v>
      </c>
      <c r="N118" s="231">
        <f>ROUNDDOWN((10973.299999997),0)</f>
        <v>10973</v>
      </c>
      <c r="O118" s="231">
        <f>ROUNDDOWN((10973.299999997),0)</f>
        <v>10973</v>
      </c>
      <c r="P118" s="232">
        <f>N118-O118</f>
        <v>0</v>
      </c>
      <c r="Q118" s="233">
        <v>0</v>
      </c>
      <c r="R118" s="247">
        <v>0</v>
      </c>
      <c r="S118" s="235">
        <v>5518633</v>
      </c>
      <c r="T118" s="236">
        <v>0</v>
      </c>
      <c r="U118" s="413">
        <f t="shared" ref="U118:U125" si="47">I118-K118-N118+S118+T118</f>
        <v>83267588</v>
      </c>
      <c r="V118" s="433" t="s">
        <v>546</v>
      </c>
      <c r="W118" s="238"/>
    </row>
    <row r="119" spans="1:25" ht="55.5" customHeight="1" x14ac:dyDescent="0.2">
      <c r="A119" s="240">
        <v>7</v>
      </c>
      <c r="B119" s="274" t="s">
        <v>45</v>
      </c>
      <c r="C119" s="275" t="s">
        <v>418</v>
      </c>
      <c r="D119" s="276" t="s">
        <v>121</v>
      </c>
      <c r="E119" s="276" t="s">
        <v>419</v>
      </c>
      <c r="F119" s="276" t="s">
        <v>89</v>
      </c>
      <c r="G119" s="310" t="s">
        <v>162</v>
      </c>
      <c r="H119" s="311" t="s">
        <v>157</v>
      </c>
      <c r="I119" s="247">
        <v>502562</v>
      </c>
      <c r="J119" s="244">
        <v>0</v>
      </c>
      <c r="K119" s="244">
        <v>0</v>
      </c>
      <c r="L119" s="245">
        <v>0</v>
      </c>
      <c r="M119" s="246">
        <f t="shared" si="23"/>
        <v>0</v>
      </c>
      <c r="N119" s="231">
        <v>0</v>
      </c>
      <c r="O119" s="231">
        <v>0</v>
      </c>
      <c r="P119" s="232">
        <f t="shared" ref="P119:P125" si="48">N119-O119</f>
        <v>0</v>
      </c>
      <c r="Q119" s="233">
        <v>0</v>
      </c>
      <c r="R119" s="247">
        <v>0</v>
      </c>
      <c r="S119" s="337">
        <v>181292</v>
      </c>
      <c r="T119" s="248">
        <f>N118</f>
        <v>10973</v>
      </c>
      <c r="U119" s="413">
        <f t="shared" si="47"/>
        <v>694827</v>
      </c>
      <c r="V119" s="249" t="s">
        <v>623</v>
      </c>
      <c r="W119" s="238"/>
    </row>
    <row r="120" spans="1:25" ht="44.25" customHeight="1" x14ac:dyDescent="0.2">
      <c r="A120" s="240">
        <v>7</v>
      </c>
      <c r="B120" s="274" t="s">
        <v>45</v>
      </c>
      <c r="C120" s="275" t="s">
        <v>418</v>
      </c>
      <c r="D120" s="276" t="s">
        <v>122</v>
      </c>
      <c r="E120" s="276" t="s">
        <v>420</v>
      </c>
      <c r="F120" s="276" t="s">
        <v>89</v>
      </c>
      <c r="G120" s="310" t="s">
        <v>162</v>
      </c>
      <c r="H120" s="311" t="s">
        <v>157</v>
      </c>
      <c r="I120" s="247">
        <v>1190655</v>
      </c>
      <c r="J120" s="244">
        <v>0</v>
      </c>
      <c r="K120" s="244">
        <v>0</v>
      </c>
      <c r="L120" s="245">
        <v>0</v>
      </c>
      <c r="M120" s="246">
        <f t="shared" si="23"/>
        <v>0</v>
      </c>
      <c r="N120" s="231">
        <v>0</v>
      </c>
      <c r="O120" s="231">
        <v>0</v>
      </c>
      <c r="P120" s="232">
        <f t="shared" si="48"/>
        <v>0</v>
      </c>
      <c r="Q120" s="233">
        <v>0</v>
      </c>
      <c r="R120" s="247">
        <v>0</v>
      </c>
      <c r="S120" s="337">
        <v>0</v>
      </c>
      <c r="T120" s="248">
        <v>0</v>
      </c>
      <c r="U120" s="413">
        <f t="shared" si="47"/>
        <v>1190655</v>
      </c>
      <c r="V120" s="249" t="s">
        <v>314</v>
      </c>
      <c r="W120" s="238"/>
    </row>
    <row r="121" spans="1:25" ht="68.25" customHeight="1" x14ac:dyDescent="0.2">
      <c r="A121" s="240">
        <v>7</v>
      </c>
      <c r="B121" s="274" t="s">
        <v>46</v>
      </c>
      <c r="C121" s="275" t="s">
        <v>421</v>
      </c>
      <c r="D121" s="276" t="s">
        <v>123</v>
      </c>
      <c r="E121" s="276" t="s">
        <v>422</v>
      </c>
      <c r="F121" s="276" t="s">
        <v>89</v>
      </c>
      <c r="G121" s="310" t="s">
        <v>162</v>
      </c>
      <c r="H121" s="311" t="s">
        <v>163</v>
      </c>
      <c r="I121" s="247">
        <v>30542910</v>
      </c>
      <c r="J121" s="244">
        <v>0</v>
      </c>
      <c r="K121" s="244">
        <v>0</v>
      </c>
      <c r="L121" s="245">
        <v>0</v>
      </c>
      <c r="M121" s="246">
        <f t="shared" si="23"/>
        <v>0</v>
      </c>
      <c r="N121" s="231">
        <v>0</v>
      </c>
      <c r="O121" s="231">
        <v>0</v>
      </c>
      <c r="P121" s="232">
        <f t="shared" si="48"/>
        <v>0</v>
      </c>
      <c r="Q121" s="233">
        <v>0</v>
      </c>
      <c r="R121" s="247">
        <v>0</v>
      </c>
      <c r="S121" s="337">
        <v>0</v>
      </c>
      <c r="T121" s="248">
        <v>0</v>
      </c>
      <c r="U121" s="413">
        <f t="shared" si="47"/>
        <v>30542910</v>
      </c>
      <c r="V121" s="249" t="s">
        <v>314</v>
      </c>
      <c r="W121" s="238"/>
    </row>
    <row r="122" spans="1:25" ht="69" customHeight="1" x14ac:dyDescent="0.2">
      <c r="A122" s="240">
        <v>7</v>
      </c>
      <c r="B122" s="274" t="s">
        <v>46</v>
      </c>
      <c r="C122" s="275" t="s">
        <v>421</v>
      </c>
      <c r="D122" s="276" t="s">
        <v>124</v>
      </c>
      <c r="E122" s="276" t="s">
        <v>423</v>
      </c>
      <c r="F122" s="276" t="s">
        <v>89</v>
      </c>
      <c r="G122" s="310" t="s">
        <v>162</v>
      </c>
      <c r="H122" s="311" t="s">
        <v>163</v>
      </c>
      <c r="I122" s="247">
        <v>33445859</v>
      </c>
      <c r="J122" s="244">
        <v>0</v>
      </c>
      <c r="K122" s="244">
        <v>0</v>
      </c>
      <c r="L122" s="245">
        <v>0</v>
      </c>
      <c r="M122" s="246">
        <f t="shared" si="23"/>
        <v>0</v>
      </c>
      <c r="N122" s="233">
        <f>ROUNDDOWN((666043),0)</f>
        <v>666043</v>
      </c>
      <c r="O122" s="233">
        <f>ROUNDDOWN((0),0)</f>
        <v>0</v>
      </c>
      <c r="P122" s="232">
        <f t="shared" si="48"/>
        <v>666043</v>
      </c>
      <c r="Q122" s="233">
        <v>0</v>
      </c>
      <c r="R122" s="247">
        <v>0</v>
      </c>
      <c r="S122" s="337">
        <v>0</v>
      </c>
      <c r="T122" s="248">
        <f>N121+N122</f>
        <v>666043</v>
      </c>
      <c r="U122" s="413">
        <f t="shared" si="47"/>
        <v>33445859</v>
      </c>
      <c r="V122" s="249" t="s">
        <v>624</v>
      </c>
      <c r="W122" s="238"/>
    </row>
    <row r="123" spans="1:25" ht="42" customHeight="1" x14ac:dyDescent="0.2">
      <c r="A123" s="240">
        <v>7</v>
      </c>
      <c r="B123" s="274" t="s">
        <v>46</v>
      </c>
      <c r="C123" s="275" t="s">
        <v>421</v>
      </c>
      <c r="D123" s="276" t="s">
        <v>125</v>
      </c>
      <c r="E123" s="276" t="s">
        <v>424</v>
      </c>
      <c r="F123" s="276" t="s">
        <v>89</v>
      </c>
      <c r="G123" s="310" t="s">
        <v>162</v>
      </c>
      <c r="H123" s="311" t="s">
        <v>157</v>
      </c>
      <c r="I123" s="247">
        <v>1274049</v>
      </c>
      <c r="J123" s="244">
        <v>0</v>
      </c>
      <c r="K123" s="244">
        <v>1274049</v>
      </c>
      <c r="L123" s="245">
        <v>0</v>
      </c>
      <c r="M123" s="246">
        <f t="shared" si="23"/>
        <v>1274049</v>
      </c>
      <c r="N123" s="232">
        <v>0</v>
      </c>
      <c r="O123" s="231">
        <v>0</v>
      </c>
      <c r="P123" s="232">
        <f t="shared" si="48"/>
        <v>0</v>
      </c>
      <c r="Q123" s="233">
        <v>0</v>
      </c>
      <c r="R123" s="247">
        <v>0</v>
      </c>
      <c r="S123" s="337">
        <v>0</v>
      </c>
      <c r="T123" s="248">
        <v>0</v>
      </c>
      <c r="U123" s="413">
        <f t="shared" si="47"/>
        <v>0</v>
      </c>
      <c r="V123" s="249" t="s">
        <v>661</v>
      </c>
      <c r="W123" s="238"/>
    </row>
    <row r="124" spans="1:25" ht="30" customHeight="1" x14ac:dyDescent="0.2">
      <c r="A124" s="240">
        <v>7</v>
      </c>
      <c r="B124" s="274" t="s">
        <v>47</v>
      </c>
      <c r="C124" s="275" t="s">
        <v>425</v>
      </c>
      <c r="D124" s="276" t="s">
        <v>89</v>
      </c>
      <c r="E124" s="276" t="s">
        <v>89</v>
      </c>
      <c r="F124" s="276" t="s">
        <v>89</v>
      </c>
      <c r="G124" s="310" t="s">
        <v>162</v>
      </c>
      <c r="H124" s="311" t="s">
        <v>157</v>
      </c>
      <c r="I124" s="247">
        <v>10746951</v>
      </c>
      <c r="J124" s="244">
        <v>0</v>
      </c>
      <c r="K124" s="244">
        <v>0</v>
      </c>
      <c r="L124" s="245">
        <v>0</v>
      </c>
      <c r="M124" s="246">
        <f t="shared" si="23"/>
        <v>0</v>
      </c>
      <c r="N124" s="231">
        <v>3019248</v>
      </c>
      <c r="O124" s="231">
        <v>0</v>
      </c>
      <c r="P124" s="232">
        <f t="shared" si="48"/>
        <v>3019248</v>
      </c>
      <c r="Q124" s="233">
        <v>0</v>
      </c>
      <c r="R124" s="247">
        <v>0</v>
      </c>
      <c r="S124" s="337">
        <v>0</v>
      </c>
      <c r="T124" s="248">
        <v>0</v>
      </c>
      <c r="U124" s="413">
        <f t="shared" si="47"/>
        <v>7727703</v>
      </c>
      <c r="V124" s="249" t="s">
        <v>709</v>
      </c>
      <c r="W124" s="238"/>
    </row>
    <row r="125" spans="1:25" ht="27" customHeight="1" thickBot="1" x14ac:dyDescent="0.25">
      <c r="A125" s="315">
        <v>7</v>
      </c>
      <c r="B125" s="316" t="s">
        <v>48</v>
      </c>
      <c r="C125" s="317" t="s">
        <v>426</v>
      </c>
      <c r="D125" s="285" t="s">
        <v>89</v>
      </c>
      <c r="E125" s="285" t="s">
        <v>89</v>
      </c>
      <c r="F125" s="285" t="s">
        <v>89</v>
      </c>
      <c r="G125" s="338" t="s">
        <v>162</v>
      </c>
      <c r="H125" s="339" t="s">
        <v>157</v>
      </c>
      <c r="I125" s="287">
        <v>9006779</v>
      </c>
      <c r="J125" s="288">
        <v>0</v>
      </c>
      <c r="K125" s="319">
        <v>0</v>
      </c>
      <c r="L125" s="320">
        <v>0</v>
      </c>
      <c r="M125" s="246">
        <f t="shared" si="23"/>
        <v>0</v>
      </c>
      <c r="N125" s="231">
        <v>0</v>
      </c>
      <c r="O125" s="231">
        <v>0</v>
      </c>
      <c r="P125" s="232">
        <f t="shared" si="48"/>
        <v>0</v>
      </c>
      <c r="Q125" s="233">
        <v>0</v>
      </c>
      <c r="R125" s="247">
        <v>0</v>
      </c>
      <c r="S125" s="337">
        <v>0</v>
      </c>
      <c r="T125" s="248">
        <v>0</v>
      </c>
      <c r="U125" s="413">
        <f t="shared" si="47"/>
        <v>9006779</v>
      </c>
      <c r="V125" s="434" t="s">
        <v>314</v>
      </c>
      <c r="W125" s="238"/>
    </row>
    <row r="126" spans="1:25" s="358" customFormat="1" ht="15" customHeight="1" x14ac:dyDescent="0.2">
      <c r="A126" s="346" t="s">
        <v>238</v>
      </c>
      <c r="B126" s="347"/>
      <c r="C126" s="348"/>
      <c r="D126" s="349"/>
      <c r="E126" s="349"/>
      <c r="F126" s="349"/>
      <c r="G126" s="350"/>
      <c r="H126" s="401" t="s">
        <v>157</v>
      </c>
      <c r="I126" s="435">
        <f>I118+I119+I120+(I121-30372630)+(I122-27648648)+I123+I124+I125</f>
        <v>112148340</v>
      </c>
      <c r="J126" s="352">
        <f>J118+J119+J120+J123+J124+J125</f>
        <v>0</v>
      </c>
      <c r="K126" s="353">
        <f>K118+K119+K120+K123+K124+K125</f>
        <v>6973974</v>
      </c>
      <c r="L126" s="409">
        <f>L118+L119+L120+L123+L124+L125</f>
        <v>0</v>
      </c>
      <c r="M126" s="409">
        <f>M118+M119+M120+M123+M124+M125</f>
        <v>6973974</v>
      </c>
      <c r="N126" s="354">
        <f t="shared" ref="N126" si="49">N118+N119+N120+N123+N124+N125</f>
        <v>3030221</v>
      </c>
      <c r="O126" s="354">
        <f t="shared" ref="O126:Q126" si="50">O118+O119+O120+O123+O124+O125</f>
        <v>10973</v>
      </c>
      <c r="P126" s="354">
        <f t="shared" ref="P126" si="51">P118+P119+P120+P123+P124+P125</f>
        <v>3019248</v>
      </c>
      <c r="Q126" s="354">
        <f t="shared" si="50"/>
        <v>0</v>
      </c>
      <c r="R126" s="354">
        <f>R118+R119+R120+R123+R124+R125</f>
        <v>0</v>
      </c>
      <c r="S126" s="356">
        <f>S118+S119+S120+S123+S124+S125</f>
        <v>5699925</v>
      </c>
      <c r="T126" s="352">
        <f>T118+T119+T120+T123+T124+T125</f>
        <v>10973</v>
      </c>
      <c r="U126" s="352">
        <f>U118+U119+U120+(U121-30372630)+(U122-27648648)+U123+U124+U125</f>
        <v>107855043</v>
      </c>
      <c r="V126" s="357"/>
      <c r="W126" s="331"/>
    </row>
    <row r="127" spans="1:25" s="358" customFormat="1" ht="15" customHeight="1" thickBot="1" x14ac:dyDescent="0.25">
      <c r="A127" s="359" t="s">
        <v>238</v>
      </c>
      <c r="B127" s="360"/>
      <c r="C127" s="361"/>
      <c r="D127" s="362"/>
      <c r="E127" s="362"/>
      <c r="F127" s="362"/>
      <c r="G127" s="363"/>
      <c r="H127" s="364" t="s">
        <v>165</v>
      </c>
      <c r="I127" s="436">
        <f>(I121-170280)+(I122-5797211)</f>
        <v>58021278</v>
      </c>
      <c r="J127" s="366">
        <f>J121+J122</f>
        <v>0</v>
      </c>
      <c r="K127" s="366">
        <f>K121+K122</f>
        <v>0</v>
      </c>
      <c r="L127" s="368">
        <f>L121+L122</f>
        <v>0</v>
      </c>
      <c r="M127" s="368">
        <f>M121+M122</f>
        <v>0</v>
      </c>
      <c r="N127" s="367">
        <f t="shared" ref="N127" si="52">N121+N122</f>
        <v>666043</v>
      </c>
      <c r="O127" s="367">
        <f t="shared" ref="O127:Q127" si="53">O121+O122</f>
        <v>0</v>
      </c>
      <c r="P127" s="367">
        <f t="shared" ref="P127" si="54">P121+P122</f>
        <v>666043</v>
      </c>
      <c r="Q127" s="367">
        <f t="shared" si="53"/>
        <v>0</v>
      </c>
      <c r="R127" s="367">
        <f>R121+R122</f>
        <v>0</v>
      </c>
      <c r="S127" s="369">
        <f>S121+S122</f>
        <v>0</v>
      </c>
      <c r="T127" s="365">
        <f>T121+T122</f>
        <v>666043</v>
      </c>
      <c r="U127" s="365">
        <f>(U121-170280)+(U122-5797211)</f>
        <v>58021278</v>
      </c>
      <c r="V127" s="370"/>
      <c r="W127" s="331"/>
    </row>
    <row r="128" spans="1:25" ht="57" customHeight="1" x14ac:dyDescent="0.2">
      <c r="A128" s="223">
        <v>8</v>
      </c>
      <c r="B128" s="332" t="s">
        <v>49</v>
      </c>
      <c r="C128" s="333" t="s">
        <v>427</v>
      </c>
      <c r="D128" s="334" t="s">
        <v>89</v>
      </c>
      <c r="E128" s="334" t="s">
        <v>89</v>
      </c>
      <c r="F128" s="410" t="s">
        <v>89</v>
      </c>
      <c r="G128" s="410" t="s">
        <v>6</v>
      </c>
      <c r="H128" s="411" t="s">
        <v>7</v>
      </c>
      <c r="I128" s="234">
        <v>37945407</v>
      </c>
      <c r="J128" s="228">
        <v>0</v>
      </c>
      <c r="K128" s="228">
        <v>2314490</v>
      </c>
      <c r="L128" s="229">
        <v>0</v>
      </c>
      <c r="M128" s="246">
        <f t="shared" si="23"/>
        <v>2314490</v>
      </c>
      <c r="N128" s="231">
        <f>ROUNDDOWN((15760.1599999964),0)</f>
        <v>15760</v>
      </c>
      <c r="O128" s="231">
        <f>ROUNDDOWN((15760.1599999964),0)</f>
        <v>15760</v>
      </c>
      <c r="P128" s="232">
        <f>N128-O128</f>
        <v>0</v>
      </c>
      <c r="Q128" s="233">
        <v>0</v>
      </c>
      <c r="R128" s="247">
        <v>0</v>
      </c>
      <c r="S128" s="235">
        <f>K128+61594</f>
        <v>2376084</v>
      </c>
      <c r="T128" s="236">
        <f>N128+N135</f>
        <v>18165</v>
      </c>
      <c r="U128" s="413">
        <f t="shared" ref="U128:U156" si="55">I128-K128-N128+S128+T128</f>
        <v>38009406</v>
      </c>
      <c r="V128" s="237" t="s">
        <v>327</v>
      </c>
      <c r="W128" s="238"/>
      <c r="X128" s="239"/>
      <c r="Y128" s="239"/>
    </row>
    <row r="129" spans="1:25" ht="23.25" customHeight="1" x14ac:dyDescent="0.2">
      <c r="A129" s="240">
        <v>8</v>
      </c>
      <c r="B129" s="274" t="s">
        <v>50</v>
      </c>
      <c r="C129" s="275" t="s">
        <v>428</v>
      </c>
      <c r="D129" s="276" t="s">
        <v>89</v>
      </c>
      <c r="E129" s="276" t="s">
        <v>89</v>
      </c>
      <c r="F129" s="310">
        <v>1</v>
      </c>
      <c r="G129" s="310" t="s">
        <v>6</v>
      </c>
      <c r="H129" s="311" t="s">
        <v>7</v>
      </c>
      <c r="I129" s="247">
        <v>58609000</v>
      </c>
      <c r="J129" s="244">
        <v>4095434</v>
      </c>
      <c r="K129" s="244">
        <v>3574872</v>
      </c>
      <c r="L129" s="245">
        <v>0</v>
      </c>
      <c r="M129" s="246">
        <f t="shared" si="23"/>
        <v>3574872</v>
      </c>
      <c r="N129" s="231">
        <f>ROUNDDOWN((4977753),0)</f>
        <v>4977753</v>
      </c>
      <c r="O129" s="231">
        <v>31598</v>
      </c>
      <c r="P129" s="232">
        <f t="shared" ref="P129:P156" si="56">N129-O129</f>
        <v>4946155</v>
      </c>
      <c r="Q129" s="233">
        <v>1898663</v>
      </c>
      <c r="R129" s="247">
        <v>0</v>
      </c>
      <c r="S129" s="337">
        <f>K129</f>
        <v>3574872</v>
      </c>
      <c r="T129" s="248">
        <f>N129</f>
        <v>4977753</v>
      </c>
      <c r="U129" s="413">
        <f t="shared" si="55"/>
        <v>58609000</v>
      </c>
      <c r="V129" s="249" t="s">
        <v>499</v>
      </c>
      <c r="W129" s="238"/>
      <c r="X129" s="239"/>
      <c r="Y129" s="239"/>
    </row>
    <row r="130" spans="1:25" ht="21.75" customHeight="1" x14ac:dyDescent="0.2">
      <c r="A130" s="240">
        <v>8</v>
      </c>
      <c r="B130" s="274" t="s">
        <v>50</v>
      </c>
      <c r="C130" s="275" t="s">
        <v>428</v>
      </c>
      <c r="D130" s="276" t="s">
        <v>89</v>
      </c>
      <c r="E130" s="276" t="s">
        <v>89</v>
      </c>
      <c r="F130" s="310">
        <v>2</v>
      </c>
      <c r="G130" s="310" t="s">
        <v>6</v>
      </c>
      <c r="H130" s="311" t="s">
        <v>7</v>
      </c>
      <c r="I130" s="247">
        <v>60095337</v>
      </c>
      <c r="J130" s="244">
        <v>0</v>
      </c>
      <c r="K130" s="244">
        <v>0</v>
      </c>
      <c r="L130" s="245">
        <v>0</v>
      </c>
      <c r="M130" s="246">
        <f t="shared" si="23"/>
        <v>0</v>
      </c>
      <c r="N130" s="231">
        <f>ROUNDDOWN((91368.6899999976),0)</f>
        <v>91368</v>
      </c>
      <c r="O130" s="231">
        <f>ROUNDDOWN((91368.6899999976),0)</f>
        <v>91368</v>
      </c>
      <c r="P130" s="232">
        <f t="shared" si="56"/>
        <v>0</v>
      </c>
      <c r="Q130" s="233">
        <v>0</v>
      </c>
      <c r="R130" s="247">
        <v>0</v>
      </c>
      <c r="S130" s="337">
        <v>0</v>
      </c>
      <c r="T130" s="248">
        <v>0</v>
      </c>
      <c r="U130" s="413">
        <f t="shared" si="55"/>
        <v>60003969</v>
      </c>
      <c r="V130" s="249" t="s">
        <v>530</v>
      </c>
      <c r="W130" s="238"/>
      <c r="X130" s="239"/>
      <c r="Y130" s="239"/>
    </row>
    <row r="131" spans="1:25" ht="25.5" customHeight="1" x14ac:dyDescent="0.2">
      <c r="A131" s="240">
        <v>8</v>
      </c>
      <c r="B131" s="274" t="s">
        <v>50</v>
      </c>
      <c r="C131" s="275" t="s">
        <v>428</v>
      </c>
      <c r="D131" s="276" t="s">
        <v>89</v>
      </c>
      <c r="E131" s="276" t="s">
        <v>89</v>
      </c>
      <c r="F131" s="310">
        <v>3</v>
      </c>
      <c r="G131" s="310" t="s">
        <v>6</v>
      </c>
      <c r="H131" s="311" t="s">
        <v>7</v>
      </c>
      <c r="I131" s="247">
        <v>15267130</v>
      </c>
      <c r="J131" s="244">
        <v>0</v>
      </c>
      <c r="K131" s="244">
        <v>0</v>
      </c>
      <c r="L131" s="245">
        <v>0</v>
      </c>
      <c r="M131" s="246">
        <f t="shared" si="23"/>
        <v>0</v>
      </c>
      <c r="N131" s="231">
        <f>ROUNDDOWN((190042.210000001),0)</f>
        <v>190042</v>
      </c>
      <c r="O131" s="231">
        <f>ROUNDDOWN((190042.210000001),0)</f>
        <v>190042</v>
      </c>
      <c r="P131" s="232">
        <f t="shared" si="56"/>
        <v>0</v>
      </c>
      <c r="Q131" s="233">
        <v>0</v>
      </c>
      <c r="R131" s="247">
        <v>0</v>
      </c>
      <c r="S131" s="337">
        <v>0</v>
      </c>
      <c r="T131" s="248">
        <v>0</v>
      </c>
      <c r="U131" s="413">
        <f t="shared" si="55"/>
        <v>15077088</v>
      </c>
      <c r="V131" s="249" t="s">
        <v>530</v>
      </c>
      <c r="W131" s="238"/>
      <c r="X131" s="239"/>
      <c r="Y131" s="239"/>
    </row>
    <row r="132" spans="1:25" ht="23.25" customHeight="1" x14ac:dyDescent="0.2">
      <c r="A132" s="240">
        <v>8</v>
      </c>
      <c r="B132" s="274" t="s">
        <v>50</v>
      </c>
      <c r="C132" s="275" t="s">
        <v>428</v>
      </c>
      <c r="D132" s="276" t="s">
        <v>89</v>
      </c>
      <c r="E132" s="276" t="s">
        <v>89</v>
      </c>
      <c r="F132" s="310">
        <v>4</v>
      </c>
      <c r="G132" s="310" t="s">
        <v>6</v>
      </c>
      <c r="H132" s="311" t="s">
        <v>7</v>
      </c>
      <c r="I132" s="247">
        <v>4895346</v>
      </c>
      <c r="J132" s="244">
        <v>0</v>
      </c>
      <c r="K132" s="244">
        <v>4895346</v>
      </c>
      <c r="L132" s="245">
        <v>0</v>
      </c>
      <c r="M132" s="246">
        <f t="shared" si="23"/>
        <v>4895346</v>
      </c>
      <c r="N132" s="231">
        <v>0</v>
      </c>
      <c r="O132" s="231">
        <v>0</v>
      </c>
      <c r="P132" s="232">
        <f t="shared" si="56"/>
        <v>0</v>
      </c>
      <c r="Q132" s="233">
        <v>0</v>
      </c>
      <c r="R132" s="247">
        <v>0</v>
      </c>
      <c r="S132" s="337">
        <f>K132</f>
        <v>4895346</v>
      </c>
      <c r="T132" s="248">
        <f>N132+N130+N131</f>
        <v>281410</v>
      </c>
      <c r="U132" s="413">
        <f t="shared" si="55"/>
        <v>5176756</v>
      </c>
      <c r="V132" s="249" t="s">
        <v>499</v>
      </c>
      <c r="W132" s="238"/>
      <c r="X132" s="239"/>
      <c r="Y132" s="239"/>
    </row>
    <row r="133" spans="1:25" ht="28.5" customHeight="1" x14ac:dyDescent="0.2">
      <c r="A133" s="240">
        <v>8</v>
      </c>
      <c r="B133" s="274" t="s">
        <v>51</v>
      </c>
      <c r="C133" s="275" t="s">
        <v>429</v>
      </c>
      <c r="D133" s="276" t="s">
        <v>89</v>
      </c>
      <c r="E133" s="276" t="s">
        <v>89</v>
      </c>
      <c r="F133" s="276">
        <v>1</v>
      </c>
      <c r="G133" s="310" t="s">
        <v>6</v>
      </c>
      <c r="H133" s="311" t="s">
        <v>7</v>
      </c>
      <c r="I133" s="247">
        <v>69506354</v>
      </c>
      <c r="J133" s="244">
        <v>0</v>
      </c>
      <c r="K133" s="244">
        <v>4239888</v>
      </c>
      <c r="L133" s="245">
        <v>0</v>
      </c>
      <c r="M133" s="246">
        <f t="shared" si="23"/>
        <v>4239888</v>
      </c>
      <c r="N133" s="231">
        <f>ROUNDDOWN((151496.810000002),0)</f>
        <v>151496</v>
      </c>
      <c r="O133" s="231">
        <f>ROUNDDOWN((151496.810000002),0)</f>
        <v>151496</v>
      </c>
      <c r="P133" s="232">
        <f t="shared" si="56"/>
        <v>0</v>
      </c>
      <c r="Q133" s="233">
        <v>0</v>
      </c>
      <c r="R133" s="247">
        <v>0</v>
      </c>
      <c r="S133" s="337">
        <f>K133</f>
        <v>4239888</v>
      </c>
      <c r="T133" s="248">
        <f>N133</f>
        <v>151496</v>
      </c>
      <c r="U133" s="413">
        <f t="shared" si="55"/>
        <v>69506354</v>
      </c>
      <c r="V133" s="249" t="s">
        <v>499</v>
      </c>
      <c r="W133" s="238"/>
      <c r="X133" s="239"/>
      <c r="Y133" s="239"/>
    </row>
    <row r="134" spans="1:25" ht="29.25" customHeight="1" x14ac:dyDescent="0.2">
      <c r="A134" s="240">
        <v>8</v>
      </c>
      <c r="B134" s="274" t="s">
        <v>51</v>
      </c>
      <c r="C134" s="275" t="s">
        <v>429</v>
      </c>
      <c r="D134" s="276" t="s">
        <v>89</v>
      </c>
      <c r="E134" s="276" t="s">
        <v>89</v>
      </c>
      <c r="F134" s="276">
        <v>2</v>
      </c>
      <c r="G134" s="310" t="s">
        <v>6</v>
      </c>
      <c r="H134" s="311" t="s">
        <v>7</v>
      </c>
      <c r="I134" s="247">
        <v>19084794</v>
      </c>
      <c r="J134" s="244">
        <v>0</v>
      </c>
      <c r="K134" s="244">
        <v>1164172</v>
      </c>
      <c r="L134" s="245">
        <v>0</v>
      </c>
      <c r="M134" s="246">
        <f t="shared" si="23"/>
        <v>1164172</v>
      </c>
      <c r="N134" s="231">
        <v>0</v>
      </c>
      <c r="O134" s="231">
        <v>0</v>
      </c>
      <c r="P134" s="232">
        <f t="shared" si="56"/>
        <v>0</v>
      </c>
      <c r="Q134" s="233">
        <v>0</v>
      </c>
      <c r="R134" s="247">
        <v>0</v>
      </c>
      <c r="S134" s="337">
        <f>K134</f>
        <v>1164172</v>
      </c>
      <c r="T134" s="248">
        <v>0</v>
      </c>
      <c r="U134" s="413">
        <f t="shared" si="55"/>
        <v>19084794</v>
      </c>
      <c r="V134" s="249" t="s">
        <v>499</v>
      </c>
      <c r="W134" s="238"/>
      <c r="X134" s="239"/>
      <c r="Y134" s="239"/>
    </row>
    <row r="135" spans="1:25" ht="45.75" customHeight="1" x14ac:dyDescent="0.2">
      <c r="A135" s="240">
        <v>8</v>
      </c>
      <c r="B135" s="274" t="s">
        <v>52</v>
      </c>
      <c r="C135" s="275" t="s">
        <v>697</v>
      </c>
      <c r="D135" s="276" t="s">
        <v>89</v>
      </c>
      <c r="E135" s="276" t="s">
        <v>89</v>
      </c>
      <c r="F135" s="276" t="s">
        <v>89</v>
      </c>
      <c r="G135" s="310" t="s">
        <v>6</v>
      </c>
      <c r="H135" s="311" t="s">
        <v>7</v>
      </c>
      <c r="I135" s="247">
        <v>12057418</v>
      </c>
      <c r="J135" s="244">
        <v>0</v>
      </c>
      <c r="K135" s="244">
        <v>735445</v>
      </c>
      <c r="L135" s="245">
        <v>0</v>
      </c>
      <c r="M135" s="246">
        <f t="shared" si="23"/>
        <v>735445</v>
      </c>
      <c r="N135" s="231">
        <f>ROUNDDOWN((2405.25999999977),0)</f>
        <v>2405</v>
      </c>
      <c r="O135" s="231">
        <f>ROUNDDOWN((2405.25999999977),0)</f>
        <v>2405</v>
      </c>
      <c r="P135" s="232">
        <f t="shared" si="56"/>
        <v>0</v>
      </c>
      <c r="Q135" s="233">
        <v>0</v>
      </c>
      <c r="R135" s="247">
        <v>0</v>
      </c>
      <c r="S135" s="337">
        <f>K135-61594</f>
        <v>673851</v>
      </c>
      <c r="T135" s="248">
        <v>0</v>
      </c>
      <c r="U135" s="413">
        <f t="shared" si="55"/>
        <v>11993419</v>
      </c>
      <c r="V135" s="249" t="s">
        <v>531</v>
      </c>
      <c r="W135" s="238"/>
      <c r="X135" s="239"/>
      <c r="Y135" s="239"/>
    </row>
    <row r="136" spans="1:25" ht="70.5" customHeight="1" x14ac:dyDescent="0.2">
      <c r="A136" s="240">
        <v>8</v>
      </c>
      <c r="B136" s="274" t="s">
        <v>53</v>
      </c>
      <c r="C136" s="275" t="s">
        <v>430</v>
      </c>
      <c r="D136" s="276" t="s">
        <v>89</v>
      </c>
      <c r="E136" s="276" t="s">
        <v>89</v>
      </c>
      <c r="F136" s="310">
        <v>1</v>
      </c>
      <c r="G136" s="310" t="s">
        <v>6</v>
      </c>
      <c r="H136" s="311" t="s">
        <v>157</v>
      </c>
      <c r="I136" s="247">
        <v>2550000</v>
      </c>
      <c r="J136" s="244">
        <v>0</v>
      </c>
      <c r="K136" s="244">
        <v>0</v>
      </c>
      <c r="L136" s="245">
        <v>0</v>
      </c>
      <c r="M136" s="246">
        <f t="shared" si="23"/>
        <v>0</v>
      </c>
      <c r="N136" s="231">
        <v>0</v>
      </c>
      <c r="O136" s="231">
        <v>0</v>
      </c>
      <c r="P136" s="232">
        <f t="shared" si="56"/>
        <v>0</v>
      </c>
      <c r="Q136" s="233">
        <v>0</v>
      </c>
      <c r="R136" s="247">
        <v>0</v>
      </c>
      <c r="S136" s="337">
        <f>K137+944649</f>
        <v>1516303</v>
      </c>
      <c r="T136" s="248">
        <v>397701</v>
      </c>
      <c r="U136" s="413">
        <f t="shared" si="55"/>
        <v>4464004</v>
      </c>
      <c r="V136" s="249" t="s">
        <v>701</v>
      </c>
      <c r="W136" s="238"/>
    </row>
    <row r="137" spans="1:25" ht="29.25" customHeight="1" x14ac:dyDescent="0.2">
      <c r="A137" s="240">
        <v>8</v>
      </c>
      <c r="B137" s="274" t="s">
        <v>53</v>
      </c>
      <c r="C137" s="275" t="s">
        <v>430</v>
      </c>
      <c r="D137" s="276" t="s">
        <v>89</v>
      </c>
      <c r="E137" s="276" t="s">
        <v>89</v>
      </c>
      <c r="F137" s="310">
        <v>2</v>
      </c>
      <c r="G137" s="310" t="s">
        <v>6</v>
      </c>
      <c r="H137" s="311" t="s">
        <v>157</v>
      </c>
      <c r="I137" s="247">
        <v>6642750</v>
      </c>
      <c r="J137" s="244">
        <v>0</v>
      </c>
      <c r="K137" s="244">
        <v>571654</v>
      </c>
      <c r="L137" s="245">
        <v>0</v>
      </c>
      <c r="M137" s="246">
        <f t="shared" ref="M137:M187" si="57">K137-L137</f>
        <v>571654</v>
      </c>
      <c r="N137" s="231">
        <f>ROUNDDOWN((397701.62),0)</f>
        <v>397701</v>
      </c>
      <c r="O137" s="231">
        <f>ROUNDDOWN((397701.62),0)</f>
        <v>397701</v>
      </c>
      <c r="P137" s="232">
        <f t="shared" si="56"/>
        <v>0</v>
      </c>
      <c r="Q137" s="233">
        <v>0</v>
      </c>
      <c r="R137" s="247">
        <v>0</v>
      </c>
      <c r="S137" s="337">
        <v>0</v>
      </c>
      <c r="T137" s="248">
        <v>0</v>
      </c>
      <c r="U137" s="413">
        <f t="shared" si="55"/>
        <v>5673395</v>
      </c>
      <c r="V137" s="249" t="s">
        <v>703</v>
      </c>
      <c r="W137" s="238"/>
    </row>
    <row r="138" spans="1:25" ht="31.5" customHeight="1" x14ac:dyDescent="0.2">
      <c r="A138" s="240">
        <v>8</v>
      </c>
      <c r="B138" s="274" t="s">
        <v>54</v>
      </c>
      <c r="C138" s="275" t="s">
        <v>431</v>
      </c>
      <c r="D138" s="276" t="s">
        <v>89</v>
      </c>
      <c r="E138" s="276" t="s">
        <v>89</v>
      </c>
      <c r="F138" s="310">
        <v>1</v>
      </c>
      <c r="G138" s="310" t="s">
        <v>6</v>
      </c>
      <c r="H138" s="311" t="s">
        <v>157</v>
      </c>
      <c r="I138" s="247">
        <v>17289583</v>
      </c>
      <c r="J138" s="244">
        <v>0</v>
      </c>
      <c r="K138" s="244">
        <v>0</v>
      </c>
      <c r="L138" s="245">
        <v>0</v>
      </c>
      <c r="M138" s="246">
        <f t="shared" si="57"/>
        <v>0</v>
      </c>
      <c r="N138" s="231">
        <f>ROUNDDOWN((1612448.16),0)</f>
        <v>1612448</v>
      </c>
      <c r="O138" s="231">
        <f>ROUNDDOWN((1612448.16),0)</f>
        <v>1612448</v>
      </c>
      <c r="P138" s="232">
        <f t="shared" si="56"/>
        <v>0</v>
      </c>
      <c r="Q138" s="233">
        <v>0</v>
      </c>
      <c r="R138" s="247">
        <v>0</v>
      </c>
      <c r="S138" s="337">
        <v>0</v>
      </c>
      <c r="T138" s="248">
        <v>0</v>
      </c>
      <c r="U138" s="413">
        <f t="shared" si="55"/>
        <v>15677135</v>
      </c>
      <c r="V138" s="249" t="s">
        <v>668</v>
      </c>
      <c r="W138" s="238"/>
    </row>
    <row r="139" spans="1:25" ht="32.25" customHeight="1" x14ac:dyDescent="0.2">
      <c r="A139" s="240">
        <v>8</v>
      </c>
      <c r="B139" s="274" t="s">
        <v>54</v>
      </c>
      <c r="C139" s="275" t="s">
        <v>431</v>
      </c>
      <c r="D139" s="276" t="s">
        <v>89</v>
      </c>
      <c r="E139" s="276" t="s">
        <v>89</v>
      </c>
      <c r="F139" s="310">
        <v>2</v>
      </c>
      <c r="G139" s="310" t="s">
        <v>6</v>
      </c>
      <c r="H139" s="311" t="s">
        <v>157</v>
      </c>
      <c r="I139" s="247">
        <v>3400000</v>
      </c>
      <c r="J139" s="244">
        <v>0</v>
      </c>
      <c r="K139" s="244">
        <v>0</v>
      </c>
      <c r="L139" s="245">
        <v>0</v>
      </c>
      <c r="M139" s="246">
        <f t="shared" si="57"/>
        <v>0</v>
      </c>
      <c r="N139" s="231">
        <f>ROUNDDOWN((1079.87),0)</f>
        <v>1079</v>
      </c>
      <c r="O139" s="231">
        <f>ROUNDDOWN((1079.87),0)</f>
        <v>1079</v>
      </c>
      <c r="P139" s="232">
        <f t="shared" si="56"/>
        <v>0</v>
      </c>
      <c r="Q139" s="233">
        <v>0</v>
      </c>
      <c r="R139" s="247">
        <v>0</v>
      </c>
      <c r="S139" s="337">
        <v>0</v>
      </c>
      <c r="T139" s="248">
        <v>0</v>
      </c>
      <c r="U139" s="413">
        <f t="shared" si="55"/>
        <v>3398921</v>
      </c>
      <c r="V139" s="249" t="s">
        <v>704</v>
      </c>
      <c r="W139" s="238"/>
    </row>
    <row r="140" spans="1:25" ht="84" customHeight="1" x14ac:dyDescent="0.2">
      <c r="A140" s="240">
        <v>8</v>
      </c>
      <c r="B140" s="274" t="s">
        <v>54</v>
      </c>
      <c r="C140" s="275" t="s">
        <v>431</v>
      </c>
      <c r="D140" s="276" t="s">
        <v>89</v>
      </c>
      <c r="E140" s="276" t="s">
        <v>89</v>
      </c>
      <c r="F140" s="310">
        <v>3</v>
      </c>
      <c r="G140" s="310" t="s">
        <v>6</v>
      </c>
      <c r="H140" s="311" t="s">
        <v>157</v>
      </c>
      <c r="I140" s="247">
        <v>8500000</v>
      </c>
      <c r="J140" s="244">
        <v>0</v>
      </c>
      <c r="K140" s="244">
        <v>1815163</v>
      </c>
      <c r="L140" s="245">
        <v>0</v>
      </c>
      <c r="M140" s="246">
        <f t="shared" si="57"/>
        <v>1815163</v>
      </c>
      <c r="N140" s="231">
        <v>6684837</v>
      </c>
      <c r="O140" s="231">
        <v>6684837</v>
      </c>
      <c r="P140" s="232">
        <f t="shared" si="56"/>
        <v>0</v>
      </c>
      <c r="Q140" s="233">
        <v>0</v>
      </c>
      <c r="R140" s="247">
        <v>0</v>
      </c>
      <c r="S140" s="437">
        <f>K140+191418</f>
        <v>2006581</v>
      </c>
      <c r="T140" s="428">
        <f>N140+1612448+1079+401299</f>
        <v>8699663</v>
      </c>
      <c r="U140" s="413">
        <f t="shared" si="55"/>
        <v>10706244</v>
      </c>
      <c r="V140" s="249" t="s">
        <v>705</v>
      </c>
      <c r="W140" s="238"/>
    </row>
    <row r="141" spans="1:25" ht="55.5" customHeight="1" x14ac:dyDescent="0.2">
      <c r="A141" s="377">
        <v>8</v>
      </c>
      <c r="B141" s="378" t="s">
        <v>55</v>
      </c>
      <c r="C141" s="379" t="s">
        <v>432</v>
      </c>
      <c r="D141" s="310" t="s">
        <v>89</v>
      </c>
      <c r="E141" s="310" t="s">
        <v>89</v>
      </c>
      <c r="F141" s="310" t="s">
        <v>89</v>
      </c>
      <c r="G141" s="310" t="s">
        <v>6</v>
      </c>
      <c r="H141" s="311" t="s">
        <v>157</v>
      </c>
      <c r="I141" s="247">
        <v>17000000</v>
      </c>
      <c r="J141" s="244">
        <v>0</v>
      </c>
      <c r="K141" s="244">
        <v>1136067</v>
      </c>
      <c r="L141" s="245">
        <v>0</v>
      </c>
      <c r="M141" s="246">
        <f t="shared" si="57"/>
        <v>1136067</v>
      </c>
      <c r="N141" s="231">
        <f>ROUNDDOWN((3801299.13),0)</f>
        <v>3801299</v>
      </c>
      <c r="O141" s="231">
        <f>ROUNDDOWN((3801299.13),0)</f>
        <v>3801299</v>
      </c>
      <c r="P141" s="232">
        <f t="shared" si="56"/>
        <v>0</v>
      </c>
      <c r="Q141" s="233">
        <v>0</v>
      </c>
      <c r="R141" s="247">
        <v>0</v>
      </c>
      <c r="S141" s="337">
        <v>0</v>
      </c>
      <c r="T141" s="248">
        <v>3400000</v>
      </c>
      <c r="U141" s="413">
        <f t="shared" si="55"/>
        <v>15462634</v>
      </c>
      <c r="V141" s="249" t="s">
        <v>706</v>
      </c>
      <c r="W141" s="238"/>
    </row>
    <row r="142" spans="1:25" ht="28.5" customHeight="1" x14ac:dyDescent="0.2">
      <c r="A142" s="240">
        <v>8</v>
      </c>
      <c r="B142" s="274" t="s">
        <v>56</v>
      </c>
      <c r="C142" s="275" t="s">
        <v>433</v>
      </c>
      <c r="D142" s="276" t="s">
        <v>89</v>
      </c>
      <c r="E142" s="276" t="s">
        <v>89</v>
      </c>
      <c r="F142" s="310" t="s">
        <v>89</v>
      </c>
      <c r="G142" s="310" t="s">
        <v>6</v>
      </c>
      <c r="H142" s="311" t="s">
        <v>157</v>
      </c>
      <c r="I142" s="247">
        <v>1222735</v>
      </c>
      <c r="J142" s="244">
        <v>0</v>
      </c>
      <c r="K142" s="244">
        <v>0</v>
      </c>
      <c r="L142" s="245">
        <v>0</v>
      </c>
      <c r="M142" s="246">
        <f t="shared" si="57"/>
        <v>0</v>
      </c>
      <c r="N142" s="231">
        <v>0</v>
      </c>
      <c r="O142" s="231">
        <v>0</v>
      </c>
      <c r="P142" s="232">
        <f t="shared" si="56"/>
        <v>0</v>
      </c>
      <c r="Q142" s="233">
        <v>0</v>
      </c>
      <c r="R142" s="247">
        <v>0</v>
      </c>
      <c r="S142" s="337">
        <v>0</v>
      </c>
      <c r="T142" s="248">
        <v>0</v>
      </c>
      <c r="U142" s="413">
        <f t="shared" si="55"/>
        <v>1222735</v>
      </c>
      <c r="V142" s="249" t="s">
        <v>314</v>
      </c>
      <c r="W142" s="238"/>
    </row>
    <row r="143" spans="1:25" ht="84" customHeight="1" x14ac:dyDescent="0.2">
      <c r="A143" s="240">
        <v>8</v>
      </c>
      <c r="B143" s="274" t="s">
        <v>57</v>
      </c>
      <c r="C143" s="275" t="s">
        <v>434</v>
      </c>
      <c r="D143" s="274" t="s">
        <v>126</v>
      </c>
      <c r="E143" s="275" t="s">
        <v>532</v>
      </c>
      <c r="F143" s="310" t="s">
        <v>89</v>
      </c>
      <c r="G143" s="310" t="s">
        <v>6</v>
      </c>
      <c r="H143" s="311" t="s">
        <v>157</v>
      </c>
      <c r="I143" s="247">
        <v>15689624</v>
      </c>
      <c r="J143" s="244">
        <v>0</v>
      </c>
      <c r="K143" s="244">
        <v>0</v>
      </c>
      <c r="L143" s="245">
        <v>0</v>
      </c>
      <c r="M143" s="246">
        <f t="shared" si="57"/>
        <v>0</v>
      </c>
      <c r="N143" s="231">
        <v>0</v>
      </c>
      <c r="O143" s="231">
        <v>0</v>
      </c>
      <c r="P143" s="232">
        <f t="shared" si="56"/>
        <v>0</v>
      </c>
      <c r="Q143" s="233">
        <v>0</v>
      </c>
      <c r="R143" s="247">
        <v>0</v>
      </c>
      <c r="S143" s="437">
        <f>K145+387015+428587</f>
        <v>1776888</v>
      </c>
      <c r="T143" s="428">
        <f>126083+2907305</f>
        <v>3033388</v>
      </c>
      <c r="U143" s="413">
        <f t="shared" si="55"/>
        <v>20499900</v>
      </c>
      <c r="V143" s="249" t="s">
        <v>702</v>
      </c>
      <c r="W143" s="238"/>
    </row>
    <row r="144" spans="1:25" ht="26.25" customHeight="1" x14ac:dyDescent="0.2">
      <c r="A144" s="240">
        <v>8</v>
      </c>
      <c r="B144" s="274" t="s">
        <v>57</v>
      </c>
      <c r="C144" s="275" t="s">
        <v>434</v>
      </c>
      <c r="D144" s="276" t="s">
        <v>127</v>
      </c>
      <c r="E144" s="276" t="s">
        <v>435</v>
      </c>
      <c r="F144" s="310">
        <v>1</v>
      </c>
      <c r="G144" s="310" t="s">
        <v>6</v>
      </c>
      <c r="H144" s="311" t="s">
        <v>157</v>
      </c>
      <c r="I144" s="247">
        <v>1313361</v>
      </c>
      <c r="J144" s="244">
        <v>0</v>
      </c>
      <c r="K144" s="244">
        <v>0</v>
      </c>
      <c r="L144" s="245">
        <v>0</v>
      </c>
      <c r="M144" s="246">
        <f t="shared" si="57"/>
        <v>0</v>
      </c>
      <c r="N144" s="231">
        <f>ROUNDDOWN((129586.33),0)</f>
        <v>129586</v>
      </c>
      <c r="O144" s="231">
        <f>ROUNDDOWN((129586.33),0)</f>
        <v>129586</v>
      </c>
      <c r="P144" s="232">
        <f t="shared" si="56"/>
        <v>0</v>
      </c>
      <c r="Q144" s="233">
        <v>0</v>
      </c>
      <c r="R144" s="247">
        <v>0</v>
      </c>
      <c r="S144" s="337">
        <v>0</v>
      </c>
      <c r="T144" s="248">
        <f>O144</f>
        <v>129586</v>
      </c>
      <c r="U144" s="413">
        <f t="shared" si="55"/>
        <v>1313361</v>
      </c>
      <c r="V144" s="249" t="s">
        <v>669</v>
      </c>
      <c r="W144" s="238"/>
    </row>
    <row r="145" spans="1:25" ht="69.75" customHeight="1" x14ac:dyDescent="0.2">
      <c r="A145" s="240">
        <v>8</v>
      </c>
      <c r="B145" s="274" t="s">
        <v>57</v>
      </c>
      <c r="C145" s="275" t="s">
        <v>434</v>
      </c>
      <c r="D145" s="276" t="s">
        <v>127</v>
      </c>
      <c r="E145" s="276" t="s">
        <v>435</v>
      </c>
      <c r="F145" s="310">
        <v>2</v>
      </c>
      <c r="G145" s="310" t="s">
        <v>6</v>
      </c>
      <c r="H145" s="311" t="s">
        <v>157</v>
      </c>
      <c r="I145" s="247">
        <v>2274648</v>
      </c>
      <c r="J145" s="244">
        <v>0</v>
      </c>
      <c r="K145" s="244">
        <v>961286</v>
      </c>
      <c r="L145" s="244">
        <v>0</v>
      </c>
      <c r="M145" s="246">
        <f t="shared" si="57"/>
        <v>961286</v>
      </c>
      <c r="N145" s="231">
        <f>I145-K145</f>
        <v>1313362</v>
      </c>
      <c r="O145" s="231">
        <f>I145-K145</f>
        <v>1313362</v>
      </c>
      <c r="P145" s="232">
        <f t="shared" si="56"/>
        <v>0</v>
      </c>
      <c r="Q145" s="233">
        <v>0</v>
      </c>
      <c r="R145" s="247">
        <v>0</v>
      </c>
      <c r="S145" s="337">
        <v>0</v>
      </c>
      <c r="T145" s="248">
        <f>N145-126083</f>
        <v>1187279</v>
      </c>
      <c r="U145" s="413">
        <f t="shared" si="55"/>
        <v>1187279</v>
      </c>
      <c r="V145" s="249" t="s">
        <v>670</v>
      </c>
      <c r="W145" s="238"/>
    </row>
    <row r="146" spans="1:25" ht="53.25" customHeight="1" x14ac:dyDescent="0.2">
      <c r="A146" s="240">
        <v>8</v>
      </c>
      <c r="B146" s="274" t="s">
        <v>58</v>
      </c>
      <c r="C146" s="275" t="s">
        <v>436</v>
      </c>
      <c r="D146" s="276" t="s">
        <v>128</v>
      </c>
      <c r="E146" s="276" t="s">
        <v>437</v>
      </c>
      <c r="F146" s="310" t="s">
        <v>89</v>
      </c>
      <c r="G146" s="310" t="s">
        <v>6</v>
      </c>
      <c r="H146" s="311" t="s">
        <v>157</v>
      </c>
      <c r="I146" s="247">
        <v>2794247</v>
      </c>
      <c r="J146" s="244">
        <v>0</v>
      </c>
      <c r="K146" s="244">
        <v>0</v>
      </c>
      <c r="L146" s="245">
        <v>0</v>
      </c>
      <c r="M146" s="246">
        <f t="shared" si="57"/>
        <v>0</v>
      </c>
      <c r="N146" s="231">
        <v>0</v>
      </c>
      <c r="O146" s="231">
        <v>0</v>
      </c>
      <c r="P146" s="232">
        <f t="shared" si="56"/>
        <v>0</v>
      </c>
      <c r="Q146" s="233">
        <v>0</v>
      </c>
      <c r="R146" s="247">
        <v>0</v>
      </c>
      <c r="S146" s="337">
        <v>0</v>
      </c>
      <c r="T146" s="248">
        <v>0</v>
      </c>
      <c r="U146" s="413">
        <f t="shared" si="55"/>
        <v>2794247</v>
      </c>
      <c r="V146" s="438" t="s">
        <v>314</v>
      </c>
      <c r="W146" s="238"/>
    </row>
    <row r="147" spans="1:25" ht="34.5" customHeight="1" x14ac:dyDescent="0.2">
      <c r="A147" s="240">
        <v>8</v>
      </c>
      <c r="B147" s="274" t="s">
        <v>58</v>
      </c>
      <c r="C147" s="275" t="s">
        <v>436</v>
      </c>
      <c r="D147" s="276" t="s">
        <v>129</v>
      </c>
      <c r="E147" s="276" t="s">
        <v>438</v>
      </c>
      <c r="F147" s="310">
        <v>1</v>
      </c>
      <c r="G147" s="310" t="s">
        <v>6</v>
      </c>
      <c r="H147" s="311" t="s">
        <v>157</v>
      </c>
      <c r="I147" s="247">
        <v>29193581</v>
      </c>
      <c r="J147" s="244">
        <v>0</v>
      </c>
      <c r="K147" s="244">
        <v>1989172</v>
      </c>
      <c r="L147" s="245">
        <v>0</v>
      </c>
      <c r="M147" s="246">
        <f t="shared" si="57"/>
        <v>1989172</v>
      </c>
      <c r="N147" s="231">
        <v>0</v>
      </c>
      <c r="O147" s="231">
        <v>0</v>
      </c>
      <c r="P147" s="232">
        <f t="shared" si="56"/>
        <v>0</v>
      </c>
      <c r="Q147" s="233">
        <v>0</v>
      </c>
      <c r="R147" s="247">
        <v>0</v>
      </c>
      <c r="S147" s="337">
        <f>K147</f>
        <v>1989172</v>
      </c>
      <c r="T147" s="248">
        <v>0</v>
      </c>
      <c r="U147" s="413">
        <f t="shared" si="55"/>
        <v>29193581</v>
      </c>
      <c r="V147" s="438" t="s">
        <v>548</v>
      </c>
      <c r="W147" s="238"/>
    </row>
    <row r="148" spans="1:25" ht="57" customHeight="1" x14ac:dyDescent="0.2">
      <c r="A148" s="240">
        <v>8</v>
      </c>
      <c r="B148" s="274" t="s">
        <v>59</v>
      </c>
      <c r="C148" s="275" t="s">
        <v>533</v>
      </c>
      <c r="D148" s="276" t="s">
        <v>89</v>
      </c>
      <c r="E148" s="276" t="s">
        <v>89</v>
      </c>
      <c r="F148" s="276" t="s">
        <v>89</v>
      </c>
      <c r="G148" s="310" t="s">
        <v>6</v>
      </c>
      <c r="H148" s="311" t="s">
        <v>157</v>
      </c>
      <c r="I148" s="247">
        <v>5782127</v>
      </c>
      <c r="J148" s="244">
        <v>0</v>
      </c>
      <c r="K148" s="244">
        <v>0</v>
      </c>
      <c r="L148" s="245">
        <v>0</v>
      </c>
      <c r="M148" s="246">
        <f t="shared" si="57"/>
        <v>0</v>
      </c>
      <c r="N148" s="231">
        <f>ROUNDDOWN((21.0899999998509),0)</f>
        <v>21</v>
      </c>
      <c r="O148" s="231">
        <f>ROUNDDOWN((21.0899999998509),0)</f>
        <v>21</v>
      </c>
      <c r="P148" s="232">
        <f t="shared" si="56"/>
        <v>0</v>
      </c>
      <c r="Q148" s="233">
        <v>0</v>
      </c>
      <c r="R148" s="247">
        <v>0</v>
      </c>
      <c r="S148" s="337">
        <v>0</v>
      </c>
      <c r="T148" s="248">
        <f>N148+N149</f>
        <v>5577</v>
      </c>
      <c r="U148" s="413">
        <f t="shared" si="55"/>
        <v>5787683</v>
      </c>
      <c r="V148" s="438" t="s">
        <v>625</v>
      </c>
      <c r="W148" s="238"/>
    </row>
    <row r="149" spans="1:25" ht="56.25" customHeight="1" x14ac:dyDescent="0.2">
      <c r="A149" s="240">
        <v>8</v>
      </c>
      <c r="B149" s="274" t="s">
        <v>60</v>
      </c>
      <c r="C149" s="275" t="s">
        <v>439</v>
      </c>
      <c r="D149" s="276" t="s">
        <v>89</v>
      </c>
      <c r="E149" s="276" t="s">
        <v>89</v>
      </c>
      <c r="F149" s="276" t="s">
        <v>89</v>
      </c>
      <c r="G149" s="310" t="s">
        <v>6</v>
      </c>
      <c r="H149" s="311" t="s">
        <v>157</v>
      </c>
      <c r="I149" s="247">
        <v>31885519</v>
      </c>
      <c r="J149" s="244">
        <v>0</v>
      </c>
      <c r="K149" s="244">
        <v>2580099</v>
      </c>
      <c r="L149" s="245">
        <v>0</v>
      </c>
      <c r="M149" s="246">
        <f t="shared" si="57"/>
        <v>2580099</v>
      </c>
      <c r="N149" s="231">
        <f>ROUNDDOWN((604.420000001788),0)+4952</f>
        <v>5556</v>
      </c>
      <c r="O149" s="231">
        <f>ROUNDDOWN((604.420000001788),0)</f>
        <v>604</v>
      </c>
      <c r="P149" s="232">
        <f t="shared" si="56"/>
        <v>4952</v>
      </c>
      <c r="Q149" s="233">
        <v>0</v>
      </c>
      <c r="R149" s="247">
        <v>0</v>
      </c>
      <c r="S149" s="337">
        <f>K149-387015</f>
        <v>2193084</v>
      </c>
      <c r="T149" s="248">
        <v>0</v>
      </c>
      <c r="U149" s="413">
        <f t="shared" si="55"/>
        <v>31492948</v>
      </c>
      <c r="V149" s="249" t="s">
        <v>549</v>
      </c>
      <c r="W149" s="238"/>
    </row>
    <row r="150" spans="1:25" ht="28.5" customHeight="1" x14ac:dyDescent="0.2">
      <c r="A150" s="240">
        <v>8</v>
      </c>
      <c r="B150" s="274" t="s">
        <v>61</v>
      </c>
      <c r="C150" s="275" t="s">
        <v>534</v>
      </c>
      <c r="D150" s="276" t="s">
        <v>89</v>
      </c>
      <c r="E150" s="276" t="s">
        <v>89</v>
      </c>
      <c r="F150" s="310" t="s">
        <v>89</v>
      </c>
      <c r="G150" s="310" t="s">
        <v>6</v>
      </c>
      <c r="H150" s="311" t="s">
        <v>157</v>
      </c>
      <c r="I150" s="247">
        <v>19618584</v>
      </c>
      <c r="J150" s="244">
        <v>0</v>
      </c>
      <c r="K150" s="244">
        <v>1219986</v>
      </c>
      <c r="L150" s="245">
        <v>0</v>
      </c>
      <c r="M150" s="246">
        <f t="shared" si="57"/>
        <v>1219986</v>
      </c>
      <c r="N150" s="231">
        <v>0</v>
      </c>
      <c r="O150" s="231">
        <v>0</v>
      </c>
      <c r="P150" s="232">
        <f t="shared" si="56"/>
        <v>0</v>
      </c>
      <c r="Q150" s="233">
        <v>0</v>
      </c>
      <c r="R150" s="247">
        <v>0</v>
      </c>
      <c r="S150" s="337">
        <f>K150</f>
        <v>1219986</v>
      </c>
      <c r="T150" s="236">
        <v>0</v>
      </c>
      <c r="U150" s="371">
        <f t="shared" si="55"/>
        <v>19618584</v>
      </c>
      <c r="V150" s="249" t="s">
        <v>580</v>
      </c>
      <c r="W150" s="238"/>
    </row>
    <row r="151" spans="1:25" ht="48" customHeight="1" x14ac:dyDescent="0.2">
      <c r="A151" s="240">
        <v>8</v>
      </c>
      <c r="B151" s="274" t="s">
        <v>62</v>
      </c>
      <c r="C151" s="275" t="s">
        <v>440</v>
      </c>
      <c r="D151" s="276" t="s">
        <v>130</v>
      </c>
      <c r="E151" s="276" t="s">
        <v>535</v>
      </c>
      <c r="F151" s="310" t="s">
        <v>89</v>
      </c>
      <c r="G151" s="310" t="s">
        <v>6</v>
      </c>
      <c r="H151" s="311" t="s">
        <v>157</v>
      </c>
      <c r="I151" s="247">
        <v>5364765</v>
      </c>
      <c r="J151" s="244">
        <v>0</v>
      </c>
      <c r="K151" s="244">
        <v>0</v>
      </c>
      <c r="L151" s="245">
        <v>0</v>
      </c>
      <c r="M151" s="246">
        <f t="shared" si="57"/>
        <v>0</v>
      </c>
      <c r="N151" s="231">
        <f>ROUNDDOWN((53592.2699999995),0)</f>
        <v>53592</v>
      </c>
      <c r="O151" s="231">
        <f>ROUNDDOWN((53592.2699999995),0)</f>
        <v>53592</v>
      </c>
      <c r="P151" s="232">
        <f t="shared" si="56"/>
        <v>0</v>
      </c>
      <c r="Q151" s="233">
        <v>0</v>
      </c>
      <c r="R151" s="247">
        <v>0</v>
      </c>
      <c r="S151" s="337">
        <v>200000</v>
      </c>
      <c r="T151" s="248">
        <f>N151</f>
        <v>53592</v>
      </c>
      <c r="U151" s="413">
        <f t="shared" si="55"/>
        <v>5564765</v>
      </c>
      <c r="V151" s="249" t="s">
        <v>652</v>
      </c>
      <c r="W151" s="238"/>
    </row>
    <row r="152" spans="1:25" ht="60.75" customHeight="1" x14ac:dyDescent="0.2">
      <c r="A152" s="240">
        <v>8</v>
      </c>
      <c r="B152" s="274" t="s">
        <v>62</v>
      </c>
      <c r="C152" s="275" t="s">
        <v>440</v>
      </c>
      <c r="D152" s="276" t="s">
        <v>131</v>
      </c>
      <c r="E152" s="276" t="s">
        <v>536</v>
      </c>
      <c r="F152" s="310" t="s">
        <v>89</v>
      </c>
      <c r="G152" s="310" t="s">
        <v>6</v>
      </c>
      <c r="H152" s="311" t="s">
        <v>157</v>
      </c>
      <c r="I152" s="242">
        <v>4092205</v>
      </c>
      <c r="J152" s="244">
        <v>0</v>
      </c>
      <c r="K152" s="244">
        <v>584973</v>
      </c>
      <c r="L152" s="245">
        <v>0</v>
      </c>
      <c r="M152" s="246">
        <f t="shared" si="57"/>
        <v>584973</v>
      </c>
      <c r="N152" s="231">
        <v>27</v>
      </c>
      <c r="O152" s="231">
        <v>27</v>
      </c>
      <c r="P152" s="232">
        <f t="shared" si="56"/>
        <v>0</v>
      </c>
      <c r="Q152" s="233">
        <v>0</v>
      </c>
      <c r="R152" s="247">
        <v>0</v>
      </c>
      <c r="S152" s="337">
        <f>K152-200000</f>
        <v>384973</v>
      </c>
      <c r="T152" s="248">
        <f>N152</f>
        <v>27</v>
      </c>
      <c r="U152" s="413">
        <f t="shared" si="55"/>
        <v>3892205</v>
      </c>
      <c r="V152" s="249" t="s">
        <v>653</v>
      </c>
      <c r="W152" s="238"/>
    </row>
    <row r="153" spans="1:25" ht="43.5" customHeight="1" x14ac:dyDescent="0.2">
      <c r="A153" s="240">
        <v>8</v>
      </c>
      <c r="B153" s="274" t="s">
        <v>63</v>
      </c>
      <c r="C153" s="275" t="s">
        <v>441</v>
      </c>
      <c r="D153" s="276" t="s">
        <v>89</v>
      </c>
      <c r="E153" s="276" t="s">
        <v>89</v>
      </c>
      <c r="F153" s="276" t="s">
        <v>89</v>
      </c>
      <c r="G153" s="310" t="s">
        <v>6</v>
      </c>
      <c r="H153" s="311" t="s">
        <v>157</v>
      </c>
      <c r="I153" s="247">
        <v>22979380</v>
      </c>
      <c r="J153" s="244">
        <v>0</v>
      </c>
      <c r="K153" s="244">
        <v>1428979</v>
      </c>
      <c r="L153" s="245">
        <v>0</v>
      </c>
      <c r="M153" s="246">
        <f t="shared" si="57"/>
        <v>1428979</v>
      </c>
      <c r="N153" s="231">
        <v>0</v>
      </c>
      <c r="O153" s="231">
        <v>0</v>
      </c>
      <c r="P153" s="232">
        <f t="shared" si="56"/>
        <v>0</v>
      </c>
      <c r="Q153" s="233">
        <v>0</v>
      </c>
      <c r="R153" s="247">
        <v>0</v>
      </c>
      <c r="S153" s="337">
        <f>K153+174392</f>
        <v>1603371</v>
      </c>
      <c r="T153" s="248">
        <v>1321381</v>
      </c>
      <c r="U153" s="413">
        <f t="shared" si="55"/>
        <v>24475153</v>
      </c>
      <c r="V153" s="249" t="s">
        <v>581</v>
      </c>
      <c r="W153" s="238"/>
    </row>
    <row r="154" spans="1:25" ht="54.75" customHeight="1" x14ac:dyDescent="0.2">
      <c r="A154" s="240">
        <v>8</v>
      </c>
      <c r="B154" s="274" t="s">
        <v>64</v>
      </c>
      <c r="C154" s="275" t="s">
        <v>442</v>
      </c>
      <c r="D154" s="276" t="s">
        <v>89</v>
      </c>
      <c r="E154" s="276" t="s">
        <v>89</v>
      </c>
      <c r="F154" s="310" t="s">
        <v>89</v>
      </c>
      <c r="G154" s="310" t="s">
        <v>6</v>
      </c>
      <c r="H154" s="311" t="s">
        <v>157</v>
      </c>
      <c r="I154" s="247">
        <v>18646580</v>
      </c>
      <c r="J154" s="244">
        <v>0</v>
      </c>
      <c r="K154" s="244">
        <v>1159542</v>
      </c>
      <c r="L154" s="245">
        <v>0</v>
      </c>
      <c r="M154" s="246">
        <f t="shared" si="57"/>
        <v>1159542</v>
      </c>
      <c r="N154" s="231">
        <f>ROUNDDOWN((5330.51000000163),0)+4223356</f>
        <v>4228686</v>
      </c>
      <c r="O154" s="231">
        <f>ROUNDDOWN((5330.51000000163),0)</f>
        <v>5330</v>
      </c>
      <c r="P154" s="232">
        <f t="shared" si="56"/>
        <v>4223356</v>
      </c>
      <c r="Q154" s="233">
        <v>0</v>
      </c>
      <c r="R154" s="247">
        <v>0</v>
      </c>
      <c r="S154" s="337">
        <v>0</v>
      </c>
      <c r="T154" s="248">
        <v>0</v>
      </c>
      <c r="U154" s="413">
        <f t="shared" si="55"/>
        <v>13258352</v>
      </c>
      <c r="V154" s="249" t="s">
        <v>552</v>
      </c>
      <c r="W154" s="238"/>
    </row>
    <row r="155" spans="1:25" ht="68.25" customHeight="1" x14ac:dyDescent="0.2">
      <c r="A155" s="240">
        <v>8</v>
      </c>
      <c r="B155" s="274" t="s">
        <v>65</v>
      </c>
      <c r="C155" s="275" t="s">
        <v>443</v>
      </c>
      <c r="D155" s="276" t="s">
        <v>89</v>
      </c>
      <c r="E155" s="276" t="s">
        <v>89</v>
      </c>
      <c r="F155" s="276" t="s">
        <v>89</v>
      </c>
      <c r="G155" s="310" t="s">
        <v>6</v>
      </c>
      <c r="H155" s="311" t="s">
        <v>157</v>
      </c>
      <c r="I155" s="247">
        <v>10996033</v>
      </c>
      <c r="J155" s="244">
        <v>0</v>
      </c>
      <c r="K155" s="244">
        <v>683791</v>
      </c>
      <c r="L155" s="245">
        <v>0</v>
      </c>
      <c r="M155" s="246">
        <f t="shared" si="57"/>
        <v>683791</v>
      </c>
      <c r="N155" s="231">
        <v>0</v>
      </c>
      <c r="O155" s="231">
        <v>0</v>
      </c>
      <c r="P155" s="232">
        <f t="shared" si="56"/>
        <v>0</v>
      </c>
      <c r="Q155" s="233">
        <v>0</v>
      </c>
      <c r="R155" s="247">
        <v>0</v>
      </c>
      <c r="S155" s="337">
        <v>255204</v>
      </c>
      <c r="T155" s="248">
        <v>0</v>
      </c>
      <c r="U155" s="413">
        <f t="shared" si="55"/>
        <v>10567446</v>
      </c>
      <c r="V155" s="249" t="s">
        <v>550</v>
      </c>
      <c r="W155" s="238"/>
    </row>
    <row r="156" spans="1:25" ht="111" customHeight="1" thickBot="1" x14ac:dyDescent="0.25">
      <c r="A156" s="315">
        <v>8</v>
      </c>
      <c r="B156" s="316" t="s">
        <v>66</v>
      </c>
      <c r="C156" s="317" t="s">
        <v>444</v>
      </c>
      <c r="D156" s="285" t="s">
        <v>89</v>
      </c>
      <c r="E156" s="285" t="s">
        <v>89</v>
      </c>
      <c r="F156" s="285" t="s">
        <v>89</v>
      </c>
      <c r="G156" s="338" t="s">
        <v>6</v>
      </c>
      <c r="H156" s="339" t="s">
        <v>157</v>
      </c>
      <c r="I156" s="287">
        <v>5516580</v>
      </c>
      <c r="J156" s="288">
        <v>0</v>
      </c>
      <c r="K156" s="319">
        <v>343050</v>
      </c>
      <c r="L156" s="320">
        <v>0</v>
      </c>
      <c r="M156" s="246">
        <f t="shared" si="57"/>
        <v>343050</v>
      </c>
      <c r="N156" s="231">
        <v>0</v>
      </c>
      <c r="O156" s="231">
        <v>0</v>
      </c>
      <c r="P156" s="232">
        <f t="shared" si="56"/>
        <v>0</v>
      </c>
      <c r="Q156" s="233">
        <v>0</v>
      </c>
      <c r="R156" s="247">
        <v>0</v>
      </c>
      <c r="S156" s="345">
        <f>K156+K154-174392</f>
        <v>1328200</v>
      </c>
      <c r="T156" s="290">
        <v>0</v>
      </c>
      <c r="U156" s="413">
        <f t="shared" si="55"/>
        <v>6501730</v>
      </c>
      <c r="V156" s="434" t="s">
        <v>551</v>
      </c>
      <c r="W156" s="238"/>
    </row>
    <row r="157" spans="1:25" s="358" customFormat="1" ht="15" customHeight="1" x14ac:dyDescent="0.2">
      <c r="A157" s="346" t="s">
        <v>239</v>
      </c>
      <c r="B157" s="347"/>
      <c r="C157" s="348"/>
      <c r="D157" s="349"/>
      <c r="E157" s="349"/>
      <c r="F157" s="349"/>
      <c r="G157" s="350"/>
      <c r="H157" s="401" t="s">
        <v>7</v>
      </c>
      <c r="I157" s="352">
        <f>I128+I129+I130+I131+I132+I133+I134+I135</f>
        <v>277460786</v>
      </c>
      <c r="J157" s="352">
        <f>J128+J129+J130+J131+J132+J133+J134+J135</f>
        <v>4095434</v>
      </c>
      <c r="K157" s="353">
        <f>K128+K129+K130+K131+K132+K133+K134+K135</f>
        <v>16924213</v>
      </c>
      <c r="L157" s="409">
        <f>L128+L129+L130+L131+L132+L133+L134+L135</f>
        <v>0</v>
      </c>
      <c r="M157" s="246">
        <f t="shared" si="57"/>
        <v>16924213</v>
      </c>
      <c r="N157" s="354">
        <f t="shared" ref="N157" si="58">N128+N129+N130+N131+N132+N133+N134+N135</f>
        <v>5428824</v>
      </c>
      <c r="O157" s="354">
        <f t="shared" ref="O157:Q157" si="59">O128+O129+O130+O131+O132+O133+O134+O135</f>
        <v>482669</v>
      </c>
      <c r="P157" s="354">
        <f t="shared" ref="P157" si="60">P128+P129+P130+P131+P132+P133+P134+P135</f>
        <v>4946155</v>
      </c>
      <c r="Q157" s="354">
        <f t="shared" si="59"/>
        <v>1898663</v>
      </c>
      <c r="R157" s="352">
        <f>R128+R129+R130+R131+R132+R133+R134+R135</f>
        <v>0</v>
      </c>
      <c r="S157" s="356">
        <f>S128+S129+S130+S131+S132+S133+S134+S135</f>
        <v>16924213</v>
      </c>
      <c r="T157" s="352">
        <f>T128+T129+T130+T131+T132+T133+T134+T135</f>
        <v>5428824</v>
      </c>
      <c r="U157" s="352">
        <f>U128+U129+U130+U131+U132+U133+U134+U135</f>
        <v>277460786</v>
      </c>
      <c r="V157" s="357"/>
      <c r="W157" s="331"/>
      <c r="X157" s="239"/>
      <c r="Y157" s="239"/>
    </row>
    <row r="158" spans="1:25" s="358" customFormat="1" ht="15" customHeight="1" thickBot="1" x14ac:dyDescent="0.25">
      <c r="A158" s="359" t="s">
        <v>239</v>
      </c>
      <c r="B158" s="360"/>
      <c r="C158" s="361"/>
      <c r="D158" s="362"/>
      <c r="E158" s="362"/>
      <c r="F158" s="362"/>
      <c r="G158" s="363"/>
      <c r="H158" s="364" t="s">
        <v>157</v>
      </c>
      <c r="I158" s="365">
        <f>I136+I137+I138+I139+I140+I141+I142+I143+I144+I145+I146+I147+I148+I149+I150+I151+I152+I153+I154+I155+I156</f>
        <v>232752302</v>
      </c>
      <c r="J158" s="365">
        <f>J136+J137+J138+J139+J140+J141+J142+J143+J144+J145+J146+J147+J148+J149+J150+J151+J152+J153+J154+J155+J156</f>
        <v>0</v>
      </c>
      <c r="K158" s="366">
        <f>K136+K137+K138+K139+K140+K141+K142+K143+K144+K145+K146+K147+K148+K149+K150+K151+K152+K153+K154+K155+K156</f>
        <v>14473762</v>
      </c>
      <c r="L158" s="368">
        <f>L136+L137+L138+L139+L140+L141+L142+L143+L144+L145+L146+L147+L148+L149+L150+L151+L152+L153+L154+L155+L156</f>
        <v>0</v>
      </c>
      <c r="M158" s="246">
        <f t="shared" si="57"/>
        <v>14473762</v>
      </c>
      <c r="N158" s="367">
        <f t="shared" ref="N158" si="61">N136+N137+N138+N139+N140+N141+N142+N143+N144+N145+N146+N147+N148+N149+N150+N151+N152+N153+N154+N155+N156</f>
        <v>18228194</v>
      </c>
      <c r="O158" s="367">
        <f t="shared" ref="O158:Q158" si="62">O136+O137+O138+O139+O140+O141+O142+O143+O144+O145+O146+O147+O148+O149+O150+O151+O152+O153+O154+O155+O156</f>
        <v>13999886</v>
      </c>
      <c r="P158" s="367">
        <f t="shared" ref="P158" si="63">P136+P137+P138+P139+P140+P141+P142+P143+P144+P145+P146+P147+P148+P149+P150+P151+P152+P153+P154+P155+P156</f>
        <v>4228308</v>
      </c>
      <c r="Q158" s="367">
        <f t="shared" si="62"/>
        <v>0</v>
      </c>
      <c r="R158" s="365">
        <f>R136+R137+R138+R139+R140+R141+R142+R143+R144+R145+R146+R147+R148+R149+R150+R151+R152+R153+R154+R155+R156</f>
        <v>0</v>
      </c>
      <c r="S158" s="369">
        <f>S136+S137+S138+S139+S140+S141+S142+S143+S144+S145+S146+S147+S148+S149+S150+S151+S152+S153+S154+S155+S156</f>
        <v>14473762</v>
      </c>
      <c r="T158" s="365">
        <f>T136+T137+T138+T139+T140+T141+T142+T143+T144+T145+T146+T147+T148+T149+T150+T151+T152+T153+T154+T155+T156</f>
        <v>18228194</v>
      </c>
      <c r="U158" s="365">
        <f>U136+U137+U138+U139+U140+U141+U142+U143+U144+U145+U146+U147+U148+U149+U150+U151+U152+U153+U154+U155+U156</f>
        <v>232752302</v>
      </c>
      <c r="V158" s="370"/>
      <c r="W158" s="331"/>
    </row>
    <row r="159" spans="1:25" ht="54" customHeight="1" x14ac:dyDescent="0.2">
      <c r="A159" s="223">
        <v>9</v>
      </c>
      <c r="B159" s="332" t="s">
        <v>67</v>
      </c>
      <c r="C159" s="333" t="s">
        <v>537</v>
      </c>
      <c r="D159" s="334" t="s">
        <v>132</v>
      </c>
      <c r="E159" s="334" t="s">
        <v>445</v>
      </c>
      <c r="F159" s="410" t="s">
        <v>89</v>
      </c>
      <c r="G159" s="410" t="s">
        <v>162</v>
      </c>
      <c r="H159" s="411" t="s">
        <v>157</v>
      </c>
      <c r="I159" s="234">
        <v>35113279</v>
      </c>
      <c r="J159" s="228">
        <v>0</v>
      </c>
      <c r="K159" s="228">
        <v>1186027</v>
      </c>
      <c r="L159" s="229">
        <v>0</v>
      </c>
      <c r="M159" s="246">
        <f t="shared" si="57"/>
        <v>1186027</v>
      </c>
      <c r="N159" s="231">
        <f>ROUNDDOWN((822.109999999403),0)</f>
        <v>822</v>
      </c>
      <c r="O159" s="231">
        <f>ROUNDDOWN((822.109999999403),0)</f>
        <v>822</v>
      </c>
      <c r="P159" s="232">
        <f>N159-O159</f>
        <v>0</v>
      </c>
      <c r="Q159" s="233">
        <v>0</v>
      </c>
      <c r="R159" s="247">
        <v>0</v>
      </c>
      <c r="S159" s="235">
        <f>K159</f>
        <v>1186027</v>
      </c>
      <c r="T159" s="307">
        <v>7283110</v>
      </c>
      <c r="U159" s="413">
        <f t="shared" ref="U159:U185" si="64">I159-K159-N159+S159+T159</f>
        <v>42395567</v>
      </c>
      <c r="V159" s="309" t="s">
        <v>654</v>
      </c>
      <c r="W159" s="238"/>
    </row>
    <row r="160" spans="1:25" ht="58.5" customHeight="1" x14ac:dyDescent="0.2">
      <c r="A160" s="240">
        <v>9</v>
      </c>
      <c r="B160" s="274" t="s">
        <v>67</v>
      </c>
      <c r="C160" s="333" t="s">
        <v>537</v>
      </c>
      <c r="D160" s="276" t="s">
        <v>133</v>
      </c>
      <c r="E160" s="276" t="s">
        <v>446</v>
      </c>
      <c r="F160" s="310" t="s">
        <v>89</v>
      </c>
      <c r="G160" s="310" t="s">
        <v>162</v>
      </c>
      <c r="H160" s="311" t="s">
        <v>157</v>
      </c>
      <c r="I160" s="247">
        <v>23748317</v>
      </c>
      <c r="J160" s="244">
        <v>0</v>
      </c>
      <c r="K160" s="244">
        <v>0</v>
      </c>
      <c r="L160" s="245">
        <v>0</v>
      </c>
      <c r="M160" s="246">
        <f t="shared" si="57"/>
        <v>0</v>
      </c>
      <c r="N160" s="231">
        <f>ROUNDDOWN((1803.1099999994),0)+10113197</f>
        <v>10115000</v>
      </c>
      <c r="O160" s="231">
        <f>ROUNDDOWN((1803),0)</f>
        <v>1803</v>
      </c>
      <c r="P160" s="232">
        <f t="shared" ref="P160:P185" si="65">N160-O160</f>
        <v>10113197</v>
      </c>
      <c r="Q160" s="233">
        <v>0</v>
      </c>
      <c r="R160" s="247">
        <v>0</v>
      </c>
      <c r="S160" s="337">
        <v>0</v>
      </c>
      <c r="T160" s="248">
        <v>0</v>
      </c>
      <c r="U160" s="413">
        <f t="shared" si="64"/>
        <v>13633317</v>
      </c>
      <c r="V160" s="249" t="s">
        <v>664</v>
      </c>
      <c r="W160" s="238"/>
    </row>
    <row r="161" spans="1:23" ht="31.5" customHeight="1" x14ac:dyDescent="0.2">
      <c r="A161" s="240">
        <v>9</v>
      </c>
      <c r="B161" s="274" t="s">
        <v>67</v>
      </c>
      <c r="C161" s="333" t="s">
        <v>537</v>
      </c>
      <c r="D161" s="276" t="s">
        <v>134</v>
      </c>
      <c r="E161" s="276" t="s">
        <v>447</v>
      </c>
      <c r="F161" s="310" t="s">
        <v>89</v>
      </c>
      <c r="G161" s="310" t="s">
        <v>162</v>
      </c>
      <c r="H161" s="311" t="s">
        <v>157</v>
      </c>
      <c r="I161" s="247">
        <v>16932175</v>
      </c>
      <c r="J161" s="244">
        <v>0</v>
      </c>
      <c r="K161" s="244">
        <v>4250000.0000000037</v>
      </c>
      <c r="L161" s="245">
        <v>0</v>
      </c>
      <c r="M161" s="246">
        <f t="shared" si="57"/>
        <v>4250000.0000000037</v>
      </c>
      <c r="N161" s="231">
        <v>0</v>
      </c>
      <c r="O161" s="231">
        <v>0</v>
      </c>
      <c r="P161" s="232">
        <f t="shared" si="65"/>
        <v>0</v>
      </c>
      <c r="Q161" s="233">
        <v>0</v>
      </c>
      <c r="R161" s="247">
        <v>0</v>
      </c>
      <c r="S161" s="337">
        <v>0</v>
      </c>
      <c r="T161" s="248">
        <v>0</v>
      </c>
      <c r="U161" s="413">
        <f t="shared" si="64"/>
        <v>12682174.999999996</v>
      </c>
      <c r="V161" s="249" t="s">
        <v>662</v>
      </c>
      <c r="W161" s="238"/>
    </row>
    <row r="162" spans="1:23" ht="28.5" customHeight="1" x14ac:dyDescent="0.2">
      <c r="A162" s="240">
        <v>9</v>
      </c>
      <c r="B162" s="274" t="s">
        <v>68</v>
      </c>
      <c r="C162" s="275" t="s">
        <v>448</v>
      </c>
      <c r="D162" s="276" t="s">
        <v>89</v>
      </c>
      <c r="E162" s="276" t="s">
        <v>89</v>
      </c>
      <c r="F162" s="276" t="s">
        <v>89</v>
      </c>
      <c r="G162" s="310" t="s">
        <v>156</v>
      </c>
      <c r="H162" s="311" t="s">
        <v>157</v>
      </c>
      <c r="I162" s="247">
        <v>4398750</v>
      </c>
      <c r="J162" s="244">
        <v>0</v>
      </c>
      <c r="K162" s="244">
        <v>273537</v>
      </c>
      <c r="L162" s="245">
        <v>0</v>
      </c>
      <c r="M162" s="246">
        <f t="shared" si="57"/>
        <v>273537</v>
      </c>
      <c r="N162" s="231">
        <v>0</v>
      </c>
      <c r="O162" s="231">
        <v>0</v>
      </c>
      <c r="P162" s="232">
        <f t="shared" si="65"/>
        <v>0</v>
      </c>
      <c r="Q162" s="233">
        <v>0</v>
      </c>
      <c r="R162" s="247">
        <v>0</v>
      </c>
      <c r="S162" s="337">
        <f>K162</f>
        <v>273537</v>
      </c>
      <c r="T162" s="248">
        <v>0</v>
      </c>
      <c r="U162" s="413">
        <f t="shared" si="64"/>
        <v>4398750</v>
      </c>
      <c r="V162" s="249" t="s">
        <v>582</v>
      </c>
      <c r="W162" s="238"/>
    </row>
    <row r="163" spans="1:23" ht="19.5" customHeight="1" x14ac:dyDescent="0.2">
      <c r="A163" s="240">
        <v>9</v>
      </c>
      <c r="B163" s="274" t="s">
        <v>69</v>
      </c>
      <c r="C163" s="275" t="s">
        <v>449</v>
      </c>
      <c r="D163" s="276" t="s">
        <v>89</v>
      </c>
      <c r="E163" s="276" t="s">
        <v>89</v>
      </c>
      <c r="F163" s="276" t="s">
        <v>89</v>
      </c>
      <c r="G163" s="310" t="s">
        <v>156</v>
      </c>
      <c r="H163" s="311" t="s">
        <v>157</v>
      </c>
      <c r="I163" s="247">
        <v>3597789</v>
      </c>
      <c r="J163" s="244">
        <v>0</v>
      </c>
      <c r="K163" s="244">
        <v>223729</v>
      </c>
      <c r="L163" s="245">
        <v>0</v>
      </c>
      <c r="M163" s="246">
        <f t="shared" si="57"/>
        <v>223729</v>
      </c>
      <c r="N163" s="231">
        <v>0</v>
      </c>
      <c r="O163" s="231">
        <v>0</v>
      </c>
      <c r="P163" s="232">
        <f t="shared" si="65"/>
        <v>0</v>
      </c>
      <c r="Q163" s="233">
        <v>0</v>
      </c>
      <c r="R163" s="247">
        <v>0</v>
      </c>
      <c r="S163" s="337">
        <f>K163</f>
        <v>223729</v>
      </c>
      <c r="T163" s="248">
        <v>0</v>
      </c>
      <c r="U163" s="413">
        <f t="shared" si="64"/>
        <v>3597789</v>
      </c>
      <c r="V163" s="439" t="s">
        <v>583</v>
      </c>
      <c r="W163" s="238"/>
    </row>
    <row r="164" spans="1:23" ht="54.75" customHeight="1" x14ac:dyDescent="0.2">
      <c r="A164" s="240">
        <v>9</v>
      </c>
      <c r="B164" s="274" t="s">
        <v>70</v>
      </c>
      <c r="C164" s="275" t="s">
        <v>450</v>
      </c>
      <c r="D164" s="276" t="s">
        <v>135</v>
      </c>
      <c r="E164" s="276" t="s">
        <v>451</v>
      </c>
      <c r="F164" s="276" t="s">
        <v>89</v>
      </c>
      <c r="G164" s="310" t="s">
        <v>162</v>
      </c>
      <c r="H164" s="311" t="s">
        <v>157</v>
      </c>
      <c r="I164" s="247">
        <v>1064308</v>
      </c>
      <c r="J164" s="244">
        <v>0</v>
      </c>
      <c r="K164" s="244">
        <v>0</v>
      </c>
      <c r="L164" s="245">
        <v>0</v>
      </c>
      <c r="M164" s="246">
        <f t="shared" si="57"/>
        <v>0</v>
      </c>
      <c r="N164" s="231">
        <f>ROUNDDOWN((21.2299999999813),0)</f>
        <v>21</v>
      </c>
      <c r="O164" s="231">
        <f>ROUNDDOWN((21.2299999999813),0)</f>
        <v>21</v>
      </c>
      <c r="P164" s="232">
        <f t="shared" si="65"/>
        <v>0</v>
      </c>
      <c r="Q164" s="233">
        <v>0</v>
      </c>
      <c r="R164" s="247">
        <v>0</v>
      </c>
      <c r="S164" s="337">
        <v>0</v>
      </c>
      <c r="T164" s="428">
        <f>N164+425000</f>
        <v>425021</v>
      </c>
      <c r="U164" s="413">
        <f t="shared" si="64"/>
        <v>1489308</v>
      </c>
      <c r="V164" s="249" t="s">
        <v>663</v>
      </c>
      <c r="W164" s="238"/>
    </row>
    <row r="165" spans="1:23" ht="39" customHeight="1" x14ac:dyDescent="0.2">
      <c r="A165" s="240">
        <v>9</v>
      </c>
      <c r="B165" s="274" t="s">
        <v>70</v>
      </c>
      <c r="C165" s="275" t="s">
        <v>450</v>
      </c>
      <c r="D165" s="276" t="s">
        <v>136</v>
      </c>
      <c r="E165" s="276" t="s">
        <v>452</v>
      </c>
      <c r="F165" s="276" t="s">
        <v>89</v>
      </c>
      <c r="G165" s="310" t="s">
        <v>162</v>
      </c>
      <c r="H165" s="311" t="s">
        <v>157</v>
      </c>
      <c r="I165" s="247">
        <v>1124780</v>
      </c>
      <c r="J165" s="244">
        <v>0</v>
      </c>
      <c r="K165" s="244">
        <v>0</v>
      </c>
      <c r="L165" s="245">
        <v>0</v>
      </c>
      <c r="M165" s="246">
        <f t="shared" si="57"/>
        <v>0</v>
      </c>
      <c r="N165" s="231">
        <f>ROUNDDOWN((15.6599999999161),0)+150057</f>
        <v>150072</v>
      </c>
      <c r="O165" s="231">
        <f>ROUNDDOWN((15.6599999999161),0)</f>
        <v>15</v>
      </c>
      <c r="P165" s="232">
        <f t="shared" si="65"/>
        <v>150057</v>
      </c>
      <c r="Q165" s="233">
        <v>0</v>
      </c>
      <c r="R165" s="247">
        <v>0</v>
      </c>
      <c r="S165" s="337">
        <v>0</v>
      </c>
      <c r="T165" s="248">
        <v>0</v>
      </c>
      <c r="U165" s="413">
        <f t="shared" si="64"/>
        <v>974708</v>
      </c>
      <c r="V165" s="249" t="s">
        <v>556</v>
      </c>
      <c r="W165" s="238"/>
    </row>
    <row r="166" spans="1:23" ht="39.75" customHeight="1" x14ac:dyDescent="0.2">
      <c r="A166" s="240">
        <v>9</v>
      </c>
      <c r="B166" s="274" t="s">
        <v>70</v>
      </c>
      <c r="C166" s="275" t="s">
        <v>450</v>
      </c>
      <c r="D166" s="276" t="s">
        <v>137</v>
      </c>
      <c r="E166" s="276" t="s">
        <v>453</v>
      </c>
      <c r="F166" s="276" t="s">
        <v>89</v>
      </c>
      <c r="G166" s="310" t="s">
        <v>162</v>
      </c>
      <c r="H166" s="311" t="s">
        <v>157</v>
      </c>
      <c r="I166" s="247">
        <v>270346</v>
      </c>
      <c r="J166" s="244">
        <v>0</v>
      </c>
      <c r="K166" s="244">
        <v>0</v>
      </c>
      <c r="L166" s="245">
        <v>0</v>
      </c>
      <c r="M166" s="246">
        <f t="shared" si="57"/>
        <v>0</v>
      </c>
      <c r="N166" s="231">
        <v>0</v>
      </c>
      <c r="O166" s="231">
        <v>0</v>
      </c>
      <c r="P166" s="232">
        <f t="shared" si="65"/>
        <v>0</v>
      </c>
      <c r="Q166" s="233">
        <v>0</v>
      </c>
      <c r="R166" s="247">
        <v>0</v>
      </c>
      <c r="S166" s="337">
        <v>0</v>
      </c>
      <c r="T166" s="248">
        <v>0</v>
      </c>
      <c r="U166" s="413">
        <f t="shared" si="64"/>
        <v>270346</v>
      </c>
      <c r="V166" s="249" t="s">
        <v>314</v>
      </c>
      <c r="W166" s="238"/>
    </row>
    <row r="167" spans="1:23" ht="27" customHeight="1" x14ac:dyDescent="0.2">
      <c r="A167" s="240">
        <v>9</v>
      </c>
      <c r="B167" s="274" t="s">
        <v>70</v>
      </c>
      <c r="C167" s="275" t="s">
        <v>450</v>
      </c>
      <c r="D167" s="276" t="s">
        <v>138</v>
      </c>
      <c r="E167" s="276" t="s">
        <v>454</v>
      </c>
      <c r="F167" s="276" t="s">
        <v>89</v>
      </c>
      <c r="G167" s="310" t="s">
        <v>162</v>
      </c>
      <c r="H167" s="311" t="s">
        <v>157</v>
      </c>
      <c r="I167" s="247">
        <v>5791088</v>
      </c>
      <c r="J167" s="244">
        <v>0</v>
      </c>
      <c r="K167" s="244">
        <v>0</v>
      </c>
      <c r="L167" s="245">
        <v>0</v>
      </c>
      <c r="M167" s="246">
        <f t="shared" si="57"/>
        <v>0</v>
      </c>
      <c r="N167" s="231">
        <v>297500</v>
      </c>
      <c r="O167" s="231">
        <v>297500</v>
      </c>
      <c r="P167" s="232">
        <f t="shared" si="65"/>
        <v>0</v>
      </c>
      <c r="Q167" s="233">
        <v>0</v>
      </c>
      <c r="R167" s="247">
        <v>0</v>
      </c>
      <c r="S167" s="337">
        <v>0</v>
      </c>
      <c r="T167" s="248">
        <v>0</v>
      </c>
      <c r="U167" s="413">
        <f t="shared" si="64"/>
        <v>5493588</v>
      </c>
      <c r="V167" s="249" t="s">
        <v>626</v>
      </c>
      <c r="W167" s="238"/>
    </row>
    <row r="168" spans="1:23" ht="85.5" customHeight="1" x14ac:dyDescent="0.2">
      <c r="A168" s="240">
        <v>9</v>
      </c>
      <c r="B168" s="274" t="s">
        <v>71</v>
      </c>
      <c r="C168" s="275" t="s">
        <v>455</v>
      </c>
      <c r="D168" s="276" t="s">
        <v>139</v>
      </c>
      <c r="E168" s="276" t="s">
        <v>456</v>
      </c>
      <c r="F168" s="310" t="s">
        <v>89</v>
      </c>
      <c r="G168" s="310" t="s">
        <v>162</v>
      </c>
      <c r="H168" s="311" t="s">
        <v>157</v>
      </c>
      <c r="I168" s="247">
        <v>7196317</v>
      </c>
      <c r="J168" s="244">
        <v>0</v>
      </c>
      <c r="K168" s="244">
        <v>0</v>
      </c>
      <c r="L168" s="245">
        <v>0</v>
      </c>
      <c r="M168" s="246">
        <f t="shared" si="57"/>
        <v>0</v>
      </c>
      <c r="N168" s="231">
        <f>ROUNDDOWN((205.469999999739),0)</f>
        <v>205</v>
      </c>
      <c r="O168" s="231">
        <f>ROUNDDOWN((205.469999999739),0)</f>
        <v>205</v>
      </c>
      <c r="P168" s="232">
        <f t="shared" si="65"/>
        <v>0</v>
      </c>
      <c r="Q168" s="233">
        <v>0</v>
      </c>
      <c r="R168" s="247">
        <v>0</v>
      </c>
      <c r="S168" s="337">
        <v>0</v>
      </c>
      <c r="T168" s="248">
        <f>N159+N169+N170+N171+813094</f>
        <v>840007</v>
      </c>
      <c r="U168" s="413">
        <f t="shared" si="64"/>
        <v>8036119</v>
      </c>
      <c r="V168" s="249" t="s">
        <v>655</v>
      </c>
      <c r="W168" s="312"/>
    </row>
    <row r="169" spans="1:23" ht="40.5" customHeight="1" x14ac:dyDescent="0.2">
      <c r="A169" s="240">
        <v>9</v>
      </c>
      <c r="B169" s="274" t="s">
        <v>71</v>
      </c>
      <c r="C169" s="275" t="s">
        <v>455</v>
      </c>
      <c r="D169" s="276" t="s">
        <v>140</v>
      </c>
      <c r="E169" s="276" t="s">
        <v>457</v>
      </c>
      <c r="F169" s="310" t="s">
        <v>89</v>
      </c>
      <c r="G169" s="310" t="s">
        <v>162</v>
      </c>
      <c r="H169" s="311" t="s">
        <v>157</v>
      </c>
      <c r="I169" s="247">
        <v>917966</v>
      </c>
      <c r="J169" s="244">
        <v>0</v>
      </c>
      <c r="K169" s="244">
        <v>0</v>
      </c>
      <c r="L169" s="245">
        <v>0</v>
      </c>
      <c r="M169" s="246">
        <f t="shared" si="57"/>
        <v>0</v>
      </c>
      <c r="N169" s="231">
        <f>ROUNDDOWN((563.550000000046),0)</f>
        <v>563</v>
      </c>
      <c r="O169" s="231">
        <f>ROUNDDOWN((563.550000000046),0)</f>
        <v>563</v>
      </c>
      <c r="P169" s="232">
        <f t="shared" si="65"/>
        <v>0</v>
      </c>
      <c r="Q169" s="233">
        <v>0</v>
      </c>
      <c r="R169" s="247">
        <v>0</v>
      </c>
      <c r="S169" s="337">
        <v>0</v>
      </c>
      <c r="T169" s="248">
        <v>0</v>
      </c>
      <c r="U169" s="413">
        <f t="shared" si="64"/>
        <v>917403</v>
      </c>
      <c r="V169" s="249" t="s">
        <v>627</v>
      </c>
      <c r="W169" s="238"/>
    </row>
    <row r="170" spans="1:23" ht="59.25" customHeight="1" x14ac:dyDescent="0.2">
      <c r="A170" s="240">
        <v>9</v>
      </c>
      <c r="B170" s="274" t="s">
        <v>71</v>
      </c>
      <c r="C170" s="275" t="s">
        <v>455</v>
      </c>
      <c r="D170" s="276" t="s">
        <v>141</v>
      </c>
      <c r="E170" s="276" t="s">
        <v>458</v>
      </c>
      <c r="F170" s="310" t="s">
        <v>89</v>
      </c>
      <c r="G170" s="310" t="s">
        <v>162</v>
      </c>
      <c r="H170" s="311" t="s">
        <v>157</v>
      </c>
      <c r="I170" s="247">
        <v>2046882</v>
      </c>
      <c r="J170" s="244">
        <v>0</v>
      </c>
      <c r="K170" s="244">
        <v>0</v>
      </c>
      <c r="L170" s="245">
        <v>0</v>
      </c>
      <c r="M170" s="246">
        <f t="shared" si="57"/>
        <v>0</v>
      </c>
      <c r="N170" s="231">
        <f>ROUNDDOWN((16870.6899999999),0)</f>
        <v>16870</v>
      </c>
      <c r="O170" s="231">
        <f>ROUNDDOWN((16870.6899999999),0)</f>
        <v>16870</v>
      </c>
      <c r="P170" s="232">
        <f t="shared" si="65"/>
        <v>0</v>
      </c>
      <c r="Q170" s="233">
        <v>0</v>
      </c>
      <c r="R170" s="247">
        <v>0</v>
      </c>
      <c r="S170" s="337">
        <v>0</v>
      </c>
      <c r="T170" s="248">
        <v>0</v>
      </c>
      <c r="U170" s="413">
        <f t="shared" si="64"/>
        <v>2030012</v>
      </c>
      <c r="V170" s="249" t="s">
        <v>627</v>
      </c>
      <c r="W170" s="238"/>
    </row>
    <row r="171" spans="1:23" ht="113.25" customHeight="1" x14ac:dyDescent="0.2">
      <c r="A171" s="240">
        <v>9</v>
      </c>
      <c r="B171" s="274" t="s">
        <v>72</v>
      </c>
      <c r="C171" s="275" t="s">
        <v>459</v>
      </c>
      <c r="D171" s="276" t="s">
        <v>142</v>
      </c>
      <c r="E171" s="276" t="s">
        <v>460</v>
      </c>
      <c r="F171" s="276" t="s">
        <v>89</v>
      </c>
      <c r="G171" s="310" t="s">
        <v>162</v>
      </c>
      <c r="H171" s="311" t="s">
        <v>157</v>
      </c>
      <c r="I171" s="247">
        <v>35905953</v>
      </c>
      <c r="J171" s="244">
        <v>0</v>
      </c>
      <c r="K171" s="244">
        <v>3167387</v>
      </c>
      <c r="L171" s="245">
        <v>0</v>
      </c>
      <c r="M171" s="246">
        <f t="shared" si="57"/>
        <v>3167387</v>
      </c>
      <c r="N171" s="231">
        <f>ROUNDDOWN((8658.30999999865),0)</f>
        <v>8658</v>
      </c>
      <c r="O171" s="231">
        <f>ROUNDDOWN((8658.30999999865),0)</f>
        <v>8658</v>
      </c>
      <c r="P171" s="232">
        <f t="shared" si="65"/>
        <v>0</v>
      </c>
      <c r="Q171" s="233">
        <v>0</v>
      </c>
      <c r="R171" s="247">
        <v>0</v>
      </c>
      <c r="S171" s="337">
        <f>K171+4250000</f>
        <v>7417387</v>
      </c>
      <c r="T171" s="248">
        <f>N165+N167+205+1593796</f>
        <v>2041573</v>
      </c>
      <c r="U171" s="413">
        <f t="shared" si="64"/>
        <v>42188868</v>
      </c>
      <c r="V171" s="249" t="s">
        <v>708</v>
      </c>
      <c r="W171" s="312"/>
    </row>
    <row r="172" spans="1:23" ht="15" customHeight="1" x14ac:dyDescent="0.2">
      <c r="A172" s="240">
        <v>9</v>
      </c>
      <c r="B172" s="274" t="s">
        <v>72</v>
      </c>
      <c r="C172" s="275" t="s">
        <v>459</v>
      </c>
      <c r="D172" s="276" t="s">
        <v>143</v>
      </c>
      <c r="E172" s="276" t="s">
        <v>461</v>
      </c>
      <c r="F172" s="276" t="s">
        <v>89</v>
      </c>
      <c r="G172" s="310" t="s">
        <v>162</v>
      </c>
      <c r="H172" s="311" t="s">
        <v>157</v>
      </c>
      <c r="I172" s="247">
        <v>4018012</v>
      </c>
      <c r="J172" s="244">
        <v>0</v>
      </c>
      <c r="K172" s="244">
        <v>0</v>
      </c>
      <c r="L172" s="245">
        <v>0</v>
      </c>
      <c r="M172" s="246">
        <f t="shared" si="57"/>
        <v>0</v>
      </c>
      <c r="N172" s="231">
        <v>0</v>
      </c>
      <c r="O172" s="231">
        <v>0</v>
      </c>
      <c r="P172" s="232">
        <f t="shared" si="65"/>
        <v>0</v>
      </c>
      <c r="Q172" s="233">
        <v>0</v>
      </c>
      <c r="R172" s="247">
        <v>0</v>
      </c>
      <c r="S172" s="337">
        <v>0</v>
      </c>
      <c r="T172" s="248">
        <v>0</v>
      </c>
      <c r="U172" s="413">
        <f t="shared" si="64"/>
        <v>4018012</v>
      </c>
      <c r="V172" s="439" t="s">
        <v>314</v>
      </c>
      <c r="W172" s="238"/>
    </row>
    <row r="173" spans="1:23" ht="54" customHeight="1" x14ac:dyDescent="0.2">
      <c r="A173" s="240">
        <v>9</v>
      </c>
      <c r="B173" s="274" t="s">
        <v>72</v>
      </c>
      <c r="C173" s="275" t="s">
        <v>459</v>
      </c>
      <c r="D173" s="276" t="s">
        <v>144</v>
      </c>
      <c r="E173" s="276" t="s">
        <v>462</v>
      </c>
      <c r="F173" s="276" t="s">
        <v>89</v>
      </c>
      <c r="G173" s="310" t="s">
        <v>162</v>
      </c>
      <c r="H173" s="311" t="s">
        <v>157</v>
      </c>
      <c r="I173" s="247">
        <v>4221918</v>
      </c>
      <c r="J173" s="244">
        <v>0</v>
      </c>
      <c r="K173" s="244">
        <v>0</v>
      </c>
      <c r="L173" s="245">
        <v>0</v>
      </c>
      <c r="M173" s="246">
        <f t="shared" si="57"/>
        <v>0</v>
      </c>
      <c r="N173" s="231">
        <f>ROUNDDOWN((2647157.42),0)</f>
        <v>2647157</v>
      </c>
      <c r="O173" s="231">
        <f>ROUNDDOWN((2647157.42),0)</f>
        <v>2647157</v>
      </c>
      <c r="P173" s="232">
        <f t="shared" si="65"/>
        <v>0</v>
      </c>
      <c r="Q173" s="233">
        <v>0</v>
      </c>
      <c r="R173" s="247">
        <v>0</v>
      </c>
      <c r="S173" s="337">
        <v>0</v>
      </c>
      <c r="T173" s="248">
        <f>N173</f>
        <v>2647157</v>
      </c>
      <c r="U173" s="413">
        <f t="shared" si="64"/>
        <v>4221918</v>
      </c>
      <c r="V173" s="249" t="s">
        <v>628</v>
      </c>
      <c r="W173" s="238"/>
    </row>
    <row r="174" spans="1:23" ht="92.25" customHeight="1" x14ac:dyDescent="0.2">
      <c r="A174" s="240">
        <v>9</v>
      </c>
      <c r="B174" s="274" t="s">
        <v>73</v>
      </c>
      <c r="C174" s="275" t="s">
        <v>538</v>
      </c>
      <c r="D174" s="310" t="s">
        <v>89</v>
      </c>
      <c r="E174" s="310" t="s">
        <v>89</v>
      </c>
      <c r="F174" s="310" t="s">
        <v>89</v>
      </c>
      <c r="G174" s="310" t="s">
        <v>164</v>
      </c>
      <c r="H174" s="311" t="s">
        <v>157</v>
      </c>
      <c r="I174" s="247">
        <v>3918310</v>
      </c>
      <c r="J174" s="244">
        <v>0</v>
      </c>
      <c r="K174" s="244">
        <v>0</v>
      </c>
      <c r="L174" s="245">
        <v>0</v>
      </c>
      <c r="M174" s="246">
        <f t="shared" si="57"/>
        <v>0</v>
      </c>
      <c r="N174" s="231">
        <f>ROUNDDOWN((22308.77),0)</f>
        <v>22308</v>
      </c>
      <c r="O174" s="231">
        <f>ROUNDDOWN((22308.77),0)</f>
        <v>22308</v>
      </c>
      <c r="P174" s="232">
        <f t="shared" si="65"/>
        <v>0</v>
      </c>
      <c r="Q174" s="233">
        <v>0</v>
      </c>
      <c r="R174" s="247">
        <v>0</v>
      </c>
      <c r="S174" s="337">
        <v>0</v>
      </c>
      <c r="T174" s="248">
        <v>0</v>
      </c>
      <c r="U174" s="413">
        <f t="shared" si="64"/>
        <v>3896002</v>
      </c>
      <c r="V174" s="439" t="s">
        <v>659</v>
      </c>
      <c r="W174" s="238"/>
    </row>
    <row r="175" spans="1:23" ht="42.75" customHeight="1" x14ac:dyDescent="0.2">
      <c r="A175" s="240">
        <v>9</v>
      </c>
      <c r="B175" s="274" t="s">
        <v>74</v>
      </c>
      <c r="C175" s="275" t="s">
        <v>463</v>
      </c>
      <c r="D175" s="275" t="s">
        <v>145</v>
      </c>
      <c r="E175" s="275" t="s">
        <v>464</v>
      </c>
      <c r="F175" s="276" t="s">
        <v>89</v>
      </c>
      <c r="G175" s="310" t="s">
        <v>164</v>
      </c>
      <c r="H175" s="311" t="s">
        <v>157</v>
      </c>
      <c r="I175" s="247">
        <v>14188878</v>
      </c>
      <c r="J175" s="244">
        <v>0</v>
      </c>
      <c r="K175" s="244">
        <v>0</v>
      </c>
      <c r="L175" s="245">
        <v>0</v>
      </c>
      <c r="M175" s="246">
        <f t="shared" si="57"/>
        <v>0</v>
      </c>
      <c r="N175" s="231">
        <f>ROUNDDOWN((1095.46000000089),0)</f>
        <v>1095</v>
      </c>
      <c r="O175" s="231">
        <f>ROUNDDOWN((1095.46000000089),0)</f>
        <v>1095</v>
      </c>
      <c r="P175" s="232">
        <f t="shared" si="65"/>
        <v>0</v>
      </c>
      <c r="Q175" s="233">
        <v>0</v>
      </c>
      <c r="R175" s="247">
        <v>0</v>
      </c>
      <c r="S175" s="337">
        <v>0</v>
      </c>
      <c r="T175" s="248">
        <v>0</v>
      </c>
      <c r="U175" s="413">
        <f t="shared" si="64"/>
        <v>14187783</v>
      </c>
      <c r="V175" s="249" t="s">
        <v>660</v>
      </c>
      <c r="W175" s="238"/>
    </row>
    <row r="176" spans="1:23" ht="57" customHeight="1" x14ac:dyDescent="0.2">
      <c r="A176" s="240">
        <v>9</v>
      </c>
      <c r="B176" s="274" t="s">
        <v>74</v>
      </c>
      <c r="C176" s="275" t="s">
        <v>463</v>
      </c>
      <c r="D176" s="275" t="s">
        <v>146</v>
      </c>
      <c r="E176" s="275" t="s">
        <v>465</v>
      </c>
      <c r="F176" s="276" t="s">
        <v>89</v>
      </c>
      <c r="G176" s="310" t="s">
        <v>164</v>
      </c>
      <c r="H176" s="311" t="s">
        <v>157</v>
      </c>
      <c r="I176" s="247">
        <v>32888538</v>
      </c>
      <c r="J176" s="244">
        <v>0</v>
      </c>
      <c r="K176" s="244">
        <v>4900999</v>
      </c>
      <c r="L176" s="245">
        <v>0</v>
      </c>
      <c r="M176" s="246">
        <f t="shared" si="57"/>
        <v>4900999</v>
      </c>
      <c r="N176" s="231">
        <f>ROUNDDOWN((12000585.04),0)</f>
        <v>12000585</v>
      </c>
      <c r="O176" s="231">
        <f>ROUNDDOWN((12000585.04),0)</f>
        <v>12000585</v>
      </c>
      <c r="P176" s="232">
        <f t="shared" si="65"/>
        <v>0</v>
      </c>
      <c r="Q176" s="233">
        <v>0</v>
      </c>
      <c r="R176" s="247">
        <v>0</v>
      </c>
      <c r="S176" s="337">
        <f>K176</f>
        <v>4900999</v>
      </c>
      <c r="T176" s="248">
        <f>N176-8116686+22308+1095</f>
        <v>3907302</v>
      </c>
      <c r="U176" s="413">
        <f t="shared" si="64"/>
        <v>24795255</v>
      </c>
      <c r="V176" s="249" t="s">
        <v>673</v>
      </c>
      <c r="W176" s="238"/>
    </row>
    <row r="177" spans="1:27" ht="45" customHeight="1" x14ac:dyDescent="0.2">
      <c r="A177" s="240">
        <v>9</v>
      </c>
      <c r="B177" s="274" t="s">
        <v>75</v>
      </c>
      <c r="C177" s="275" t="s">
        <v>466</v>
      </c>
      <c r="D177" s="310" t="s">
        <v>89</v>
      </c>
      <c r="E177" s="310" t="s">
        <v>89</v>
      </c>
      <c r="F177" s="310" t="s">
        <v>89</v>
      </c>
      <c r="G177" s="310" t="s">
        <v>164</v>
      </c>
      <c r="H177" s="311" t="s">
        <v>157</v>
      </c>
      <c r="I177" s="247">
        <v>8466087</v>
      </c>
      <c r="J177" s="244">
        <v>0</v>
      </c>
      <c r="K177" s="244">
        <v>0</v>
      </c>
      <c r="L177" s="245">
        <v>0</v>
      </c>
      <c r="M177" s="246">
        <f t="shared" si="57"/>
        <v>0</v>
      </c>
      <c r="N177" s="231">
        <f>ROUNDDOWN((0.339999999850988),0)</f>
        <v>0</v>
      </c>
      <c r="O177" s="231">
        <f>ROUNDDOWN((0.339999999850988),0)</f>
        <v>0</v>
      </c>
      <c r="P177" s="232">
        <f t="shared" si="65"/>
        <v>0</v>
      </c>
      <c r="Q177" s="233">
        <v>0</v>
      </c>
      <c r="R177" s="247">
        <v>0</v>
      </c>
      <c r="S177" s="337">
        <v>0</v>
      </c>
      <c r="T177" s="248">
        <v>0</v>
      </c>
      <c r="U177" s="413">
        <f t="shared" si="64"/>
        <v>8466087</v>
      </c>
      <c r="V177" s="249" t="s">
        <v>314</v>
      </c>
      <c r="W177" s="238"/>
    </row>
    <row r="178" spans="1:27" ht="39.75" customHeight="1" x14ac:dyDescent="0.2">
      <c r="A178" s="240">
        <v>9</v>
      </c>
      <c r="B178" s="274" t="s">
        <v>76</v>
      </c>
      <c r="C178" s="275" t="s">
        <v>467</v>
      </c>
      <c r="D178" s="275" t="s">
        <v>89</v>
      </c>
      <c r="E178" s="275" t="s">
        <v>89</v>
      </c>
      <c r="F178" s="275" t="s">
        <v>89</v>
      </c>
      <c r="G178" s="310" t="s">
        <v>164</v>
      </c>
      <c r="H178" s="311" t="s">
        <v>157</v>
      </c>
      <c r="I178" s="247">
        <v>19351057</v>
      </c>
      <c r="J178" s="244">
        <v>0</v>
      </c>
      <c r="K178" s="244">
        <v>0</v>
      </c>
      <c r="L178" s="245">
        <v>0</v>
      </c>
      <c r="M178" s="246">
        <f t="shared" si="57"/>
        <v>0</v>
      </c>
      <c r="N178" s="231">
        <v>5000000</v>
      </c>
      <c r="O178" s="231">
        <v>0</v>
      </c>
      <c r="P178" s="232">
        <f t="shared" si="65"/>
        <v>5000000</v>
      </c>
      <c r="Q178" s="233">
        <v>0</v>
      </c>
      <c r="R178" s="247">
        <v>0</v>
      </c>
      <c r="S178" s="337">
        <v>0</v>
      </c>
      <c r="T178" s="248">
        <v>0</v>
      </c>
      <c r="U178" s="413">
        <f t="shared" si="64"/>
        <v>14351057</v>
      </c>
      <c r="V178" s="249" t="s">
        <v>672</v>
      </c>
      <c r="W178" s="238"/>
    </row>
    <row r="179" spans="1:27" ht="108" customHeight="1" x14ac:dyDescent="0.2">
      <c r="A179" s="240">
        <v>9</v>
      </c>
      <c r="B179" s="274" t="s">
        <v>77</v>
      </c>
      <c r="C179" s="275" t="s">
        <v>468</v>
      </c>
      <c r="D179" s="276" t="s">
        <v>147</v>
      </c>
      <c r="E179" s="276" t="s">
        <v>469</v>
      </c>
      <c r="F179" s="310">
        <v>1</v>
      </c>
      <c r="G179" s="310" t="s">
        <v>162</v>
      </c>
      <c r="H179" s="311" t="s">
        <v>7</v>
      </c>
      <c r="I179" s="247">
        <v>11141657</v>
      </c>
      <c r="J179" s="244">
        <v>0</v>
      </c>
      <c r="K179" s="244">
        <v>741934</v>
      </c>
      <c r="L179" s="440">
        <v>0</v>
      </c>
      <c r="M179" s="246">
        <f t="shared" si="57"/>
        <v>741934</v>
      </c>
      <c r="N179" s="247">
        <f>ROUNDDOWN((1452761.75),0)</f>
        <v>1452761</v>
      </c>
      <c r="O179" s="231">
        <v>0</v>
      </c>
      <c r="P179" s="232">
        <f t="shared" si="65"/>
        <v>1452761</v>
      </c>
      <c r="Q179" s="233">
        <v>203165</v>
      </c>
      <c r="R179" s="247">
        <v>228971</v>
      </c>
      <c r="S179" s="337">
        <f>K179+369474+265329+1175805</f>
        <v>2552542</v>
      </c>
      <c r="T179" s="248">
        <f>N179+875582+392177+476439+88740+91834</f>
        <v>3377533</v>
      </c>
      <c r="U179" s="413">
        <f t="shared" si="64"/>
        <v>14877037</v>
      </c>
      <c r="V179" s="249" t="s">
        <v>681</v>
      </c>
      <c r="W179" s="238"/>
      <c r="X179" s="239"/>
      <c r="Y179" s="441"/>
      <c r="Z179" s="177"/>
      <c r="AA179" s="177"/>
    </row>
    <row r="180" spans="1:27" ht="110.25" customHeight="1" x14ac:dyDescent="0.2">
      <c r="A180" s="240">
        <v>9</v>
      </c>
      <c r="B180" s="274" t="s">
        <v>77</v>
      </c>
      <c r="C180" s="275" t="s">
        <v>468</v>
      </c>
      <c r="D180" s="276" t="s">
        <v>147</v>
      </c>
      <c r="E180" s="276" t="s">
        <v>469</v>
      </c>
      <c r="F180" s="310">
        <v>2</v>
      </c>
      <c r="G180" s="310" t="s">
        <v>162</v>
      </c>
      <c r="H180" s="311" t="s">
        <v>7</v>
      </c>
      <c r="I180" s="247">
        <v>26634024</v>
      </c>
      <c r="J180" s="244">
        <v>0</v>
      </c>
      <c r="K180" s="244">
        <v>1773583</v>
      </c>
      <c r="L180" s="440">
        <v>0</v>
      </c>
      <c r="M180" s="246">
        <f t="shared" si="57"/>
        <v>1773583</v>
      </c>
      <c r="N180" s="247">
        <f>ROUNDDOWN((362643.68),0)</f>
        <v>362643</v>
      </c>
      <c r="O180" s="231">
        <v>0</v>
      </c>
      <c r="P180" s="232">
        <f t="shared" si="65"/>
        <v>362643</v>
      </c>
      <c r="Q180" s="233">
        <v>425368</v>
      </c>
      <c r="R180" s="247">
        <v>940137</v>
      </c>
      <c r="S180" s="337">
        <f>K180+904575+649600+2878695</f>
        <v>6206453</v>
      </c>
      <c r="T180" s="248">
        <f>N180+960159+2143666+1166454+217260+224834</f>
        <v>5075016</v>
      </c>
      <c r="U180" s="413">
        <f t="shared" si="64"/>
        <v>35779267</v>
      </c>
      <c r="V180" s="249" t="s">
        <v>682</v>
      </c>
      <c r="W180" s="238"/>
      <c r="X180" s="239"/>
      <c r="Y180" s="441"/>
    </row>
    <row r="181" spans="1:27" ht="67.5" customHeight="1" x14ac:dyDescent="0.2">
      <c r="A181" s="240">
        <v>9</v>
      </c>
      <c r="B181" s="274" t="s">
        <v>77</v>
      </c>
      <c r="C181" s="275" t="s">
        <v>468</v>
      </c>
      <c r="D181" s="276" t="s">
        <v>148</v>
      </c>
      <c r="E181" s="276" t="s">
        <v>470</v>
      </c>
      <c r="F181" s="310" t="s">
        <v>89</v>
      </c>
      <c r="G181" s="310" t="s">
        <v>162</v>
      </c>
      <c r="H181" s="311" t="s">
        <v>7</v>
      </c>
      <c r="I181" s="247">
        <v>3465513</v>
      </c>
      <c r="J181" s="244">
        <v>0</v>
      </c>
      <c r="K181" s="244">
        <v>0</v>
      </c>
      <c r="L181" s="245">
        <v>0</v>
      </c>
      <c r="M181" s="246">
        <f t="shared" si="57"/>
        <v>0</v>
      </c>
      <c r="N181" s="231">
        <v>1352336</v>
      </c>
      <c r="O181" s="231">
        <v>0</v>
      </c>
      <c r="P181" s="232">
        <f t="shared" si="65"/>
        <v>1352336</v>
      </c>
      <c r="Q181" s="233">
        <v>0</v>
      </c>
      <c r="R181" s="247">
        <v>0</v>
      </c>
      <c r="S181" s="337">
        <v>0</v>
      </c>
      <c r="T181" s="248">
        <v>0</v>
      </c>
      <c r="U181" s="413">
        <f t="shared" si="64"/>
        <v>2113177</v>
      </c>
      <c r="V181" s="439" t="s">
        <v>579</v>
      </c>
      <c r="W181" s="238"/>
      <c r="X181" s="239"/>
      <c r="Y181" s="239"/>
    </row>
    <row r="182" spans="1:27" ht="55.5" customHeight="1" x14ac:dyDescent="0.2">
      <c r="A182" s="240">
        <v>9</v>
      </c>
      <c r="B182" s="274" t="s">
        <v>78</v>
      </c>
      <c r="C182" s="275" t="s">
        <v>471</v>
      </c>
      <c r="D182" s="275" t="s">
        <v>89</v>
      </c>
      <c r="E182" s="275" t="s">
        <v>89</v>
      </c>
      <c r="F182" s="275" t="s">
        <v>149</v>
      </c>
      <c r="G182" s="310" t="s">
        <v>164</v>
      </c>
      <c r="H182" s="311" t="s">
        <v>7</v>
      </c>
      <c r="I182" s="247">
        <v>70542521</v>
      </c>
      <c r="J182" s="244">
        <v>0</v>
      </c>
      <c r="K182" s="244">
        <v>0</v>
      </c>
      <c r="L182" s="245">
        <v>0</v>
      </c>
      <c r="M182" s="246">
        <f t="shared" si="57"/>
        <v>0</v>
      </c>
      <c r="N182" s="231">
        <f>ROUNDDOWN((16744.4200000017),0)</f>
        <v>16744</v>
      </c>
      <c r="O182" s="231">
        <f>ROUNDDOWN((16744.4200000017),0)</f>
        <v>16744</v>
      </c>
      <c r="P182" s="232">
        <f t="shared" si="65"/>
        <v>0</v>
      </c>
      <c r="Q182" s="233">
        <v>0</v>
      </c>
      <c r="R182" s="247">
        <v>0</v>
      </c>
      <c r="S182" s="337">
        <v>0</v>
      </c>
      <c r="T182" s="248">
        <v>0</v>
      </c>
      <c r="U182" s="413">
        <f t="shared" si="64"/>
        <v>70525777</v>
      </c>
      <c r="V182" s="249" t="s">
        <v>629</v>
      </c>
      <c r="W182" s="238"/>
      <c r="X182" s="239"/>
      <c r="Y182" s="239"/>
    </row>
    <row r="183" spans="1:27" ht="69.75" customHeight="1" x14ac:dyDescent="0.2">
      <c r="A183" s="240">
        <v>9</v>
      </c>
      <c r="B183" s="274" t="s">
        <v>78</v>
      </c>
      <c r="C183" s="275" t="s">
        <v>471</v>
      </c>
      <c r="D183" s="275" t="s">
        <v>89</v>
      </c>
      <c r="E183" s="275" t="s">
        <v>89</v>
      </c>
      <c r="F183" s="275" t="s">
        <v>150</v>
      </c>
      <c r="G183" s="310" t="s">
        <v>164</v>
      </c>
      <c r="H183" s="311" t="s">
        <v>7</v>
      </c>
      <c r="I183" s="247">
        <v>64334618</v>
      </c>
      <c r="J183" s="244">
        <v>0</v>
      </c>
      <c r="K183" s="244">
        <v>0</v>
      </c>
      <c r="L183" s="245">
        <v>0</v>
      </c>
      <c r="M183" s="246">
        <f t="shared" si="57"/>
        <v>0</v>
      </c>
      <c r="N183" s="231">
        <v>0</v>
      </c>
      <c r="O183" s="231">
        <v>0</v>
      </c>
      <c r="P183" s="232">
        <f t="shared" si="65"/>
        <v>0</v>
      </c>
      <c r="Q183" s="233">
        <v>0</v>
      </c>
      <c r="R183" s="247">
        <v>0</v>
      </c>
      <c r="S183" s="337">
        <v>0</v>
      </c>
      <c r="T183" s="248">
        <f>5000000+8116686+16100000+16744+166570</f>
        <v>29400000</v>
      </c>
      <c r="U183" s="413">
        <f t="shared" si="64"/>
        <v>93734618</v>
      </c>
      <c r="V183" s="249" t="s">
        <v>671</v>
      </c>
      <c r="W183" s="238"/>
      <c r="X183" s="239"/>
      <c r="Y183" s="441"/>
    </row>
    <row r="184" spans="1:27" ht="69.75" customHeight="1" thickBot="1" x14ac:dyDescent="0.25">
      <c r="A184" s="240">
        <v>9</v>
      </c>
      <c r="B184" s="274" t="s">
        <v>78</v>
      </c>
      <c r="C184" s="275" t="s">
        <v>471</v>
      </c>
      <c r="D184" s="275" t="s">
        <v>89</v>
      </c>
      <c r="E184" s="275" t="s">
        <v>89</v>
      </c>
      <c r="F184" s="275" t="s">
        <v>151</v>
      </c>
      <c r="G184" s="310" t="s">
        <v>164</v>
      </c>
      <c r="H184" s="311" t="s">
        <v>7</v>
      </c>
      <c r="I184" s="247">
        <v>13454193</v>
      </c>
      <c r="J184" s="244">
        <v>0</v>
      </c>
      <c r="K184" s="244">
        <v>9279588</v>
      </c>
      <c r="L184" s="442">
        <v>9279588</v>
      </c>
      <c r="M184" s="246">
        <f t="shared" si="57"/>
        <v>0</v>
      </c>
      <c r="N184" s="231">
        <f>ROUNDDOWN((166570.69),0)</f>
        <v>166570</v>
      </c>
      <c r="O184" s="231">
        <f>ROUNDDOWN((166570.69),0)</f>
        <v>166570</v>
      </c>
      <c r="P184" s="232">
        <f t="shared" si="65"/>
        <v>0</v>
      </c>
      <c r="Q184" s="233">
        <v>0</v>
      </c>
      <c r="R184" s="247">
        <v>0</v>
      </c>
      <c r="S184" s="337">
        <f>K184</f>
        <v>9279588</v>
      </c>
      <c r="T184" s="248">
        <v>0</v>
      </c>
      <c r="U184" s="413">
        <f t="shared" si="64"/>
        <v>13287623</v>
      </c>
      <c r="V184" s="434" t="s">
        <v>656</v>
      </c>
      <c r="W184" s="238"/>
      <c r="X184" s="239"/>
      <c r="Y184" s="239"/>
    </row>
    <row r="185" spans="1:27" ht="55.5" customHeight="1" thickBot="1" x14ac:dyDescent="0.25">
      <c r="A185" s="315">
        <v>9</v>
      </c>
      <c r="B185" s="316" t="s">
        <v>78</v>
      </c>
      <c r="C185" s="317" t="s">
        <v>471</v>
      </c>
      <c r="D185" s="317" t="s">
        <v>89</v>
      </c>
      <c r="E185" s="317" t="s">
        <v>89</v>
      </c>
      <c r="F185" s="317" t="s">
        <v>152</v>
      </c>
      <c r="G185" s="338" t="s">
        <v>164</v>
      </c>
      <c r="H185" s="339" t="s">
        <v>7</v>
      </c>
      <c r="I185" s="287">
        <v>3804921</v>
      </c>
      <c r="J185" s="244">
        <v>0</v>
      </c>
      <c r="K185" s="319">
        <v>0</v>
      </c>
      <c r="L185" s="320">
        <v>0</v>
      </c>
      <c r="M185" s="246">
        <f t="shared" si="57"/>
        <v>0</v>
      </c>
      <c r="N185" s="342">
        <f>ROUNDDOWN((2494759.34),0)</f>
        <v>2494759</v>
      </c>
      <c r="O185" s="342">
        <v>0</v>
      </c>
      <c r="P185" s="232">
        <f t="shared" si="65"/>
        <v>2494759</v>
      </c>
      <c r="Q185" s="344">
        <v>0</v>
      </c>
      <c r="R185" s="443">
        <v>0</v>
      </c>
      <c r="S185" s="345">
        <v>0</v>
      </c>
      <c r="T185" s="290">
        <f>N185</f>
        <v>2494759</v>
      </c>
      <c r="U185" s="413">
        <f t="shared" si="64"/>
        <v>3804921</v>
      </c>
      <c r="V185" s="434" t="s">
        <v>585</v>
      </c>
      <c r="W185" s="238"/>
      <c r="X185" s="239"/>
      <c r="Y185" s="239"/>
    </row>
    <row r="186" spans="1:27" s="358" customFormat="1" ht="15.75" customHeight="1" x14ac:dyDescent="0.2">
      <c r="A186" s="346" t="s">
        <v>240</v>
      </c>
      <c r="B186" s="347"/>
      <c r="C186" s="348"/>
      <c r="D186" s="348"/>
      <c r="E186" s="348"/>
      <c r="F186" s="348"/>
      <c r="G186" s="350"/>
      <c r="H186" s="401" t="s">
        <v>7</v>
      </c>
      <c r="I186" s="352">
        <f>SUM(I179:I185)</f>
        <v>193377447</v>
      </c>
      <c r="J186" s="352">
        <f>SUM(J179:J185)</f>
        <v>0</v>
      </c>
      <c r="K186" s="353">
        <f>SUM(K179:K185)</f>
        <v>11795105</v>
      </c>
      <c r="L186" s="409">
        <f>SUM(L179:L185)</f>
        <v>9279588</v>
      </c>
      <c r="M186" s="246">
        <f t="shared" si="57"/>
        <v>2515517</v>
      </c>
      <c r="N186" s="354">
        <f t="shared" ref="N186" si="66">SUM(N179:N185)</f>
        <v>5845813</v>
      </c>
      <c r="O186" s="354">
        <f t="shared" ref="O186:R186" si="67">SUM(O179:O185)</f>
        <v>183314</v>
      </c>
      <c r="P186" s="354">
        <f t="shared" ref="P186" si="68">SUM(P179:P185)</f>
        <v>5662499</v>
      </c>
      <c r="Q186" s="352">
        <f t="shared" si="67"/>
        <v>628533</v>
      </c>
      <c r="R186" s="444">
        <f t="shared" si="67"/>
        <v>1169108</v>
      </c>
      <c r="S186" s="356">
        <f>SUM(S179:S185)</f>
        <v>18038583</v>
      </c>
      <c r="T186" s="352">
        <f>SUM(T179:T185)</f>
        <v>40347308</v>
      </c>
      <c r="U186" s="352">
        <f>SUM(U179:U185)</f>
        <v>234122420</v>
      </c>
      <c r="V186" s="445"/>
      <c r="W186" s="331"/>
      <c r="X186" s="239"/>
      <c r="Y186" s="446">
        <f>U186-K123-N124-N178</f>
        <v>224829123</v>
      </c>
    </row>
    <row r="187" spans="1:27" s="358" customFormat="1" ht="18.75" customHeight="1" thickBot="1" x14ac:dyDescent="0.25">
      <c r="A187" s="359" t="s">
        <v>240</v>
      </c>
      <c r="B187" s="360"/>
      <c r="C187" s="361"/>
      <c r="D187" s="361"/>
      <c r="E187" s="361"/>
      <c r="F187" s="361"/>
      <c r="G187" s="363"/>
      <c r="H187" s="364" t="s">
        <v>157</v>
      </c>
      <c r="I187" s="365">
        <f>SUM(I159:I178)</f>
        <v>225160750</v>
      </c>
      <c r="J187" s="365">
        <f>SUM(J159:J178)</f>
        <v>0</v>
      </c>
      <c r="K187" s="366">
        <f>SUM(K159:K178)</f>
        <v>14001679.000000004</v>
      </c>
      <c r="L187" s="368">
        <f>SUM(L159:L178)</f>
        <v>0</v>
      </c>
      <c r="M187" s="246">
        <f t="shared" si="57"/>
        <v>14001679.000000004</v>
      </c>
      <c r="N187" s="367">
        <f t="shared" ref="N187" si="69">SUM(N159:N178)</f>
        <v>30260856</v>
      </c>
      <c r="O187" s="367">
        <f t="shared" ref="O187:R187" si="70">SUM(O159:O178)</f>
        <v>14997602</v>
      </c>
      <c r="P187" s="367">
        <f t="shared" ref="P187" si="71">SUM(P159:P178)</f>
        <v>15263254</v>
      </c>
      <c r="Q187" s="367">
        <f t="shared" si="70"/>
        <v>0</v>
      </c>
      <c r="R187" s="367">
        <f t="shared" si="70"/>
        <v>0</v>
      </c>
      <c r="S187" s="369">
        <f>SUM(S159:S178)</f>
        <v>14001679</v>
      </c>
      <c r="T187" s="365">
        <f>SUM(T159:T178)</f>
        <v>17144170</v>
      </c>
      <c r="U187" s="365">
        <f>SUM(U159:U178)</f>
        <v>212044064</v>
      </c>
      <c r="V187" s="447"/>
      <c r="W187" s="331"/>
    </row>
    <row r="188" spans="1:27" ht="10.5" customHeight="1" x14ac:dyDescent="0.2">
      <c r="A188" s="448"/>
      <c r="B188" s="449"/>
      <c r="C188" s="450"/>
      <c r="D188" s="450"/>
      <c r="E188" s="450"/>
      <c r="F188" s="451"/>
      <c r="G188" s="451"/>
      <c r="H188" s="451"/>
      <c r="I188" s="452"/>
      <c r="J188" s="452"/>
      <c r="K188" s="453"/>
      <c r="L188" s="454"/>
      <c r="M188" s="454"/>
      <c r="N188" s="455"/>
      <c r="O188" s="455"/>
      <c r="P188" s="455"/>
      <c r="Q188" s="453"/>
      <c r="R188" s="453"/>
    </row>
    <row r="189" spans="1:27" ht="16.5" customHeight="1" x14ac:dyDescent="0.2">
      <c r="A189" s="472" t="s">
        <v>166</v>
      </c>
      <c r="B189" s="472"/>
      <c r="C189" s="472"/>
      <c r="D189" s="472"/>
      <c r="E189" s="472"/>
      <c r="F189" s="472"/>
      <c r="G189" s="472"/>
      <c r="H189" s="472"/>
      <c r="I189" s="472"/>
      <c r="J189" s="472"/>
      <c r="K189" s="472"/>
      <c r="L189" s="472"/>
      <c r="M189" s="472"/>
      <c r="N189" s="472"/>
      <c r="O189" s="472"/>
      <c r="P189" s="472"/>
      <c r="Q189" s="472"/>
      <c r="R189" s="472"/>
      <c r="S189" s="472"/>
      <c r="T189" s="472"/>
      <c r="U189" s="472"/>
      <c r="V189" s="472"/>
      <c r="W189" s="456"/>
    </row>
    <row r="190" spans="1:27" ht="27.75" customHeight="1" x14ac:dyDescent="0.2">
      <c r="A190" s="467" t="s">
        <v>713</v>
      </c>
      <c r="B190" s="467"/>
      <c r="C190" s="467"/>
      <c r="D190" s="467"/>
      <c r="E190" s="467"/>
      <c r="F190" s="467"/>
      <c r="G190" s="467"/>
      <c r="H190" s="467"/>
      <c r="I190" s="467"/>
      <c r="J190" s="467"/>
      <c r="K190" s="467"/>
      <c r="L190" s="467"/>
      <c r="M190" s="467"/>
      <c r="N190" s="467"/>
      <c r="O190" s="467"/>
      <c r="P190" s="467"/>
      <c r="Q190" s="467"/>
      <c r="R190" s="467"/>
      <c r="S190" s="467"/>
      <c r="T190" s="467"/>
      <c r="U190" s="467"/>
      <c r="V190" s="467"/>
      <c r="W190" s="457"/>
    </row>
    <row r="191" spans="1:27" ht="44.25" customHeight="1" x14ac:dyDescent="0.2">
      <c r="A191" s="467" t="s">
        <v>696</v>
      </c>
      <c r="B191" s="467"/>
      <c r="C191" s="467"/>
      <c r="D191" s="467"/>
      <c r="E191" s="467"/>
      <c r="F191" s="467"/>
      <c r="G191" s="467"/>
      <c r="H191" s="467"/>
      <c r="I191" s="467"/>
      <c r="J191" s="467"/>
      <c r="K191" s="467"/>
      <c r="L191" s="467"/>
      <c r="M191" s="467"/>
      <c r="N191" s="467"/>
      <c r="O191" s="467"/>
      <c r="P191" s="467"/>
      <c r="Q191" s="467"/>
      <c r="R191" s="467"/>
      <c r="S191" s="467"/>
      <c r="T191" s="467"/>
      <c r="U191" s="467"/>
      <c r="V191" s="467"/>
      <c r="W191" s="457"/>
    </row>
    <row r="192" spans="1:27" ht="8.25" customHeight="1" x14ac:dyDescent="0.2">
      <c r="A192" s="456"/>
      <c r="B192" s="457"/>
      <c r="C192" s="457"/>
      <c r="D192" s="457"/>
      <c r="E192" s="457"/>
      <c r="F192" s="457"/>
      <c r="G192" s="457"/>
      <c r="H192" s="457"/>
      <c r="I192" s="457"/>
      <c r="J192" s="457"/>
      <c r="K192" s="457"/>
      <c r="L192" s="457"/>
      <c r="M192" s="457"/>
      <c r="N192" s="457"/>
      <c r="O192" s="457"/>
      <c r="P192" s="457"/>
      <c r="Q192" s="457"/>
      <c r="R192" s="457"/>
      <c r="S192" s="457"/>
      <c r="T192" s="457"/>
      <c r="U192" s="457"/>
      <c r="V192" s="457"/>
      <c r="W192" s="457"/>
    </row>
    <row r="193" spans="1:23" ht="23.25" customHeight="1" x14ac:dyDescent="0.2">
      <c r="A193" s="456"/>
      <c r="B193" s="457"/>
      <c r="C193" s="463" t="s">
        <v>698</v>
      </c>
      <c r="D193" s="464"/>
      <c r="E193" s="464"/>
      <c r="F193" s="464"/>
      <c r="G193" s="464"/>
      <c r="H193" s="464"/>
      <c r="I193" s="464"/>
      <c r="J193" s="464"/>
      <c r="K193" s="464"/>
      <c r="L193" s="464"/>
      <c r="M193" s="464"/>
      <c r="N193" s="464"/>
      <c r="O193" s="464"/>
      <c r="P193" s="464"/>
      <c r="Q193" s="464"/>
      <c r="R193" s="464"/>
      <c r="S193" s="464"/>
      <c r="T193" s="464"/>
      <c r="U193" s="464"/>
      <c r="V193" s="465" t="s">
        <v>699</v>
      </c>
      <c r="W193" s="457"/>
    </row>
    <row r="194" spans="1:23" ht="11.25" customHeight="1" x14ac:dyDescent="0.2">
      <c r="A194" s="456"/>
      <c r="B194" s="457"/>
      <c r="C194" s="458"/>
      <c r="D194" s="457"/>
      <c r="E194" s="457"/>
      <c r="F194" s="457"/>
      <c r="G194" s="457"/>
      <c r="H194" s="457"/>
      <c r="I194" s="457"/>
      <c r="J194" s="457"/>
      <c r="K194" s="457"/>
      <c r="L194" s="457"/>
      <c r="M194" s="457"/>
      <c r="N194" s="457"/>
      <c r="O194" s="457"/>
      <c r="P194" s="457"/>
      <c r="Q194" s="457"/>
      <c r="R194" s="457"/>
      <c r="S194" s="457"/>
      <c r="T194" s="457"/>
      <c r="U194" s="457"/>
      <c r="V194" s="461"/>
      <c r="W194" s="457"/>
    </row>
    <row r="195" spans="1:23" ht="15.75" customHeight="1" x14ac:dyDescent="0.2">
      <c r="A195" s="456"/>
      <c r="B195" s="457"/>
      <c r="C195" s="458" t="s">
        <v>700</v>
      </c>
      <c r="D195" s="457"/>
      <c r="E195" s="457"/>
      <c r="F195" s="457"/>
      <c r="G195" s="457"/>
      <c r="H195" s="457"/>
      <c r="I195" s="457"/>
      <c r="J195" s="457"/>
      <c r="K195" s="457"/>
      <c r="L195" s="457"/>
      <c r="M195" s="457"/>
      <c r="N195" s="457"/>
      <c r="O195" s="457"/>
      <c r="P195" s="457"/>
      <c r="Q195" s="457"/>
      <c r="R195" s="457"/>
      <c r="S195" s="457"/>
      <c r="T195" s="457"/>
      <c r="U195" s="457"/>
      <c r="V195" s="461"/>
      <c r="W195" s="457"/>
    </row>
    <row r="196" spans="1:23" ht="21" customHeight="1" x14ac:dyDescent="0.2">
      <c r="A196" s="456"/>
      <c r="B196" s="457"/>
      <c r="C196" s="462" t="s">
        <v>714</v>
      </c>
      <c r="D196" s="457"/>
      <c r="E196" s="457"/>
      <c r="F196" s="457"/>
      <c r="G196" s="457"/>
      <c r="H196" s="457"/>
      <c r="I196" s="457"/>
      <c r="J196" s="457"/>
      <c r="K196" s="457"/>
      <c r="L196" s="457"/>
      <c r="M196" s="457"/>
      <c r="N196" s="457"/>
      <c r="O196" s="457"/>
      <c r="P196" s="457"/>
      <c r="Q196" s="457"/>
      <c r="R196" s="457"/>
      <c r="S196" s="457"/>
      <c r="T196" s="457"/>
      <c r="U196" s="457"/>
      <c r="V196" s="457"/>
      <c r="W196" s="457"/>
    </row>
    <row r="197" spans="1:23" x14ac:dyDescent="0.2">
      <c r="C197" s="460"/>
      <c r="K197" s="176"/>
      <c r="L197" s="176"/>
      <c r="M197" s="176"/>
      <c r="N197" s="176"/>
      <c r="O197" s="176"/>
      <c r="P197" s="176"/>
      <c r="Q197" s="459"/>
      <c r="R197" s="459"/>
    </row>
    <row r="198" spans="1:23" x14ac:dyDescent="0.2">
      <c r="Q198" s="459"/>
      <c r="R198" s="459"/>
    </row>
    <row r="199" spans="1:23" x14ac:dyDescent="0.2">
      <c r="Q199" s="459"/>
      <c r="R199" s="459"/>
    </row>
    <row r="200" spans="1:23" x14ac:dyDescent="0.2">
      <c r="Q200" s="459"/>
      <c r="R200" s="459"/>
    </row>
    <row r="201" spans="1:23" x14ac:dyDescent="0.2">
      <c r="Q201" s="459"/>
      <c r="R201" s="459"/>
    </row>
    <row r="202" spans="1:23" x14ac:dyDescent="0.2">
      <c r="K202" s="176"/>
      <c r="L202" s="176"/>
      <c r="M202" s="176"/>
      <c r="N202" s="176"/>
      <c r="O202" s="176"/>
      <c r="P202" s="176"/>
    </row>
    <row r="205" spans="1:23" x14ac:dyDescent="0.2">
      <c r="K205" s="176"/>
      <c r="L205" s="176"/>
      <c r="M205" s="176"/>
      <c r="N205" s="176"/>
      <c r="O205" s="176"/>
      <c r="P205" s="176"/>
    </row>
    <row r="206" spans="1:23" x14ac:dyDescent="0.2">
      <c r="K206" s="176"/>
      <c r="L206" s="176"/>
      <c r="M206" s="176"/>
      <c r="N206" s="176"/>
      <c r="O206" s="176"/>
      <c r="P206" s="176"/>
    </row>
    <row r="208" spans="1:23" x14ac:dyDescent="0.2">
      <c r="K208" s="176"/>
      <c r="L208" s="176"/>
      <c r="M208" s="176"/>
      <c r="N208" s="176"/>
      <c r="O208" s="176"/>
      <c r="P208" s="176"/>
    </row>
    <row r="211" spans="11:16" x14ac:dyDescent="0.2">
      <c r="K211" s="176"/>
      <c r="L211" s="176"/>
      <c r="M211" s="176"/>
      <c r="N211" s="176"/>
      <c r="O211" s="176"/>
      <c r="P211" s="176"/>
    </row>
    <row r="212" spans="11:16" x14ac:dyDescent="0.2">
      <c r="K212" s="176"/>
      <c r="L212" s="176"/>
      <c r="M212" s="176"/>
      <c r="N212" s="176"/>
      <c r="O212" s="176"/>
      <c r="P212" s="176"/>
    </row>
    <row r="218" spans="11:16" x14ac:dyDescent="0.2">
      <c r="K218" s="176"/>
      <c r="L218" s="176"/>
      <c r="M218" s="176"/>
      <c r="N218" s="176"/>
      <c r="O218" s="176"/>
      <c r="P218" s="176"/>
    </row>
  </sheetData>
  <autoFilter ref="A6:V196"/>
  <dataConsolidate/>
  <mergeCells count="6">
    <mergeCell ref="Q1:V1"/>
    <mergeCell ref="A191:V191"/>
    <mergeCell ref="C2:V2"/>
    <mergeCell ref="S3:V3"/>
    <mergeCell ref="A189:V189"/>
    <mergeCell ref="A190:V190"/>
  </mergeCells>
  <dataValidations disablePrompts="1" count="1">
    <dataValidation type="list" allowBlank="1" showInputMessage="1" showErrorMessage="1" sqref="W7:W185">
      <formula1>#REF!</formula1>
    </dataValidation>
  </dataValidations>
  <hyperlinks>
    <hyperlink ref="C196" r:id="rId1"/>
  </hyperlinks>
  <pageMargins left="0.23622047244094491" right="0.23622047244094491" top="0.47244094488188981" bottom="0.47244094488188981" header="0.31496062992125984" footer="0.31496062992125984"/>
  <pageSetup paperSize="8" scale="47" fitToHeight="0" orientation="landscape" r:id="rId2"/>
  <headerFooter>
    <oddFooter>&amp;L&amp;"Times New Roman,Regular"FMzinp1_02102019_snieguma_rezerve</oddFooter>
  </headerFooter>
  <rowBreaks count="1" manualBreakCount="1">
    <brk id="163" max="21"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04"/>
  <sheetViews>
    <sheetView topLeftCell="A4" zoomScale="85" zoomScaleNormal="85" workbookViewId="0">
      <selection activeCell="E12" sqref="E12"/>
    </sheetView>
  </sheetViews>
  <sheetFormatPr defaultRowHeight="15" x14ac:dyDescent="0.25"/>
  <cols>
    <col min="2" max="2" width="9.7109375" customWidth="1"/>
    <col min="3" max="3" width="21.140625" customWidth="1"/>
    <col min="4" max="4" width="11.140625" customWidth="1"/>
    <col min="5" max="5" width="16.28515625" bestFit="1" customWidth="1"/>
    <col min="6" max="6" width="16.28515625" customWidth="1"/>
    <col min="7" max="7" width="17.28515625" customWidth="1"/>
    <col min="8" max="9" width="17.42578125" customWidth="1"/>
    <col min="10" max="12" width="15.5703125" customWidth="1"/>
    <col min="13" max="13" width="16.140625" customWidth="1"/>
    <col min="14" max="14" width="17.5703125" customWidth="1"/>
    <col min="15" max="15" width="18.7109375" customWidth="1"/>
    <col min="16" max="16" width="17.85546875" customWidth="1"/>
    <col min="17" max="17" width="16.85546875" customWidth="1"/>
    <col min="18" max="18" width="24.85546875" customWidth="1"/>
    <col min="19" max="22" width="15.85546875" customWidth="1"/>
  </cols>
  <sheetData>
    <row r="1" spans="2:22" ht="60" x14ac:dyDescent="0.25">
      <c r="B1" s="136" t="s">
        <v>510</v>
      </c>
      <c r="C1" s="139" t="s">
        <v>572</v>
      </c>
      <c r="D1" s="139" t="s">
        <v>573</v>
      </c>
      <c r="E1" s="139" t="s">
        <v>566</v>
      </c>
      <c r="F1" s="136" t="s">
        <v>567</v>
      </c>
      <c r="G1" s="139" t="s">
        <v>574</v>
      </c>
      <c r="H1" s="139" t="s">
        <v>570</v>
      </c>
      <c r="I1" s="139" t="s">
        <v>568</v>
      </c>
      <c r="J1" s="136" t="s">
        <v>541</v>
      </c>
      <c r="K1" s="136" t="s">
        <v>542</v>
      </c>
      <c r="L1" s="139" t="s">
        <v>569</v>
      </c>
      <c r="M1" s="101" t="s">
        <v>543</v>
      </c>
      <c r="N1" s="101" t="s">
        <v>513</v>
      </c>
      <c r="O1" s="101" t="s">
        <v>514</v>
      </c>
      <c r="P1" s="101" t="s">
        <v>512</v>
      </c>
      <c r="Q1" s="139" t="s">
        <v>192</v>
      </c>
      <c r="R1" s="139" t="s">
        <v>565</v>
      </c>
      <c r="S1" s="139" t="s">
        <v>571</v>
      </c>
      <c r="T1" s="139" t="s">
        <v>576</v>
      </c>
      <c r="U1" s="139" t="s">
        <v>577</v>
      </c>
      <c r="V1" s="139" t="s">
        <v>578</v>
      </c>
    </row>
    <row r="2" spans="2:22" x14ac:dyDescent="0.25">
      <c r="B2" s="81" t="s">
        <v>154</v>
      </c>
      <c r="C2" s="16">
        <f>SUMIFS(Rezerve_SAM_SAMP_kārta!K$7:K$187,Rezerve_SAM_SAMP_kārta!$G$7:$G$187,Apkopojums!$B2)</f>
        <v>81374446</v>
      </c>
      <c r="D2" s="16">
        <f>C2-E2</f>
        <v>27877779</v>
      </c>
      <c r="E2" s="16">
        <f>SUMIFS(Rezerve_SAM_SAMP_kārta!M$7:M$187,Rezerve_SAM_SAMP_kārta!$G$7:$G$187,Apkopojums!$B2)</f>
        <v>53496667</v>
      </c>
      <c r="F2" s="16">
        <f>SUMIFS(Rezerve_SAM_SAMP_kārta!N$7:N$187,Rezerve_SAM_SAMP_kārta!$G$7:$G$187,Apkopojums!$B2)</f>
        <v>174892404</v>
      </c>
      <c r="G2" s="16">
        <f>E2+F2</f>
        <v>228389071</v>
      </c>
      <c r="H2" s="16">
        <f>SUMIFS(Rezerve_SAM_SAMP_kārta!O$7:O$187,Rezerve_SAM_SAMP_kārta!$G$7:$G$187,Apkopojums!$B2)</f>
        <v>78367833</v>
      </c>
      <c r="I2" s="16">
        <f>F2-H2</f>
        <v>96524571</v>
      </c>
      <c r="J2" s="16">
        <f>SUMIFS(Rezerve_SAM_SAMP_kārta!Q$7:Q$187,Rezerve_SAM_SAMP_kārta!$G$7:$G$187,Apkopojums!$B2)</f>
        <v>39854755</v>
      </c>
      <c r="K2" s="16">
        <f>SUMIFS(Rezerve_SAM_SAMP_kārta!R$7:R$187,Rezerve_SAM_SAMP_kārta!$G$7:$G$187,Apkopojums!$B2)</f>
        <v>438842</v>
      </c>
      <c r="L2" s="16">
        <f>J2+K2</f>
        <v>40293597</v>
      </c>
      <c r="M2" s="157" t="e">
        <f>SUMIFS(Rezerve_SAM_SAMP_kārta!#REF!,Rezerve_SAM_SAMP_kārta!$G$7:$G$187,Apkopojums!$B2)</f>
        <v>#REF!</v>
      </c>
      <c r="N2" s="157" t="e">
        <f>SUMIFS(Rezerve_SAM_SAMP_kārta!#REF!,Rezerve_SAM_SAMP_kārta!$G$7:$G$187,Apkopojums!$B2)</f>
        <v>#REF!</v>
      </c>
      <c r="O2" s="157" t="e">
        <f>N2-M2</f>
        <v>#REF!</v>
      </c>
      <c r="P2" s="157" t="e">
        <f>SUMIFS(Rezerve_SAM_SAMP_kārta!#REF!,Rezerve_SAM_SAMP_kārta!$G$7:$G$187,Apkopojums!$B2)</f>
        <v>#REF!</v>
      </c>
      <c r="Q2" s="16">
        <f>SUMIFS(Rezerve_SAM_SAMP_kārta!J$7:J$187,Rezerve_SAM_SAMP_kārta!$G$7:$G$187,Apkopojums!$B2)</f>
        <v>0</v>
      </c>
      <c r="R2" s="16">
        <f>SUMIFS(Rezerve_SAM_SAMP_kārta!I$7:I$187,Rezerve_SAM_SAMP_kārta!$G$7:$G$187,Apkopojums!$B2)</f>
        <v>1319355340</v>
      </c>
      <c r="S2" s="16">
        <f>L2+Q2</f>
        <v>40293597</v>
      </c>
      <c r="T2" s="16"/>
      <c r="U2" s="16">
        <f>-1*(T3+T7)</f>
        <v>34352061</v>
      </c>
      <c r="V2" s="16">
        <f>-T3</f>
        <v>18284323</v>
      </c>
    </row>
    <row r="3" spans="2:22" x14ac:dyDescent="0.25">
      <c r="B3" s="81" t="s">
        <v>153</v>
      </c>
      <c r="C3" s="16">
        <f>SUMIFS(Rezerve_SAM_SAMP_kārta!K$7:K$187,Rezerve_SAM_SAMP_kārta!$G$7:$G$187,Apkopojums!$B3)</f>
        <v>47944615</v>
      </c>
      <c r="D3" s="16">
        <f t="shared" ref="D3:D12" si="0">C3-E3</f>
        <v>0</v>
      </c>
      <c r="E3" s="16">
        <f>SUMIFS(Rezerve_SAM_SAMP_kārta!M$7:M$187,Rezerve_SAM_SAMP_kārta!$G$7:$G$187,Apkopojums!$B3)</f>
        <v>47944615</v>
      </c>
      <c r="F3" s="16">
        <f>SUMIFS(Rezerve_SAM_SAMP_kārta!N$7:N$187,Rezerve_SAM_SAMP_kārta!$G$7:$G$187,Apkopojums!$B3)</f>
        <v>66140026</v>
      </c>
      <c r="G3" s="16">
        <f t="shared" ref="G3:G11" si="1">E3+F3</f>
        <v>114084641</v>
      </c>
      <c r="H3" s="16">
        <f>SUMIFS(Rezerve_SAM_SAMP_kārta!O$7:O$187,Rezerve_SAM_SAMP_kārta!$G$7:$G$187,Apkopojums!$B3)</f>
        <v>52172114</v>
      </c>
      <c r="I3" s="16">
        <f t="shared" ref="I3:I11" si="2">F3-H3</f>
        <v>13967912</v>
      </c>
      <c r="J3" s="16">
        <f>SUMIFS(Rezerve_SAM_SAMP_kārta!Q$7:Q$187,Rezerve_SAM_SAMP_kārta!$G$7:$G$187,Apkopojums!$B3)</f>
        <v>0</v>
      </c>
      <c r="K3" s="16">
        <f>SUMIFS(Rezerve_SAM_SAMP_kārta!R$7:R$187,Rezerve_SAM_SAMP_kārta!$G$7:$G$187,Apkopojums!$B3)</f>
        <v>0</v>
      </c>
      <c r="L3" s="16">
        <f t="shared" ref="L3:L11" si="3">J3+K3</f>
        <v>0</v>
      </c>
      <c r="M3" s="157" t="e">
        <f>SUMIFS(Rezerve_SAM_SAMP_kārta!#REF!,Rezerve_SAM_SAMP_kārta!$G$7:$G$187,Apkopojums!$B3)</f>
        <v>#REF!</v>
      </c>
      <c r="N3" s="157" t="e">
        <f>SUMIFS(Rezerve_SAM_SAMP_kārta!#REF!,Rezerve_SAM_SAMP_kārta!$G$7:$G$187,Apkopojums!$B3)</f>
        <v>#REF!</v>
      </c>
      <c r="O3" s="157" t="e">
        <f t="shared" ref="O3:O11" si="4">N3-M3</f>
        <v>#REF!</v>
      </c>
      <c r="P3" s="157" t="e">
        <f>SUMIFS(Rezerve_SAM_SAMP_kārta!#REF!,Rezerve_SAM_SAMP_kārta!$G$7:$G$187,Apkopojums!$B3)</f>
        <v>#REF!</v>
      </c>
      <c r="Q3" s="16">
        <f>SUMIFS(Rezerve_SAM_SAMP_kārta!J$7:J$187,Rezerve_SAM_SAMP_kārta!$G$7:$G$187,Apkopojums!$B3)</f>
        <v>0</v>
      </c>
      <c r="R3" s="16">
        <f>SUMIFS(Rezerve_SAM_SAMP_kārta!I$7:I$187,Rezerve_SAM_SAMP_kārta!$G$7:$G$187,Apkopojums!$B3)</f>
        <v>754817380</v>
      </c>
      <c r="S3" s="16">
        <f t="shared" ref="S3:S11" si="5">L3+Q3</f>
        <v>0</v>
      </c>
      <c r="T3" s="16">
        <f>-Rezerve_SAM_SAMP_kārta!O61-Rezerve_SAM_SAMP_kārta!K61-Rezerve_SAM_SAMP_kārta!K68-Rezerve_SAM_SAMP_kārta!O68-Rezerve_SAM_SAMP_kārta!O67</f>
        <v>-18284323</v>
      </c>
      <c r="U3" s="16"/>
      <c r="V3" s="16"/>
    </row>
    <row r="4" spans="2:22" x14ac:dyDescent="0.25">
      <c r="B4" s="81" t="s">
        <v>155</v>
      </c>
      <c r="C4" s="16">
        <f>SUMIFS(Rezerve_SAM_SAMP_kārta!K$7:K$187,Rezerve_SAM_SAMP_kārta!$G$7:$G$187,Apkopojums!$B4)</f>
        <v>42241476</v>
      </c>
      <c r="D4" s="16">
        <f t="shared" si="0"/>
        <v>0</v>
      </c>
      <c r="E4" s="16">
        <f>SUMIFS(Rezerve_SAM_SAMP_kārta!M$7:M$187,Rezerve_SAM_SAMP_kārta!$G$7:$G$187,Apkopojums!$B4)</f>
        <v>42241476</v>
      </c>
      <c r="F4" s="16">
        <f>SUMIFS(Rezerve_SAM_SAMP_kārta!N$7:N$187,Rezerve_SAM_SAMP_kārta!$G$7:$G$187,Apkopojums!$B4)</f>
        <v>75324328</v>
      </c>
      <c r="G4" s="16">
        <f t="shared" si="1"/>
        <v>117565804</v>
      </c>
      <c r="H4" s="16">
        <f>SUMIFS(Rezerve_SAM_SAMP_kārta!O$7:O$187,Rezerve_SAM_SAMP_kārta!$G$7:$G$187,Apkopojums!$B4)</f>
        <v>16073074</v>
      </c>
      <c r="I4" s="16">
        <f t="shared" si="2"/>
        <v>59251254</v>
      </c>
      <c r="J4" s="16">
        <f>SUMIFS(Rezerve_SAM_SAMP_kārta!Q$7:Q$187,Rezerve_SAM_SAMP_kārta!$G$7:$G$187,Apkopojums!$B4)</f>
        <v>2313247</v>
      </c>
      <c r="K4" s="16">
        <f>SUMIFS(Rezerve_SAM_SAMP_kārta!R$7:R$187,Rezerve_SAM_SAMP_kārta!$G$7:$G$187,Apkopojums!$B4)</f>
        <v>4599302</v>
      </c>
      <c r="L4" s="16">
        <f t="shared" si="3"/>
        <v>6912549</v>
      </c>
      <c r="M4" s="157" t="e">
        <f>SUMIFS(Rezerve_SAM_SAMP_kārta!#REF!,Rezerve_SAM_SAMP_kārta!$G$7:$G$187,Apkopojums!$B4)</f>
        <v>#REF!</v>
      </c>
      <c r="N4" s="157" t="e">
        <f>SUMIFS(Rezerve_SAM_SAMP_kārta!#REF!,Rezerve_SAM_SAMP_kārta!$G$7:$G$187,Apkopojums!$B4)</f>
        <v>#REF!</v>
      </c>
      <c r="O4" s="157" t="e">
        <f t="shared" si="4"/>
        <v>#REF!</v>
      </c>
      <c r="P4" s="157" t="e">
        <f>SUMIFS(Rezerve_SAM_SAMP_kārta!#REF!,Rezerve_SAM_SAMP_kārta!$G$7:$G$187,Apkopojums!$B4)</f>
        <v>#REF!</v>
      </c>
      <c r="Q4" s="16">
        <f>SUMIFS(Rezerve_SAM_SAMP_kārta!J$7:J$187,Rezerve_SAM_SAMP_kārta!$G$7:$G$187,Apkopojums!$B4)</f>
        <v>34074374</v>
      </c>
      <c r="R4" s="16">
        <f>SUMIFS(Rezerve_SAM_SAMP_kārta!I$7:I$187,Rezerve_SAM_SAMP_kārta!$G$7:$G$187,Apkopojums!$B4)</f>
        <v>689820689</v>
      </c>
      <c r="S4" s="16">
        <f t="shared" si="5"/>
        <v>40986923</v>
      </c>
      <c r="T4" s="16"/>
      <c r="U4" s="16"/>
      <c r="V4" s="16"/>
    </row>
    <row r="5" spans="2:22" x14ac:dyDescent="0.25">
      <c r="B5" s="81" t="s">
        <v>162</v>
      </c>
      <c r="C5" s="16">
        <f>SUMIFS(Rezerve_SAM_SAMP_kārta!K$7:K$187,Rezerve_SAM_SAMP_kārta!$G$7:$G$187,Apkopojums!$B5)</f>
        <v>18092905.000000004</v>
      </c>
      <c r="D5" s="16">
        <f t="shared" si="0"/>
        <v>0</v>
      </c>
      <c r="E5" s="16">
        <f>SUMIFS(Rezerve_SAM_SAMP_kārta!M$7:M$187,Rezerve_SAM_SAMP_kārta!$G$7:$G$187,Apkopojums!$B5)</f>
        <v>18092905.000000004</v>
      </c>
      <c r="F5" s="16">
        <f>SUMIFS(Rezerve_SAM_SAMP_kārta!N$7:N$187,Rezerve_SAM_SAMP_kārta!$G$7:$G$187,Apkopojums!$B5)</f>
        <v>20100872</v>
      </c>
      <c r="G5" s="16">
        <f t="shared" si="1"/>
        <v>38193777</v>
      </c>
      <c r="H5" s="16">
        <f>SUMIFS(Rezerve_SAM_SAMP_kārta!O$7:O$187,Rezerve_SAM_SAMP_kārta!$G$7:$G$187,Apkopojums!$B5)</f>
        <v>2984587</v>
      </c>
      <c r="I5" s="16">
        <f t="shared" si="2"/>
        <v>17116285</v>
      </c>
      <c r="J5" s="16">
        <f>SUMIFS(Rezerve_SAM_SAMP_kārta!Q$7:Q$187,Rezerve_SAM_SAMP_kārta!$G$7:$G$187,Apkopojums!$B5)</f>
        <v>628533</v>
      </c>
      <c r="K5" s="16">
        <f>SUMIFS(Rezerve_SAM_SAMP_kārta!R$7:R$187,Rezerve_SAM_SAMP_kārta!$G$7:$G$187,Apkopojums!$B5)</f>
        <v>1169108</v>
      </c>
      <c r="L5" s="16">
        <f t="shared" si="3"/>
        <v>1797641</v>
      </c>
      <c r="M5" s="157" t="e">
        <f>SUMIFS(Rezerve_SAM_SAMP_kārta!#REF!,Rezerve_SAM_SAMP_kārta!$G$7:$G$187,Apkopojums!$B5)</f>
        <v>#REF!</v>
      </c>
      <c r="N5" s="157" t="e">
        <f>SUMIFS(Rezerve_SAM_SAMP_kārta!#REF!,Rezerve_SAM_SAMP_kārta!$G$7:$G$187,Apkopojums!$B5)</f>
        <v>#REF!</v>
      </c>
      <c r="O5" s="157" t="e">
        <f t="shared" si="4"/>
        <v>#REF!</v>
      </c>
      <c r="P5" s="157" t="e">
        <f>SUMIFS(Rezerve_SAM_SAMP_kārta!#REF!,Rezerve_SAM_SAMP_kārta!$G$7:$G$187,Apkopojums!$B5)</f>
        <v>#REF!</v>
      </c>
      <c r="Q5" s="16">
        <f>SUMIFS(Rezerve_SAM_SAMP_kārta!J$7:J$187,Rezerve_SAM_SAMP_kārta!$G$7:$G$187,Apkopojums!$B5)</f>
        <v>0</v>
      </c>
      <c r="R5" s="16">
        <f>SUMIFS(Rezerve_SAM_SAMP_kārta!I$7:I$187,Rezerve_SAM_SAMP_kārta!$G$7:$G$187,Apkopojums!$B5)</f>
        <v>349762153</v>
      </c>
      <c r="S5" s="16">
        <f t="shared" si="5"/>
        <v>1797641</v>
      </c>
      <c r="T5" s="16"/>
      <c r="U5" s="16"/>
      <c r="V5" s="16">
        <f>-V8-T7</f>
        <v>-32262</v>
      </c>
    </row>
    <row r="6" spans="2:22" x14ac:dyDescent="0.25">
      <c r="B6" s="81" t="s">
        <v>6</v>
      </c>
      <c r="C6" s="16">
        <f>SUMIFS(Rezerve_SAM_SAMP_kārta!K$7:K$187,Rezerve_SAM_SAMP_kārta!$G$7:$G$187,Apkopojums!$B6)</f>
        <v>52599390</v>
      </c>
      <c r="D6" s="16">
        <f t="shared" si="0"/>
        <v>8489000</v>
      </c>
      <c r="E6" s="16">
        <f>SUMIFS(Rezerve_SAM_SAMP_kārta!M$7:M$187,Rezerve_SAM_SAMP_kārta!$G$7:$G$187,Apkopojums!$B6)</f>
        <v>44110390</v>
      </c>
      <c r="F6" s="16">
        <f>SUMIFS(Rezerve_SAM_SAMP_kārta!N$7:N$187,Rezerve_SAM_SAMP_kārta!$G$7:$G$187,Apkopojums!$B6)</f>
        <v>34173919</v>
      </c>
      <c r="G6" s="16">
        <f t="shared" si="1"/>
        <v>78284309</v>
      </c>
      <c r="H6" s="16">
        <f>SUMIFS(Rezerve_SAM_SAMP_kārta!O$7:O$187,Rezerve_SAM_SAMP_kārta!$G$7:$G$187,Apkopojums!$B6)</f>
        <v>14565576</v>
      </c>
      <c r="I6" s="16">
        <f t="shared" si="2"/>
        <v>19608343</v>
      </c>
      <c r="J6" s="16">
        <f>SUMIFS(Rezerve_SAM_SAMP_kārta!Q$7:Q$187,Rezerve_SAM_SAMP_kārta!$G$7:$G$187,Apkopojums!$B6)</f>
        <v>1898663</v>
      </c>
      <c r="K6" s="16">
        <f>SUMIFS(Rezerve_SAM_SAMP_kārta!R$7:R$187,Rezerve_SAM_SAMP_kārta!$G$7:$G$187,Apkopojums!$B6)</f>
        <v>0</v>
      </c>
      <c r="L6" s="16">
        <f t="shared" si="3"/>
        <v>1898663</v>
      </c>
      <c r="M6" s="157" t="e">
        <f>SUMIFS(Rezerve_SAM_SAMP_kārta!#REF!,Rezerve_SAM_SAMP_kārta!$G$7:$G$187,Apkopojums!$B6)</f>
        <v>#REF!</v>
      </c>
      <c r="N6" s="157" t="e">
        <f>SUMIFS(Rezerve_SAM_SAMP_kārta!#REF!,Rezerve_SAM_SAMP_kārta!$G$7:$G$187,Apkopojums!$B6)</f>
        <v>#REF!</v>
      </c>
      <c r="O6" s="157" t="e">
        <f t="shared" si="4"/>
        <v>#REF!</v>
      </c>
      <c r="P6" s="157" t="e">
        <f>SUMIFS(Rezerve_SAM_SAMP_kārta!#REF!,Rezerve_SAM_SAMP_kārta!$G$7:$G$187,Apkopojums!$B6)</f>
        <v>#REF!</v>
      </c>
      <c r="Q6" s="16">
        <f>SUMIFS(Rezerve_SAM_SAMP_kārta!J$7:J$187,Rezerve_SAM_SAMP_kārta!$G$7:$G$187,Apkopojums!$B6)</f>
        <v>4095434</v>
      </c>
      <c r="R6" s="16">
        <f>SUMIFS(Rezerve_SAM_SAMP_kārta!I$7:I$187,Rezerve_SAM_SAMP_kārta!$G$7:$G$187,Apkopojums!$B6)</f>
        <v>793697468</v>
      </c>
      <c r="S6" s="16">
        <f t="shared" si="5"/>
        <v>5994097</v>
      </c>
      <c r="T6" s="16"/>
      <c r="U6" s="16"/>
      <c r="V6" s="16"/>
    </row>
    <row r="7" spans="2:22" x14ac:dyDescent="0.25">
      <c r="B7" s="81" t="s">
        <v>161</v>
      </c>
      <c r="C7" s="16">
        <f>SUMIFS(Rezerve_SAM_SAMP_kārta!K$7:K$187,Rezerve_SAM_SAMP_kārta!$G$7:$G$187,Apkopojums!$B7)</f>
        <v>7049425</v>
      </c>
      <c r="D7" s="16">
        <f t="shared" si="0"/>
        <v>0</v>
      </c>
      <c r="E7" s="16">
        <f>SUMIFS(Rezerve_SAM_SAMP_kārta!M$7:M$187,Rezerve_SAM_SAMP_kārta!$G$7:$G$187,Apkopojums!$B7)</f>
        <v>7049425</v>
      </c>
      <c r="F7" s="16">
        <f>SUMIFS(Rezerve_SAM_SAMP_kārta!N$7:N$187,Rezerve_SAM_SAMP_kārta!$G$7:$G$187,Apkopojums!$B7)</f>
        <v>33600166</v>
      </c>
      <c r="G7" s="16">
        <f t="shared" si="1"/>
        <v>40649591</v>
      </c>
      <c r="H7" s="16">
        <f>SUMIFS(Rezerve_SAM_SAMP_kārta!O$7:O$187,Rezerve_SAM_SAMP_kārta!$G$7:$G$187,Apkopojums!$B7)</f>
        <v>24055075</v>
      </c>
      <c r="I7" s="16">
        <f t="shared" si="2"/>
        <v>9545091</v>
      </c>
      <c r="J7" s="16">
        <f>SUMIFS(Rezerve_SAM_SAMP_kārta!Q$7:Q$187,Rezerve_SAM_SAMP_kārta!$G$7:$G$187,Apkopojums!$B7)</f>
        <v>4465677</v>
      </c>
      <c r="K7" s="16">
        <f>SUMIFS(Rezerve_SAM_SAMP_kārta!R$7:R$187,Rezerve_SAM_SAMP_kārta!$G$7:$G$187,Apkopojums!$B7)</f>
        <v>0</v>
      </c>
      <c r="L7" s="16">
        <f t="shared" si="3"/>
        <v>4465677</v>
      </c>
      <c r="M7" s="157" t="e">
        <f>SUMIFS(Rezerve_SAM_SAMP_kārta!#REF!,Rezerve_SAM_SAMP_kārta!$G$7:$G$187,Apkopojums!$B7)</f>
        <v>#REF!</v>
      </c>
      <c r="N7" s="157" t="e">
        <f>SUMIFS(Rezerve_SAM_SAMP_kārta!#REF!,Rezerve_SAM_SAMP_kārta!$G$7:$G$187,Apkopojums!$B7)</f>
        <v>#REF!</v>
      </c>
      <c r="O7" s="157" t="e">
        <f t="shared" si="4"/>
        <v>#REF!</v>
      </c>
      <c r="P7" s="157" t="e">
        <f>SUMIFS(Rezerve_SAM_SAMP_kārta!#REF!,Rezerve_SAM_SAMP_kārta!$G$7:$G$187,Apkopojums!$B7)</f>
        <v>#REF!</v>
      </c>
      <c r="Q7" s="16">
        <f>SUMIFS(Rezerve_SAM_SAMP_kārta!J$7:J$187,Rezerve_SAM_SAMP_kārta!$G$7:$G$187,Apkopojums!$B7)</f>
        <v>28099280</v>
      </c>
      <c r="R7" s="16">
        <f>SUMIFS(Rezerve_SAM_SAMP_kārta!I$7:I$187,Rezerve_SAM_SAMP_kārta!$G$7:$G$187,Apkopojums!$B7)</f>
        <v>115573346</v>
      </c>
      <c r="S7" s="16">
        <f t="shared" si="5"/>
        <v>32564957</v>
      </c>
      <c r="T7" s="16">
        <f>-Rezerve_SAM_SAMP_kārta!O97+Rezerve_SAM_SAMP_kārta!U97</f>
        <v>-16067738</v>
      </c>
      <c r="U7" s="16"/>
      <c r="V7" s="16"/>
    </row>
    <row r="8" spans="2:22" x14ac:dyDescent="0.25">
      <c r="B8" s="81" t="s">
        <v>164</v>
      </c>
      <c r="C8" s="16">
        <f>SUMIFS(Rezerve_SAM_SAMP_kārta!K$7:K$187,Rezerve_SAM_SAMP_kārta!$G$7:$G$187,Apkopojums!$B8)</f>
        <v>14180587</v>
      </c>
      <c r="D8" s="16">
        <f t="shared" si="0"/>
        <v>9279588</v>
      </c>
      <c r="E8" s="16">
        <f>SUMIFS(Rezerve_SAM_SAMP_kārta!M$7:M$187,Rezerve_SAM_SAMP_kārta!$G$7:$G$187,Apkopojums!$B8)</f>
        <v>4900999</v>
      </c>
      <c r="F8" s="16">
        <f>SUMIFS(Rezerve_SAM_SAMP_kārta!N$7:N$187,Rezerve_SAM_SAMP_kārta!$G$7:$G$187,Apkopojums!$B8)</f>
        <v>19702061</v>
      </c>
      <c r="G8" s="16">
        <f>E8+F8</f>
        <v>24603060</v>
      </c>
      <c r="H8" s="16">
        <f>SUMIFS(Rezerve_SAM_SAMP_kārta!O$7:O$187,Rezerve_SAM_SAMP_kārta!$G$7:$G$187,Apkopojums!$B8)</f>
        <v>12207302</v>
      </c>
      <c r="I8" s="16">
        <f>F8-H8</f>
        <v>7494759</v>
      </c>
      <c r="J8" s="16">
        <f>SUMIFS(Rezerve_SAM_SAMP_kārta!Q$7:Q$187,Rezerve_SAM_SAMP_kārta!$G$7:$G$187,Apkopojums!$B8)</f>
        <v>0</v>
      </c>
      <c r="K8" s="16">
        <f>SUMIFS(Rezerve_SAM_SAMP_kārta!R$7:R$187,Rezerve_SAM_SAMP_kārta!$G$7:$G$187,Apkopojums!$B8)</f>
        <v>0</v>
      </c>
      <c r="L8" s="16">
        <f t="shared" si="3"/>
        <v>0</v>
      </c>
      <c r="M8" s="157" t="e">
        <f>SUMIFS(Rezerve_SAM_SAMP_kārta!#REF!,Rezerve_SAM_SAMP_kārta!$G$7:$G$187,Apkopojums!$B8)</f>
        <v>#REF!</v>
      </c>
      <c r="N8" s="157" t="e">
        <f>SUMIFS(Rezerve_SAM_SAMP_kārta!#REF!,Rezerve_SAM_SAMP_kārta!$G$7:$G$187,Apkopojums!$B8)</f>
        <v>#REF!</v>
      </c>
      <c r="O8" s="157" t="e">
        <f t="shared" si="4"/>
        <v>#REF!</v>
      </c>
      <c r="P8" s="157" t="e">
        <f>SUMIFS(Rezerve_SAM_SAMP_kārta!#REF!,Rezerve_SAM_SAMP_kārta!$G$7:$G$187,Apkopojums!$B8)</f>
        <v>#REF!</v>
      </c>
      <c r="Q8" s="16">
        <f>SUMIFS(Rezerve_SAM_SAMP_kārta!J$7:J$187,Rezerve_SAM_SAMP_kārta!$G$7:$G$187,Apkopojums!$B8)</f>
        <v>0</v>
      </c>
      <c r="R8" s="16">
        <f>SUMIFS(Rezerve_SAM_SAMP_kārta!I$7:I$187,Rezerve_SAM_SAMP_kārta!$G$7:$G$187,Apkopojums!$B8)</f>
        <v>230949123</v>
      </c>
      <c r="S8" s="16">
        <f t="shared" si="5"/>
        <v>0</v>
      </c>
      <c r="T8" s="16"/>
      <c r="U8" s="16"/>
      <c r="V8" s="16">
        <f>16100000</f>
        <v>16100000</v>
      </c>
    </row>
    <row r="9" spans="2:22" x14ac:dyDescent="0.25">
      <c r="B9" s="81" t="s">
        <v>160</v>
      </c>
      <c r="C9" s="16">
        <f>SUMIFS(Rezerve_SAM_SAMP_kārta!K$7:K$187,Rezerve_SAM_SAMP_kārta!$G$7:$G$187,Apkopojums!$B9)</f>
        <v>2249597</v>
      </c>
      <c r="D9" s="16">
        <f t="shared" si="0"/>
        <v>0</v>
      </c>
      <c r="E9" s="16">
        <f>SUMIFS(Rezerve_SAM_SAMP_kārta!M$7:M$187,Rezerve_SAM_SAMP_kārta!$G$7:$G$187,Apkopojums!$B9)</f>
        <v>2249597</v>
      </c>
      <c r="F9" s="16">
        <f>SUMIFS(Rezerve_SAM_SAMP_kārta!N$7:N$187,Rezerve_SAM_SAMP_kārta!$G$7:$G$187,Apkopojums!$B9)</f>
        <v>2105348</v>
      </c>
      <c r="G9" s="16">
        <f t="shared" si="1"/>
        <v>4354945</v>
      </c>
      <c r="H9" s="16">
        <f>SUMIFS(Rezerve_SAM_SAMP_kārta!O$7:O$187,Rezerve_SAM_SAMP_kārta!$G$7:$G$187,Apkopojums!$B9)</f>
        <v>2105348</v>
      </c>
      <c r="I9" s="16">
        <f t="shared" si="2"/>
        <v>0</v>
      </c>
      <c r="J9" s="16">
        <f>SUMIFS(Rezerve_SAM_SAMP_kārta!Q$7:Q$187,Rezerve_SAM_SAMP_kārta!$G$7:$G$187,Apkopojums!$B9)</f>
        <v>0</v>
      </c>
      <c r="K9" s="16">
        <f>SUMIFS(Rezerve_SAM_SAMP_kārta!R$7:R$187,Rezerve_SAM_SAMP_kārta!$G$7:$G$187,Apkopojums!$B9)</f>
        <v>0</v>
      </c>
      <c r="L9" s="16">
        <f t="shared" si="3"/>
        <v>0</v>
      </c>
      <c r="M9" s="157" t="e">
        <f>SUMIFS(Rezerve_SAM_SAMP_kārta!#REF!,Rezerve_SAM_SAMP_kārta!$G$7:$G$187,Apkopojums!$B9)</f>
        <v>#REF!</v>
      </c>
      <c r="N9" s="157" t="e">
        <f>SUMIFS(Rezerve_SAM_SAMP_kārta!#REF!,Rezerve_SAM_SAMP_kārta!$G$7:$G$187,Apkopojums!$B9)</f>
        <v>#REF!</v>
      </c>
      <c r="O9" s="157" t="e">
        <f>N9-M9</f>
        <v>#REF!</v>
      </c>
      <c r="P9" s="157" t="e">
        <f>SUMIFS(Rezerve_SAM_SAMP_kārta!#REF!,Rezerve_SAM_SAMP_kārta!$G$7:$G$187,Apkopojums!$B9)</f>
        <v>#REF!</v>
      </c>
      <c r="Q9" s="16">
        <f>SUMIFS(Rezerve_SAM_SAMP_kārta!J$7:J$187,Rezerve_SAM_SAMP_kārta!$G$7:$G$187,Apkopojums!$B9)</f>
        <v>0</v>
      </c>
      <c r="R9" s="16">
        <f>SUMIFS(Rezerve_SAM_SAMP_kārta!I$7:I$187,Rezerve_SAM_SAMP_kārta!$G$7:$G$187,Apkopojums!$B9)</f>
        <v>36881516</v>
      </c>
      <c r="S9" s="16">
        <f t="shared" si="5"/>
        <v>0</v>
      </c>
      <c r="T9" s="16"/>
      <c r="U9" s="16"/>
      <c r="V9" s="16"/>
    </row>
    <row r="10" spans="2:22" x14ac:dyDescent="0.25">
      <c r="B10" s="81" t="s">
        <v>156</v>
      </c>
      <c r="C10" s="16">
        <f>SUMIFS(Rezerve_SAM_SAMP_kārta!K$7:K$187,Rezerve_SAM_SAMP_kārta!$G$7:$G$187,Apkopojums!$B10)</f>
        <v>1087651</v>
      </c>
      <c r="D10" s="16">
        <f t="shared" si="0"/>
        <v>0</v>
      </c>
      <c r="E10" s="16">
        <f>SUMIFS(Rezerve_SAM_SAMP_kārta!M$7:M$187,Rezerve_SAM_SAMP_kārta!$G$7:$G$187,Apkopojums!$B10)</f>
        <v>1087651</v>
      </c>
      <c r="F10" s="16">
        <f>SUMIFS(Rezerve_SAM_SAMP_kārta!N$7:N$187,Rezerve_SAM_SAMP_kārta!$G$7:$G$187,Apkopojums!$B10)</f>
        <v>0</v>
      </c>
      <c r="G10" s="16">
        <f t="shared" si="1"/>
        <v>1087651</v>
      </c>
      <c r="H10" s="16">
        <f>SUMIFS(Rezerve_SAM_SAMP_kārta!O$7:O$187,Rezerve_SAM_SAMP_kārta!$G$7:$G$187,Apkopojums!$B10)</f>
        <v>0</v>
      </c>
      <c r="I10" s="16">
        <f t="shared" si="2"/>
        <v>0</v>
      </c>
      <c r="J10" s="16">
        <f>SUMIFS(Rezerve_SAM_SAMP_kārta!Q$7:Q$187,Rezerve_SAM_SAMP_kārta!$G$7:$G$187,Apkopojums!$B10)</f>
        <v>0</v>
      </c>
      <c r="K10" s="16">
        <f>SUMIFS(Rezerve_SAM_SAMP_kārta!R$7:R$187,Rezerve_SAM_SAMP_kārta!$G$7:$G$187,Apkopojums!$B10)</f>
        <v>0</v>
      </c>
      <c r="L10" s="16">
        <f t="shared" si="3"/>
        <v>0</v>
      </c>
      <c r="M10" s="157" t="e">
        <f>SUMIFS(Rezerve_SAM_SAMP_kārta!#REF!,Rezerve_SAM_SAMP_kārta!$G$7:$G$187,Apkopojums!$B10)</f>
        <v>#REF!</v>
      </c>
      <c r="N10" s="157" t="e">
        <f>SUMIFS(Rezerve_SAM_SAMP_kārta!#REF!,Rezerve_SAM_SAMP_kārta!$G$7:$G$187,Apkopojums!$B10)</f>
        <v>#REF!</v>
      </c>
      <c r="O10" s="157" t="e">
        <f t="shared" si="4"/>
        <v>#REF!</v>
      </c>
      <c r="P10" s="157" t="e">
        <f>SUMIFS(Rezerve_SAM_SAMP_kārta!#REF!,Rezerve_SAM_SAMP_kārta!$G$7:$G$187,Apkopojums!$B10)</f>
        <v>#REF!</v>
      </c>
      <c r="Q10" s="16">
        <f>SUMIFS(Rezerve_SAM_SAMP_kārta!J$7:J$187,Rezerve_SAM_SAMP_kārta!$G$7:$G$187,Apkopojums!$B10)</f>
        <v>0</v>
      </c>
      <c r="R10" s="16">
        <f>SUMIFS(Rezerve_SAM_SAMP_kārta!I$7:I$187,Rezerve_SAM_SAMP_kārta!$G$7:$G$187,Apkopojums!$B10)</f>
        <v>17490523</v>
      </c>
      <c r="S10" s="16">
        <f t="shared" si="5"/>
        <v>0</v>
      </c>
      <c r="T10" s="16"/>
      <c r="U10" s="16"/>
      <c r="V10" s="16"/>
    </row>
    <row r="11" spans="2:22" x14ac:dyDescent="0.25">
      <c r="B11" s="81" t="s">
        <v>158</v>
      </c>
      <c r="C11" s="16">
        <f>SUMIFS(Rezerve_SAM_SAMP_kārta!K$7:K$187,Rezerve_SAM_SAMP_kārta!$G$7:$G$187,Apkopojums!$B11)</f>
        <v>532889</v>
      </c>
      <c r="D11" s="16">
        <f t="shared" si="0"/>
        <v>0</v>
      </c>
      <c r="E11" s="16">
        <f>SUMIFS(Rezerve_SAM_SAMP_kārta!M$7:M$187,Rezerve_SAM_SAMP_kārta!$G$7:$G$187,Apkopojums!$B11)</f>
        <v>532889</v>
      </c>
      <c r="F11" s="16">
        <f>SUMIFS(Rezerve_SAM_SAMP_kārta!N$7:N$187,Rezerve_SAM_SAMP_kārta!$G$7:$G$187,Apkopojums!$B11)</f>
        <v>722</v>
      </c>
      <c r="G11" s="16">
        <f t="shared" si="1"/>
        <v>533611</v>
      </c>
      <c r="H11" s="16">
        <f>SUMIFS(Rezerve_SAM_SAMP_kārta!O$7:O$187,Rezerve_SAM_SAMP_kārta!$G$7:$G$187,Apkopojums!$B11)</f>
        <v>722</v>
      </c>
      <c r="I11" s="16">
        <f t="shared" si="2"/>
        <v>0</v>
      </c>
      <c r="J11" s="16">
        <f>SUMIFS(Rezerve_SAM_SAMP_kārta!Q$7:Q$187,Rezerve_SAM_SAMP_kārta!$G$7:$G$187,Apkopojums!$B11)</f>
        <v>0</v>
      </c>
      <c r="K11" s="16">
        <f>SUMIFS(Rezerve_SAM_SAMP_kārta!R$7:R$187,Rezerve_SAM_SAMP_kārta!$G$7:$G$187,Apkopojums!$B11)</f>
        <v>0</v>
      </c>
      <c r="L11" s="16">
        <f t="shared" si="3"/>
        <v>0</v>
      </c>
      <c r="M11" s="157" t="e">
        <f>SUMIFS(Rezerve_SAM_SAMP_kārta!#REF!,Rezerve_SAM_SAMP_kārta!$G$7:$G$187,Apkopojums!$B11)</f>
        <v>#REF!</v>
      </c>
      <c r="N11" s="157" t="e">
        <f>SUMIFS(Rezerve_SAM_SAMP_kārta!#REF!,Rezerve_SAM_SAMP_kārta!$G$7:$G$187,Apkopojums!$B11)</f>
        <v>#REF!</v>
      </c>
      <c r="O11" s="157" t="e">
        <f t="shared" si="4"/>
        <v>#REF!</v>
      </c>
      <c r="P11" s="157" t="e">
        <f>SUMIFS(Rezerve_SAM_SAMP_kārta!#REF!,Rezerve_SAM_SAMP_kārta!$G$7:$G$187,Apkopojums!$B11)</f>
        <v>#REF!</v>
      </c>
      <c r="Q11" s="16">
        <f>SUMIFS(Rezerve_SAM_SAMP_kārta!J$7:J$187,Rezerve_SAM_SAMP_kārta!$G$7:$G$187,Apkopojums!$B11)</f>
        <v>0</v>
      </c>
      <c r="R11" s="16">
        <f>SUMIFS(Rezerve_SAM_SAMP_kārta!I$7:I$187,Rezerve_SAM_SAMP_kārta!$G$7:$G$187,Apkopojums!$B11)</f>
        <v>8569373</v>
      </c>
      <c r="S11" s="16">
        <f t="shared" si="5"/>
        <v>0</v>
      </c>
      <c r="T11" s="16"/>
      <c r="U11" s="16"/>
      <c r="V11" s="16"/>
    </row>
    <row r="12" spans="2:22" x14ac:dyDescent="0.25">
      <c r="B12" s="83" t="s">
        <v>191</v>
      </c>
      <c r="C12" s="135">
        <f>SUM(C2:C11)</f>
        <v>267352981</v>
      </c>
      <c r="D12" s="135">
        <f t="shared" si="0"/>
        <v>45646367</v>
      </c>
      <c r="E12" s="135">
        <f>SUM(E2:E11)</f>
        <v>221706614</v>
      </c>
      <c r="F12" s="135">
        <f>SUM(F2:F11)</f>
        <v>426039846</v>
      </c>
      <c r="G12" s="135">
        <f>SUM(G2:G11)</f>
        <v>647746460</v>
      </c>
      <c r="H12" s="135">
        <f>SUM(H2:H11)</f>
        <v>202531631</v>
      </c>
      <c r="I12" s="135">
        <f>SUM(I2:I11)</f>
        <v>223508215</v>
      </c>
      <c r="J12" s="135">
        <f t="shared" ref="J12:L12" si="6">SUM(J2:J11)</f>
        <v>49160875</v>
      </c>
      <c r="K12" s="135">
        <f t="shared" si="6"/>
        <v>6207252</v>
      </c>
      <c r="L12" s="135">
        <f t="shared" si="6"/>
        <v>55368127</v>
      </c>
      <c r="M12" s="135" t="e">
        <f>SUM(M2:M11)</f>
        <v>#REF!</v>
      </c>
      <c r="N12" s="135" t="e">
        <f>SUM(N2:N11)</f>
        <v>#REF!</v>
      </c>
      <c r="O12" s="135" t="e">
        <f>SUM(O2:O11)</f>
        <v>#REF!</v>
      </c>
      <c r="P12" s="135" t="e">
        <f>SUM(P2:P11)</f>
        <v>#REF!</v>
      </c>
      <c r="Q12" s="135">
        <f t="shared" ref="Q12:S12" si="7">SUM(Q2:Q11)</f>
        <v>66269088</v>
      </c>
      <c r="R12" s="135">
        <f t="shared" si="7"/>
        <v>4316916911</v>
      </c>
      <c r="S12" s="135">
        <f t="shared" si="7"/>
        <v>121637215</v>
      </c>
      <c r="T12" s="135"/>
      <c r="U12" s="135"/>
      <c r="V12" s="135"/>
    </row>
    <row r="13" spans="2:22" x14ac:dyDescent="0.25">
      <c r="B13" t="s">
        <v>544</v>
      </c>
      <c r="E13" s="122">
        <v>45646367</v>
      </c>
      <c r="J13" s="122"/>
      <c r="L13" s="137">
        <f>L12*0.15</f>
        <v>8305219.0499999998</v>
      </c>
    </row>
    <row r="14" spans="2:22" x14ac:dyDescent="0.25">
      <c r="B14" t="s">
        <v>545</v>
      </c>
      <c r="E14" s="122">
        <f>E12+E13</f>
        <v>267352981</v>
      </c>
      <c r="J14" s="122"/>
      <c r="L14" s="138"/>
    </row>
    <row r="15" spans="2:22" x14ac:dyDescent="0.25">
      <c r="H15" s="140"/>
      <c r="J15" s="122"/>
      <c r="L15" s="138"/>
    </row>
    <row r="16" spans="2:22" x14ac:dyDescent="0.25">
      <c r="B16" s="47" t="s">
        <v>540</v>
      </c>
      <c r="E16" s="122">
        <f>E4+E6+F4+F6</f>
        <v>195850113</v>
      </c>
      <c r="J16" s="122"/>
    </row>
    <row r="17" spans="2:17" x14ac:dyDescent="0.25">
      <c r="O17" s="122"/>
    </row>
    <row r="18" spans="2:17" x14ac:dyDescent="0.25">
      <c r="E18" s="158" t="s">
        <v>520</v>
      </c>
      <c r="F18" s="158" t="s">
        <v>519</v>
      </c>
      <c r="G18" s="158" t="s">
        <v>511</v>
      </c>
      <c r="H18" s="158"/>
    </row>
    <row r="19" spans="2:17" x14ac:dyDescent="0.25">
      <c r="E19" s="158" t="s">
        <v>517</v>
      </c>
      <c r="F19" s="157" t="e">
        <f>SUMIFS(Rezerve_SAM_SAMP_kārta!#REF!,Rezerve_SAM_SAMP_kārta!#REF!,Apkopojums!$E19)</f>
        <v>#REF!</v>
      </c>
      <c r="G19" s="157" t="e">
        <f>SUMIFS(Rezerve_SAM_SAMP_kārta!#REF!,Rezerve_SAM_SAMP_kārta!#REF!,Apkopojums!$E19)</f>
        <v>#REF!</v>
      </c>
      <c r="H19" s="159"/>
      <c r="I19" s="134"/>
      <c r="M19" s="473" t="s">
        <v>557</v>
      </c>
      <c r="N19" s="473"/>
      <c r="O19" s="473"/>
      <c r="P19" s="473"/>
    </row>
    <row r="20" spans="2:17" ht="67.5" customHeight="1" x14ac:dyDescent="0.25">
      <c r="E20" s="158" t="s">
        <v>515</v>
      </c>
      <c r="F20" s="157" t="e">
        <f>SUMIFS(Rezerve_SAM_SAMP_kārta!#REF!,Rezerve_SAM_SAMP_kārta!#REF!,Apkopojums!$E20)</f>
        <v>#REF!</v>
      </c>
      <c r="G20" s="157" t="e">
        <f>SUMIFS(Rezerve_SAM_SAMP_kārta!#REF!,Rezerve_SAM_SAMP_kārta!#REF!,Apkopojums!$E20)</f>
        <v>#REF!</v>
      </c>
      <c r="H20" s="159"/>
      <c r="I20" s="134"/>
      <c r="N20" s="123" t="s">
        <v>558</v>
      </c>
      <c r="O20" s="124" t="s">
        <v>559</v>
      </c>
      <c r="P20" s="125" t="s">
        <v>560</v>
      </c>
    </row>
    <row r="21" spans="2:17" x14ac:dyDescent="0.25">
      <c r="B21" t="s">
        <v>510</v>
      </c>
      <c r="E21" s="158" t="s">
        <v>516</v>
      </c>
      <c r="F21" s="157" t="e">
        <f>SUMIFS(Rezerve_SAM_SAMP_kārta!#REF!,Rezerve_SAM_SAMP_kārta!#REF!,Apkopojums!$E21)</f>
        <v>#REF!</v>
      </c>
      <c r="G21" s="157" t="e">
        <f>SUMIFS(Rezerve_SAM_SAMP_kārta!#REF!,Rezerve_SAM_SAMP_kārta!#REF!,Apkopojums!$E21)</f>
        <v>#REF!</v>
      </c>
      <c r="H21" s="159"/>
      <c r="I21" s="134"/>
      <c r="K21" s="126" t="s">
        <v>153</v>
      </c>
      <c r="L21" s="126"/>
      <c r="M21" s="126" t="s">
        <v>515</v>
      </c>
      <c r="N21" s="127">
        <f>Rezerve_SAM_SAMP_kārta!K36+Rezerve_SAM_SAMP_kārta!K37+Rezerve_SAM_SAMP_kārta!K38+Rezerve_SAM_SAMP_kārta!K39+Rezerve_SAM_SAMP_kārta!K40+Rezerve_SAM_SAMP_kārta!K41+Rezerve_SAM_SAMP_kārta!K42+Rezerve_SAM_SAMP_kārta!K60+Rezerve_SAM_SAMP_kārta!K61</f>
        <v>22871567</v>
      </c>
      <c r="O21" s="127">
        <f>Rezerve_SAM_SAMP_kārta!N36+Rezerve_SAM_SAMP_kārta!N37+Rezerve_SAM_SAMP_kārta!N38+Rezerve_SAM_SAMP_kārta!N39+Rezerve_SAM_SAMP_kārta!N40+Rezerve_SAM_SAMP_kārta!N41+Rezerve_SAM_SAMP_kārta!N42+Rezerve_SAM_SAMP_kārta!N60+Rezerve_SAM_SAMP_kārta!N61</f>
        <v>21930319</v>
      </c>
      <c r="P21" s="127">
        <f>Rezerve_SAM_SAMP_kārta!O36+Rezerve_SAM_SAMP_kārta!O37+Rezerve_SAM_SAMP_kārta!O38+Rezerve_SAM_SAMP_kārta!O39+Rezerve_SAM_SAMP_kārta!O40+Rezerve_SAM_SAMP_kārta!O41+Rezerve_SAM_SAMP_kārta!O42+Rezerve_SAM_SAMP_kārta!O60+Rezerve_SAM_SAMP_kārta!O61</f>
        <v>21930319</v>
      </c>
      <c r="Q21" s="122">
        <f>N21+O21</f>
        <v>44801886</v>
      </c>
    </row>
    <row r="22" spans="2:17" x14ac:dyDescent="0.25">
      <c r="E22" s="158" t="s">
        <v>518</v>
      </c>
      <c r="F22" s="157" t="e">
        <f>SUMIFS(Rezerve_SAM_SAMP_kārta!#REF!,Rezerve_SAM_SAMP_kārta!#REF!,Apkopojums!$E22)</f>
        <v>#REF!</v>
      </c>
      <c r="G22" s="157" t="e">
        <f>SUMIFS(Rezerve_SAM_SAMP_kārta!#REF!,Rezerve_SAM_SAMP_kārta!#REF!,Apkopojums!$E22)</f>
        <v>#REF!</v>
      </c>
      <c r="H22" s="159">
        <v>107355163</v>
      </c>
      <c r="I22" s="134"/>
      <c r="K22" s="126" t="s">
        <v>153</v>
      </c>
      <c r="L22" s="126"/>
      <c r="M22" s="126" t="s">
        <v>564</v>
      </c>
      <c r="N22" s="127">
        <f>Rezerve_SAM_SAMP_kārta!K18+Rezerve_SAM_SAMP_kārta!K19+Rezerve_SAM_SAMP_kārta!K20+Rezerve_SAM_SAMP_kārta!K21+Rezerve_SAM_SAMP_kārta!K22+Rezerve_SAM_SAMP_kārta!K23+Rezerve_SAM_SAMP_kārta!K24+Rezerve_SAM_SAMP_kārta!K25+Rezerve_SAM_SAMP_kārta!K26+Rezerve_SAM_SAMP_kārta!K27+Rezerve_SAM_SAMP_kārta!K28+Rezerve_SAM_SAMP_kārta!K29+Rezerve_SAM_SAMP_kārta!K43+Rezerve_SAM_SAMP_kārta!K44</f>
        <v>13053850</v>
      </c>
      <c r="O22" s="127">
        <f>Rezerve_SAM_SAMP_kārta!N18+Rezerve_SAM_SAMP_kārta!N19+Rezerve_SAM_SAMP_kārta!N20+Rezerve_SAM_SAMP_kārta!N21+Rezerve_SAM_SAMP_kārta!N22+Rezerve_SAM_SAMP_kārta!N23+Rezerve_SAM_SAMP_kārta!N24+Rezerve_SAM_SAMP_kārta!N25+Rezerve_SAM_SAMP_kārta!N26+Rezerve_SAM_SAMP_kārta!N27+Rezerve_SAM_SAMP_kārta!N28+Rezerve_SAM_SAMP_kārta!N29+Rezerve_SAM_SAMP_kārta!N43+Rezerve_SAM_SAMP_kārta!N44</f>
        <v>11986045</v>
      </c>
      <c r="P22" s="127">
        <f>Rezerve_SAM_SAMP_kārta!O18+Rezerve_SAM_SAMP_kārta!O19+Rezerve_SAM_SAMP_kārta!O20+Rezerve_SAM_SAMP_kārta!O21+Rezerve_SAM_SAMP_kārta!O22+Rezerve_SAM_SAMP_kārta!O23+Rezerve_SAM_SAMP_kārta!O24+Rezerve_SAM_SAMP_kārta!O25+Rezerve_SAM_SAMP_kārta!O26+Rezerve_SAM_SAMP_kārta!O27+Rezerve_SAM_SAMP_kārta!O28+Rezerve_SAM_SAMP_kārta!O29+Rezerve_SAM_SAMP_kārta!O43+Rezerve_SAM_SAMP_kārta!O44</f>
        <v>11986045</v>
      </c>
      <c r="Q22" s="122">
        <f t="shared" ref="Q22:Q53" si="8">N22+O22</f>
        <v>25039895</v>
      </c>
    </row>
    <row r="23" spans="2:17" x14ac:dyDescent="0.25">
      <c r="K23" s="126" t="s">
        <v>153</v>
      </c>
      <c r="L23" s="126"/>
      <c r="M23" s="126" t="s">
        <v>563</v>
      </c>
      <c r="N23" s="127">
        <f>Rezerve_SAM_SAMP_kārta!K45+Rezerve_SAM_SAMP_kārta!K46+Rezerve_SAM_SAMP_kārta!K57+Rezerve_SAM_SAMP_kārta!K58+Rezerve_SAM_SAMP_kārta!K59+Rezerve_SAM_SAMP_kārta!K62+Rezerve_SAM_SAMP_kārta!K63+Rezerve_SAM_SAMP_kārta!K67+Rezerve_SAM_SAMP_kārta!K68+Rezerve_SAM_SAMP_kārta!K69</f>
        <v>12019198</v>
      </c>
      <c r="O23" s="127">
        <f>Rezerve_SAM_SAMP_kārta!N45+Rezerve_SAM_SAMP_kārta!N46+Rezerve_SAM_SAMP_kārta!N57+Rezerve_SAM_SAMP_kārta!N58+Rezerve_SAM_SAMP_kārta!N59+Rezerve_SAM_SAMP_kārta!N62+Rezerve_SAM_SAMP_kārta!N63+Rezerve_SAM_SAMP_kārta!N67+Rezerve_SAM_SAMP_kārta!N68+Rezerve_SAM_SAMP_kārta!N69</f>
        <v>32223662</v>
      </c>
      <c r="P23" s="127">
        <f>Rezerve_SAM_SAMP_kārta!O45+Rezerve_SAM_SAMP_kārta!O46+Rezerve_SAM_SAMP_kārta!O57+Rezerve_SAM_SAMP_kārta!O58+Rezerve_SAM_SAMP_kārta!O59+Rezerve_SAM_SAMP_kārta!O62+Rezerve_SAM_SAMP_kārta!O63+Rezerve_SAM_SAMP_kārta!O67+Rezerve_SAM_SAMP_kārta!O68+Rezerve_SAM_SAMP_kārta!O69</f>
        <v>18255750</v>
      </c>
      <c r="Q23" s="122">
        <f t="shared" si="8"/>
        <v>44242860</v>
      </c>
    </row>
    <row r="24" spans="2:17" x14ac:dyDescent="0.25">
      <c r="K24" s="129" t="s">
        <v>6</v>
      </c>
      <c r="L24" s="129"/>
      <c r="M24" s="129" t="s">
        <v>515</v>
      </c>
      <c r="N24" s="130">
        <f>Rezerve_SAM_SAMP_kārta!K7+Rezerve_SAM_SAMP_kārta!K8+Rezerve_SAM_SAMP_kārta!K9+Rezerve_SAM_SAMP_kārta!K10+Rezerve_SAM_SAMP_kārta!K11+Rezerve_SAM_SAMP_kārta!K12+Rezerve_SAM_SAMP_kārta!K13+Rezerve_SAM_SAMP_kārta!K14+Rezerve_SAM_SAMP_kārta!K15+Rezerve_SAM_SAMP_kārta!K16+Rezerve_SAM_SAMP_kārta!K17+Rezerve_SAM_SAMP_kārta!K128+Rezerve_SAM_SAMP_kārta!K129+Rezerve_SAM_SAMP_kārta!K130+Rezerve_SAM_SAMP_kārta!K131+Rezerve_SAM_SAMP_kārta!K132+Rezerve_SAM_SAMP_kārta!K133+Rezerve_SAM_SAMP_kārta!K134+Rezerve_SAM_SAMP_kārta!K135+Rezerve_SAM_SAMP_kārta!K136+Rezerve_SAM_SAMP_kārta!K137+Rezerve_SAM_SAMP_kārta!K138+Rezerve_SAM_SAMP_kārta!K139+Rezerve_SAM_SAMP_kārta!K140+Rezerve_SAM_SAMP_kārta!K141+Rezerve_SAM_SAMP_kārta!K143+Rezerve_SAM_SAMP_kārta!K144+Rezerve_SAM_SAMP_kārta!K145+Rezerve_SAM_SAMP_kārta!K146+Rezerve_SAM_SAMP_kārta!K147+Rezerve_SAM_SAMP_kārta!K148+Rezerve_SAM_SAMP_kārta!K150+Rezerve_SAM_SAMP_kārta!K153+Rezerve_SAM_SAMP_kārta!K154</f>
        <v>48407477</v>
      </c>
      <c r="O24" s="130">
        <f>Rezerve_SAM_SAMP_kārta!N7+Rezerve_SAM_SAMP_kārta!N8+Rezerve_SAM_SAMP_kārta!N9+Rezerve_SAM_SAMP_kārta!N10+Rezerve_SAM_SAMP_kārta!N11+Rezerve_SAM_SAMP_kārta!N12+Rezerve_SAM_SAMP_kārta!N13+Rezerve_SAM_SAMP_kārta!N14+Rezerve_SAM_SAMP_kārta!N15+Rezerve_SAM_SAMP_kārta!N16+Rezerve_SAM_SAMP_kārta!N17+Rezerve_SAM_SAMP_kārta!N128+Rezerve_SAM_SAMP_kārta!N129+Rezerve_SAM_SAMP_kārta!N130+Rezerve_SAM_SAMP_kārta!N131+Rezerve_SAM_SAMP_kārta!N132+Rezerve_SAM_SAMP_kārta!N133+Rezerve_SAM_SAMP_kārta!N134+Rezerve_SAM_SAMP_kārta!N135+Rezerve_SAM_SAMP_kārta!N136+Rezerve_SAM_SAMP_kārta!N137+Rezerve_SAM_SAMP_kārta!N138+Rezerve_SAM_SAMP_kārta!N139+Rezerve_SAM_SAMP_kārta!N140+Rezerve_SAM_SAMP_kārta!N141+Rezerve_SAM_SAMP_kārta!N143+Rezerve_SAM_SAMP_kārta!N144+Rezerve_SAM_SAMP_kārta!N145+Rezerve_SAM_SAMP_kārta!N146+Rezerve_SAM_SAMP_kārta!N147+Rezerve_SAM_SAMP_kārta!N148+Rezerve_SAM_SAMP_kārta!N150+Rezerve_SAM_SAMP_kārta!N153+Rezerve_SAM_SAMP_kārta!N154</f>
        <v>34114744</v>
      </c>
      <c r="P24" s="130">
        <f>Rezerve_SAM_SAMP_kārta!O7+Rezerve_SAM_SAMP_kārta!O8+Rezerve_SAM_SAMP_kārta!O9+Rezerve_SAM_SAMP_kārta!O10+Rezerve_SAM_SAMP_kārta!O11+Rezerve_SAM_SAMP_kārta!O12+Rezerve_SAM_SAMP_kārta!O13+Rezerve_SAM_SAMP_kārta!O14+Rezerve_SAM_SAMP_kārta!O15+Rezerve_SAM_SAMP_kārta!O16+Rezerve_SAM_SAMP_kārta!O17+Rezerve_SAM_SAMP_kārta!O128+Rezerve_SAM_SAMP_kārta!O129+Rezerve_SAM_SAMP_kārta!O130+Rezerve_SAM_SAMP_kārta!O131+Rezerve_SAM_SAMP_kārta!O132+Rezerve_SAM_SAMP_kārta!O133+Rezerve_SAM_SAMP_kārta!O134+Rezerve_SAM_SAMP_kārta!O135+Rezerve_SAM_SAMP_kārta!O136+Rezerve_SAM_SAMP_kārta!O137+Rezerve_SAM_SAMP_kārta!O138+Rezerve_SAM_SAMP_kārta!O139+Rezerve_SAM_SAMP_kārta!O140+Rezerve_SAM_SAMP_kārta!O141+Rezerve_SAM_SAMP_kārta!O143+Rezerve_SAM_SAMP_kārta!O144+Rezerve_SAM_SAMP_kārta!O145+Rezerve_SAM_SAMP_kārta!O146+Rezerve_SAM_SAMP_kārta!O147+Rezerve_SAM_SAMP_kārta!O148+Rezerve_SAM_SAMP_kārta!O150+Rezerve_SAM_SAMP_kārta!O153+Rezerve_SAM_SAMP_kārta!O154</f>
        <v>14511353</v>
      </c>
      <c r="Q24" s="122">
        <f t="shared" si="8"/>
        <v>82522221</v>
      </c>
    </row>
    <row r="25" spans="2:17" x14ac:dyDescent="0.25">
      <c r="K25" s="129" t="s">
        <v>6</v>
      </c>
      <c r="L25" s="129"/>
      <c r="M25" s="129" t="s">
        <v>564</v>
      </c>
      <c r="N25" s="131">
        <v>0</v>
      </c>
      <c r="O25" s="131">
        <v>0</v>
      </c>
      <c r="P25" s="131">
        <v>0</v>
      </c>
      <c r="Q25" s="122">
        <f t="shared" si="8"/>
        <v>0</v>
      </c>
    </row>
    <row r="26" spans="2:17" x14ac:dyDescent="0.25">
      <c r="K26" s="129" t="s">
        <v>6</v>
      </c>
      <c r="L26" s="129"/>
      <c r="M26" s="129" t="s">
        <v>563</v>
      </c>
      <c r="N26" s="130">
        <f>Rezerve_SAM_SAMP_kārta!K142+Rezerve_SAM_SAMP_kārta!K149+Rezerve_SAM_SAMP_kārta!K151+Rezerve_SAM_SAMP_kārta!K152+Rezerve_SAM_SAMP_kārta!K155+Rezerve_SAM_SAMP_kārta!K156</f>
        <v>4191913</v>
      </c>
      <c r="O26" s="130">
        <f>Rezerve_SAM_SAMP_kārta!N142+Rezerve_SAM_SAMP_kārta!N149+Rezerve_SAM_SAMP_kārta!N151+Rezerve_SAM_SAMP_kārta!N152+Rezerve_SAM_SAMP_kārta!N155+Rezerve_SAM_SAMP_kārta!N156</f>
        <v>59175</v>
      </c>
      <c r="P26" s="130">
        <f>Rezerve_SAM_SAMP_kārta!O142+Rezerve_SAM_SAMP_kārta!O149+Rezerve_SAM_SAMP_kārta!O151+Rezerve_SAM_SAMP_kārta!O152+Rezerve_SAM_SAMP_kārta!O155+Rezerve_SAM_SAMP_kārta!O156</f>
        <v>54223</v>
      </c>
      <c r="Q26" s="122">
        <f t="shared" si="8"/>
        <v>4251088</v>
      </c>
    </row>
    <row r="27" spans="2:17" x14ac:dyDescent="0.25">
      <c r="E27" t="s">
        <v>575</v>
      </c>
      <c r="F27" t="s">
        <v>511</v>
      </c>
      <c r="K27" s="126" t="s">
        <v>161</v>
      </c>
      <c r="L27" s="126"/>
      <c r="M27" s="126" t="s">
        <v>515</v>
      </c>
      <c r="N27" s="128">
        <v>0</v>
      </c>
      <c r="O27" s="128">
        <v>0</v>
      </c>
      <c r="P27" s="128">
        <v>0</v>
      </c>
      <c r="Q27" s="122">
        <f t="shared" si="8"/>
        <v>0</v>
      </c>
    </row>
    <row r="28" spans="2:17" x14ac:dyDescent="0.25">
      <c r="B28" t="s">
        <v>154</v>
      </c>
      <c r="C28" t="s">
        <v>250</v>
      </c>
      <c r="E28" s="16" t="e">
        <f>SUMIFS(Rezerve_SAM_SAMP_kārta!M$6:M$187,Rezerve_SAM_SAMP_kārta!$G$6:$G$187,Apkopojums!$B$28,Rezerve_SAM_SAMP_kārta!#REF!,Apkopojums!C28)</f>
        <v>#REF!</v>
      </c>
      <c r="F28" s="16" t="e">
        <f>SUMIFS(Rezerve_SAM_SAMP_kārta!N$6:N$187,Rezerve_SAM_SAMP_kārta!$G$6:$G$187,Apkopojums!$B$28,Rezerve_SAM_SAMP_kārta!#REF!,Apkopojums!C28)</f>
        <v>#REF!</v>
      </c>
      <c r="G28" s="140"/>
      <c r="H28" s="140"/>
      <c r="K28" s="126" t="s">
        <v>161</v>
      </c>
      <c r="L28" s="126"/>
      <c r="M28" s="126" t="s">
        <v>564</v>
      </c>
      <c r="N28" s="128">
        <v>0</v>
      </c>
      <c r="O28" s="128">
        <v>0</v>
      </c>
      <c r="P28" s="128">
        <v>0</v>
      </c>
      <c r="Q28" s="122">
        <f t="shared" si="8"/>
        <v>0</v>
      </c>
    </row>
    <row r="29" spans="2:17" x14ac:dyDescent="0.25">
      <c r="C29" t="s">
        <v>262</v>
      </c>
      <c r="E29" s="16" t="e">
        <f>SUMIFS(Rezerve_SAM_SAMP_kārta!M$6:M$187,Rezerve_SAM_SAMP_kārta!$G$6:$G$187,Apkopojums!$B$28,Rezerve_SAM_SAMP_kārta!#REF!,Apkopojums!C29)</f>
        <v>#REF!</v>
      </c>
      <c r="F29" s="16" t="e">
        <f>SUMIFS(Rezerve_SAM_SAMP_kārta!N$6:N$187,Rezerve_SAM_SAMP_kārta!$G$6:$G$187,Apkopojums!$B$28,Rezerve_SAM_SAMP_kārta!#REF!,Apkopojums!C29)</f>
        <v>#REF!</v>
      </c>
      <c r="G29" s="140" t="e">
        <f t="shared" ref="G29:G92" si="9">E29*0.000001</f>
        <v>#REF!</v>
      </c>
      <c r="H29" s="140" t="e">
        <f t="shared" ref="H29:H92" si="10">F29*0.000001</f>
        <v>#REF!</v>
      </c>
      <c r="K29" s="126" t="s">
        <v>161</v>
      </c>
      <c r="L29" s="126"/>
      <c r="M29" s="126" t="s">
        <v>563</v>
      </c>
      <c r="N29" s="127">
        <f>Rezerve_SAM_SAMP_kārta!K95+Rezerve_SAM_SAMP_kārta!K96+Rezerve_SAM_SAMP_kārta!K97+Rezerve_SAM_SAMP_kārta!K98</f>
        <v>7049425</v>
      </c>
      <c r="O29" s="127">
        <f>Rezerve_SAM_SAMP_kārta!N95+Rezerve_SAM_SAMP_kārta!N96+Rezerve_SAM_SAMP_kārta!N97+Rezerve_SAM_SAMP_kārta!N98</f>
        <v>33600166</v>
      </c>
      <c r="P29" s="127">
        <f>Rezerve_SAM_SAMP_kārta!O95+Rezerve_SAM_SAMP_kārta!O96+Rezerve_SAM_SAMP_kārta!O97+Rezerve_SAM_SAMP_kārta!O98</f>
        <v>24055075</v>
      </c>
      <c r="Q29" s="122">
        <f t="shared" si="8"/>
        <v>40649591</v>
      </c>
    </row>
    <row r="30" spans="2:17" x14ac:dyDescent="0.25">
      <c r="C30" t="s">
        <v>251</v>
      </c>
      <c r="E30" s="16" t="e">
        <f>SUMIFS(Rezerve_SAM_SAMP_kārta!M$6:M$187,Rezerve_SAM_SAMP_kārta!$G$6:$G$187,Apkopojums!$B$28,Rezerve_SAM_SAMP_kārta!#REF!,Apkopojums!C30)</f>
        <v>#REF!</v>
      </c>
      <c r="F30" s="16" t="e">
        <f>SUMIFS(Rezerve_SAM_SAMP_kārta!N$6:N$187,Rezerve_SAM_SAMP_kārta!$G$6:$G$187,Apkopojums!$B$28,Rezerve_SAM_SAMP_kārta!#REF!,Apkopojums!C30)</f>
        <v>#REF!</v>
      </c>
      <c r="G30" s="140" t="e">
        <f t="shared" si="9"/>
        <v>#REF!</v>
      </c>
      <c r="H30" s="140" t="e">
        <f t="shared" si="10"/>
        <v>#REF!</v>
      </c>
      <c r="K30" s="129" t="s">
        <v>162</v>
      </c>
      <c r="L30" s="129"/>
      <c r="M30" s="129" t="s">
        <v>515</v>
      </c>
      <c r="N30" s="130">
        <f>Rezerve_SAM_SAMP_kārta!K118+Rezerve_SAM_SAMP_kārta!K121+Rezerve_SAM_SAMP_kārta!K122+Rezerve_SAM_SAMP_kārta!K123+Rezerve_SAM_SAMP_kārta!K159+Rezerve_SAM_SAMP_kārta!K160+Rezerve_SAM_SAMP_kārta!K161+Rezerve_SAM_SAMP_kārta!K171+Rezerve_SAM_SAMP_kārta!K172+Rezerve_SAM_SAMP_kārta!K173</f>
        <v>15577388.000000004</v>
      </c>
      <c r="O30" s="130">
        <f>Rezerve_SAM_SAMP_kārta!N118+Rezerve_SAM_SAMP_kārta!N121+Rezerve_SAM_SAMP_kārta!N122+Rezerve_SAM_SAMP_kārta!N123+Rezerve_SAM_SAMP_kārta!N159+Rezerve_SAM_SAMP_kārta!N160+Rezerve_SAM_SAMP_kārta!N161+Rezerve_SAM_SAMP_kārta!N171+Rezerve_SAM_SAMP_kārta!N172+Rezerve_SAM_SAMP_kārta!N173</f>
        <v>13448653</v>
      </c>
      <c r="P30" s="130">
        <f>Rezerve_SAM_SAMP_kārta!O118+Rezerve_SAM_SAMP_kārta!O121+Rezerve_SAM_SAMP_kārta!O122+Rezerve_SAM_SAMP_kārta!O123+Rezerve_SAM_SAMP_kārta!O159+Rezerve_SAM_SAMP_kārta!O160+Rezerve_SAM_SAMP_kārta!O161+Rezerve_SAM_SAMP_kārta!O171+Rezerve_SAM_SAMP_kārta!O172+Rezerve_SAM_SAMP_kārta!O173</f>
        <v>2669413</v>
      </c>
      <c r="Q30" s="122">
        <f t="shared" si="8"/>
        <v>29026041.000000004</v>
      </c>
    </row>
    <row r="31" spans="2:17" x14ac:dyDescent="0.25">
      <c r="C31" t="s">
        <v>248</v>
      </c>
      <c r="E31" s="16" t="e">
        <f>SUMIFS(Rezerve_SAM_SAMP_kārta!M$6:M$187,Rezerve_SAM_SAMP_kārta!$G$6:$G$187,Apkopojums!$B$28,Rezerve_SAM_SAMP_kārta!#REF!,Apkopojums!C31)</f>
        <v>#REF!</v>
      </c>
      <c r="F31" s="16" t="e">
        <f>SUMIFS(Rezerve_SAM_SAMP_kārta!N$6:N$187,Rezerve_SAM_SAMP_kārta!$G$6:$G$187,Apkopojums!$B$28,Rezerve_SAM_SAMP_kārta!#REF!,Apkopojums!C31)</f>
        <v>#REF!</v>
      </c>
      <c r="G31" s="140" t="e">
        <f t="shared" si="9"/>
        <v>#REF!</v>
      </c>
      <c r="H31" s="140" t="e">
        <f t="shared" si="10"/>
        <v>#REF!</v>
      </c>
      <c r="K31" s="129" t="s">
        <v>162</v>
      </c>
      <c r="L31" s="129"/>
      <c r="M31" s="129" t="s">
        <v>564</v>
      </c>
      <c r="N31" s="131">
        <v>0</v>
      </c>
      <c r="O31" s="131">
        <v>0</v>
      </c>
      <c r="P31" s="131">
        <v>0</v>
      </c>
      <c r="Q31" s="122">
        <f t="shared" si="8"/>
        <v>0</v>
      </c>
    </row>
    <row r="32" spans="2:17" x14ac:dyDescent="0.25">
      <c r="C32" t="s">
        <v>247</v>
      </c>
      <c r="E32" s="16" t="e">
        <f>SUMIFS(Rezerve_SAM_SAMP_kārta!M$6:M$187,Rezerve_SAM_SAMP_kārta!$G$6:$G$187,Apkopojums!$B$28,Rezerve_SAM_SAMP_kārta!#REF!,Apkopojums!C32)</f>
        <v>#REF!</v>
      </c>
      <c r="F32" s="16" t="e">
        <f>SUMIFS(Rezerve_SAM_SAMP_kārta!N$6:N$187,Rezerve_SAM_SAMP_kārta!$G$6:$G$187,Apkopojums!$B$28,Rezerve_SAM_SAMP_kārta!#REF!,Apkopojums!C32)</f>
        <v>#REF!</v>
      </c>
      <c r="G32" s="140" t="e">
        <f t="shared" si="9"/>
        <v>#REF!</v>
      </c>
      <c r="H32" s="140" t="e">
        <f t="shared" si="10"/>
        <v>#REF!</v>
      </c>
      <c r="K32" s="129" t="s">
        <v>162</v>
      </c>
      <c r="L32" s="129"/>
      <c r="M32" s="129" t="s">
        <v>563</v>
      </c>
      <c r="N32" s="130">
        <f>Rezerve_SAM_SAMP_kārta!K119+Rezerve_SAM_SAMP_kārta!K120+Rezerve_SAM_SAMP_kārta!K124+Rezerve_SAM_SAMP_kārta!K125+Rezerve_SAM_SAMP_kārta!K164+Rezerve_SAM_SAMP_kārta!K165+Rezerve_SAM_SAMP_kārta!K166+Rezerve_SAM_SAMP_kārta!K167+Rezerve_SAM_SAMP_kārta!K168+Rezerve_SAM_SAMP_kārta!K169+Rezerve_SAM_SAMP_kārta!K170+Rezerve_SAM_SAMP_kārta!K179+Rezerve_SAM_SAMP_kārta!K180+Rezerve_SAM_SAMP_kārta!K181</f>
        <v>2515517</v>
      </c>
      <c r="O32" s="130">
        <f>Rezerve_SAM_SAMP_kārta!N119+Rezerve_SAM_SAMP_kārta!N120+Rezerve_SAM_SAMP_kārta!N124+Rezerve_SAM_SAMP_kārta!N125+Rezerve_SAM_SAMP_kārta!N164+Rezerve_SAM_SAMP_kārta!N165+Rezerve_SAM_SAMP_kārta!N166+Rezerve_SAM_SAMP_kārta!N167+Rezerve_SAM_SAMP_kārta!N168+Rezerve_SAM_SAMP_kārta!N169+Rezerve_SAM_SAMP_kārta!N170+Rezerve_SAM_SAMP_kārta!N179+Rezerve_SAM_SAMP_kārta!N180+Rezerve_SAM_SAMP_kārta!N181</f>
        <v>6652219</v>
      </c>
      <c r="P32" s="130">
        <f>Rezerve_SAM_SAMP_kārta!O119+Rezerve_SAM_SAMP_kārta!O120+Rezerve_SAM_SAMP_kārta!O124+Rezerve_SAM_SAMP_kārta!O125+Rezerve_SAM_SAMP_kārta!O164+Rezerve_SAM_SAMP_kārta!O165+Rezerve_SAM_SAMP_kārta!O166+Rezerve_SAM_SAMP_kārta!O167+Rezerve_SAM_SAMP_kārta!O168+Rezerve_SAM_SAMP_kārta!O169+Rezerve_SAM_SAMP_kārta!O170+Rezerve_SAM_SAMP_kārta!O179+Rezerve_SAM_SAMP_kārta!O180+Rezerve_SAM_SAMP_kārta!O181</f>
        <v>315174</v>
      </c>
      <c r="Q32" s="122">
        <f t="shared" si="8"/>
        <v>9167736</v>
      </c>
    </row>
    <row r="33" spans="2:17" x14ac:dyDescent="0.25">
      <c r="E33" s="16" t="e">
        <f>SUM(E28:E32)</f>
        <v>#REF!</v>
      </c>
      <c r="F33" s="16" t="e">
        <f>SUM(F28:F32)</f>
        <v>#REF!</v>
      </c>
      <c r="G33" s="140" t="e">
        <f t="shared" si="9"/>
        <v>#REF!</v>
      </c>
      <c r="H33" s="140" t="e">
        <f t="shared" si="10"/>
        <v>#REF!</v>
      </c>
      <c r="K33" s="126" t="s">
        <v>154</v>
      </c>
      <c r="L33" s="126"/>
      <c r="M33" s="126" t="s">
        <v>515</v>
      </c>
      <c r="N33" s="127">
        <f>Rezerve_SAM_SAMP_kārta!K111+Rezerve_SAM_SAMP_kārta!K115</f>
        <v>27877779</v>
      </c>
      <c r="O33" s="127">
        <f>Rezerve_SAM_SAMP_kārta!N111+Rezerve_SAM_SAMP_kārta!N115</f>
        <v>7223197</v>
      </c>
      <c r="P33" s="127">
        <f>Rezerve_SAM_SAMP_kārta!O111+Rezerve_SAM_SAMP_kārta!O115</f>
        <v>7223197</v>
      </c>
      <c r="Q33" s="122">
        <f t="shared" si="8"/>
        <v>35100976</v>
      </c>
    </row>
    <row r="34" spans="2:17" x14ac:dyDescent="0.25">
      <c r="E34" t="e">
        <f>E33=E2</f>
        <v>#REF!</v>
      </c>
      <c r="F34" t="e">
        <f>F33=F2</f>
        <v>#REF!</v>
      </c>
      <c r="G34" s="140"/>
      <c r="H34" s="140"/>
      <c r="K34" s="126" t="s">
        <v>154</v>
      </c>
      <c r="L34" s="126"/>
      <c r="M34" s="126" t="s">
        <v>564</v>
      </c>
      <c r="N34" s="127">
        <f>Rezerve_SAM_SAMP_kārta!K71+Rezerve_SAM_SAMP_kārta!K113</f>
        <v>34022189</v>
      </c>
      <c r="O34" s="127">
        <f>Rezerve_SAM_SAMP_kārta!N71+Rezerve_SAM_SAMP_kārta!N113</f>
        <v>65673861</v>
      </c>
      <c r="P34" s="127">
        <f>Rezerve_SAM_SAMP_kārta!O71+Rezerve_SAM_SAMP_kārta!O113</f>
        <v>65673861</v>
      </c>
      <c r="Q34" s="122">
        <f t="shared" si="8"/>
        <v>99696050</v>
      </c>
    </row>
    <row r="35" spans="2:17" x14ac:dyDescent="0.25">
      <c r="B35" t="s">
        <v>153</v>
      </c>
      <c r="C35" t="s">
        <v>250</v>
      </c>
      <c r="E35" s="16" t="e">
        <f>SUMIFS(Rezerve_SAM_SAMP_kārta!M$6:M$187,Rezerve_SAM_SAMP_kārta!$G$6:$G$187,Apkopojums!$B$35,Rezerve_SAM_SAMP_kārta!#REF!,Apkopojums!C35)</f>
        <v>#REF!</v>
      </c>
      <c r="F35" s="16" t="e">
        <f>SUMIFS(Rezerve_SAM_SAMP_kārta!N$6:N$187,Rezerve_SAM_SAMP_kārta!$G$6:$G$187,Apkopojums!$B$35,Rezerve_SAM_SAMP_kārta!#REF!,Apkopojums!C35)</f>
        <v>#REF!</v>
      </c>
      <c r="G35" s="140" t="e">
        <f t="shared" si="9"/>
        <v>#REF!</v>
      </c>
      <c r="H35" s="140" t="e">
        <f t="shared" si="10"/>
        <v>#REF!</v>
      </c>
      <c r="K35" s="126" t="s">
        <v>154</v>
      </c>
      <c r="L35" s="126"/>
      <c r="M35" s="126" t="s">
        <v>562</v>
      </c>
      <c r="N35" s="127">
        <f>Rezerve_SAM_SAMP_kārta!K31+Rezerve_SAM_SAMP_kārta!K32+Rezerve_SAM_SAMP_kārta!K70+Rezerve_SAM_SAMP_kārta!K72+Rezerve_SAM_SAMP_kārta!K73+Rezerve_SAM_SAMP_kārta!K105+Rezerve_SAM_SAMP_kārta!K106+Rezerve_SAM_SAMP_kārta!K107+Rezerve_SAM_SAMP_kārta!K108+Rezerve_SAM_SAMP_kārta!K109+Rezerve_SAM_SAMP_kārta!K110+Rezerve_SAM_SAMP_kārta!K114</f>
        <v>19474478</v>
      </c>
      <c r="O35" s="127">
        <f>Rezerve_SAM_SAMP_kārta!N31+Rezerve_SAM_SAMP_kārta!N32+Rezerve_SAM_SAMP_kārta!N70+Rezerve_SAM_SAMP_kārta!N72+Rezerve_SAM_SAMP_kārta!N73+Rezerve_SAM_SAMP_kārta!N105+Rezerve_SAM_SAMP_kārta!N106+Rezerve_SAM_SAMP_kārta!N107+Rezerve_SAM_SAMP_kārta!N108+Rezerve_SAM_SAMP_kārta!N109+Rezerve_SAM_SAMP_kārta!N110+Rezerve_SAM_SAMP_kārta!N114</f>
        <v>101995346</v>
      </c>
      <c r="P35" s="127">
        <f>Rezerve_SAM_SAMP_kārta!O31+Rezerve_SAM_SAMP_kārta!O32+Rezerve_SAM_SAMP_kārta!O70+Rezerve_SAM_SAMP_kārta!O72+Rezerve_SAM_SAMP_kārta!O73+Rezerve_SAM_SAMP_kārta!O105+Rezerve_SAM_SAMP_kārta!O106+Rezerve_SAM_SAMP_kārta!O107+Rezerve_SAM_SAMP_kārta!O108+Rezerve_SAM_SAMP_kārta!O109+Rezerve_SAM_SAMP_kārta!O110+Rezerve_SAM_SAMP_kārta!O114</f>
        <v>5470775</v>
      </c>
      <c r="Q35" s="122">
        <f t="shared" si="8"/>
        <v>121469824</v>
      </c>
    </row>
    <row r="36" spans="2:17" x14ac:dyDescent="0.25">
      <c r="C36" t="s">
        <v>262</v>
      </c>
      <c r="E36" s="16" t="e">
        <f>SUMIFS(Rezerve_SAM_SAMP_kārta!M$6:M$187,Rezerve_SAM_SAMP_kārta!$G$6:$G$187,Apkopojums!$B$35,Rezerve_SAM_SAMP_kārta!#REF!,Apkopojums!C36)</f>
        <v>#REF!</v>
      </c>
      <c r="F36" s="16" t="e">
        <f>SUMIFS(Rezerve_SAM_SAMP_kārta!N$6:N$187,Rezerve_SAM_SAMP_kārta!$G$6:$G$187,Apkopojums!$B$35,Rezerve_SAM_SAMP_kārta!#REF!,Apkopojums!C36)</f>
        <v>#REF!</v>
      </c>
      <c r="G36" s="140" t="e">
        <f t="shared" si="9"/>
        <v>#REF!</v>
      </c>
      <c r="H36" s="140" t="e">
        <f t="shared" si="10"/>
        <v>#REF!</v>
      </c>
      <c r="K36" s="129" t="s">
        <v>156</v>
      </c>
      <c r="L36" s="129"/>
      <c r="M36" s="129" t="s">
        <v>515</v>
      </c>
      <c r="N36" s="130">
        <f>Rezerve_SAM_SAMP_kārta!K50</f>
        <v>590385</v>
      </c>
      <c r="O36" s="130">
        <f>Rezerve_SAM_SAMP_kārta!N50</f>
        <v>0</v>
      </c>
      <c r="P36" s="130">
        <f>Rezerve_SAM_SAMP_kārta!O50</f>
        <v>0</v>
      </c>
      <c r="Q36" s="122">
        <f t="shared" si="8"/>
        <v>590385</v>
      </c>
    </row>
    <row r="37" spans="2:17" x14ac:dyDescent="0.25">
      <c r="C37" t="s">
        <v>251</v>
      </c>
      <c r="E37" s="16" t="e">
        <f>SUMIFS(Rezerve_SAM_SAMP_kārta!M$6:M$187,Rezerve_SAM_SAMP_kārta!$G$6:$G$187,Apkopojums!$B$35,Rezerve_SAM_SAMP_kārta!#REF!,Apkopojums!C37)</f>
        <v>#REF!</v>
      </c>
      <c r="F37" s="16" t="e">
        <f>SUMIFS(Rezerve_SAM_SAMP_kārta!N$6:N$187,Rezerve_SAM_SAMP_kārta!$G$6:$G$187,Apkopojums!$B$35,Rezerve_SAM_SAMP_kārta!#REF!,Apkopojums!C37)</f>
        <v>#REF!</v>
      </c>
      <c r="G37" s="140" t="e">
        <f t="shared" si="9"/>
        <v>#REF!</v>
      </c>
      <c r="H37" s="140" t="e">
        <f t="shared" si="10"/>
        <v>#REF!</v>
      </c>
      <c r="K37" s="129" t="s">
        <v>156</v>
      </c>
      <c r="L37" s="129"/>
      <c r="M37" s="129" t="s">
        <v>564</v>
      </c>
      <c r="N37" s="131">
        <v>0</v>
      </c>
      <c r="O37" s="131">
        <v>0</v>
      </c>
      <c r="P37" s="131">
        <v>0</v>
      </c>
      <c r="Q37" s="122">
        <f t="shared" si="8"/>
        <v>0</v>
      </c>
    </row>
    <row r="38" spans="2:17" x14ac:dyDescent="0.25">
      <c r="C38" t="s">
        <v>248</v>
      </c>
      <c r="E38" s="16" t="e">
        <f>SUMIFS(Rezerve_SAM_SAMP_kārta!M$6:M$187,Rezerve_SAM_SAMP_kārta!$G$6:$G$187,Apkopojums!$B$35,Rezerve_SAM_SAMP_kārta!#REF!,Apkopojums!C38)</f>
        <v>#REF!</v>
      </c>
      <c r="F38" s="16" t="e">
        <f>SUMIFS(Rezerve_SAM_SAMP_kārta!N$6:N$187,Rezerve_SAM_SAMP_kārta!$G$6:$G$187,Apkopojums!$B$35,Rezerve_SAM_SAMP_kārta!#REF!,Apkopojums!C38)</f>
        <v>#REF!</v>
      </c>
      <c r="G38" s="140" t="e">
        <f t="shared" si="9"/>
        <v>#REF!</v>
      </c>
      <c r="H38" s="140" t="e">
        <f t="shared" si="10"/>
        <v>#REF!</v>
      </c>
      <c r="K38" s="129" t="s">
        <v>156</v>
      </c>
      <c r="L38" s="129"/>
      <c r="M38" s="129" t="s">
        <v>563</v>
      </c>
      <c r="N38" s="130">
        <f>Rezerve_SAM_SAMP_kārta!K162+Rezerve_SAM_SAMP_kārta!K163</f>
        <v>497266</v>
      </c>
      <c r="O38" s="130">
        <f>Rezerve_SAM_SAMP_kārta!N162+Rezerve_SAM_SAMP_kārta!N163</f>
        <v>0</v>
      </c>
      <c r="P38" s="130">
        <f>Rezerve_SAM_SAMP_kārta!O162+Rezerve_SAM_SAMP_kārta!O163</f>
        <v>0</v>
      </c>
      <c r="Q38" s="122">
        <f t="shared" si="8"/>
        <v>497266</v>
      </c>
    </row>
    <row r="39" spans="2:17" x14ac:dyDescent="0.25">
      <c r="C39" t="s">
        <v>247</v>
      </c>
      <c r="E39" s="16" t="e">
        <f>SUMIFS(Rezerve_SAM_SAMP_kārta!M$6:M$187,Rezerve_SAM_SAMP_kārta!$G$6:$G$187,Apkopojums!$B$35,Rezerve_SAM_SAMP_kārta!#REF!,Apkopojums!C39)</f>
        <v>#REF!</v>
      </c>
      <c r="F39" s="16" t="e">
        <f>SUMIFS(Rezerve_SAM_SAMP_kārta!N$6:N$187,Rezerve_SAM_SAMP_kārta!$G$6:$G$187,Apkopojums!$B$35,Rezerve_SAM_SAMP_kārta!#REF!,Apkopojums!C39)</f>
        <v>#REF!</v>
      </c>
      <c r="G39" s="140" t="e">
        <f t="shared" si="9"/>
        <v>#REF!</v>
      </c>
      <c r="H39" s="140" t="e">
        <f t="shared" si="10"/>
        <v>#REF!</v>
      </c>
      <c r="K39" s="126" t="s">
        <v>155</v>
      </c>
      <c r="L39" s="126"/>
      <c r="M39" s="126" t="s">
        <v>515</v>
      </c>
      <c r="N39" s="127">
        <f>Rezerve_SAM_SAMP_kārta!K33+Rezerve_SAM_SAMP_kārta!K34+Rezerve_SAM_SAMP_kārta!K85+Rezerve_SAM_SAMP_kārta!K86+Rezerve_SAM_SAMP_kārta!K87+Rezerve_SAM_SAMP_kārta!K88</f>
        <v>7856780</v>
      </c>
      <c r="O39" s="127">
        <f>Rezerve_SAM_SAMP_kārta!N33+Rezerve_SAM_SAMP_kārta!N34+Rezerve_SAM_SAMP_kārta!N85+Rezerve_SAM_SAMP_kārta!N86+Rezerve_SAM_SAMP_kārta!N87+Rezerve_SAM_SAMP_kārta!N88</f>
        <v>13527495</v>
      </c>
      <c r="P39" s="127">
        <f>Rezerve_SAM_SAMP_kārta!O33+Rezerve_SAM_SAMP_kārta!O34+Rezerve_SAM_SAMP_kārta!O85+Rezerve_SAM_SAMP_kārta!O86+Rezerve_SAM_SAMP_kārta!O87+Rezerve_SAM_SAMP_kārta!O88</f>
        <v>4655921</v>
      </c>
      <c r="Q39" s="122">
        <f t="shared" si="8"/>
        <v>21384275</v>
      </c>
    </row>
    <row r="40" spans="2:17" x14ac:dyDescent="0.25">
      <c r="E40" s="122" t="e">
        <f>SUM(E35:E39)</f>
        <v>#REF!</v>
      </c>
      <c r="F40" s="122" t="e">
        <f>SUM(F35:F39)</f>
        <v>#REF!</v>
      </c>
      <c r="G40" s="140" t="e">
        <f t="shared" si="9"/>
        <v>#REF!</v>
      </c>
      <c r="H40" s="140" t="e">
        <f t="shared" si="10"/>
        <v>#REF!</v>
      </c>
      <c r="K40" s="126" t="s">
        <v>155</v>
      </c>
      <c r="L40" s="126"/>
      <c r="M40" s="126" t="s">
        <v>564</v>
      </c>
      <c r="N40" s="127">
        <f>Rezerve_SAM_SAMP_kārta!K99+Rezerve_SAM_SAMP_kārta!K100+Rezerve_SAM_SAMP_kārta!K101</f>
        <v>14426861</v>
      </c>
      <c r="O40" s="127">
        <f>Rezerve_SAM_SAMP_kārta!N99+Rezerve_SAM_SAMP_kārta!N100+Rezerve_SAM_SAMP_kārta!N101</f>
        <v>43587041</v>
      </c>
      <c r="P40" s="127">
        <f>Rezerve_SAM_SAMP_kārta!O99+Rezerve_SAM_SAMP_kārta!O100+Rezerve_SAM_SAMP_kārta!O101</f>
        <v>3294</v>
      </c>
      <c r="Q40" s="122">
        <f t="shared" si="8"/>
        <v>58013902</v>
      </c>
    </row>
    <row r="41" spans="2:17" x14ac:dyDescent="0.25">
      <c r="E41" t="e">
        <f>E40=E3</f>
        <v>#REF!</v>
      </c>
      <c r="F41" t="e">
        <f>F40=F3</f>
        <v>#REF!</v>
      </c>
      <c r="G41" s="140"/>
      <c r="H41" s="140"/>
      <c r="K41" s="126" t="s">
        <v>155</v>
      </c>
      <c r="L41" s="126"/>
      <c r="M41" s="126" t="s">
        <v>563</v>
      </c>
      <c r="N41" s="127">
        <f>Rezerve_SAM_SAMP_kārta!K47+Rezerve_SAM_SAMP_kārta!K48+Rezerve_SAM_SAMP_kārta!K49+Rezerve_SAM_SAMP_kārta!K64+Rezerve_SAM_SAMP_kārta!K65+Rezerve_SAM_SAMP_kārta!K66+Rezerve_SAM_SAMP_kārta!K76+Rezerve_SAM_SAMP_kārta!K77+Rezerve_SAM_SAMP_kārta!K78+Rezerve_SAM_SAMP_kārta!K80+Rezerve_SAM_SAMP_kārta!K81+Rezerve_SAM_SAMP_kārta!K82+Rezerve_SAM_SAMP_kārta!K83+Rezerve_SAM_SAMP_kārta!K84+Rezerve_SAM_SAMP_kārta!K89+Rezerve_SAM_SAMP_kārta!K90+Rezerve_SAM_SAMP_kārta!K91+Rezerve_SAM_SAMP_kārta!K92+Rezerve_SAM_SAMP_kārta!K93+Rezerve_SAM_SAMP_kārta!K94+Rezerve_SAM_SAMP_kārta!K102</f>
        <v>19957835</v>
      </c>
      <c r="O41" s="127">
        <f>Rezerve_SAM_SAMP_kārta!N47+Rezerve_SAM_SAMP_kārta!N48+Rezerve_SAM_SAMP_kārta!N49+Rezerve_SAM_SAMP_kārta!N64+Rezerve_SAM_SAMP_kārta!N65+Rezerve_SAM_SAMP_kārta!N66+Rezerve_SAM_SAMP_kārta!N76+Rezerve_SAM_SAMP_kārta!N77+Rezerve_SAM_SAMP_kārta!N78+Rezerve_SAM_SAMP_kārta!N80+Rezerve_SAM_SAMP_kārta!N81+Rezerve_SAM_SAMP_kārta!N82+Rezerve_SAM_SAMP_kārta!N83+Rezerve_SAM_SAMP_kārta!N84+Rezerve_SAM_SAMP_kārta!N89+Rezerve_SAM_SAMP_kārta!N90+Rezerve_SAM_SAMP_kārta!N91+Rezerve_SAM_SAMP_kārta!N92+Rezerve_SAM_SAMP_kārta!N93+Rezerve_SAM_SAMP_kārta!N94+Rezerve_SAM_SAMP_kārta!N102</f>
        <v>18209792</v>
      </c>
      <c r="P41" s="127">
        <f>Rezerve_SAM_SAMP_kārta!O47+Rezerve_SAM_SAMP_kārta!O48+Rezerve_SAM_SAMP_kārta!O49+Rezerve_SAM_SAMP_kārta!O64+Rezerve_SAM_SAMP_kārta!O65+Rezerve_SAM_SAMP_kārta!O66+Rezerve_SAM_SAMP_kārta!O76+Rezerve_SAM_SAMP_kārta!O77+Rezerve_SAM_SAMP_kārta!O78+Rezerve_SAM_SAMP_kārta!O80+Rezerve_SAM_SAMP_kārta!O81+Rezerve_SAM_SAMP_kārta!O82+Rezerve_SAM_SAMP_kārta!O83+Rezerve_SAM_SAMP_kārta!O84+Rezerve_SAM_SAMP_kārta!O89+Rezerve_SAM_SAMP_kārta!O90+Rezerve_SAM_SAMP_kārta!O91+Rezerve_SAM_SAMP_kārta!O92+Rezerve_SAM_SAMP_kārta!O93+Rezerve_SAM_SAMP_kārta!O94+Rezerve_SAM_SAMP_kārta!O102</f>
        <v>11413859</v>
      </c>
      <c r="Q41" s="122">
        <f t="shared" si="8"/>
        <v>38167627</v>
      </c>
    </row>
    <row r="42" spans="2:17" x14ac:dyDescent="0.25">
      <c r="B42" t="s">
        <v>155</v>
      </c>
      <c r="C42" t="s">
        <v>250</v>
      </c>
      <c r="E42" s="16" t="e">
        <f>SUMIFS(Rezerve_SAM_SAMP_kārta!M$6:M$187,Rezerve_SAM_SAMP_kārta!$G$6:$G$187,Apkopojums!$B$42,Rezerve_SAM_SAMP_kārta!#REF!,Apkopojums!C42)</f>
        <v>#REF!</v>
      </c>
      <c r="F42" s="16" t="e">
        <f>SUMIFS(Rezerve_SAM_SAMP_kārta!N$6:N$187,Rezerve_SAM_SAMP_kārta!$G$6:$G$187,Apkopojums!$B$42,Rezerve_SAM_SAMP_kārta!#REF!,Apkopojums!C42)</f>
        <v>#REF!</v>
      </c>
      <c r="G42" s="140" t="e">
        <f t="shared" si="9"/>
        <v>#REF!</v>
      </c>
      <c r="H42" s="140" t="e">
        <f t="shared" si="10"/>
        <v>#REF!</v>
      </c>
      <c r="K42" s="129" t="s">
        <v>158</v>
      </c>
      <c r="L42" s="129"/>
      <c r="M42" s="129" t="s">
        <v>515</v>
      </c>
      <c r="N42" s="131">
        <v>0</v>
      </c>
      <c r="O42" s="131">
        <v>0</v>
      </c>
      <c r="P42" s="131">
        <v>0</v>
      </c>
      <c r="Q42" s="122">
        <f t="shared" si="8"/>
        <v>0</v>
      </c>
    </row>
    <row r="43" spans="2:17" x14ac:dyDescent="0.25">
      <c r="C43" t="s">
        <v>262</v>
      </c>
      <c r="E43" s="16" t="e">
        <f>SUMIFS(Rezerve_SAM_SAMP_kārta!M$6:M$187,Rezerve_SAM_SAMP_kārta!$G$6:$G$187,Apkopojums!$B$42,Rezerve_SAM_SAMP_kārta!#REF!,Apkopojums!C43)</f>
        <v>#REF!</v>
      </c>
      <c r="F43" s="16" t="e">
        <f>SUMIFS(Rezerve_SAM_SAMP_kārta!N$6:N$187,Rezerve_SAM_SAMP_kārta!$G$6:$G$187,Apkopojums!$B$42,Rezerve_SAM_SAMP_kārta!#REF!,Apkopojums!C43)</f>
        <v>#REF!</v>
      </c>
      <c r="G43" s="140" t="e">
        <f t="shared" si="9"/>
        <v>#REF!</v>
      </c>
      <c r="H43" s="140" t="e">
        <f t="shared" si="10"/>
        <v>#REF!</v>
      </c>
      <c r="K43" s="129" t="s">
        <v>158</v>
      </c>
      <c r="L43" s="129"/>
      <c r="M43" s="129" t="s">
        <v>564</v>
      </c>
      <c r="N43" s="131">
        <v>0</v>
      </c>
      <c r="O43" s="131">
        <v>0</v>
      </c>
      <c r="P43" s="131">
        <v>0</v>
      </c>
      <c r="Q43" s="122">
        <f t="shared" si="8"/>
        <v>0</v>
      </c>
    </row>
    <row r="44" spans="2:17" x14ac:dyDescent="0.25">
      <c r="C44" t="s">
        <v>251</v>
      </c>
      <c r="E44" s="16" t="e">
        <f>SUMIFS(Rezerve_SAM_SAMP_kārta!M$6:M$187,Rezerve_SAM_SAMP_kārta!$G$6:$G$187,Apkopojums!$B$42,Rezerve_SAM_SAMP_kārta!#REF!,Apkopojums!C44)</f>
        <v>#REF!</v>
      </c>
      <c r="F44" s="80" t="e">
        <f>SUMIFS(Rezerve_SAM_SAMP_kārta!N$6:N$187,Rezerve_SAM_SAMP_kārta!$G$6:$G$187,Apkopojums!$B$42,Rezerve_SAM_SAMP_kārta!#REF!,Apkopojums!C44)</f>
        <v>#REF!</v>
      </c>
      <c r="G44" s="140" t="e">
        <f t="shared" si="9"/>
        <v>#REF!</v>
      </c>
      <c r="H44" s="140" t="e">
        <f t="shared" si="10"/>
        <v>#REF!</v>
      </c>
      <c r="K44" s="129" t="s">
        <v>158</v>
      </c>
      <c r="L44" s="129"/>
      <c r="M44" s="129" t="s">
        <v>563</v>
      </c>
      <c r="N44" s="130">
        <f>Rezerve_SAM_SAMP_kārta!K51+Rezerve_SAM_SAMP_kārta!K52+Rezerve_SAM_SAMP_kārta!K53+Rezerve_SAM_SAMP_kārta!K54</f>
        <v>532889</v>
      </c>
      <c r="O44" s="130">
        <f>Rezerve_SAM_SAMP_kārta!N51+Rezerve_SAM_SAMP_kārta!N52+Rezerve_SAM_SAMP_kārta!N53+Rezerve_SAM_SAMP_kārta!N54</f>
        <v>722</v>
      </c>
      <c r="P44" s="130">
        <f>Rezerve_SAM_SAMP_kārta!O51+Rezerve_SAM_SAMP_kārta!O52+Rezerve_SAM_SAMP_kārta!O53+Rezerve_SAM_SAMP_kārta!O54</f>
        <v>722</v>
      </c>
      <c r="Q44" s="122">
        <f t="shared" si="8"/>
        <v>533611</v>
      </c>
    </row>
    <row r="45" spans="2:17" x14ac:dyDescent="0.25">
      <c r="C45" t="s">
        <v>248</v>
      </c>
      <c r="E45" s="16" t="e">
        <f>SUMIFS(Rezerve_SAM_SAMP_kārta!M$6:M$187,Rezerve_SAM_SAMP_kārta!$G$6:$G$187,Apkopojums!$B$42,Rezerve_SAM_SAMP_kārta!#REF!,Apkopojums!C45)</f>
        <v>#REF!</v>
      </c>
      <c r="F45" s="80" t="e">
        <f>SUMIFS(Rezerve_SAM_SAMP_kārta!N$6:N$187,Rezerve_SAM_SAMP_kārta!$G$6:$G$187,Apkopojums!$B$42,Rezerve_SAM_SAMP_kārta!#REF!,Apkopojums!C45)</f>
        <v>#REF!</v>
      </c>
      <c r="G45" s="140" t="e">
        <f t="shared" si="9"/>
        <v>#REF!</v>
      </c>
      <c r="H45" s="140" t="e">
        <f t="shared" si="10"/>
        <v>#REF!</v>
      </c>
      <c r="K45" s="126" t="s">
        <v>164</v>
      </c>
      <c r="L45" s="126"/>
      <c r="M45" s="126" t="s">
        <v>515</v>
      </c>
      <c r="N45" s="128">
        <v>0</v>
      </c>
      <c r="O45" s="128">
        <v>0</v>
      </c>
      <c r="P45" s="128">
        <v>0</v>
      </c>
      <c r="Q45" s="122">
        <f t="shared" si="8"/>
        <v>0</v>
      </c>
    </row>
    <row r="46" spans="2:17" x14ac:dyDescent="0.25">
      <c r="C46" t="s">
        <v>247</v>
      </c>
      <c r="E46" s="16" t="e">
        <f>SUMIFS(Rezerve_SAM_SAMP_kārta!M$6:M$187,Rezerve_SAM_SAMP_kārta!$G$6:$G$187,Apkopojums!$B$42,Rezerve_SAM_SAMP_kārta!#REF!,Apkopojums!C46)</f>
        <v>#REF!</v>
      </c>
      <c r="F46" s="80" t="e">
        <f>SUMIFS(Rezerve_SAM_SAMP_kārta!N$6:N$187,Rezerve_SAM_SAMP_kārta!$G$6:$G$187,Apkopojums!$B$42,Rezerve_SAM_SAMP_kārta!#REF!,Apkopojums!C46)</f>
        <v>#REF!</v>
      </c>
      <c r="G46" s="140" t="e">
        <f t="shared" si="9"/>
        <v>#REF!</v>
      </c>
      <c r="H46" s="140" t="e">
        <f t="shared" si="10"/>
        <v>#REF!</v>
      </c>
      <c r="K46" s="126" t="s">
        <v>164</v>
      </c>
      <c r="L46" s="126"/>
      <c r="M46" s="126" t="s">
        <v>564</v>
      </c>
      <c r="N46" s="127">
        <f>Rezerve_SAM_SAMP_kārta!K175+Rezerve_SAM_SAMP_kārta!K176+Rezerve_SAM_SAMP_kārta!K182+Rezerve_SAM_SAMP_kārta!K183+Rezerve_SAM_SAMP_kārta!K184+Rezerve_SAM_SAMP_kārta!K185</f>
        <v>14180587</v>
      </c>
      <c r="O46" s="127">
        <f>Rezerve_SAM_SAMP_kārta!N175+Rezerve_SAM_SAMP_kārta!N176+Rezerve_SAM_SAMP_kārta!N182+Rezerve_SAM_SAMP_kārta!N183+Rezerve_SAM_SAMP_kārta!N184+Rezerve_SAM_SAMP_kārta!N185</f>
        <v>14679753</v>
      </c>
      <c r="P46" s="127">
        <f>Rezerve_SAM_SAMP_kārta!O175+Rezerve_SAM_SAMP_kārta!O176+Rezerve_SAM_SAMP_kārta!O182+Rezerve_SAM_SAMP_kārta!O183+Rezerve_SAM_SAMP_kārta!O184+Rezerve_SAM_SAMP_kārta!O185</f>
        <v>12184994</v>
      </c>
      <c r="Q46" s="122">
        <f t="shared" si="8"/>
        <v>28860340</v>
      </c>
    </row>
    <row r="47" spans="2:17" x14ac:dyDescent="0.25">
      <c r="E47" s="122" t="e">
        <f>SUM(E42:E46)</f>
        <v>#REF!</v>
      </c>
      <c r="F47" s="122" t="e">
        <f>SUM(F42:F46)</f>
        <v>#REF!</v>
      </c>
      <c r="G47" s="140" t="e">
        <f t="shared" si="9"/>
        <v>#REF!</v>
      </c>
      <c r="H47" s="140" t="e">
        <f t="shared" si="10"/>
        <v>#REF!</v>
      </c>
      <c r="K47" s="126" t="s">
        <v>164</v>
      </c>
      <c r="L47" s="126"/>
      <c r="M47" s="126" t="s">
        <v>563</v>
      </c>
      <c r="N47" s="127">
        <f>Rezerve_SAM_SAMP_kārta!K174+Rezerve_SAM_SAMP_kārta!K177+Rezerve_SAM_SAMP_kārta!K178</f>
        <v>0</v>
      </c>
      <c r="O47" s="127">
        <f>Rezerve_SAM_SAMP_kārta!N174+Rezerve_SAM_SAMP_kārta!N177+Rezerve_SAM_SAMP_kārta!N178</f>
        <v>5022308</v>
      </c>
      <c r="P47" s="127">
        <f>Rezerve_SAM_SAMP_kārta!O174+Rezerve_SAM_SAMP_kārta!O177+Rezerve_SAM_SAMP_kārta!O178</f>
        <v>22308</v>
      </c>
      <c r="Q47" s="122">
        <f t="shared" si="8"/>
        <v>5022308</v>
      </c>
    </row>
    <row r="48" spans="2:17" x14ac:dyDescent="0.25">
      <c r="E48" t="e">
        <f>E47=E4</f>
        <v>#REF!</v>
      </c>
      <c r="F48" t="e">
        <f>F47=F4</f>
        <v>#REF!</v>
      </c>
      <c r="G48" s="140"/>
      <c r="H48" s="140"/>
      <c r="K48" s="129" t="s">
        <v>160</v>
      </c>
      <c r="L48" s="129"/>
      <c r="M48" s="129" t="s">
        <v>515</v>
      </c>
      <c r="N48" s="131">
        <v>0</v>
      </c>
      <c r="O48" s="131">
        <v>0</v>
      </c>
      <c r="P48" s="131">
        <v>0</v>
      </c>
      <c r="Q48" s="122">
        <f t="shared" si="8"/>
        <v>0</v>
      </c>
    </row>
    <row r="49" spans="2:22" x14ac:dyDescent="0.25">
      <c r="B49" t="s">
        <v>162</v>
      </c>
      <c r="C49" t="s">
        <v>250</v>
      </c>
      <c r="E49" s="16" t="e">
        <f>SUMIFS(Rezerve_SAM_SAMP_kārta!M$6:M$187,Rezerve_SAM_SAMP_kārta!$G$6:$G$187,Apkopojums!$B$49,Rezerve_SAM_SAMP_kārta!#REF!,Apkopojums!C49)</f>
        <v>#REF!</v>
      </c>
      <c r="F49" s="16" t="e">
        <f>SUMIFS(Rezerve_SAM_SAMP_kārta!N$6:N$187,Rezerve_SAM_SAMP_kārta!$G$6:$G$187,Apkopojums!$B$49,Rezerve_SAM_SAMP_kārta!#REF!,Apkopojums!C49)</f>
        <v>#REF!</v>
      </c>
      <c r="G49" s="140" t="e">
        <f t="shared" si="9"/>
        <v>#REF!</v>
      </c>
      <c r="H49" s="140" t="e">
        <f t="shared" si="10"/>
        <v>#REF!</v>
      </c>
      <c r="K49" s="129" t="s">
        <v>160</v>
      </c>
      <c r="L49" s="129"/>
      <c r="M49" s="129" t="s">
        <v>564</v>
      </c>
      <c r="N49" s="131">
        <v>0</v>
      </c>
      <c r="O49" s="131">
        <v>0</v>
      </c>
      <c r="P49" s="131">
        <v>0</v>
      </c>
      <c r="Q49" s="122">
        <f t="shared" si="8"/>
        <v>0</v>
      </c>
    </row>
    <row r="50" spans="2:22" x14ac:dyDescent="0.25">
      <c r="C50" t="s">
        <v>262</v>
      </c>
      <c r="E50" s="16" t="e">
        <f>SUMIFS(Rezerve_SAM_SAMP_kārta!M$6:M$187,Rezerve_SAM_SAMP_kārta!$G$6:$G$187,Apkopojums!$B$49,Rezerve_SAM_SAMP_kārta!#REF!,Apkopojums!C50)</f>
        <v>#REF!</v>
      </c>
      <c r="F50" s="16" t="e">
        <f>SUMIFS(Rezerve_SAM_SAMP_kārta!N$6:N$187,Rezerve_SAM_SAMP_kārta!$G$6:$G$187,Apkopojums!$B$49,Rezerve_SAM_SAMP_kārta!#REF!,Apkopojums!C50)</f>
        <v>#REF!</v>
      </c>
      <c r="G50" s="140" t="e">
        <f t="shared" si="9"/>
        <v>#REF!</v>
      </c>
      <c r="H50" s="140" t="e">
        <f t="shared" si="10"/>
        <v>#REF!</v>
      </c>
      <c r="K50" s="129" t="s">
        <v>160</v>
      </c>
      <c r="L50" s="129"/>
      <c r="M50" s="131" t="s">
        <v>563</v>
      </c>
      <c r="N50" s="130">
        <f>Rezerve_SAM_SAMP_kārta!K79</f>
        <v>2249597</v>
      </c>
      <c r="O50" s="130">
        <f>Rezerve_SAM_SAMP_kārta!N79</f>
        <v>2105348</v>
      </c>
      <c r="P50" s="130">
        <f>Rezerve_SAM_SAMP_kārta!O79</f>
        <v>2105348</v>
      </c>
      <c r="Q50" s="122">
        <f t="shared" si="8"/>
        <v>4354945</v>
      </c>
    </row>
    <row r="51" spans="2:22" x14ac:dyDescent="0.25">
      <c r="C51" t="s">
        <v>251</v>
      </c>
      <c r="E51" s="16" t="e">
        <f>SUMIFS(Rezerve_SAM_SAMP_kārta!M$6:M$187,Rezerve_SAM_SAMP_kārta!$G$6:$G$187,Apkopojums!$B$49,Rezerve_SAM_SAMP_kārta!#REF!,Apkopojums!C51)</f>
        <v>#REF!</v>
      </c>
      <c r="F51" s="16" t="e">
        <f>SUMIFS(Rezerve_SAM_SAMP_kārta!N$6:N$187,Rezerve_SAM_SAMP_kārta!$G$6:$G$187,Apkopojums!$B$49,Rezerve_SAM_SAMP_kārta!#REF!,Apkopojums!C51)</f>
        <v>#REF!</v>
      </c>
      <c r="G51" s="140" t="e">
        <f t="shared" si="9"/>
        <v>#REF!</v>
      </c>
      <c r="H51" s="140" t="e">
        <f t="shared" si="10"/>
        <v>#REF!</v>
      </c>
      <c r="K51" s="132" t="s">
        <v>561</v>
      </c>
      <c r="L51" s="132"/>
      <c r="M51" s="132" t="s">
        <v>515</v>
      </c>
      <c r="N51" s="133">
        <f>N21+N24+N27+N30+N33+N36+N39+N42+N45+N48</f>
        <v>123181376</v>
      </c>
      <c r="O51" s="133">
        <f>O21+O24+O27+O30+O33+O36+O39+O42+O45+O48</f>
        <v>90244408</v>
      </c>
      <c r="P51" s="133">
        <f>P21+P24+P27+P30+P33+P36+P39+P42+P45+P48</f>
        <v>50990203</v>
      </c>
      <c r="Q51" s="122">
        <f t="shared" si="8"/>
        <v>213425784</v>
      </c>
    </row>
    <row r="52" spans="2:22" x14ac:dyDescent="0.25">
      <c r="C52" t="s">
        <v>248</v>
      </c>
      <c r="E52" s="16" t="e">
        <f>SUMIFS(Rezerve_SAM_SAMP_kārta!M$6:M$187,Rezerve_SAM_SAMP_kārta!$G$6:$G$187,Apkopojums!$B$49,Rezerve_SAM_SAMP_kārta!#REF!,Apkopojums!C52)</f>
        <v>#REF!</v>
      </c>
      <c r="F52" s="16" t="e">
        <f>SUMIFS(Rezerve_SAM_SAMP_kārta!N$6:N$187,Rezerve_SAM_SAMP_kārta!$G$6:$G$187,Apkopojums!$B$49,Rezerve_SAM_SAMP_kārta!#REF!,Apkopojums!C52)</f>
        <v>#REF!</v>
      </c>
      <c r="G52" s="140" t="e">
        <f t="shared" si="9"/>
        <v>#REF!</v>
      </c>
      <c r="H52" s="140" t="e">
        <f t="shared" si="10"/>
        <v>#REF!</v>
      </c>
      <c r="K52" s="132" t="s">
        <v>561</v>
      </c>
      <c r="L52" s="132"/>
      <c r="M52" s="132" t="s">
        <v>564</v>
      </c>
      <c r="N52" s="133">
        <f>N22+N25+N28+N31+N34+N37+N40+N43+N46+N49</f>
        <v>75683487</v>
      </c>
      <c r="O52" s="133">
        <f t="shared" ref="O52:P52" si="11">O22+O25+O28+O31+O34+O37+O40+O43+O46+O49</f>
        <v>135926700</v>
      </c>
      <c r="P52" s="133">
        <f t="shared" si="11"/>
        <v>89848194</v>
      </c>
      <c r="Q52" s="122">
        <f t="shared" si="8"/>
        <v>211610187</v>
      </c>
    </row>
    <row r="53" spans="2:22" x14ac:dyDescent="0.25">
      <c r="C53" t="s">
        <v>247</v>
      </c>
      <c r="E53" s="16" t="e">
        <f>SUMIFS(Rezerve_SAM_SAMP_kārta!M$6:M$187,Rezerve_SAM_SAMP_kārta!$G$6:$G$187,Apkopojums!$B$49,Rezerve_SAM_SAMP_kārta!#REF!,Apkopojums!C53)</f>
        <v>#REF!</v>
      </c>
      <c r="F53" s="16" t="e">
        <f>SUMIFS(Rezerve_SAM_SAMP_kārta!N$6:N$187,Rezerve_SAM_SAMP_kārta!$G$6:$G$187,Apkopojums!$B$49,Rezerve_SAM_SAMP_kārta!#REF!,Apkopojums!C53)</f>
        <v>#REF!</v>
      </c>
      <c r="G53" s="140" t="e">
        <f t="shared" si="9"/>
        <v>#REF!</v>
      </c>
      <c r="H53" s="140" t="e">
        <f t="shared" si="10"/>
        <v>#REF!</v>
      </c>
      <c r="K53" s="132" t="s">
        <v>561</v>
      </c>
      <c r="L53" s="132"/>
      <c r="M53" s="3" t="s">
        <v>563</v>
      </c>
      <c r="N53" s="133">
        <f>N23+N26+N29+N32+N35+N38+N41+N44+N47+N50</f>
        <v>68488118</v>
      </c>
      <c r="O53" s="133">
        <f t="shared" ref="O53:P53" si="12">O23+O26+O29+O32+O35+O38+O41+O44+O47+O50</f>
        <v>199868738</v>
      </c>
      <c r="P53" s="133">
        <f t="shared" si="12"/>
        <v>61693234</v>
      </c>
      <c r="Q53" s="122">
        <f t="shared" si="8"/>
        <v>268356856</v>
      </c>
      <c r="R53" s="122"/>
      <c r="S53" s="122"/>
      <c r="T53" s="122"/>
      <c r="U53" s="122"/>
      <c r="V53" s="122"/>
    </row>
    <row r="54" spans="2:22" x14ac:dyDescent="0.25">
      <c r="E54" s="122" t="e">
        <f>SUM(E49:E53)</f>
        <v>#REF!</v>
      </c>
      <c r="F54" s="122" t="e">
        <f>SUM(F49:F53)</f>
        <v>#REF!</v>
      </c>
      <c r="G54" s="140" t="e">
        <f t="shared" si="9"/>
        <v>#REF!</v>
      </c>
      <c r="H54" s="140" t="e">
        <f t="shared" si="10"/>
        <v>#REF!</v>
      </c>
    </row>
    <row r="55" spans="2:22" x14ac:dyDescent="0.25">
      <c r="E55" t="e">
        <f>E54=E5</f>
        <v>#REF!</v>
      </c>
      <c r="F55" s="122" t="e">
        <f>F54=F5</f>
        <v>#REF!</v>
      </c>
      <c r="G55" s="140"/>
      <c r="H55" s="140"/>
      <c r="N55" s="122">
        <f>N51+N52+N53</f>
        <v>267352981</v>
      </c>
      <c r="O55" s="122">
        <f t="shared" ref="O55:P55" si="13">O51+O52+O53</f>
        <v>426039846</v>
      </c>
      <c r="P55" s="122">
        <f t="shared" si="13"/>
        <v>202531631</v>
      </c>
    </row>
    <row r="56" spans="2:22" x14ac:dyDescent="0.25">
      <c r="B56" t="s">
        <v>6</v>
      </c>
      <c r="C56" t="s">
        <v>250</v>
      </c>
      <c r="E56" s="16" t="e">
        <f>SUMIFS(Rezerve_SAM_SAMP_kārta!M$6:M$187,Rezerve_SAM_SAMP_kārta!$G$6:$G$187,Apkopojums!$B$56,Rezerve_SAM_SAMP_kārta!#REF!,Apkopojums!C56)</f>
        <v>#REF!</v>
      </c>
      <c r="F56" s="16" t="e">
        <f>SUMIFS(Rezerve_SAM_SAMP_kārta!N$6:N$187,Rezerve_SAM_SAMP_kārta!$G$6:$G$187,Apkopojums!$B$56,Rezerve_SAM_SAMP_kārta!#REF!,Apkopojums!C56)</f>
        <v>#REF!</v>
      </c>
      <c r="G56" s="140" t="e">
        <f t="shared" si="9"/>
        <v>#REF!</v>
      </c>
      <c r="H56" s="140" t="e">
        <f t="shared" si="10"/>
        <v>#REF!</v>
      </c>
      <c r="N56" t="b">
        <f>C12=N55</f>
        <v>1</v>
      </c>
      <c r="O56" t="b">
        <f>F12=O55</f>
        <v>1</v>
      </c>
      <c r="P56" t="b">
        <f>H12=P55</f>
        <v>1</v>
      </c>
    </row>
    <row r="57" spans="2:22" x14ac:dyDescent="0.25">
      <c r="C57" t="s">
        <v>262</v>
      </c>
      <c r="E57" s="16" t="e">
        <f>SUMIFS(Rezerve_SAM_SAMP_kārta!M$6:M$187,Rezerve_SAM_SAMP_kārta!$G$6:$G$187,Apkopojums!$B$56,Rezerve_SAM_SAMP_kārta!#REF!,Apkopojums!C57)</f>
        <v>#REF!</v>
      </c>
      <c r="F57" s="16" t="e">
        <f>SUMIFS(Rezerve_SAM_SAMP_kārta!N$6:N$187,Rezerve_SAM_SAMP_kārta!$G$6:$G$187,Apkopojums!$B$56,Rezerve_SAM_SAMP_kārta!#REF!,Apkopojums!C57)</f>
        <v>#REF!</v>
      </c>
      <c r="G57" s="140" t="e">
        <f t="shared" si="9"/>
        <v>#REF!</v>
      </c>
      <c r="H57" s="140" t="e">
        <f t="shared" si="10"/>
        <v>#REF!</v>
      </c>
    </row>
    <row r="58" spans="2:22" x14ac:dyDescent="0.25">
      <c r="C58" t="s">
        <v>251</v>
      </c>
      <c r="E58" s="16" t="e">
        <f>SUMIFS(Rezerve_SAM_SAMP_kārta!M$6:M$187,Rezerve_SAM_SAMP_kārta!$G$6:$G$187,Apkopojums!$B$56,Rezerve_SAM_SAMP_kārta!#REF!,Apkopojums!C58)</f>
        <v>#REF!</v>
      </c>
      <c r="F58" s="16" t="e">
        <f>SUMIFS(Rezerve_SAM_SAMP_kārta!N$6:N$187,Rezerve_SAM_SAMP_kārta!$G$6:$G$187,Apkopojums!$B$56,Rezerve_SAM_SAMP_kārta!#REF!,Apkopojums!C58)</f>
        <v>#REF!</v>
      </c>
      <c r="G58" s="140" t="e">
        <f t="shared" si="9"/>
        <v>#REF!</v>
      </c>
      <c r="H58" s="140" t="e">
        <f t="shared" si="10"/>
        <v>#REF!</v>
      </c>
    </row>
    <row r="59" spans="2:22" x14ac:dyDescent="0.25">
      <c r="C59" t="s">
        <v>248</v>
      </c>
      <c r="E59" s="16" t="e">
        <f>SUMIFS(Rezerve_SAM_SAMP_kārta!M$6:M$187,Rezerve_SAM_SAMP_kārta!$G$6:$G$187,Apkopojums!$B$56,Rezerve_SAM_SAMP_kārta!#REF!,Apkopojums!C59)</f>
        <v>#REF!</v>
      </c>
      <c r="F59" s="16" t="e">
        <f>SUMIFS(Rezerve_SAM_SAMP_kārta!N$6:N$187,Rezerve_SAM_SAMP_kārta!$G$6:$G$187,Apkopojums!$B$56,Rezerve_SAM_SAMP_kārta!#REF!,Apkopojums!C59)</f>
        <v>#REF!</v>
      </c>
      <c r="G59" s="140" t="e">
        <f t="shared" si="9"/>
        <v>#REF!</v>
      </c>
      <c r="H59" s="140" t="e">
        <f t="shared" si="10"/>
        <v>#REF!</v>
      </c>
    </row>
    <row r="60" spans="2:22" x14ac:dyDescent="0.25">
      <c r="C60" t="s">
        <v>247</v>
      </c>
      <c r="E60" s="16" t="e">
        <f>SUMIFS(Rezerve_SAM_SAMP_kārta!M$6:M$187,Rezerve_SAM_SAMP_kārta!$G$6:$G$187,Apkopojums!$B$56,Rezerve_SAM_SAMP_kārta!#REF!,Apkopojums!C60)</f>
        <v>#REF!</v>
      </c>
      <c r="F60" s="16" t="e">
        <f>SUMIFS(Rezerve_SAM_SAMP_kārta!N$6:N$187,Rezerve_SAM_SAMP_kārta!$G$6:$G$187,Apkopojums!$B$56,Rezerve_SAM_SAMP_kārta!#REF!,Apkopojums!C60)</f>
        <v>#REF!</v>
      </c>
      <c r="G60" s="140" t="e">
        <f t="shared" si="9"/>
        <v>#REF!</v>
      </c>
      <c r="H60" s="140" t="e">
        <f t="shared" si="10"/>
        <v>#REF!</v>
      </c>
    </row>
    <row r="61" spans="2:22" x14ac:dyDescent="0.25">
      <c r="E61" s="122" t="e">
        <f>SUM(E56:E60)</f>
        <v>#REF!</v>
      </c>
      <c r="F61" s="122" t="e">
        <f>SUM(F56:F60)</f>
        <v>#REF!</v>
      </c>
      <c r="G61" s="140" t="e">
        <f t="shared" si="9"/>
        <v>#REF!</v>
      </c>
      <c r="H61" s="140" t="e">
        <f t="shared" si="10"/>
        <v>#REF!</v>
      </c>
    </row>
    <row r="62" spans="2:22" x14ac:dyDescent="0.25">
      <c r="E62" t="e">
        <f>E61=E6</f>
        <v>#REF!</v>
      </c>
      <c r="F62" s="122" t="e">
        <f>F61=F6</f>
        <v>#REF!</v>
      </c>
      <c r="G62" s="140"/>
      <c r="H62" s="140"/>
    </row>
    <row r="63" spans="2:22" x14ac:dyDescent="0.25">
      <c r="B63" t="s">
        <v>161</v>
      </c>
      <c r="C63" t="s">
        <v>250</v>
      </c>
      <c r="E63" s="16" t="e">
        <f>SUMIFS(Rezerve_SAM_SAMP_kārta!M$6:M$187,Rezerve_SAM_SAMP_kārta!$G$6:$G$187,Apkopojums!$B$63,Rezerve_SAM_SAMP_kārta!#REF!,Apkopojums!C63)</f>
        <v>#REF!</v>
      </c>
      <c r="F63" s="16" t="e">
        <f>SUMIFS(Rezerve_SAM_SAMP_kārta!N$6:N$187,Rezerve_SAM_SAMP_kārta!$G$6:$G$187,Apkopojums!$B$63,Rezerve_SAM_SAMP_kārta!#REF!,Apkopojums!C63)</f>
        <v>#REF!</v>
      </c>
      <c r="G63" s="140" t="e">
        <f t="shared" si="9"/>
        <v>#REF!</v>
      </c>
      <c r="H63" s="140" t="e">
        <f t="shared" si="10"/>
        <v>#REF!</v>
      </c>
    </row>
    <row r="64" spans="2:22" x14ac:dyDescent="0.25">
      <c r="C64" t="s">
        <v>262</v>
      </c>
      <c r="E64" s="16" t="e">
        <f>SUMIFS(Rezerve_SAM_SAMP_kārta!M$6:M$187,Rezerve_SAM_SAMP_kārta!$G$6:$G$187,Apkopojums!$B$63,Rezerve_SAM_SAMP_kārta!#REF!,Apkopojums!C64)</f>
        <v>#REF!</v>
      </c>
      <c r="F64" s="16" t="e">
        <f>SUMIFS(Rezerve_SAM_SAMP_kārta!N$6:N$187,Rezerve_SAM_SAMP_kārta!$G$6:$G$187,Apkopojums!$B$63,Rezerve_SAM_SAMP_kārta!#REF!,Apkopojums!C64)</f>
        <v>#REF!</v>
      </c>
      <c r="G64" s="140" t="e">
        <f t="shared" si="9"/>
        <v>#REF!</v>
      </c>
      <c r="H64" s="140" t="e">
        <f t="shared" si="10"/>
        <v>#REF!</v>
      </c>
    </row>
    <row r="65" spans="2:8" x14ac:dyDescent="0.25">
      <c r="C65" t="s">
        <v>251</v>
      </c>
      <c r="E65" s="16" t="e">
        <f>SUMIFS(Rezerve_SAM_SAMP_kārta!M$6:M$187,Rezerve_SAM_SAMP_kārta!$G$6:$G$187,Apkopojums!$B$63,Rezerve_SAM_SAMP_kārta!#REF!,Apkopojums!C65)</f>
        <v>#REF!</v>
      </c>
      <c r="F65" s="16" t="e">
        <f>SUMIFS(Rezerve_SAM_SAMP_kārta!N$6:N$187,Rezerve_SAM_SAMP_kārta!$G$6:$G$187,Apkopojums!$B$63,Rezerve_SAM_SAMP_kārta!#REF!,Apkopojums!C65)</f>
        <v>#REF!</v>
      </c>
      <c r="G65" s="140" t="e">
        <f t="shared" si="9"/>
        <v>#REF!</v>
      </c>
      <c r="H65" s="140" t="e">
        <f t="shared" si="10"/>
        <v>#REF!</v>
      </c>
    </row>
    <row r="66" spans="2:8" x14ac:dyDescent="0.25">
      <c r="C66" t="s">
        <v>248</v>
      </c>
      <c r="E66" s="16" t="e">
        <f>SUMIFS(Rezerve_SAM_SAMP_kārta!M$6:M$187,Rezerve_SAM_SAMP_kārta!$G$6:$G$187,Apkopojums!$B$63,Rezerve_SAM_SAMP_kārta!#REF!,Apkopojums!C66)</f>
        <v>#REF!</v>
      </c>
      <c r="F66" s="16" t="e">
        <f>SUMIFS(Rezerve_SAM_SAMP_kārta!N$6:N$187,Rezerve_SAM_SAMP_kārta!$G$6:$G$187,Apkopojums!$B$63,Rezerve_SAM_SAMP_kārta!#REF!,Apkopojums!C66)</f>
        <v>#REF!</v>
      </c>
      <c r="G66" s="140" t="e">
        <f t="shared" si="9"/>
        <v>#REF!</v>
      </c>
      <c r="H66" s="140" t="e">
        <f t="shared" si="10"/>
        <v>#REF!</v>
      </c>
    </row>
    <row r="67" spans="2:8" x14ac:dyDescent="0.25">
      <c r="C67" t="s">
        <v>247</v>
      </c>
      <c r="E67" s="16" t="e">
        <f>SUMIFS(Rezerve_SAM_SAMP_kārta!M$6:M$187,Rezerve_SAM_SAMP_kārta!$G$6:$G$187,Apkopojums!$B$63,Rezerve_SAM_SAMP_kārta!#REF!,Apkopojums!C67)</f>
        <v>#REF!</v>
      </c>
      <c r="F67" s="16" t="e">
        <f>SUMIFS(Rezerve_SAM_SAMP_kārta!N$6:N$187,Rezerve_SAM_SAMP_kārta!$G$6:$G$187,Apkopojums!$B$63,Rezerve_SAM_SAMP_kārta!#REF!,Apkopojums!C67)</f>
        <v>#REF!</v>
      </c>
      <c r="G67" s="140" t="e">
        <f t="shared" si="9"/>
        <v>#REF!</v>
      </c>
      <c r="H67" s="140" t="e">
        <f t="shared" si="10"/>
        <v>#REF!</v>
      </c>
    </row>
    <row r="68" spans="2:8" x14ac:dyDescent="0.25">
      <c r="E68" s="122" t="e">
        <f>SUM(E63:E67)</f>
        <v>#REF!</v>
      </c>
      <c r="F68" s="122" t="e">
        <f>SUM(F63:F67)</f>
        <v>#REF!</v>
      </c>
      <c r="G68" s="140" t="e">
        <f t="shared" si="9"/>
        <v>#REF!</v>
      </c>
      <c r="H68" s="140" t="e">
        <f t="shared" si="10"/>
        <v>#REF!</v>
      </c>
    </row>
    <row r="69" spans="2:8" x14ac:dyDescent="0.25">
      <c r="E69" t="e">
        <f>E68=E7</f>
        <v>#REF!</v>
      </c>
      <c r="F69" s="122" t="e">
        <f>F68=F7</f>
        <v>#REF!</v>
      </c>
      <c r="G69" s="140"/>
      <c r="H69" s="140"/>
    </row>
    <row r="70" spans="2:8" x14ac:dyDescent="0.25">
      <c r="B70" t="s">
        <v>164</v>
      </c>
      <c r="C70" t="s">
        <v>250</v>
      </c>
      <c r="E70" s="16" t="e">
        <f>SUMIFS(Rezerve_SAM_SAMP_kārta!M$6:M$187,Rezerve_SAM_SAMP_kārta!$G$6:$G$187,Apkopojums!$B$70,Rezerve_SAM_SAMP_kārta!#REF!,Apkopojums!C70)</f>
        <v>#REF!</v>
      </c>
      <c r="F70" s="16" t="e">
        <f>SUMIFS(Rezerve_SAM_SAMP_kārta!N$6:N$187,Rezerve_SAM_SAMP_kārta!$G$6:$G$187,Apkopojums!$B$70,Rezerve_SAM_SAMP_kārta!#REF!,Apkopojums!C70)</f>
        <v>#REF!</v>
      </c>
      <c r="G70" s="140" t="e">
        <f t="shared" si="9"/>
        <v>#REF!</v>
      </c>
      <c r="H70" s="140" t="e">
        <f t="shared" si="10"/>
        <v>#REF!</v>
      </c>
    </row>
    <row r="71" spans="2:8" x14ac:dyDescent="0.25">
      <c r="C71" t="s">
        <v>262</v>
      </c>
      <c r="E71" s="16" t="e">
        <f>SUMIFS(Rezerve_SAM_SAMP_kārta!M$6:M$187,Rezerve_SAM_SAMP_kārta!$G$6:$G$187,Apkopojums!$B$70,Rezerve_SAM_SAMP_kārta!#REF!,Apkopojums!C71)</f>
        <v>#REF!</v>
      </c>
      <c r="F71" s="16" t="e">
        <f>SUMIFS(Rezerve_SAM_SAMP_kārta!N$6:N$187,Rezerve_SAM_SAMP_kārta!$G$6:$G$187,Apkopojums!$B$70,Rezerve_SAM_SAMP_kārta!#REF!,Apkopojums!C71)</f>
        <v>#REF!</v>
      </c>
      <c r="G71" s="140" t="e">
        <f t="shared" si="9"/>
        <v>#REF!</v>
      </c>
      <c r="H71" s="140" t="e">
        <f t="shared" si="10"/>
        <v>#REF!</v>
      </c>
    </row>
    <row r="72" spans="2:8" x14ac:dyDescent="0.25">
      <c r="C72" t="s">
        <v>251</v>
      </c>
      <c r="E72" s="16" t="e">
        <f>SUMIFS(Rezerve_SAM_SAMP_kārta!M$6:M$187,Rezerve_SAM_SAMP_kārta!$G$6:$G$187,Apkopojums!$B$70,Rezerve_SAM_SAMP_kārta!#REF!,Apkopojums!C72)</f>
        <v>#REF!</v>
      </c>
      <c r="F72" s="16" t="e">
        <f>SUMIFS(Rezerve_SAM_SAMP_kārta!N$6:N$187,Rezerve_SAM_SAMP_kārta!$G$6:$G$187,Apkopojums!$B$70,Rezerve_SAM_SAMP_kārta!#REF!,Apkopojums!C72)</f>
        <v>#REF!</v>
      </c>
      <c r="G72" s="140" t="e">
        <f t="shared" si="9"/>
        <v>#REF!</v>
      </c>
      <c r="H72" s="140" t="e">
        <f t="shared" si="10"/>
        <v>#REF!</v>
      </c>
    </row>
    <row r="73" spans="2:8" x14ac:dyDescent="0.25">
      <c r="C73" t="s">
        <v>248</v>
      </c>
      <c r="E73" s="16" t="e">
        <f>SUMIFS(Rezerve_SAM_SAMP_kārta!M$6:M$187,Rezerve_SAM_SAMP_kārta!$G$6:$G$187,Apkopojums!$B$70,Rezerve_SAM_SAMP_kārta!#REF!,Apkopojums!C73)</f>
        <v>#REF!</v>
      </c>
      <c r="F73" s="16" t="e">
        <f>SUMIFS(Rezerve_SAM_SAMP_kārta!N$6:N$187,Rezerve_SAM_SAMP_kārta!$G$6:$G$187,Apkopojums!$B$70,Rezerve_SAM_SAMP_kārta!#REF!,Apkopojums!C73)</f>
        <v>#REF!</v>
      </c>
      <c r="G73" s="140" t="e">
        <f t="shared" si="9"/>
        <v>#REF!</v>
      </c>
      <c r="H73" s="140" t="e">
        <f t="shared" si="10"/>
        <v>#REF!</v>
      </c>
    </row>
    <row r="74" spans="2:8" x14ac:dyDescent="0.25">
      <c r="C74" t="s">
        <v>247</v>
      </c>
      <c r="E74" s="16" t="e">
        <f>SUMIFS(Rezerve_SAM_SAMP_kārta!M$6:M$187,Rezerve_SAM_SAMP_kārta!$G$6:$G$187,Apkopojums!$B$70,Rezerve_SAM_SAMP_kārta!#REF!,Apkopojums!C74)</f>
        <v>#REF!</v>
      </c>
      <c r="F74" s="16" t="e">
        <f>SUMIFS(Rezerve_SAM_SAMP_kārta!N$6:N$187,Rezerve_SAM_SAMP_kārta!$G$6:$G$187,Apkopojums!$B$70,Rezerve_SAM_SAMP_kārta!#REF!,Apkopojums!C74)</f>
        <v>#REF!</v>
      </c>
      <c r="G74" s="140" t="e">
        <f t="shared" si="9"/>
        <v>#REF!</v>
      </c>
      <c r="H74" s="140" t="e">
        <f t="shared" si="10"/>
        <v>#REF!</v>
      </c>
    </row>
    <row r="75" spans="2:8" x14ac:dyDescent="0.25">
      <c r="E75" s="122" t="e">
        <f>SUM(E70:E74)</f>
        <v>#REF!</v>
      </c>
      <c r="F75" s="122" t="e">
        <f>SUM(F70:F74)</f>
        <v>#REF!</v>
      </c>
      <c r="G75" s="140" t="e">
        <f t="shared" si="9"/>
        <v>#REF!</v>
      </c>
      <c r="H75" s="140" t="e">
        <f t="shared" si="10"/>
        <v>#REF!</v>
      </c>
    </row>
    <row r="76" spans="2:8" x14ac:dyDescent="0.25">
      <c r="E76" t="e">
        <f>E75=E8</f>
        <v>#REF!</v>
      </c>
      <c r="F76" s="122" t="e">
        <f>F75=F8</f>
        <v>#REF!</v>
      </c>
      <c r="G76" s="140"/>
      <c r="H76" s="140"/>
    </row>
    <row r="77" spans="2:8" x14ac:dyDescent="0.25">
      <c r="B77" t="s">
        <v>160</v>
      </c>
      <c r="C77" t="s">
        <v>250</v>
      </c>
      <c r="E77" s="16" t="e">
        <f>SUMIFS(Rezerve_SAM_SAMP_kārta!M$6:M$187,Rezerve_SAM_SAMP_kārta!$G$6:$G$187,Apkopojums!$B$77,Rezerve_SAM_SAMP_kārta!#REF!,Apkopojums!C77)</f>
        <v>#REF!</v>
      </c>
      <c r="F77" s="16" t="e">
        <f>SUMIFS(Rezerve_SAM_SAMP_kārta!N$6:N$187,Rezerve_SAM_SAMP_kārta!$G$6:$G$187,Apkopojums!$B$77,Rezerve_SAM_SAMP_kārta!#REF!,Apkopojums!C77)</f>
        <v>#REF!</v>
      </c>
      <c r="G77" s="140" t="e">
        <f t="shared" si="9"/>
        <v>#REF!</v>
      </c>
      <c r="H77" s="140" t="e">
        <f t="shared" si="10"/>
        <v>#REF!</v>
      </c>
    </row>
    <row r="78" spans="2:8" x14ac:dyDescent="0.25">
      <c r="C78" t="s">
        <v>262</v>
      </c>
      <c r="E78" s="16" t="e">
        <f>SUMIFS(Rezerve_SAM_SAMP_kārta!M$6:M$187,Rezerve_SAM_SAMP_kārta!$G$6:$G$187,Apkopojums!$B$77,Rezerve_SAM_SAMP_kārta!#REF!,Apkopojums!C78)</f>
        <v>#REF!</v>
      </c>
      <c r="F78" s="16" t="e">
        <f>SUMIFS(Rezerve_SAM_SAMP_kārta!N$6:N$187,Rezerve_SAM_SAMP_kārta!$G$6:$G$187,Apkopojums!$B$77,Rezerve_SAM_SAMP_kārta!#REF!,Apkopojums!C78)</f>
        <v>#REF!</v>
      </c>
      <c r="G78" s="140" t="e">
        <f t="shared" si="9"/>
        <v>#REF!</v>
      </c>
      <c r="H78" s="140" t="e">
        <f t="shared" si="10"/>
        <v>#REF!</v>
      </c>
    </row>
    <row r="79" spans="2:8" x14ac:dyDescent="0.25">
      <c r="C79" t="s">
        <v>251</v>
      </c>
      <c r="E79" s="16" t="e">
        <f>SUMIFS(Rezerve_SAM_SAMP_kārta!M$6:M$187,Rezerve_SAM_SAMP_kārta!$G$6:$G$187,Apkopojums!$B$77,Rezerve_SAM_SAMP_kārta!#REF!,Apkopojums!C79)</f>
        <v>#REF!</v>
      </c>
      <c r="F79" s="16" t="e">
        <f>SUMIFS(Rezerve_SAM_SAMP_kārta!N$6:N$187,Rezerve_SAM_SAMP_kārta!$G$6:$G$187,Apkopojums!$B$77,Rezerve_SAM_SAMP_kārta!#REF!,Apkopojums!C79)</f>
        <v>#REF!</v>
      </c>
      <c r="G79" s="140" t="e">
        <f t="shared" si="9"/>
        <v>#REF!</v>
      </c>
      <c r="H79" s="140" t="e">
        <f t="shared" si="10"/>
        <v>#REF!</v>
      </c>
    </row>
    <row r="80" spans="2:8" x14ac:dyDescent="0.25">
      <c r="C80" t="s">
        <v>248</v>
      </c>
      <c r="E80" s="16" t="e">
        <f>SUMIFS(Rezerve_SAM_SAMP_kārta!M$6:M$187,Rezerve_SAM_SAMP_kārta!$G$6:$G$187,Apkopojums!$B$77,Rezerve_SAM_SAMP_kārta!#REF!,Apkopojums!C80)</f>
        <v>#REF!</v>
      </c>
      <c r="F80" s="16" t="e">
        <f>SUMIFS(Rezerve_SAM_SAMP_kārta!N$6:N$187,Rezerve_SAM_SAMP_kārta!$G$6:$G$187,Apkopojums!$B$77,Rezerve_SAM_SAMP_kārta!#REF!,Apkopojums!C80)</f>
        <v>#REF!</v>
      </c>
      <c r="G80" s="140" t="e">
        <f t="shared" si="9"/>
        <v>#REF!</v>
      </c>
      <c r="H80" s="140" t="e">
        <f t="shared" si="10"/>
        <v>#REF!</v>
      </c>
    </row>
    <row r="81" spans="2:8" x14ac:dyDescent="0.25">
      <c r="C81" t="s">
        <v>247</v>
      </c>
      <c r="E81" s="16" t="e">
        <f>SUMIFS(Rezerve_SAM_SAMP_kārta!M$6:M$187,Rezerve_SAM_SAMP_kārta!$G$6:$G$187,Apkopojums!$B$77,Rezerve_SAM_SAMP_kārta!#REF!,Apkopojums!C81)</f>
        <v>#REF!</v>
      </c>
      <c r="F81" s="16" t="e">
        <f>SUMIFS(Rezerve_SAM_SAMP_kārta!N$6:N$187,Rezerve_SAM_SAMP_kārta!$G$6:$G$187,Apkopojums!$B$77,Rezerve_SAM_SAMP_kārta!#REF!,Apkopojums!C81)</f>
        <v>#REF!</v>
      </c>
      <c r="G81" s="140" t="e">
        <f t="shared" si="9"/>
        <v>#REF!</v>
      </c>
      <c r="H81" s="140" t="e">
        <f t="shared" si="10"/>
        <v>#REF!</v>
      </c>
    </row>
    <row r="82" spans="2:8" x14ac:dyDescent="0.25">
      <c r="E82" s="122" t="e">
        <f>SUM(E77:E81)</f>
        <v>#REF!</v>
      </c>
      <c r="F82" s="122" t="e">
        <f>SUM(F77:F81)</f>
        <v>#REF!</v>
      </c>
      <c r="G82" s="140" t="e">
        <f t="shared" si="9"/>
        <v>#REF!</v>
      </c>
      <c r="H82" s="140" t="e">
        <f t="shared" si="10"/>
        <v>#REF!</v>
      </c>
    </row>
    <row r="83" spans="2:8" x14ac:dyDescent="0.25">
      <c r="E83" t="e">
        <f>E82=E9</f>
        <v>#REF!</v>
      </c>
      <c r="F83" s="122" t="e">
        <f>F82=F9</f>
        <v>#REF!</v>
      </c>
      <c r="G83" s="140"/>
      <c r="H83" s="140"/>
    </row>
    <row r="84" spans="2:8" x14ac:dyDescent="0.25">
      <c r="B84" t="s">
        <v>156</v>
      </c>
      <c r="C84" t="s">
        <v>250</v>
      </c>
      <c r="E84" s="16" t="e">
        <f>SUMIFS(Rezerve_SAM_SAMP_kārta!M$6:M$187,Rezerve_SAM_SAMP_kārta!$G$6:$G$187,Apkopojums!$B$84,Rezerve_SAM_SAMP_kārta!#REF!,Apkopojums!C84)</f>
        <v>#REF!</v>
      </c>
      <c r="F84" s="16" t="e">
        <f>SUMIFS(Rezerve_SAM_SAMP_kārta!N$6:N$187,Rezerve_SAM_SAMP_kārta!$G$6:$G$187,Apkopojums!$B$84,Rezerve_SAM_SAMP_kārta!#REF!,Apkopojums!C84)</f>
        <v>#REF!</v>
      </c>
      <c r="G84" s="140" t="e">
        <f t="shared" si="9"/>
        <v>#REF!</v>
      </c>
      <c r="H84" s="140" t="e">
        <f t="shared" si="10"/>
        <v>#REF!</v>
      </c>
    </row>
    <row r="85" spans="2:8" x14ac:dyDescent="0.25">
      <c r="C85" t="s">
        <v>262</v>
      </c>
      <c r="E85" s="16" t="e">
        <f>SUMIFS(Rezerve_SAM_SAMP_kārta!M$6:M$187,Rezerve_SAM_SAMP_kārta!$G$6:$G$187,Apkopojums!$B$84,Rezerve_SAM_SAMP_kārta!#REF!,Apkopojums!C85)</f>
        <v>#REF!</v>
      </c>
      <c r="F85" s="16" t="e">
        <f>SUMIFS(Rezerve_SAM_SAMP_kārta!N$6:N$187,Rezerve_SAM_SAMP_kārta!$G$6:$G$187,Apkopojums!$B$84,Rezerve_SAM_SAMP_kārta!#REF!,Apkopojums!C85)</f>
        <v>#REF!</v>
      </c>
      <c r="G85" s="140" t="e">
        <f t="shared" si="9"/>
        <v>#REF!</v>
      </c>
      <c r="H85" s="140" t="e">
        <f t="shared" si="10"/>
        <v>#REF!</v>
      </c>
    </row>
    <row r="86" spans="2:8" x14ac:dyDescent="0.25">
      <c r="C86" t="s">
        <v>251</v>
      </c>
      <c r="E86" s="16" t="e">
        <f>SUMIFS(Rezerve_SAM_SAMP_kārta!M$6:M$187,Rezerve_SAM_SAMP_kārta!$G$6:$G$187,Apkopojums!$B$84,Rezerve_SAM_SAMP_kārta!#REF!,Apkopojums!C86)</f>
        <v>#REF!</v>
      </c>
      <c r="F86" s="16" t="e">
        <f>SUMIFS(Rezerve_SAM_SAMP_kārta!N$6:N$187,Rezerve_SAM_SAMP_kārta!$G$6:$G$187,Apkopojums!$B$84,Rezerve_SAM_SAMP_kārta!#REF!,Apkopojums!C86)</f>
        <v>#REF!</v>
      </c>
      <c r="G86" s="140" t="e">
        <f t="shared" si="9"/>
        <v>#REF!</v>
      </c>
      <c r="H86" s="140" t="e">
        <f t="shared" si="10"/>
        <v>#REF!</v>
      </c>
    </row>
    <row r="87" spans="2:8" x14ac:dyDescent="0.25">
      <c r="C87" t="s">
        <v>248</v>
      </c>
      <c r="E87" s="16" t="e">
        <f>SUMIFS(Rezerve_SAM_SAMP_kārta!M$6:M$187,Rezerve_SAM_SAMP_kārta!$G$6:$G$187,Apkopojums!$B$84,Rezerve_SAM_SAMP_kārta!#REF!,Apkopojums!C87)</f>
        <v>#REF!</v>
      </c>
      <c r="F87" s="16" t="e">
        <f>SUMIFS(Rezerve_SAM_SAMP_kārta!N$6:N$187,Rezerve_SAM_SAMP_kārta!$G$6:$G$187,Apkopojums!$B$84,Rezerve_SAM_SAMP_kārta!#REF!,Apkopojums!C87)</f>
        <v>#REF!</v>
      </c>
      <c r="G87" s="140" t="e">
        <f t="shared" si="9"/>
        <v>#REF!</v>
      </c>
      <c r="H87" s="140" t="e">
        <f t="shared" si="10"/>
        <v>#REF!</v>
      </c>
    </row>
    <row r="88" spans="2:8" x14ac:dyDescent="0.25">
      <c r="C88" t="s">
        <v>247</v>
      </c>
      <c r="E88" s="16" t="e">
        <f>SUMIFS(Rezerve_SAM_SAMP_kārta!M$6:M$187,Rezerve_SAM_SAMP_kārta!$G$6:$G$187,Apkopojums!$B$84,Rezerve_SAM_SAMP_kārta!#REF!,Apkopojums!C88)</f>
        <v>#REF!</v>
      </c>
      <c r="F88" s="16" t="e">
        <f>SUMIFS(Rezerve_SAM_SAMP_kārta!N$6:N$187,Rezerve_SAM_SAMP_kārta!$G$6:$G$187,Apkopojums!$B$84,Rezerve_SAM_SAMP_kārta!#REF!,Apkopojums!C88)</f>
        <v>#REF!</v>
      </c>
      <c r="G88" s="140" t="e">
        <f t="shared" si="9"/>
        <v>#REF!</v>
      </c>
      <c r="H88" s="140" t="e">
        <f t="shared" si="10"/>
        <v>#REF!</v>
      </c>
    </row>
    <row r="89" spans="2:8" x14ac:dyDescent="0.25">
      <c r="E89" s="122" t="e">
        <f>SUM(E84:E88)</f>
        <v>#REF!</v>
      </c>
      <c r="F89" s="122" t="e">
        <f>SUM(F84:F88)</f>
        <v>#REF!</v>
      </c>
      <c r="G89" s="140" t="e">
        <f t="shared" si="9"/>
        <v>#REF!</v>
      </c>
      <c r="H89" s="140" t="e">
        <f t="shared" si="10"/>
        <v>#REF!</v>
      </c>
    </row>
    <row r="90" spans="2:8" x14ac:dyDescent="0.25">
      <c r="E90" t="e">
        <f>E89=E10</f>
        <v>#REF!</v>
      </c>
      <c r="F90" s="122" t="e">
        <f>F89=F10</f>
        <v>#REF!</v>
      </c>
      <c r="G90" s="140"/>
      <c r="H90" s="140"/>
    </row>
    <row r="91" spans="2:8" x14ac:dyDescent="0.25">
      <c r="B91" t="s">
        <v>158</v>
      </c>
      <c r="C91" t="s">
        <v>250</v>
      </c>
      <c r="E91" s="16" t="e">
        <f>SUMIFS(Rezerve_SAM_SAMP_kārta!M$6:M$187,Rezerve_SAM_SAMP_kārta!$G$6:$G$187,Apkopojums!$B$91,Rezerve_SAM_SAMP_kārta!#REF!,Apkopojums!C91)</f>
        <v>#REF!</v>
      </c>
      <c r="F91" s="16" t="e">
        <f>SUMIFS(Rezerve_SAM_SAMP_kārta!N$6:N$187,Rezerve_SAM_SAMP_kārta!$G$6:$G$187,Apkopojums!$B$91,Rezerve_SAM_SAMP_kārta!#REF!,Apkopojums!C91)</f>
        <v>#REF!</v>
      </c>
      <c r="G91" s="140" t="e">
        <f t="shared" si="9"/>
        <v>#REF!</v>
      </c>
      <c r="H91" s="140" t="e">
        <f t="shared" si="10"/>
        <v>#REF!</v>
      </c>
    </row>
    <row r="92" spans="2:8" x14ac:dyDescent="0.25">
      <c r="C92" t="s">
        <v>262</v>
      </c>
      <c r="E92" s="16" t="e">
        <f>SUMIFS(Rezerve_SAM_SAMP_kārta!M$6:M$187,Rezerve_SAM_SAMP_kārta!$G$6:$G$187,Apkopojums!$B$91,Rezerve_SAM_SAMP_kārta!#REF!,Apkopojums!C92)</f>
        <v>#REF!</v>
      </c>
      <c r="F92" s="16" t="e">
        <f>SUMIFS(Rezerve_SAM_SAMP_kārta!N$6:N$187,Rezerve_SAM_SAMP_kārta!$G$6:$G$187,Apkopojums!$B$91,Rezerve_SAM_SAMP_kārta!#REF!,Apkopojums!C92)</f>
        <v>#REF!</v>
      </c>
      <c r="G92" s="140" t="e">
        <f t="shared" si="9"/>
        <v>#REF!</v>
      </c>
      <c r="H92" s="140" t="e">
        <f t="shared" si="10"/>
        <v>#REF!</v>
      </c>
    </row>
    <row r="93" spans="2:8" x14ac:dyDescent="0.25">
      <c r="C93" t="s">
        <v>251</v>
      </c>
      <c r="E93" s="16" t="e">
        <f>SUMIFS(Rezerve_SAM_SAMP_kārta!M$6:M$187,Rezerve_SAM_SAMP_kārta!$G$6:$G$187,Apkopojums!$B$91,Rezerve_SAM_SAMP_kārta!#REF!,Apkopojums!C93)</f>
        <v>#REF!</v>
      </c>
      <c r="F93" s="16" t="e">
        <f>SUMIFS(Rezerve_SAM_SAMP_kārta!N$6:N$187,Rezerve_SAM_SAMP_kārta!$G$6:$G$187,Apkopojums!$B$91,Rezerve_SAM_SAMP_kārta!#REF!,Apkopojums!C93)</f>
        <v>#REF!</v>
      </c>
      <c r="G93" s="140" t="e">
        <f t="shared" ref="G93:G96" si="14">E93*0.000001</f>
        <v>#REF!</v>
      </c>
      <c r="H93" s="140" t="e">
        <f t="shared" ref="H93:H96" si="15">F93*0.000001</f>
        <v>#REF!</v>
      </c>
    </row>
    <row r="94" spans="2:8" x14ac:dyDescent="0.25">
      <c r="C94" t="s">
        <v>248</v>
      </c>
      <c r="E94" s="16" t="e">
        <f>SUMIFS(Rezerve_SAM_SAMP_kārta!M$6:M$187,Rezerve_SAM_SAMP_kārta!$G$6:$G$187,Apkopojums!$B$91,Rezerve_SAM_SAMP_kārta!#REF!,Apkopojums!C94)</f>
        <v>#REF!</v>
      </c>
      <c r="F94" s="16" t="e">
        <f>SUMIFS(Rezerve_SAM_SAMP_kārta!N$6:N$187,Rezerve_SAM_SAMP_kārta!$G$6:$G$187,Apkopojums!$B$91,Rezerve_SAM_SAMP_kārta!#REF!,Apkopojums!C94)</f>
        <v>#REF!</v>
      </c>
      <c r="G94" s="140" t="e">
        <f t="shared" si="14"/>
        <v>#REF!</v>
      </c>
      <c r="H94" s="140" t="e">
        <f t="shared" si="15"/>
        <v>#REF!</v>
      </c>
    </row>
    <row r="95" spans="2:8" x14ac:dyDescent="0.25">
      <c r="C95" t="s">
        <v>247</v>
      </c>
      <c r="E95" s="16" t="e">
        <f>SUMIFS(Rezerve_SAM_SAMP_kārta!M$6:M$187,Rezerve_SAM_SAMP_kārta!$G$6:$G$187,Apkopojums!$B$91,Rezerve_SAM_SAMP_kārta!#REF!,Apkopojums!C95)</f>
        <v>#REF!</v>
      </c>
      <c r="F95" s="16" t="e">
        <f>SUMIFS(Rezerve_SAM_SAMP_kārta!N$6:N$187,Rezerve_SAM_SAMP_kārta!$G$6:$G$187,Apkopojums!$B$91,Rezerve_SAM_SAMP_kārta!#REF!,Apkopojums!C95)</f>
        <v>#REF!</v>
      </c>
      <c r="G95" s="140" t="e">
        <f t="shared" si="14"/>
        <v>#REF!</v>
      </c>
      <c r="H95" s="140" t="e">
        <f t="shared" si="15"/>
        <v>#REF!</v>
      </c>
    </row>
    <row r="96" spans="2:8" x14ac:dyDescent="0.25">
      <c r="E96" s="122" t="e">
        <f>SUM(E91:E95)</f>
        <v>#REF!</v>
      </c>
      <c r="F96" s="122" t="e">
        <f>SUM(F91:F95)</f>
        <v>#REF!</v>
      </c>
      <c r="G96" s="140" t="e">
        <f t="shared" si="14"/>
        <v>#REF!</v>
      </c>
      <c r="H96" s="140" t="e">
        <f t="shared" si="15"/>
        <v>#REF!</v>
      </c>
    </row>
    <row r="97" spans="2:8" x14ac:dyDescent="0.25">
      <c r="E97" t="e">
        <f>E96=E11</f>
        <v>#REF!</v>
      </c>
      <c r="F97" s="122" t="e">
        <f>F96=F11</f>
        <v>#REF!</v>
      </c>
      <c r="G97" s="140"/>
      <c r="H97" s="140"/>
    </row>
    <row r="98" spans="2:8" x14ac:dyDescent="0.25">
      <c r="B98" t="s">
        <v>561</v>
      </c>
      <c r="C98" t="s">
        <v>250</v>
      </c>
      <c r="E98" s="122" t="e">
        <f>E28+E35+E42+E49+E56+E63+E70+E77+E84+E91</f>
        <v>#REF!</v>
      </c>
      <c r="F98" s="122" t="e">
        <f>F28+F35+F42+F49+F56+F63+F70+F77+F84+F91</f>
        <v>#REF!</v>
      </c>
      <c r="G98" s="140" t="e">
        <f>E98*0.000001</f>
        <v>#REF!</v>
      </c>
      <c r="H98" s="140" t="e">
        <f>F98*0.000001</f>
        <v>#REF!</v>
      </c>
    </row>
    <row r="99" spans="2:8" x14ac:dyDescent="0.25">
      <c r="C99" t="s">
        <v>262</v>
      </c>
      <c r="E99" s="122" t="e">
        <f t="shared" ref="E99:F102" si="16">E29+E36+E43+E50+E57+E64+E71+E78+E85+E92</f>
        <v>#REF!</v>
      </c>
      <c r="F99" s="122" t="e">
        <f t="shared" si="16"/>
        <v>#REF!</v>
      </c>
      <c r="G99" s="140" t="e">
        <f t="shared" ref="G99:G102" si="17">E99*0.000001</f>
        <v>#REF!</v>
      </c>
      <c r="H99" s="140" t="e">
        <f t="shared" ref="H99:H102" si="18">F99*0.000001</f>
        <v>#REF!</v>
      </c>
    </row>
    <row r="100" spans="2:8" x14ac:dyDescent="0.25">
      <c r="C100" t="s">
        <v>251</v>
      </c>
      <c r="E100" s="122" t="e">
        <f t="shared" si="16"/>
        <v>#REF!</v>
      </c>
      <c r="F100" s="122" t="e">
        <f t="shared" si="16"/>
        <v>#REF!</v>
      </c>
      <c r="G100" s="140" t="e">
        <f t="shared" si="17"/>
        <v>#REF!</v>
      </c>
      <c r="H100" s="140" t="e">
        <f t="shared" si="18"/>
        <v>#REF!</v>
      </c>
    </row>
    <row r="101" spans="2:8" x14ac:dyDescent="0.25">
      <c r="C101" t="s">
        <v>248</v>
      </c>
      <c r="E101" s="122" t="e">
        <f t="shared" si="16"/>
        <v>#REF!</v>
      </c>
      <c r="F101" s="122" t="e">
        <f t="shared" si="16"/>
        <v>#REF!</v>
      </c>
      <c r="G101" s="140" t="e">
        <f t="shared" si="17"/>
        <v>#REF!</v>
      </c>
      <c r="H101" s="140" t="e">
        <f t="shared" si="18"/>
        <v>#REF!</v>
      </c>
    </row>
    <row r="102" spans="2:8" x14ac:dyDescent="0.25">
      <c r="C102" t="s">
        <v>247</v>
      </c>
      <c r="E102" s="122" t="e">
        <f t="shared" si="16"/>
        <v>#REF!</v>
      </c>
      <c r="F102" s="122" t="e">
        <f t="shared" si="16"/>
        <v>#REF!</v>
      </c>
      <c r="G102" s="140" t="e">
        <f t="shared" si="17"/>
        <v>#REF!</v>
      </c>
      <c r="H102" s="140" t="e">
        <f t="shared" si="18"/>
        <v>#REF!</v>
      </c>
    </row>
    <row r="103" spans="2:8" x14ac:dyDescent="0.25">
      <c r="E103" s="122" t="e">
        <f>E98+E99+E100+E101+E102</f>
        <v>#REF!</v>
      </c>
      <c r="F103" s="122" t="e">
        <f>F98+F99+F100+F101+F102</f>
        <v>#REF!</v>
      </c>
    </row>
    <row r="104" spans="2:8" x14ac:dyDescent="0.25">
      <c r="E104" s="122" t="e">
        <f>E103=E12</f>
        <v>#REF!</v>
      </c>
      <c r="F104" s="122" t="e">
        <f>F103=F12</f>
        <v>#REF!</v>
      </c>
    </row>
  </sheetData>
  <autoFilter ref="B1:O1"/>
  <mergeCells count="1">
    <mergeCell ref="M19:P19"/>
  </mergeCells>
  <pageMargins left="0.7" right="0.7" top="0.75" bottom="0.75" header="0.3" footer="0.3"/>
  <pageSetup paperSize="8" scale="6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1"/>
  <sheetViews>
    <sheetView view="pageBreakPreview" zoomScale="85" zoomScaleNormal="80" zoomScaleSheetLayoutView="85" workbookViewId="0">
      <selection activeCell="J9" sqref="J9"/>
    </sheetView>
  </sheetViews>
  <sheetFormatPr defaultRowHeight="15" x14ac:dyDescent="0.25"/>
  <cols>
    <col min="2" max="2" width="80.85546875" customWidth="1"/>
    <col min="3" max="3" width="11.140625" customWidth="1"/>
    <col min="4" max="4" width="16.28515625" customWidth="1"/>
    <col min="5" max="5" width="18.28515625" customWidth="1"/>
    <col min="6" max="6" width="16.28515625" customWidth="1"/>
    <col min="7" max="7" width="15.28515625" customWidth="1"/>
    <col min="8" max="8" width="23.140625" hidden="1" customWidth="1"/>
    <col min="9" max="9" width="21.85546875" customWidth="1"/>
    <col min="10" max="10" width="19.42578125" customWidth="1"/>
    <col min="11" max="11" width="27.42578125" hidden="1" customWidth="1"/>
  </cols>
  <sheetData>
    <row r="1" spans="2:11" x14ac:dyDescent="0.25">
      <c r="B1" s="477"/>
      <c r="C1" s="477"/>
      <c r="D1" s="477"/>
      <c r="E1" s="477"/>
      <c r="F1" s="477"/>
      <c r="G1" s="477"/>
      <c r="H1" s="477"/>
      <c r="I1" s="477"/>
      <c r="J1" s="477"/>
      <c r="K1" s="477"/>
    </row>
    <row r="2" spans="2:11" ht="18.75" x14ac:dyDescent="0.3">
      <c r="B2" s="478" t="s">
        <v>587</v>
      </c>
      <c r="C2" s="479"/>
      <c r="D2" s="479"/>
      <c r="E2" s="479"/>
      <c r="F2" s="479"/>
      <c r="G2" s="479"/>
      <c r="H2" s="479"/>
      <c r="I2" s="479"/>
      <c r="J2" s="479"/>
      <c r="K2" s="141"/>
    </row>
    <row r="3" spans="2:11" ht="93.75" x14ac:dyDescent="0.25">
      <c r="B3" s="142" t="s">
        <v>282</v>
      </c>
      <c r="C3" s="142" t="s">
        <v>491</v>
      </c>
      <c r="D3" s="143" t="s">
        <v>588</v>
      </c>
      <c r="E3" s="142" t="s">
        <v>285</v>
      </c>
      <c r="F3" s="143" t="s">
        <v>589</v>
      </c>
      <c r="G3" s="144" t="s">
        <v>591</v>
      </c>
      <c r="H3" s="145" t="s">
        <v>590</v>
      </c>
      <c r="I3" s="146" t="s">
        <v>592</v>
      </c>
      <c r="J3" s="146" t="s">
        <v>593</v>
      </c>
      <c r="K3" s="87" t="s">
        <v>301</v>
      </c>
    </row>
    <row r="4" spans="2:11" ht="18.75" x14ac:dyDescent="0.25">
      <c r="B4" s="142"/>
      <c r="C4" s="142"/>
      <c r="D4" s="147">
        <v>1</v>
      </c>
      <c r="E4" s="148">
        <v>2</v>
      </c>
      <c r="F4" s="147">
        <v>3</v>
      </c>
      <c r="G4" s="148">
        <v>4</v>
      </c>
      <c r="H4" s="147" t="s">
        <v>332</v>
      </c>
      <c r="I4" s="148">
        <v>6</v>
      </c>
      <c r="J4" s="148">
        <v>7</v>
      </c>
      <c r="K4" s="87"/>
    </row>
    <row r="5" spans="2:11" ht="26.25" customHeight="1" x14ac:dyDescent="0.25">
      <c r="B5" s="149" t="s">
        <v>333</v>
      </c>
      <c r="C5" s="149"/>
      <c r="D5" s="150">
        <f>SUM(D7:D19)</f>
        <v>66269088</v>
      </c>
      <c r="E5" s="150">
        <f t="shared" ref="E5:J5" si="0">SUM(E7:E19)</f>
        <v>299259961</v>
      </c>
      <c r="F5" s="150">
        <f t="shared" si="0"/>
        <v>18582763</v>
      </c>
      <c r="G5" s="150">
        <f t="shared" si="0"/>
        <v>51320902</v>
      </c>
      <c r="H5" s="150">
        <f t="shared" si="0"/>
        <v>30033723</v>
      </c>
      <c r="I5" s="150">
        <f t="shared" si="0"/>
        <v>4466349</v>
      </c>
      <c r="J5" s="150">
        <f t="shared" si="0"/>
        <v>173540</v>
      </c>
      <c r="K5" s="92"/>
    </row>
    <row r="6" spans="2:11" ht="26.25" customHeight="1" x14ac:dyDescent="0.25">
      <c r="B6" s="149" t="s">
        <v>334</v>
      </c>
      <c r="C6" s="149"/>
      <c r="D6" s="150">
        <f>D7+D10+D14+D15+D16</f>
        <v>66269088</v>
      </c>
      <c r="E6" s="150">
        <f>E7+E10+E14+E15+E16</f>
        <v>120009655</v>
      </c>
      <c r="F6" s="150">
        <f t="shared" ref="F6:J6" si="1">F7+F10+F14+F15+F16</f>
        <v>7649346</v>
      </c>
      <c r="G6" s="150">
        <f t="shared" si="1"/>
        <v>43422743</v>
      </c>
      <c r="H6" s="150">
        <f t="shared" si="1"/>
        <v>23264167</v>
      </c>
      <c r="I6" s="150">
        <f t="shared" si="1"/>
        <v>2153991</v>
      </c>
      <c r="J6" s="150">
        <f t="shared" si="1"/>
        <v>173540</v>
      </c>
      <c r="K6" s="92"/>
    </row>
    <row r="7" spans="2:11" ht="26.25" customHeight="1" x14ac:dyDescent="0.25">
      <c r="B7" s="154" t="s">
        <v>283</v>
      </c>
      <c r="C7" s="154">
        <v>9</v>
      </c>
      <c r="D7" s="155">
        <f>Rezerve_SAM_SAMP_kārta!J47</f>
        <v>5202550</v>
      </c>
      <c r="E7" s="155">
        <f>Rezerve_SAM_SAMP_kārta!I47</f>
        <v>10911633</v>
      </c>
      <c r="F7" s="155">
        <f>Rezerve_SAM_SAMP_kārta!K47</f>
        <v>665558</v>
      </c>
      <c r="G7" s="155">
        <f>Rezerve_SAM_SAMP_kārta!N47</f>
        <v>2606956</v>
      </c>
      <c r="H7" s="155">
        <f>Rezerve_SAM_SAMP_kārta!O47</f>
        <v>0</v>
      </c>
      <c r="I7" s="155">
        <f>Rezerve_SAM_SAMP_kārta!Q47</f>
        <v>153770</v>
      </c>
      <c r="J7" s="155">
        <f>Rezerve_SAM_SAMP_kārta!R47</f>
        <v>51919</v>
      </c>
      <c r="K7" s="93"/>
    </row>
    <row r="8" spans="2:11" ht="26.25" customHeight="1" x14ac:dyDescent="0.25">
      <c r="B8" s="152" t="s">
        <v>284</v>
      </c>
      <c r="C8" s="152" t="s">
        <v>488</v>
      </c>
      <c r="D8" s="151">
        <f>Rezerve_SAM_SAMP_kārta!J48</f>
        <v>0</v>
      </c>
      <c r="E8" s="151">
        <f>Rezerve_SAM_SAMP_kārta!I48</f>
        <v>10911633</v>
      </c>
      <c r="F8" s="151">
        <f>Rezerve_SAM_SAMP_kārta!K48</f>
        <v>665558</v>
      </c>
      <c r="G8" s="151">
        <f>Rezerve_SAM_SAMP_kārta!N48</f>
        <v>1148492</v>
      </c>
      <c r="H8" s="151">
        <f>Rezerve_SAM_SAMP_kārta!O48</f>
        <v>19889</v>
      </c>
      <c r="I8" s="151">
        <f>Rezerve_SAM_SAMP_kārta!Q48</f>
        <v>294040</v>
      </c>
      <c r="J8" s="151">
        <f>Rezerve_SAM_SAMP_kārta!R48</f>
        <v>0</v>
      </c>
      <c r="K8" s="93"/>
    </row>
    <row r="9" spans="2:11" ht="26.25" customHeight="1" x14ac:dyDescent="0.25">
      <c r="B9" s="152" t="s">
        <v>506</v>
      </c>
      <c r="C9" s="152" t="s">
        <v>488</v>
      </c>
      <c r="D9" s="151">
        <f>Rezerve_SAM_SAMP_kārta!J49</f>
        <v>0</v>
      </c>
      <c r="E9" s="151">
        <f>Rezerve_SAM_SAMP_kārta!I49</f>
        <v>37193476</v>
      </c>
      <c r="F9" s="151">
        <f>Rezerve_SAM_SAMP_kārta!K49</f>
        <v>2268624</v>
      </c>
      <c r="G9" s="151">
        <f>Rezerve_SAM_SAMP_kārta!N49</f>
        <v>2723516</v>
      </c>
      <c r="H9" s="151">
        <f>Rezerve_SAM_SAMP_kārta!O49</f>
        <v>2723516</v>
      </c>
      <c r="I9" s="151">
        <f>Rezerve_SAM_SAMP_kārta!Q49</f>
        <v>0</v>
      </c>
      <c r="J9" s="151">
        <f>Rezerve_SAM_SAMP_kārta!R49</f>
        <v>0</v>
      </c>
      <c r="K9" s="93"/>
    </row>
    <row r="10" spans="2:11" ht="26.25" customHeight="1" x14ac:dyDescent="0.25">
      <c r="B10" s="154" t="s">
        <v>286</v>
      </c>
      <c r="C10" s="154">
        <v>9</v>
      </c>
      <c r="D10" s="155">
        <f>Rezerve_SAM_SAMP_kārta!J64</f>
        <v>15602736</v>
      </c>
      <c r="E10" s="155">
        <f>Rezerve_SAM_SAMP_kārta!I64</f>
        <v>15696829</v>
      </c>
      <c r="F10" s="155">
        <f>Rezerve_SAM_SAMP_kārta!K64</f>
        <v>957432</v>
      </c>
      <c r="G10" s="155">
        <f>Rezerve_SAM_SAMP_kārta!N64</f>
        <v>3133009</v>
      </c>
      <c r="H10" s="155">
        <f>Rezerve_SAM_SAMP_kārta!O64</f>
        <v>72635</v>
      </c>
      <c r="I10" s="155">
        <f>Rezerve_SAM_SAMP_kārta!Q64</f>
        <v>101558</v>
      </c>
      <c r="J10" s="155">
        <f>Rezerve_SAM_SAMP_kārta!R64</f>
        <v>121621</v>
      </c>
      <c r="K10" s="93"/>
    </row>
    <row r="11" spans="2:11" ht="26.25" customHeight="1" x14ac:dyDescent="0.25">
      <c r="B11" s="152" t="s">
        <v>335</v>
      </c>
      <c r="C11" s="152" t="s">
        <v>488</v>
      </c>
      <c r="D11" s="151">
        <f>Rezerve_SAM_SAMP_kārta!J65</f>
        <v>0</v>
      </c>
      <c r="E11" s="151">
        <f>Rezerve_SAM_SAMP_kārta!I65</f>
        <v>15696829</v>
      </c>
      <c r="F11" s="151">
        <f>Rezerve_SAM_SAMP_kārta!K65</f>
        <v>957432</v>
      </c>
      <c r="G11" s="151">
        <f>Rezerve_SAM_SAMP_kārta!N65</f>
        <v>3534898</v>
      </c>
      <c r="H11" s="151">
        <f>Rezerve_SAM_SAMP_kārta!O65</f>
        <v>3534898</v>
      </c>
      <c r="I11" s="151">
        <f>Rezerve_SAM_SAMP_kārta!Q65</f>
        <v>0</v>
      </c>
      <c r="J11" s="151">
        <f>Rezerve_SAM_SAMP_kārta!R65</f>
        <v>0</v>
      </c>
      <c r="K11" s="93"/>
    </row>
    <row r="12" spans="2:11" ht="26.25" customHeight="1" x14ac:dyDescent="0.25">
      <c r="B12" s="152" t="s">
        <v>291</v>
      </c>
      <c r="C12" s="152" t="s">
        <v>489</v>
      </c>
      <c r="D12" s="151">
        <f>Rezerve_SAM_SAMP_kārta!J95</f>
        <v>0</v>
      </c>
      <c r="E12" s="151">
        <f>Rezerve_SAM_SAMP_kārta!I95</f>
        <v>20190555</v>
      </c>
      <c r="F12" s="151">
        <f>Rezerve_SAM_SAMP_kārta!K95</f>
        <v>1231528</v>
      </c>
      <c r="G12" s="151">
        <f>Rezerve_SAM_SAMP_kārta!N95</f>
        <v>146038</v>
      </c>
      <c r="H12" s="151">
        <f>Rezerve_SAM_SAMP_kārta!O95</f>
        <v>146038</v>
      </c>
      <c r="I12" s="151">
        <f>Rezerve_SAM_SAMP_kārta!Q95</f>
        <v>1104997</v>
      </c>
      <c r="J12" s="151">
        <f>Rezerve_SAM_SAMP_kārta!R95</f>
        <v>0</v>
      </c>
      <c r="K12" s="93"/>
    </row>
    <row r="13" spans="2:11" ht="26.25" customHeight="1" x14ac:dyDescent="0.25">
      <c r="B13" s="152" t="s">
        <v>292</v>
      </c>
      <c r="C13" s="152" t="s">
        <v>489</v>
      </c>
      <c r="D13" s="151">
        <f>Rezerve_SAM_SAMP_kārta!J96</f>
        <v>0</v>
      </c>
      <c r="E13" s="151">
        <f>Rezerve_SAM_SAMP_kārta!I96</f>
        <v>15000000</v>
      </c>
      <c r="F13" s="151">
        <f>Rezerve_SAM_SAMP_kārta!K96</f>
        <v>914929</v>
      </c>
      <c r="G13" s="151">
        <f>Rezerve_SAM_SAMP_kārta!N96</f>
        <v>63805</v>
      </c>
      <c r="H13" s="151">
        <f>Rezerve_SAM_SAMP_kārta!O96</f>
        <v>63805</v>
      </c>
      <c r="I13" s="151">
        <f>Rezerve_SAM_SAMP_kārta!Q96</f>
        <v>913321</v>
      </c>
      <c r="J13" s="151">
        <f>Rezerve_SAM_SAMP_kārta!R96</f>
        <v>0</v>
      </c>
      <c r="K13" s="93"/>
    </row>
    <row r="14" spans="2:11" ht="26.25" customHeight="1" x14ac:dyDescent="0.25">
      <c r="B14" s="154" t="s">
        <v>293</v>
      </c>
      <c r="C14" s="154">
        <v>9</v>
      </c>
      <c r="D14" s="155">
        <f>Rezerve_SAM_SAMP_kārta!J97</f>
        <v>28099280</v>
      </c>
      <c r="E14" s="156">
        <f>Rezerve_SAM_SAMP_kārta!I97</f>
        <v>23192193</v>
      </c>
      <c r="F14" s="156">
        <f>Rezerve_SAM_SAMP_kārta!K97</f>
        <v>2451484</v>
      </c>
      <c r="G14" s="156">
        <f>Rezerve_SAM_SAMP_kārta!N97</f>
        <v>32705022</v>
      </c>
      <c r="H14" s="156">
        <f>Rezerve_SAM_SAMP_kārta!O97</f>
        <v>23159931</v>
      </c>
      <c r="I14" s="156">
        <f>Rezerve_SAM_SAMP_kārta!Q97</f>
        <v>0</v>
      </c>
      <c r="J14" s="156">
        <f>Rezerve_SAM_SAMP_kārta!R97</f>
        <v>0</v>
      </c>
      <c r="K14" s="98" t="s">
        <v>340</v>
      </c>
    </row>
    <row r="15" spans="2:11" ht="26.25" customHeight="1" x14ac:dyDescent="0.25">
      <c r="B15" s="154" t="s">
        <v>270</v>
      </c>
      <c r="C15" s="154" t="s">
        <v>155</v>
      </c>
      <c r="D15" s="155">
        <f>Rezerve_SAM_SAMP_kārta!J102</f>
        <v>13269088</v>
      </c>
      <c r="E15" s="156">
        <f>Rezerve_SAM_SAMP_kārta!I102</f>
        <v>11600000</v>
      </c>
      <c r="F15" s="156">
        <f>Rezerve_SAM_SAMP_kārta!K102</f>
        <v>0</v>
      </c>
      <c r="G15" s="156">
        <f>Rezerve_SAM_SAMP_kārta!N102</f>
        <v>3</v>
      </c>
      <c r="H15" s="156">
        <f>Rezerve_SAM_SAMP_kārta!O102</f>
        <v>3</v>
      </c>
      <c r="I15" s="156">
        <f>Rezerve_SAM_SAMP_kārta!Q102</f>
        <v>0</v>
      </c>
      <c r="J15" s="156">
        <f>Rezerve_SAM_SAMP_kārta!R102</f>
        <v>0</v>
      </c>
      <c r="K15" s="93"/>
    </row>
    <row r="16" spans="2:11" ht="26.25" customHeight="1" x14ac:dyDescent="0.25">
      <c r="B16" s="154" t="s">
        <v>290</v>
      </c>
      <c r="C16" s="154">
        <v>9</v>
      </c>
      <c r="D16" s="155">
        <f>Rezerve_SAM_SAMP_kārta!J129</f>
        <v>4095434</v>
      </c>
      <c r="E16" s="156">
        <f>Rezerve_SAM_SAMP_kārta!I129</f>
        <v>58609000</v>
      </c>
      <c r="F16" s="156">
        <f>Rezerve_SAM_SAMP_kārta!K129</f>
        <v>3574872</v>
      </c>
      <c r="G16" s="156">
        <f>Rezerve_SAM_SAMP_kārta!N129</f>
        <v>4977753</v>
      </c>
      <c r="H16" s="156">
        <f>Rezerve_SAM_SAMP_kārta!O129</f>
        <v>31598</v>
      </c>
      <c r="I16" s="156">
        <f>Rezerve_SAM_SAMP_kārta!Q129</f>
        <v>1898663</v>
      </c>
      <c r="J16" s="156">
        <f>Rezerve_SAM_SAMP_kārta!R129</f>
        <v>0</v>
      </c>
      <c r="K16" s="93"/>
    </row>
    <row r="17" spans="2:11" ht="26.25" customHeight="1" x14ac:dyDescent="0.25">
      <c r="B17" s="152" t="s">
        <v>287</v>
      </c>
      <c r="C17" s="152" t="s">
        <v>488</v>
      </c>
      <c r="D17" s="151">
        <f>Rezerve_SAM_SAMP_kārta!J130</f>
        <v>0</v>
      </c>
      <c r="E17" s="151">
        <f>Rezerve_SAM_SAMP_kārta!I130</f>
        <v>60095337</v>
      </c>
      <c r="F17" s="151">
        <f>Rezerve_SAM_SAMP_kārta!K130</f>
        <v>0</v>
      </c>
      <c r="G17" s="151">
        <f>Rezerve_SAM_SAMP_kārta!N130</f>
        <v>91368</v>
      </c>
      <c r="H17" s="151">
        <f>Rezerve_SAM_SAMP_kārta!O130</f>
        <v>91368</v>
      </c>
      <c r="I17" s="151">
        <f>Rezerve_SAM_SAMP_kārta!Q130</f>
        <v>0</v>
      </c>
      <c r="J17" s="151">
        <f>Rezerve_SAM_SAMP_kārta!R130</f>
        <v>0</v>
      </c>
      <c r="K17" s="93"/>
    </row>
    <row r="18" spans="2:11" ht="26.25" customHeight="1" x14ac:dyDescent="0.25">
      <c r="B18" s="152" t="s">
        <v>288</v>
      </c>
      <c r="C18" s="152" t="s">
        <v>488</v>
      </c>
      <c r="D18" s="151">
        <f>Rezerve_SAM_SAMP_kārta!J131</f>
        <v>0</v>
      </c>
      <c r="E18" s="151">
        <f>Rezerve_SAM_SAMP_kārta!I131</f>
        <v>15267130</v>
      </c>
      <c r="F18" s="151">
        <f>Rezerve_SAM_SAMP_kārta!K131</f>
        <v>0</v>
      </c>
      <c r="G18" s="151">
        <f>Rezerve_SAM_SAMP_kārta!N131</f>
        <v>190042</v>
      </c>
      <c r="H18" s="151">
        <f>Rezerve_SAM_SAMP_kārta!O131</f>
        <v>190042</v>
      </c>
      <c r="I18" s="151">
        <f>Rezerve_SAM_SAMP_kārta!Q131</f>
        <v>0</v>
      </c>
      <c r="J18" s="151">
        <f>Rezerve_SAM_SAMP_kārta!R131</f>
        <v>0</v>
      </c>
      <c r="K18" s="93"/>
    </row>
    <row r="19" spans="2:11" ht="19.5" hidden="1" thickBot="1" x14ac:dyDescent="0.3">
      <c r="B19" s="153" t="s">
        <v>289</v>
      </c>
      <c r="C19" s="152" t="s">
        <v>488</v>
      </c>
      <c r="D19" s="151">
        <f>Rezerve_SAM_SAMP_kārta!J132</f>
        <v>0</v>
      </c>
      <c r="E19" s="151">
        <f>Rezerve_SAM_SAMP_kārta!I132</f>
        <v>4895346</v>
      </c>
      <c r="F19" s="151">
        <f>Rezerve_SAM_SAMP_kārta!K132</f>
        <v>4895346</v>
      </c>
      <c r="G19" s="151">
        <f>Rezerve_SAM_SAMP_kārta!N132</f>
        <v>0</v>
      </c>
      <c r="H19" s="151">
        <f>Rezerve_SAM_SAMP_kārta!O132</f>
        <v>0</v>
      </c>
      <c r="I19" s="151">
        <f>Rezerve_SAM_SAMP_kārta!Q132</f>
        <v>0</v>
      </c>
      <c r="J19" s="151">
        <f>Rezerve_SAM_SAMP_kārta!R132</f>
        <v>0</v>
      </c>
      <c r="K19" s="94"/>
    </row>
    <row r="20" spans="2:11" ht="17.25" hidden="1" x14ac:dyDescent="0.25">
      <c r="B20" s="95" t="s">
        <v>310</v>
      </c>
      <c r="C20" s="95"/>
      <c r="D20" s="96">
        <f t="shared" ref="D20:J20" si="2">SUM(D21:D43)</f>
        <v>0</v>
      </c>
      <c r="E20" s="96">
        <f t="shared" si="2"/>
        <v>794798562</v>
      </c>
      <c r="F20" s="96">
        <f t="shared" si="2"/>
        <v>45990287.335423805</v>
      </c>
      <c r="G20" s="96">
        <f t="shared" si="2"/>
        <v>91020200</v>
      </c>
      <c r="H20" s="96">
        <f t="shared" si="2"/>
        <v>137010487.33542383</v>
      </c>
      <c r="I20" s="96">
        <f t="shared" si="2"/>
        <v>9489708.4699999988</v>
      </c>
      <c r="J20" s="96">
        <f t="shared" si="2"/>
        <v>5346841.6899999995</v>
      </c>
      <c r="K20" s="97"/>
    </row>
    <row r="21" spans="2:11" ht="15.75" hidden="1" x14ac:dyDescent="0.25">
      <c r="B21" s="89" t="s">
        <v>336</v>
      </c>
      <c r="C21" s="89">
        <v>9</v>
      </c>
      <c r="D21" s="88">
        <v>0</v>
      </c>
      <c r="E21" s="90">
        <v>96000000</v>
      </c>
      <c r="F21" s="90">
        <v>5939202.9987374237</v>
      </c>
      <c r="G21" s="90"/>
      <c r="H21" s="88">
        <f>F21+G21</f>
        <v>5939202.9987374237</v>
      </c>
      <c r="I21" s="90">
        <v>1608941.18</v>
      </c>
      <c r="J21" s="90">
        <v>0</v>
      </c>
      <c r="K21" s="93"/>
    </row>
    <row r="22" spans="2:11" ht="15.75" hidden="1" x14ac:dyDescent="0.25">
      <c r="B22" s="89" t="s">
        <v>337</v>
      </c>
      <c r="C22" s="89">
        <v>9</v>
      </c>
      <c r="D22" s="88">
        <v>0</v>
      </c>
      <c r="E22" s="90">
        <v>12516768</v>
      </c>
      <c r="F22" s="90">
        <v>774371.10458438157</v>
      </c>
      <c r="G22" s="90">
        <f>ROUNDDOWN((92868.8900000006),0)</f>
        <v>92868</v>
      </c>
      <c r="H22" s="88">
        <f t="shared" ref="H22:H43" si="3">F22+G22</f>
        <v>867239.10458438157</v>
      </c>
      <c r="I22" s="90">
        <v>0</v>
      </c>
      <c r="J22" s="90">
        <v>0</v>
      </c>
      <c r="K22" s="93"/>
    </row>
    <row r="23" spans="2:11" ht="15.75" hidden="1" x14ac:dyDescent="0.25">
      <c r="B23" s="89" t="s">
        <v>294</v>
      </c>
      <c r="C23" s="89" t="s">
        <v>489</v>
      </c>
      <c r="D23" s="88">
        <v>0</v>
      </c>
      <c r="E23" s="90">
        <v>785971</v>
      </c>
      <c r="F23" s="90">
        <v>0</v>
      </c>
      <c r="G23" s="90">
        <v>0</v>
      </c>
      <c r="H23" s="88">
        <f t="shared" si="3"/>
        <v>0</v>
      </c>
      <c r="I23" s="90">
        <v>0</v>
      </c>
      <c r="J23" s="90">
        <v>0</v>
      </c>
      <c r="K23" s="93"/>
    </row>
    <row r="24" spans="2:11" ht="15.75" hidden="1" x14ac:dyDescent="0.25">
      <c r="B24" s="89" t="s">
        <v>295</v>
      </c>
      <c r="C24" s="89" t="s">
        <v>489</v>
      </c>
      <c r="D24" s="88">
        <v>0</v>
      </c>
      <c r="E24" s="90">
        <v>25184501</v>
      </c>
      <c r="F24" s="90">
        <v>914929</v>
      </c>
      <c r="G24" s="90">
        <v>1635078</v>
      </c>
      <c r="H24" s="88">
        <f t="shared" si="3"/>
        <v>2550007</v>
      </c>
      <c r="I24" s="90">
        <v>0</v>
      </c>
      <c r="J24" s="90">
        <v>0</v>
      </c>
      <c r="K24" s="93"/>
    </row>
    <row r="25" spans="2:11" ht="15.75" hidden="1" x14ac:dyDescent="0.25">
      <c r="B25" s="89" t="s">
        <v>296</v>
      </c>
      <c r="C25" s="89" t="s">
        <v>489</v>
      </c>
      <c r="D25" s="88">
        <v>0</v>
      </c>
      <c r="E25" s="90">
        <v>2967333</v>
      </c>
      <c r="F25" s="90">
        <v>1765068</v>
      </c>
      <c r="G25" s="90">
        <v>306000</v>
      </c>
      <c r="H25" s="88">
        <f t="shared" si="3"/>
        <v>2071068</v>
      </c>
      <c r="I25" s="90">
        <v>0</v>
      </c>
      <c r="J25" s="90">
        <v>0</v>
      </c>
      <c r="K25" s="93"/>
    </row>
    <row r="26" spans="2:11" ht="15.75" hidden="1" x14ac:dyDescent="0.25">
      <c r="B26" s="89" t="s">
        <v>297</v>
      </c>
      <c r="C26" s="89" t="s">
        <v>489</v>
      </c>
      <c r="D26" s="88">
        <v>0</v>
      </c>
      <c r="E26" s="90">
        <v>56721226</v>
      </c>
      <c r="F26" s="90">
        <v>0</v>
      </c>
      <c r="G26" s="90">
        <v>425596</v>
      </c>
      <c r="H26" s="88">
        <f t="shared" si="3"/>
        <v>425596</v>
      </c>
      <c r="I26" s="90">
        <v>0</v>
      </c>
      <c r="J26" s="90">
        <v>0</v>
      </c>
      <c r="K26" s="93"/>
    </row>
    <row r="27" spans="2:11" ht="15.75" hidden="1" x14ac:dyDescent="0.25">
      <c r="B27" s="89" t="s">
        <v>298</v>
      </c>
      <c r="C27" s="89" t="s">
        <v>489</v>
      </c>
      <c r="D27" s="88">
        <v>0</v>
      </c>
      <c r="E27" s="90">
        <v>35027320</v>
      </c>
      <c r="F27" s="90">
        <v>0</v>
      </c>
      <c r="G27" s="90">
        <v>642132</v>
      </c>
      <c r="H27" s="88">
        <f t="shared" si="3"/>
        <v>642132</v>
      </c>
      <c r="I27" s="90">
        <v>0</v>
      </c>
      <c r="J27" s="90">
        <v>0</v>
      </c>
      <c r="K27" s="93"/>
    </row>
    <row r="28" spans="2:11" ht="15.75" hidden="1" x14ac:dyDescent="0.25">
      <c r="B28" s="89" t="s">
        <v>299</v>
      </c>
      <c r="C28" s="89" t="s">
        <v>489</v>
      </c>
      <c r="D28" s="88">
        <v>0</v>
      </c>
      <c r="E28" s="90">
        <v>11707775</v>
      </c>
      <c r="F28" s="90">
        <v>0</v>
      </c>
      <c r="G28" s="90">
        <v>0</v>
      </c>
      <c r="H28" s="88">
        <f t="shared" si="3"/>
        <v>0</v>
      </c>
      <c r="I28" s="90">
        <v>0</v>
      </c>
      <c r="J28" s="90">
        <v>0</v>
      </c>
      <c r="K28" s="93"/>
    </row>
    <row r="29" spans="2:11" ht="15.75" hidden="1" x14ac:dyDescent="0.25">
      <c r="B29" s="89" t="s">
        <v>300</v>
      </c>
      <c r="C29" s="89" t="s">
        <v>489</v>
      </c>
      <c r="D29" s="88">
        <v>0</v>
      </c>
      <c r="E29" s="90">
        <v>3588193</v>
      </c>
      <c r="F29" s="90">
        <v>0</v>
      </c>
      <c r="G29" s="90">
        <v>3588193</v>
      </c>
      <c r="H29" s="88">
        <f t="shared" si="3"/>
        <v>3588193</v>
      </c>
      <c r="I29" s="90">
        <v>0</v>
      </c>
      <c r="J29" s="90">
        <v>0</v>
      </c>
      <c r="K29" s="93"/>
    </row>
    <row r="30" spans="2:11" ht="15.75" hidden="1" x14ac:dyDescent="0.25">
      <c r="B30" s="89" t="s">
        <v>304</v>
      </c>
      <c r="C30" s="89" t="s">
        <v>489</v>
      </c>
      <c r="D30" s="88">
        <v>0</v>
      </c>
      <c r="E30" s="90">
        <v>3400000</v>
      </c>
      <c r="F30" s="90">
        <v>0</v>
      </c>
      <c r="G30" s="90">
        <v>327279</v>
      </c>
      <c r="H30" s="88">
        <f t="shared" si="3"/>
        <v>327279</v>
      </c>
      <c r="I30" s="90">
        <v>0</v>
      </c>
      <c r="J30" s="90">
        <v>0</v>
      </c>
      <c r="K30" s="93"/>
    </row>
    <row r="31" spans="2:11" ht="15.75" hidden="1" x14ac:dyDescent="0.25">
      <c r="B31" s="118" t="s">
        <v>507</v>
      </c>
      <c r="C31" s="118"/>
      <c r="D31" s="119"/>
      <c r="E31" s="120"/>
      <c r="F31" s="120"/>
      <c r="G31" s="120"/>
      <c r="H31" s="119"/>
      <c r="I31" s="120">
        <v>2447358.08</v>
      </c>
      <c r="J31" s="120">
        <v>0</v>
      </c>
      <c r="K31" s="93"/>
    </row>
    <row r="32" spans="2:11" ht="15.75" hidden="1" x14ac:dyDescent="0.25">
      <c r="B32" s="118" t="s">
        <v>311</v>
      </c>
      <c r="C32" s="118">
        <v>9</v>
      </c>
      <c r="D32" s="119">
        <v>0</v>
      </c>
      <c r="E32" s="120">
        <v>92138673</v>
      </c>
      <c r="F32" s="120">
        <v>5620021</v>
      </c>
      <c r="G32" s="120">
        <v>22916798</v>
      </c>
      <c r="H32" s="119">
        <f t="shared" si="3"/>
        <v>28536819</v>
      </c>
      <c r="I32" s="120">
        <v>0</v>
      </c>
      <c r="J32" s="120">
        <v>0</v>
      </c>
      <c r="K32" s="93"/>
    </row>
    <row r="33" spans="2:11" ht="15.75" hidden="1" x14ac:dyDescent="0.25">
      <c r="B33" s="118" t="s">
        <v>312</v>
      </c>
      <c r="C33" s="118" t="s">
        <v>488</v>
      </c>
      <c r="D33" s="119">
        <v>0</v>
      </c>
      <c r="E33" s="120">
        <v>92138673</v>
      </c>
      <c r="F33" s="120">
        <v>5620021</v>
      </c>
      <c r="G33" s="120">
        <v>17002617</v>
      </c>
      <c r="H33" s="119">
        <f t="shared" si="3"/>
        <v>22622638</v>
      </c>
      <c r="I33" s="120">
        <v>1410235.8</v>
      </c>
      <c r="J33" s="120">
        <v>2585183.63</v>
      </c>
      <c r="K33" s="93"/>
    </row>
    <row r="34" spans="2:11" ht="15.75" hidden="1" x14ac:dyDescent="0.25">
      <c r="B34" s="118" t="s">
        <v>313</v>
      </c>
      <c r="C34" s="118" t="s">
        <v>489</v>
      </c>
      <c r="D34" s="119">
        <v>0</v>
      </c>
      <c r="E34" s="120">
        <v>52247026</v>
      </c>
      <c r="F34" s="120">
        <v>3186819</v>
      </c>
      <c r="G34" s="120">
        <v>4305802</v>
      </c>
      <c r="H34" s="119">
        <f t="shared" si="3"/>
        <v>7492621</v>
      </c>
      <c r="I34" s="120">
        <v>0</v>
      </c>
      <c r="J34" s="120">
        <v>1140082.06</v>
      </c>
      <c r="K34" s="93"/>
    </row>
    <row r="35" spans="2:11" ht="15.75" hidden="1" x14ac:dyDescent="0.25">
      <c r="B35" s="89" t="s">
        <v>338</v>
      </c>
      <c r="C35" s="89" t="s">
        <v>490</v>
      </c>
      <c r="D35" s="88">
        <v>0</v>
      </c>
      <c r="E35" s="90">
        <v>75109464</v>
      </c>
      <c r="F35" s="90">
        <v>4646774.3627410103</v>
      </c>
      <c r="G35" s="90">
        <v>17380041</v>
      </c>
      <c r="H35" s="88">
        <f t="shared" si="3"/>
        <v>22026815.362741008</v>
      </c>
      <c r="I35" s="90">
        <v>0</v>
      </c>
      <c r="J35" s="90">
        <v>438842</v>
      </c>
      <c r="K35" s="93"/>
    </row>
    <row r="36" spans="2:11" ht="15.75" hidden="1" x14ac:dyDescent="0.25">
      <c r="B36" s="89" t="s">
        <v>271</v>
      </c>
      <c r="C36" s="89" t="s">
        <v>490</v>
      </c>
      <c r="D36" s="88">
        <v>0</v>
      </c>
      <c r="E36" s="90">
        <v>7093340</v>
      </c>
      <c r="F36" s="90">
        <v>438842</v>
      </c>
      <c r="G36" s="90">
        <v>0</v>
      </c>
      <c r="H36" s="88">
        <f t="shared" si="3"/>
        <v>438842</v>
      </c>
      <c r="I36" s="90">
        <v>0</v>
      </c>
      <c r="J36" s="90">
        <v>0</v>
      </c>
      <c r="K36" s="93"/>
    </row>
    <row r="37" spans="2:11" ht="15.75" hidden="1" x14ac:dyDescent="0.25">
      <c r="B37" s="89" t="s">
        <v>272</v>
      </c>
      <c r="C37" s="89" t="s">
        <v>490</v>
      </c>
      <c r="D37" s="88">
        <v>0</v>
      </c>
      <c r="E37" s="90">
        <v>24000000</v>
      </c>
      <c r="F37" s="90">
        <v>1484801</v>
      </c>
      <c r="G37" s="90">
        <v>0</v>
      </c>
      <c r="H37" s="88">
        <f t="shared" si="3"/>
        <v>1484801</v>
      </c>
      <c r="I37" s="90">
        <v>1484801</v>
      </c>
      <c r="J37" s="90">
        <v>0</v>
      </c>
      <c r="K37" s="93"/>
    </row>
    <row r="38" spans="2:11" ht="15.75" hidden="1" x14ac:dyDescent="0.25">
      <c r="B38" s="89" t="s">
        <v>339</v>
      </c>
      <c r="C38" s="89">
        <v>9</v>
      </c>
      <c r="D38" s="88">
        <v>0</v>
      </c>
      <c r="E38" s="90">
        <v>44916932</v>
      </c>
      <c r="F38" s="90">
        <v>2778862.1693609911</v>
      </c>
      <c r="G38" s="90">
        <v>2712719</v>
      </c>
      <c r="H38" s="88">
        <f t="shared" si="3"/>
        <v>5491581.1693609916</v>
      </c>
      <c r="I38" s="90">
        <v>2442296.06</v>
      </c>
      <c r="J38" s="90">
        <v>0</v>
      </c>
      <c r="K38" s="93"/>
    </row>
    <row r="39" spans="2:11" ht="15.75" hidden="1" x14ac:dyDescent="0.25">
      <c r="B39" s="89" t="s">
        <v>305</v>
      </c>
      <c r="C39" s="89">
        <v>9</v>
      </c>
      <c r="D39" s="88">
        <v>0</v>
      </c>
      <c r="E39" s="90">
        <v>69506354</v>
      </c>
      <c r="F39" s="90">
        <v>4239887.7</v>
      </c>
      <c r="G39" s="90">
        <v>151496</v>
      </c>
      <c r="H39" s="88">
        <f t="shared" si="3"/>
        <v>4391383.7</v>
      </c>
      <c r="I39" s="90">
        <v>0</v>
      </c>
      <c r="J39" s="90">
        <v>0</v>
      </c>
      <c r="K39" s="93"/>
    </row>
    <row r="40" spans="2:11" ht="15.75" hidden="1" x14ac:dyDescent="0.25">
      <c r="B40" s="89" t="s">
        <v>306</v>
      </c>
      <c r="C40" s="89" t="s">
        <v>488</v>
      </c>
      <c r="D40" s="88">
        <v>0</v>
      </c>
      <c r="E40" s="90">
        <v>19084794</v>
      </c>
      <c r="F40" s="90">
        <v>1164172</v>
      </c>
      <c r="G40" s="90">
        <v>0</v>
      </c>
      <c r="H40" s="88">
        <f t="shared" si="3"/>
        <v>1164172</v>
      </c>
      <c r="I40" s="90">
        <v>0</v>
      </c>
      <c r="J40" s="90">
        <v>0</v>
      </c>
      <c r="K40" s="93"/>
    </row>
    <row r="41" spans="2:11" ht="15.75" hidden="1" x14ac:dyDescent="0.25">
      <c r="B41" s="89" t="s">
        <v>308</v>
      </c>
      <c r="C41" s="89">
        <v>9</v>
      </c>
      <c r="D41" s="88">
        <v>0</v>
      </c>
      <c r="E41" s="90">
        <v>11141657</v>
      </c>
      <c r="F41" s="90">
        <v>741934</v>
      </c>
      <c r="G41" s="90">
        <v>1249757</v>
      </c>
      <c r="H41" s="88">
        <f t="shared" si="3"/>
        <v>1991691</v>
      </c>
      <c r="I41" s="90">
        <v>0</v>
      </c>
      <c r="J41" s="90">
        <v>400491</v>
      </c>
      <c r="K41" s="93"/>
    </row>
    <row r="42" spans="2:11" ht="15.75" hidden="1" x14ac:dyDescent="0.25">
      <c r="B42" s="89" t="s">
        <v>309</v>
      </c>
      <c r="C42" s="89" t="s">
        <v>488</v>
      </c>
      <c r="D42" s="88">
        <v>0</v>
      </c>
      <c r="E42" s="90">
        <v>26634024</v>
      </c>
      <c r="F42" s="90">
        <v>1773583</v>
      </c>
      <c r="G42" s="90">
        <v>6283861</v>
      </c>
      <c r="H42" s="88">
        <f t="shared" si="3"/>
        <v>8057444</v>
      </c>
      <c r="I42" s="90">
        <v>96076.35</v>
      </c>
      <c r="J42" s="90">
        <v>782243</v>
      </c>
      <c r="K42" s="93"/>
    </row>
    <row r="43" spans="2:11" ht="15.75" hidden="1" x14ac:dyDescent="0.25">
      <c r="B43" s="89" t="s">
        <v>307</v>
      </c>
      <c r="C43" s="89" t="s">
        <v>489</v>
      </c>
      <c r="D43" s="88">
        <v>0</v>
      </c>
      <c r="E43" s="90">
        <v>32888538</v>
      </c>
      <c r="F43" s="90">
        <v>4900999</v>
      </c>
      <c r="G43" s="90">
        <v>11999963</v>
      </c>
      <c r="H43" s="88">
        <f t="shared" si="3"/>
        <v>16900962</v>
      </c>
      <c r="I43" s="90">
        <v>0</v>
      </c>
      <c r="J43" s="90"/>
      <c r="K43" s="88"/>
    </row>
    <row r="44" spans="2:11" hidden="1" x14ac:dyDescent="0.25"/>
    <row r="45" spans="2:11" hidden="1" x14ac:dyDescent="0.25"/>
    <row r="46" spans="2:11" ht="63" hidden="1" x14ac:dyDescent="0.25">
      <c r="C46" s="85" t="s">
        <v>491</v>
      </c>
      <c r="D46" s="85" t="s">
        <v>302</v>
      </c>
      <c r="E46" s="84" t="s">
        <v>285</v>
      </c>
      <c r="F46" s="85" t="s">
        <v>303</v>
      </c>
      <c r="G46" s="86" t="s">
        <v>328</v>
      </c>
      <c r="H46" s="91" t="s">
        <v>329</v>
      </c>
      <c r="I46" s="87" t="s">
        <v>330</v>
      </c>
      <c r="J46" s="87" t="s">
        <v>331</v>
      </c>
      <c r="K46" s="87" t="s">
        <v>493</v>
      </c>
    </row>
    <row r="47" spans="2:11" ht="15.75" hidden="1" x14ac:dyDescent="0.25">
      <c r="C47" s="474" t="s">
        <v>492</v>
      </c>
      <c r="D47" s="475"/>
      <c r="E47" s="475"/>
      <c r="F47" s="475"/>
      <c r="G47" s="475"/>
      <c r="H47" s="475"/>
      <c r="I47" s="475"/>
      <c r="J47" s="475"/>
      <c r="K47" s="476"/>
    </row>
    <row r="48" spans="2:11" ht="15.75" hidden="1" x14ac:dyDescent="0.25">
      <c r="C48" s="85">
        <v>9</v>
      </c>
      <c r="D48" s="100">
        <f>SUMIFS(D$7:D$19,$C$7:$C$19,$C48)</f>
        <v>53000000</v>
      </c>
      <c r="E48" s="100">
        <f t="shared" ref="E48:J48" si="4">SUMIFS(E$7:E$19,$C$7:$C$19,$C48)</f>
        <v>108409655</v>
      </c>
      <c r="F48" s="100">
        <f t="shared" si="4"/>
        <v>7649346</v>
      </c>
      <c r="G48" s="100">
        <f t="shared" si="4"/>
        <v>43422740</v>
      </c>
      <c r="H48" s="100">
        <f t="shared" si="4"/>
        <v>23264164</v>
      </c>
      <c r="I48" s="100">
        <f t="shared" si="4"/>
        <v>2153991</v>
      </c>
      <c r="J48" s="100">
        <f t="shared" si="4"/>
        <v>173540</v>
      </c>
      <c r="K48" s="100">
        <f>F48-I48-J48</f>
        <v>5321815</v>
      </c>
    </row>
    <row r="49" spans="3:11" ht="15.75" hidden="1" x14ac:dyDescent="0.25">
      <c r="C49" s="85" t="s">
        <v>488</v>
      </c>
      <c r="D49" s="100">
        <f t="shared" ref="D49:J51" si="5">SUMIFS(D$7:D$19,$C$7:$C$19,$C49)</f>
        <v>0</v>
      </c>
      <c r="E49" s="100">
        <f t="shared" si="5"/>
        <v>144059751</v>
      </c>
      <c r="F49" s="100">
        <f t="shared" si="5"/>
        <v>8786960</v>
      </c>
      <c r="G49" s="100">
        <f t="shared" si="5"/>
        <v>7688316</v>
      </c>
      <c r="H49" s="100">
        <f t="shared" si="5"/>
        <v>6559713</v>
      </c>
      <c r="I49" s="100">
        <f t="shared" si="5"/>
        <v>294040</v>
      </c>
      <c r="J49" s="100">
        <f t="shared" si="5"/>
        <v>0</v>
      </c>
      <c r="K49" s="100">
        <f t="shared" ref="K49:K55" si="6">F49-I49-J49</f>
        <v>8492920</v>
      </c>
    </row>
    <row r="50" spans="3:11" ht="15.75" hidden="1" x14ac:dyDescent="0.25">
      <c r="C50" s="85" t="s">
        <v>489</v>
      </c>
      <c r="D50" s="100">
        <f t="shared" si="5"/>
        <v>0</v>
      </c>
      <c r="E50" s="100">
        <f t="shared" si="5"/>
        <v>35190555</v>
      </c>
      <c r="F50" s="100">
        <f t="shared" si="5"/>
        <v>2146457</v>
      </c>
      <c r="G50" s="100">
        <f t="shared" si="5"/>
        <v>209843</v>
      </c>
      <c r="H50" s="100">
        <f t="shared" si="5"/>
        <v>209843</v>
      </c>
      <c r="I50" s="100">
        <f t="shared" si="5"/>
        <v>2018318</v>
      </c>
      <c r="J50" s="100">
        <f t="shared" si="5"/>
        <v>0</v>
      </c>
      <c r="K50" s="100">
        <f t="shared" si="6"/>
        <v>128139</v>
      </c>
    </row>
    <row r="51" spans="3:11" ht="15.75" hidden="1" x14ac:dyDescent="0.25">
      <c r="C51" s="85" t="s">
        <v>155</v>
      </c>
      <c r="D51" s="100">
        <f t="shared" si="5"/>
        <v>13269088</v>
      </c>
      <c r="E51" s="100">
        <f t="shared" si="5"/>
        <v>11600000</v>
      </c>
      <c r="F51" s="100">
        <f t="shared" si="5"/>
        <v>0</v>
      </c>
      <c r="G51" s="100">
        <f t="shared" si="5"/>
        <v>3</v>
      </c>
      <c r="H51" s="100">
        <f t="shared" si="5"/>
        <v>3</v>
      </c>
      <c r="I51" s="100">
        <f t="shared" si="5"/>
        <v>0</v>
      </c>
      <c r="J51" s="100">
        <f t="shared" si="5"/>
        <v>0</v>
      </c>
      <c r="K51" s="100">
        <f t="shared" si="6"/>
        <v>0</v>
      </c>
    </row>
    <row r="52" spans="3:11" ht="15.75" hidden="1" x14ac:dyDescent="0.25">
      <c r="C52" s="474" t="s">
        <v>310</v>
      </c>
      <c r="D52" s="475"/>
      <c r="E52" s="475"/>
      <c r="F52" s="475"/>
      <c r="G52" s="475"/>
      <c r="H52" s="475"/>
      <c r="I52" s="475"/>
      <c r="J52" s="475"/>
      <c r="K52" s="476"/>
    </row>
    <row r="53" spans="3:11" ht="15.75" hidden="1" x14ac:dyDescent="0.25">
      <c r="C53" s="85">
        <v>9</v>
      </c>
      <c r="D53" s="100">
        <f>SUMIFS(D$21:D$43,$C$21:$C$43,$C53)</f>
        <v>0</v>
      </c>
      <c r="E53" s="100">
        <f t="shared" ref="E53:J53" si="7">SUMIFS(E$21:E$43,$C$21:$C$43,$C53)</f>
        <v>326220384</v>
      </c>
      <c r="F53" s="100">
        <f t="shared" si="7"/>
        <v>20094278.972682796</v>
      </c>
      <c r="G53" s="100">
        <f t="shared" si="7"/>
        <v>27123638</v>
      </c>
      <c r="H53" s="100">
        <f t="shared" si="7"/>
        <v>47217916.972682804</v>
      </c>
      <c r="I53" s="100">
        <f t="shared" si="7"/>
        <v>4051237.24</v>
      </c>
      <c r="J53" s="100">
        <f t="shared" si="7"/>
        <v>400491</v>
      </c>
      <c r="K53" s="100">
        <f t="shared" si="6"/>
        <v>15642550.732682796</v>
      </c>
    </row>
    <row r="54" spans="3:11" ht="15.75" hidden="1" x14ac:dyDescent="0.25">
      <c r="C54" s="85" t="s">
        <v>488</v>
      </c>
      <c r="D54" s="100">
        <f t="shared" ref="D54:J55" si="8">SUMIFS(D$21:D$43,$C$21:$C$43,$C54)</f>
        <v>0</v>
      </c>
      <c r="E54" s="100">
        <f t="shared" si="8"/>
        <v>137857491</v>
      </c>
      <c r="F54" s="100">
        <f t="shared" si="8"/>
        <v>8557776</v>
      </c>
      <c r="G54" s="100">
        <f t="shared" si="8"/>
        <v>23286478</v>
      </c>
      <c r="H54" s="100">
        <f t="shared" si="8"/>
        <v>31844254</v>
      </c>
      <c r="I54" s="100">
        <f t="shared" si="8"/>
        <v>1506312.1500000001</v>
      </c>
      <c r="J54" s="100">
        <f t="shared" si="8"/>
        <v>3367426.63</v>
      </c>
      <c r="K54" s="100">
        <f t="shared" si="6"/>
        <v>3684037.2199999997</v>
      </c>
    </row>
    <row r="55" spans="3:11" ht="15.75" hidden="1" x14ac:dyDescent="0.25">
      <c r="C55" s="85" t="s">
        <v>489</v>
      </c>
      <c r="D55" s="100">
        <f t="shared" si="8"/>
        <v>0</v>
      </c>
      <c r="E55" s="100">
        <f t="shared" si="8"/>
        <v>224517883</v>
      </c>
      <c r="F55" s="100">
        <f t="shared" si="8"/>
        <v>10767815</v>
      </c>
      <c r="G55" s="100">
        <f t="shared" si="8"/>
        <v>23230043</v>
      </c>
      <c r="H55" s="100">
        <f t="shared" si="8"/>
        <v>33997858</v>
      </c>
      <c r="I55" s="100">
        <f t="shared" si="8"/>
        <v>0</v>
      </c>
      <c r="J55" s="100">
        <f t="shared" si="8"/>
        <v>1140082.06</v>
      </c>
      <c r="K55" s="100">
        <f t="shared" si="6"/>
        <v>9627732.9399999995</v>
      </c>
    </row>
    <row r="56" spans="3:11" hidden="1" x14ac:dyDescent="0.25"/>
    <row r="57" spans="3:11" hidden="1" x14ac:dyDescent="0.25"/>
    <row r="59" spans="3:11" x14ac:dyDescent="0.25">
      <c r="E59" s="122"/>
    </row>
    <row r="60" spans="3:11" x14ac:dyDescent="0.25">
      <c r="E60" s="122"/>
    </row>
    <row r="61" spans="3:11" x14ac:dyDescent="0.25">
      <c r="E61" s="122"/>
    </row>
  </sheetData>
  <mergeCells count="4">
    <mergeCell ref="C47:K47"/>
    <mergeCell ref="C52:K52"/>
    <mergeCell ref="B1:K1"/>
    <mergeCell ref="B2:J2"/>
  </mergeCells>
  <pageMargins left="0.7" right="0.7" top="0.75" bottom="0.75" header="0.3" footer="0.3"/>
  <pageSetup paperSize="9" scale="65" fitToHeight="0" orientation="landscape" r:id="rId1"/>
  <rowBreaks count="1" manualBreakCount="1">
    <brk id="55" min="1" max="10"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9"/>
  <sheetViews>
    <sheetView workbookViewId="0">
      <selection activeCell="I2" sqref="I2"/>
    </sheetView>
  </sheetViews>
  <sheetFormatPr defaultRowHeight="15" x14ac:dyDescent="0.25"/>
  <cols>
    <col min="1" max="1" width="5" customWidth="1"/>
    <col min="2" max="2" width="13" customWidth="1"/>
    <col min="3" max="3" width="12.28515625" customWidth="1"/>
    <col min="4" max="4" width="13.5703125" customWidth="1"/>
    <col min="5" max="5" width="12.7109375" customWidth="1"/>
    <col min="6" max="6" width="13.28515625" hidden="1" customWidth="1"/>
    <col min="7" max="7" width="14" hidden="1" customWidth="1"/>
    <col min="8" max="8" width="11.140625" hidden="1" customWidth="1"/>
    <col min="9" max="9" width="12.85546875" customWidth="1"/>
    <col min="10" max="10" width="10.7109375" customWidth="1"/>
    <col min="11" max="11" width="15.28515625" customWidth="1"/>
    <col min="12" max="12" width="10.85546875" customWidth="1"/>
    <col min="13" max="13" width="15.85546875" customWidth="1"/>
    <col min="14" max="14" width="18.85546875" customWidth="1"/>
  </cols>
  <sheetData>
    <row r="1" spans="1:14" ht="89.25" x14ac:dyDescent="0.25">
      <c r="A1" s="69" t="s">
        <v>201</v>
      </c>
      <c r="B1" s="46" t="s">
        <v>167</v>
      </c>
      <c r="C1" s="45" t="s">
        <v>227</v>
      </c>
      <c r="D1" s="45" t="s">
        <v>228</v>
      </c>
      <c r="E1" s="45" t="s">
        <v>229</v>
      </c>
      <c r="F1" s="51" t="s">
        <v>241</v>
      </c>
      <c r="G1" s="51" t="s">
        <v>242</v>
      </c>
      <c r="H1" s="51" t="s">
        <v>243</v>
      </c>
      <c r="I1" s="52" t="s">
        <v>230</v>
      </c>
      <c r="J1" s="52" t="s">
        <v>231</v>
      </c>
      <c r="K1" s="53" t="s">
        <v>244</v>
      </c>
      <c r="L1" s="52" t="s">
        <v>221</v>
      </c>
      <c r="M1" s="52" t="s">
        <v>219</v>
      </c>
      <c r="N1" s="52" t="s">
        <v>220</v>
      </c>
    </row>
    <row r="2" spans="1:14" ht="15.75" thickBot="1" x14ac:dyDescent="0.3">
      <c r="A2" s="59">
        <v>1</v>
      </c>
      <c r="B2" s="5" t="s">
        <v>168</v>
      </c>
      <c r="C2" s="61" t="e">
        <f>SUMIFS(Rezerve_SAM_SAMP_kārta!#REF!,Rezerve_SAM_SAMP_kārta!#REF!,Rezerve_PV!A2)</f>
        <v>#REF!</v>
      </c>
      <c r="D2" s="61" t="e">
        <f>SUMIFS(Rezerve_SAM_SAMP_kārta!I7:I187,Rezerve_SAM_SAMP_kārta!#REF!,Rezerve_PV!A2)</f>
        <v>#REF!</v>
      </c>
      <c r="E2" s="61" t="e">
        <f>SUMIFS(Rezerve_SAM_SAMP_kārta!#REF!,Rezerve_SAM_SAMP_kārta!#REF!,Rezerve_PV!A2)</f>
        <v>#REF!</v>
      </c>
      <c r="F2" s="61" t="e">
        <f>SUMIFS(Rezerve_SAM_SAMP_kārta!#REF!,Rezerve_SAM_SAMP_kārta!#REF!,Rezerve_PV!A2)</f>
        <v>#REF!</v>
      </c>
      <c r="G2" s="61" t="e">
        <f>SUMIFS(Rezerve_SAM_SAMP_kārta!#REF!,Rezerve_SAM_SAMP_kārta!#REF!,Rezerve_PV!A2)</f>
        <v>#REF!</v>
      </c>
      <c r="H2" s="61" t="e">
        <f>SUMIFS(Rezerve_SAM_SAMP_kārta!#REF!,Rezerve_SAM_SAMP_kārta!#REF!,Rezerve_PV!A2)</f>
        <v>#REF!</v>
      </c>
      <c r="I2" s="61" t="e">
        <f>SUMIFS(Rezerve_SAM_SAMP_kārta!#REF!,Rezerve_SAM_SAMP_kārta!#REF!,Rezerve_PV!A2)</f>
        <v>#REF!</v>
      </c>
      <c r="J2" s="61" t="e">
        <f>SUMIFS(Rezerve_SAM_SAMP_kārta!K7:K187,Rezerve_SAM_SAMP_kārta!#REF!,Rezerve_PV!A2)</f>
        <v>#REF!</v>
      </c>
      <c r="K2" s="62" t="e">
        <f t="shared" ref="K2:K24" si="0">I2-J2</f>
        <v>#REF!</v>
      </c>
      <c r="L2" s="61" t="e">
        <f>SUMIFS(Rezerve_SAM_SAMP_kārta!#REF!,Rezerve_SAM_SAMP_kārta!#REF!,Rezerve_PV!A2)</f>
        <v>#REF!</v>
      </c>
      <c r="M2" s="61" t="e">
        <f>SUMIFS(Rezerve_SAM_SAMP_kārta!L7:L187,Rezerve_SAM_SAMP_kārta!#REF!,Rezerve_PV!A2)</f>
        <v>#REF!</v>
      </c>
      <c r="N2" s="61" t="e">
        <f>SUMIFS(Rezerve_SAM_SAMP_kārta!#REF!,Rezerve_SAM_SAMP_kārta!#REF!,Rezerve_PV!A2)</f>
        <v>#REF!</v>
      </c>
    </row>
    <row r="3" spans="1:14" ht="15.75" thickBot="1" x14ac:dyDescent="0.3">
      <c r="A3" s="59">
        <v>2</v>
      </c>
      <c r="B3" s="57" t="s">
        <v>169</v>
      </c>
      <c r="C3" s="63" t="e">
        <f>SUMIFS(Rezerve_SAM_SAMP_kārta!#REF!,Rezerve_SAM_SAMP_kārta!#REF!,Rezerve_PV!A3)</f>
        <v>#REF!</v>
      </c>
      <c r="D3" s="63" t="e">
        <f>SUMIFS(Rezerve_SAM_SAMP_kārta!I8:I188,Rezerve_SAM_SAMP_kārta!#REF!,Rezerve_PV!A3)</f>
        <v>#REF!</v>
      </c>
      <c r="E3" s="63" t="e">
        <f>SUMIFS(Rezerve_SAM_SAMP_kārta!#REF!,Rezerve_SAM_SAMP_kārta!#REF!,Rezerve_PV!A3)</f>
        <v>#REF!</v>
      </c>
      <c r="F3" s="63" t="e">
        <f>SUMIFS(Rezerve_SAM_SAMP_kārta!#REF!,Rezerve_SAM_SAMP_kārta!#REF!,Rezerve_PV!A3)</f>
        <v>#REF!</v>
      </c>
      <c r="G3" s="63" t="e">
        <f>SUMIFS(Rezerve_SAM_SAMP_kārta!#REF!,Rezerve_SAM_SAMP_kārta!#REF!,Rezerve_PV!A3)</f>
        <v>#REF!</v>
      </c>
      <c r="H3" s="63" t="e">
        <f>SUMIFS(Rezerve_SAM_SAMP_kārta!#REF!,Rezerve_SAM_SAMP_kārta!#REF!,Rezerve_PV!A3)</f>
        <v>#REF!</v>
      </c>
      <c r="I3" s="63" t="e">
        <f>SUMIFS(Rezerve_SAM_SAMP_kārta!#REF!,Rezerve_SAM_SAMP_kārta!#REF!,Rezerve_PV!A3)</f>
        <v>#REF!</v>
      </c>
      <c r="J3" s="63" t="e">
        <f>SUMIFS(Rezerve_SAM_SAMP_kārta!K8:K188,Rezerve_SAM_SAMP_kārta!#REF!,Rezerve_PV!A3)</f>
        <v>#REF!</v>
      </c>
      <c r="K3" s="64" t="e">
        <f t="shared" si="0"/>
        <v>#REF!</v>
      </c>
      <c r="L3" s="63" t="e">
        <f>SUMIFS(Rezerve_SAM_SAMP_kārta!#REF!,Rezerve_SAM_SAMP_kārta!#REF!,Rezerve_PV!A3)</f>
        <v>#REF!</v>
      </c>
      <c r="M3" s="63" t="e">
        <f>SUMIFS(Rezerve_SAM_SAMP_kārta!L8:L188,Rezerve_SAM_SAMP_kārta!#REF!,Rezerve_PV!A3)</f>
        <v>#REF!</v>
      </c>
      <c r="N3" s="63" t="e">
        <f>SUMIFS(Rezerve_SAM_SAMP_kārta!#REF!,Rezerve_SAM_SAMP_kārta!#REF!,Rezerve_PV!A3)</f>
        <v>#REF!</v>
      </c>
    </row>
    <row r="4" spans="1:14" x14ac:dyDescent="0.25">
      <c r="A4" s="59">
        <v>31</v>
      </c>
      <c r="B4" s="54" t="s">
        <v>170</v>
      </c>
      <c r="C4" s="65" t="e">
        <f>SUMIFS(Rezerve_SAM_SAMP_kārta!#REF!,Rezerve_SAM_SAMP_kārta!#REF!,Rezerve_PV!A4)</f>
        <v>#REF!</v>
      </c>
      <c r="D4" s="65" t="e">
        <f>SUMIFS(Rezerve_SAM_SAMP_kārta!I9:I189,Rezerve_SAM_SAMP_kārta!#REF!,Rezerve_PV!A4)</f>
        <v>#REF!</v>
      </c>
      <c r="E4" s="65" t="e">
        <f>SUMIFS(Rezerve_SAM_SAMP_kārta!#REF!,Rezerve_SAM_SAMP_kārta!#REF!,Rezerve_PV!A4)</f>
        <v>#REF!</v>
      </c>
      <c r="F4" s="65" t="e">
        <f>SUMIFS(Rezerve_SAM_SAMP_kārta!#REF!,Rezerve_SAM_SAMP_kārta!#REF!,Rezerve_PV!A4)</f>
        <v>#REF!</v>
      </c>
      <c r="G4" s="65" t="e">
        <f>SUMIFS(Rezerve_SAM_SAMP_kārta!#REF!,Rezerve_SAM_SAMP_kārta!#REF!,Rezerve_PV!A4)</f>
        <v>#REF!</v>
      </c>
      <c r="H4" s="65" t="e">
        <f>SUMIFS(Rezerve_SAM_SAMP_kārta!#REF!,Rezerve_SAM_SAMP_kārta!#REF!,Rezerve_PV!A4)</f>
        <v>#REF!</v>
      </c>
      <c r="I4" s="65" t="e">
        <f>SUMIFS(Rezerve_SAM_SAMP_kārta!#REF!,Rezerve_SAM_SAMP_kārta!#REF!,Rezerve_PV!A4)</f>
        <v>#REF!</v>
      </c>
      <c r="J4" s="65" t="e">
        <f>SUMIFS(Rezerve_SAM_SAMP_kārta!K9:K189,Rezerve_SAM_SAMP_kārta!#REF!,Rezerve_PV!A4)</f>
        <v>#REF!</v>
      </c>
      <c r="K4" s="66" t="e">
        <f t="shared" si="0"/>
        <v>#REF!</v>
      </c>
      <c r="L4" s="65" t="e">
        <f>SUMIFS(Rezerve_SAM_SAMP_kārta!#REF!,Rezerve_SAM_SAMP_kārta!#REF!,Rezerve_PV!A4)</f>
        <v>#REF!</v>
      </c>
      <c r="M4" s="65" t="e">
        <f>SUMIFS(Rezerve_SAM_SAMP_kārta!L9:L189,Rezerve_SAM_SAMP_kārta!#REF!,Rezerve_PV!A4)</f>
        <v>#REF!</v>
      </c>
      <c r="N4" s="65" t="e">
        <f>SUMIFS(Rezerve_SAM_SAMP_kārta!#REF!,Rezerve_SAM_SAMP_kārta!#REF!,Rezerve_PV!A4)</f>
        <v>#REF!</v>
      </c>
    </row>
    <row r="5" spans="1:14" x14ac:dyDescent="0.25">
      <c r="A5" s="59">
        <v>32</v>
      </c>
      <c r="B5" s="49" t="s">
        <v>171</v>
      </c>
      <c r="C5" s="67" t="e">
        <f>SUMIFS(Rezerve_SAM_SAMP_kārta!#REF!,Rezerve_SAM_SAMP_kārta!#REF!,Rezerve_PV!A5)</f>
        <v>#REF!</v>
      </c>
      <c r="D5" s="67" t="e">
        <f>SUMIFS(Rezerve_SAM_SAMP_kārta!I11:I190,Rezerve_SAM_SAMP_kārta!#REF!,Rezerve_PV!A5)</f>
        <v>#REF!</v>
      </c>
      <c r="E5" s="67" t="e">
        <f>SUMIFS(Rezerve_SAM_SAMP_kārta!#REF!,Rezerve_SAM_SAMP_kārta!#REF!,Rezerve_PV!A5)</f>
        <v>#REF!</v>
      </c>
      <c r="F5" s="67" t="e">
        <f>SUMIFS(Rezerve_SAM_SAMP_kārta!#REF!,Rezerve_SAM_SAMP_kārta!#REF!,Rezerve_PV!A5)</f>
        <v>#REF!</v>
      </c>
      <c r="G5" s="67" t="e">
        <f>SUMIFS(Rezerve_SAM_SAMP_kārta!#REF!,Rezerve_SAM_SAMP_kārta!#REF!,Rezerve_PV!A5)</f>
        <v>#REF!</v>
      </c>
      <c r="H5" s="67" t="e">
        <f>SUMIFS(Rezerve_SAM_SAMP_kārta!#REF!,Rezerve_SAM_SAMP_kārta!#REF!,Rezerve_PV!A5)</f>
        <v>#REF!</v>
      </c>
      <c r="I5" s="67" t="e">
        <f>SUMIFS(Rezerve_SAM_SAMP_kārta!#REF!,Rezerve_SAM_SAMP_kārta!#REF!,Rezerve_PV!A5)</f>
        <v>#REF!</v>
      </c>
      <c r="J5" s="67" t="e">
        <f>SUMIFS(Rezerve_SAM_SAMP_kārta!K11:K190,Rezerve_SAM_SAMP_kārta!#REF!,Rezerve_PV!A5)</f>
        <v>#REF!</v>
      </c>
      <c r="K5" s="68" t="e">
        <f t="shared" si="0"/>
        <v>#REF!</v>
      </c>
      <c r="L5" s="67" t="e">
        <f>SUMIFS(Rezerve_SAM_SAMP_kārta!#REF!,Rezerve_SAM_SAMP_kārta!#REF!,Rezerve_PV!A5)</f>
        <v>#REF!</v>
      </c>
      <c r="M5" s="67" t="e">
        <f>SUMIFS(Rezerve_SAM_SAMP_kārta!L11:L190,Rezerve_SAM_SAMP_kārta!#REF!,Rezerve_PV!A5)</f>
        <v>#REF!</v>
      </c>
      <c r="N5" s="67" t="e">
        <f>SUMIFS(Rezerve_SAM_SAMP_kārta!#REF!,Rezerve_SAM_SAMP_kārta!#REF!,Rezerve_PV!A5)</f>
        <v>#REF!</v>
      </c>
    </row>
    <row r="6" spans="1:14" ht="15.75" thickBot="1" x14ac:dyDescent="0.3">
      <c r="A6" s="70"/>
      <c r="B6" s="58" t="s">
        <v>172</v>
      </c>
      <c r="C6" s="61" t="e">
        <f>SUM(C4:C5)</f>
        <v>#REF!</v>
      </c>
      <c r="D6" s="61" t="e">
        <f t="shared" ref="D6:N6" si="1">SUM(D4:D5)</f>
        <v>#REF!</v>
      </c>
      <c r="E6" s="61" t="e">
        <f t="shared" si="1"/>
        <v>#REF!</v>
      </c>
      <c r="F6" s="61" t="e">
        <f t="shared" si="1"/>
        <v>#REF!</v>
      </c>
      <c r="G6" s="61" t="e">
        <f t="shared" si="1"/>
        <v>#REF!</v>
      </c>
      <c r="H6" s="61" t="e">
        <f t="shared" si="1"/>
        <v>#REF!</v>
      </c>
      <c r="I6" s="61" t="e">
        <f t="shared" si="1"/>
        <v>#REF!</v>
      </c>
      <c r="J6" s="61" t="e">
        <f t="shared" si="1"/>
        <v>#REF!</v>
      </c>
      <c r="K6" s="62" t="e">
        <f t="shared" si="0"/>
        <v>#REF!</v>
      </c>
      <c r="L6" s="61" t="e">
        <f t="shared" si="1"/>
        <v>#REF!</v>
      </c>
      <c r="M6" s="61" t="e">
        <f t="shared" si="1"/>
        <v>#REF!</v>
      </c>
      <c r="N6" s="61" t="e">
        <f t="shared" si="1"/>
        <v>#REF!</v>
      </c>
    </row>
    <row r="7" spans="1:14" x14ac:dyDescent="0.25">
      <c r="A7" s="59">
        <v>41</v>
      </c>
      <c r="B7" s="55" t="s">
        <v>173</v>
      </c>
      <c r="C7" s="65" t="e">
        <f>SUMIFS(Rezerve_SAM_SAMP_kārta!#REF!,Rezerve_SAM_SAMP_kārta!#REF!,Rezerve_PV!A7)</f>
        <v>#REF!</v>
      </c>
      <c r="D7" s="65" t="e">
        <f>SUMIFS(Rezerve_SAM_SAMP_kārta!I13:I190,Rezerve_SAM_SAMP_kārta!#REF!,Rezerve_PV!A7)</f>
        <v>#REF!</v>
      </c>
      <c r="E7" s="65" t="e">
        <f>SUMIFS(Rezerve_SAM_SAMP_kārta!#REF!,Rezerve_SAM_SAMP_kārta!#REF!,Rezerve_PV!A7)</f>
        <v>#REF!</v>
      </c>
      <c r="F7" s="65" t="e">
        <f>SUMIFS(Rezerve_SAM_SAMP_kārta!#REF!,Rezerve_SAM_SAMP_kārta!#REF!,Rezerve_PV!A7)</f>
        <v>#REF!</v>
      </c>
      <c r="G7" s="65" t="e">
        <f>SUMIFS(Rezerve_SAM_SAMP_kārta!#REF!,Rezerve_SAM_SAMP_kārta!#REF!,Rezerve_PV!A7)</f>
        <v>#REF!</v>
      </c>
      <c r="H7" s="65" t="e">
        <f>SUMIFS(Rezerve_SAM_SAMP_kārta!#REF!,Rezerve_SAM_SAMP_kārta!#REF!,Rezerve_PV!A7)</f>
        <v>#REF!</v>
      </c>
      <c r="I7" s="65" t="e">
        <f>Rezerve_SAM_SAMP_kārta!#REF!</f>
        <v>#REF!</v>
      </c>
      <c r="J7" s="65" t="e">
        <f>SUMIFS(Rezerve_SAM_SAMP_kārta!K13:K190,Rezerve_SAM_SAMP_kārta!#REF!,Rezerve_PV!A7)</f>
        <v>#REF!</v>
      </c>
      <c r="K7" s="66" t="e">
        <f t="shared" si="0"/>
        <v>#REF!</v>
      </c>
      <c r="L7" s="65" t="e">
        <f>SUMIFS(Rezerve_SAM_SAMP_kārta!#REF!,Rezerve_SAM_SAMP_kārta!#REF!,Rezerve_PV!A7)</f>
        <v>#REF!</v>
      </c>
      <c r="M7" s="65" t="e">
        <f>SUMIFS(Rezerve_SAM_SAMP_kārta!L13:L190,Rezerve_SAM_SAMP_kārta!#REF!,Rezerve_PV!A7)</f>
        <v>#REF!</v>
      </c>
      <c r="N7" s="65" t="e">
        <f>SUMIFS(Rezerve_SAM_SAMP_kārta!#REF!,Rezerve_SAM_SAMP_kārta!#REF!,Rezerve_PV!A7)</f>
        <v>#REF!</v>
      </c>
    </row>
    <row r="8" spans="1:14" x14ac:dyDescent="0.25">
      <c r="A8" s="59">
        <v>42</v>
      </c>
      <c r="B8" s="48" t="s">
        <v>174</v>
      </c>
      <c r="C8" s="67" t="e">
        <f>SUMIFS(Rezerve_SAM_SAMP_kārta!#REF!,Rezerve_SAM_SAMP_kārta!#REF!,Rezerve_PV!A8)</f>
        <v>#REF!</v>
      </c>
      <c r="D8" s="67" t="e">
        <f>SUMIFS(Rezerve_SAM_SAMP_kārta!I14:I190,Rezerve_SAM_SAMP_kārta!#REF!,Rezerve_PV!A8)</f>
        <v>#REF!</v>
      </c>
      <c r="E8" s="67" t="e">
        <f>SUMIFS(Rezerve_SAM_SAMP_kārta!#REF!,Rezerve_SAM_SAMP_kārta!#REF!,Rezerve_PV!A8)</f>
        <v>#REF!</v>
      </c>
      <c r="F8" s="67" t="e">
        <f>SUMIFS(Rezerve_SAM_SAMP_kārta!#REF!,Rezerve_SAM_SAMP_kārta!#REF!,Rezerve_PV!A8)</f>
        <v>#REF!</v>
      </c>
      <c r="G8" s="67" t="e">
        <f>SUMIFS(Rezerve_SAM_SAMP_kārta!#REF!,Rezerve_SAM_SAMP_kārta!#REF!,Rezerve_PV!A8)</f>
        <v>#REF!</v>
      </c>
      <c r="H8" s="67" t="e">
        <f>SUMIFS(Rezerve_SAM_SAMP_kārta!#REF!,Rezerve_SAM_SAMP_kārta!#REF!,Rezerve_PV!A8)</f>
        <v>#REF!</v>
      </c>
      <c r="I8" s="67" t="e">
        <f>Rezerve_SAM_SAMP_kārta!#REF!</f>
        <v>#REF!</v>
      </c>
      <c r="J8" s="67" t="e">
        <f>SUMIFS(Rezerve_SAM_SAMP_kārta!K14:K190,Rezerve_SAM_SAMP_kārta!#REF!,Rezerve_PV!A8)</f>
        <v>#REF!</v>
      </c>
      <c r="K8" s="68" t="e">
        <f t="shared" si="0"/>
        <v>#REF!</v>
      </c>
      <c r="L8" s="67" t="e">
        <f>SUMIFS(Rezerve_SAM_SAMP_kārta!#REF!,Rezerve_SAM_SAMP_kārta!#REF!,Rezerve_PV!A8)</f>
        <v>#REF!</v>
      </c>
      <c r="M8" s="67" t="e">
        <f>SUMIFS(Rezerve_SAM_SAMP_kārta!L14:L190,Rezerve_SAM_SAMP_kārta!#REF!,Rezerve_PV!A8)</f>
        <v>#REF!</v>
      </c>
      <c r="N8" s="67" t="e">
        <f>SUMIFS(Rezerve_SAM_SAMP_kārta!#REF!,Rezerve_SAM_SAMP_kārta!#REF!,Rezerve_PV!A8)</f>
        <v>#REF!</v>
      </c>
    </row>
    <row r="9" spans="1:14" ht="15.75" thickBot="1" x14ac:dyDescent="0.3">
      <c r="A9" s="70"/>
      <c r="B9" s="5" t="s">
        <v>175</v>
      </c>
      <c r="C9" s="61" t="e">
        <f>SUM(C7:C8)</f>
        <v>#REF!</v>
      </c>
      <c r="D9" s="61" t="e">
        <f t="shared" ref="D9:N9" si="2">SUM(D7:D8)</f>
        <v>#REF!</v>
      </c>
      <c r="E9" s="61" t="e">
        <f t="shared" si="2"/>
        <v>#REF!</v>
      </c>
      <c r="F9" s="61" t="e">
        <f t="shared" si="2"/>
        <v>#REF!</v>
      </c>
      <c r="G9" s="61" t="e">
        <f t="shared" si="2"/>
        <v>#REF!</v>
      </c>
      <c r="H9" s="61" t="e">
        <f t="shared" si="2"/>
        <v>#REF!</v>
      </c>
      <c r="I9" s="61" t="e">
        <f t="shared" si="2"/>
        <v>#REF!</v>
      </c>
      <c r="J9" s="61" t="e">
        <f t="shared" si="2"/>
        <v>#REF!</v>
      </c>
      <c r="K9" s="62" t="e">
        <f t="shared" si="0"/>
        <v>#REF!</v>
      </c>
      <c r="L9" s="61" t="e">
        <f t="shared" si="2"/>
        <v>#REF!</v>
      </c>
      <c r="M9" s="61" t="e">
        <f t="shared" si="2"/>
        <v>#REF!</v>
      </c>
      <c r="N9" s="61" t="e">
        <f t="shared" si="2"/>
        <v>#REF!</v>
      </c>
    </row>
    <row r="10" spans="1:14" x14ac:dyDescent="0.25">
      <c r="A10" s="59">
        <v>51</v>
      </c>
      <c r="B10" s="56" t="s">
        <v>176</v>
      </c>
      <c r="C10" s="65" t="e">
        <f>SUMIFS(Rezerve_SAM_SAMP_kārta!#REF!,Rezerve_SAM_SAMP_kārta!#REF!,Rezerve_PV!A10)</f>
        <v>#REF!</v>
      </c>
      <c r="D10" s="72" t="e">
        <f>SUMIFS(Rezerve_SAM_SAMP_kārta!I16:I190,Rezerve_SAM_SAMP_kārta!#REF!,Rezerve_PV!A10)</f>
        <v>#REF!</v>
      </c>
      <c r="E10" s="65" t="e">
        <f>SUMIFS(Rezerve_SAM_SAMP_kārta!#REF!,Rezerve_SAM_SAMP_kārta!#REF!,Rezerve_PV!A10)</f>
        <v>#REF!</v>
      </c>
      <c r="F10" s="65" t="e">
        <f>SUMIFS(Rezerve_SAM_SAMP_kārta!#REF!,Rezerve_SAM_SAMP_kārta!#REF!,Rezerve_PV!A10)</f>
        <v>#REF!</v>
      </c>
      <c r="G10" s="65" t="e">
        <f>SUMIFS(Rezerve_SAM_SAMP_kārta!#REF!,Rezerve_SAM_SAMP_kārta!#REF!,Rezerve_PV!A10)</f>
        <v>#REF!</v>
      </c>
      <c r="H10" s="65" t="e">
        <f>SUMIFS(Rezerve_SAM_SAMP_kārta!#REF!,Rezerve_SAM_SAMP_kārta!#REF!,Rezerve_PV!A10)</f>
        <v>#REF!</v>
      </c>
      <c r="I10" s="65" t="e">
        <f>Rezerve_SAM_SAMP_kārta!#REF!</f>
        <v>#REF!</v>
      </c>
      <c r="J10" s="65" t="e">
        <f>SUMIFS(Rezerve_SAM_SAMP_kārta!K16:K190,Rezerve_SAM_SAMP_kārta!#REF!,Rezerve_PV!A10)</f>
        <v>#REF!</v>
      </c>
      <c r="K10" s="66" t="e">
        <f t="shared" si="0"/>
        <v>#REF!</v>
      </c>
      <c r="L10" s="65" t="e">
        <f>SUMIFS(Rezerve_SAM_SAMP_kārta!#REF!,Rezerve_SAM_SAMP_kārta!#REF!,Rezerve_PV!A10)</f>
        <v>#REF!</v>
      </c>
      <c r="M10" s="65" t="e">
        <f>SUMIFS(Rezerve_SAM_SAMP_kārta!L16:L190,Rezerve_SAM_SAMP_kārta!#REF!,Rezerve_PV!A10)</f>
        <v>#REF!</v>
      </c>
      <c r="N10" s="65" t="e">
        <f>SUMIFS(Rezerve_SAM_SAMP_kārta!#REF!,Rezerve_SAM_SAMP_kārta!#REF!,Rezerve_PV!A10)</f>
        <v>#REF!</v>
      </c>
    </row>
    <row r="11" spans="1:14" x14ac:dyDescent="0.25">
      <c r="A11" s="59">
        <v>52</v>
      </c>
      <c r="B11" s="50" t="s">
        <v>177</v>
      </c>
      <c r="C11" s="67" t="e">
        <f>SUMIFS(Rezerve_SAM_SAMP_kārta!#REF!,Rezerve_SAM_SAMP_kārta!#REF!,Rezerve_PV!A11)</f>
        <v>#REF!</v>
      </c>
      <c r="D11" s="67" t="e">
        <f>SUMIFS(Rezerve_SAM_SAMP_kārta!I17:I190,Rezerve_SAM_SAMP_kārta!#REF!,Rezerve_PV!A11)</f>
        <v>#REF!</v>
      </c>
      <c r="E11" s="67" t="e">
        <f>SUMIFS(Rezerve_SAM_SAMP_kārta!#REF!,Rezerve_SAM_SAMP_kārta!#REF!,Rezerve_PV!A11)</f>
        <v>#REF!</v>
      </c>
      <c r="F11" s="67" t="e">
        <f>SUMIFS(Rezerve_SAM_SAMP_kārta!#REF!,Rezerve_SAM_SAMP_kārta!#REF!,Rezerve_PV!A11)</f>
        <v>#REF!</v>
      </c>
      <c r="G11" s="67" t="e">
        <f>SUMIFS(Rezerve_SAM_SAMP_kārta!#REF!,Rezerve_SAM_SAMP_kārta!#REF!,Rezerve_PV!A11)</f>
        <v>#REF!</v>
      </c>
      <c r="H11" s="67" t="e">
        <f>SUMIFS(Rezerve_SAM_SAMP_kārta!#REF!,Rezerve_SAM_SAMP_kārta!#REF!,Rezerve_PV!A11)</f>
        <v>#REF!</v>
      </c>
      <c r="I11" s="67" t="e">
        <f>Rezerve_SAM_SAMP_kārta!#REF!</f>
        <v>#REF!</v>
      </c>
      <c r="J11" s="67" t="e">
        <f>SUMIFS(Rezerve_SAM_SAMP_kārta!K17:K190,Rezerve_SAM_SAMP_kārta!#REF!,Rezerve_PV!A11)</f>
        <v>#REF!</v>
      </c>
      <c r="K11" s="68" t="e">
        <f t="shared" si="0"/>
        <v>#REF!</v>
      </c>
      <c r="L11" s="67" t="e">
        <f>SUMIFS(Rezerve_SAM_SAMP_kārta!#REF!,Rezerve_SAM_SAMP_kārta!#REF!,Rezerve_PV!A11)</f>
        <v>#REF!</v>
      </c>
      <c r="M11" s="67" t="e">
        <f>SUMIFS(Rezerve_SAM_SAMP_kārta!L17:L190,Rezerve_SAM_SAMP_kārta!#REF!,Rezerve_PV!A11)</f>
        <v>#REF!</v>
      </c>
      <c r="N11" s="67" t="e">
        <f>SUMIFS(Rezerve_SAM_SAMP_kārta!#REF!,Rezerve_SAM_SAMP_kārta!#REF!,Rezerve_PV!A11)</f>
        <v>#REF!</v>
      </c>
    </row>
    <row r="12" spans="1:14" ht="15.75" thickBot="1" x14ac:dyDescent="0.3">
      <c r="A12" s="70"/>
      <c r="B12" s="5" t="s">
        <v>178</v>
      </c>
      <c r="C12" s="61" t="e">
        <f>SUM(C10:C11)</f>
        <v>#REF!</v>
      </c>
      <c r="D12" s="61" t="e">
        <f t="shared" ref="D12:N12" si="3">SUM(D10:D11)</f>
        <v>#REF!</v>
      </c>
      <c r="E12" s="61" t="e">
        <f t="shared" si="3"/>
        <v>#REF!</v>
      </c>
      <c r="F12" s="61" t="e">
        <f t="shared" si="3"/>
        <v>#REF!</v>
      </c>
      <c r="G12" s="61" t="e">
        <f t="shared" si="3"/>
        <v>#REF!</v>
      </c>
      <c r="H12" s="61" t="e">
        <f t="shared" si="3"/>
        <v>#REF!</v>
      </c>
      <c r="I12" s="61" t="e">
        <f t="shared" si="3"/>
        <v>#REF!</v>
      </c>
      <c r="J12" s="61" t="e">
        <f t="shared" si="3"/>
        <v>#REF!</v>
      </c>
      <c r="K12" s="62" t="e">
        <f t="shared" si="0"/>
        <v>#REF!</v>
      </c>
      <c r="L12" s="61" t="e">
        <f t="shared" si="3"/>
        <v>#REF!</v>
      </c>
      <c r="M12" s="61" t="e">
        <f t="shared" si="3"/>
        <v>#REF!</v>
      </c>
      <c r="N12" s="61" t="e">
        <f t="shared" si="3"/>
        <v>#REF!</v>
      </c>
    </row>
    <row r="13" spans="1:14" x14ac:dyDescent="0.25">
      <c r="A13" s="59">
        <v>61</v>
      </c>
      <c r="B13" s="55" t="s">
        <v>179</v>
      </c>
      <c r="C13" s="65" t="e">
        <f>SUMIFS(Rezerve_SAM_SAMP_kārta!#REF!,Rezerve_SAM_SAMP_kārta!#REF!,Rezerve_PV!A13)</f>
        <v>#REF!</v>
      </c>
      <c r="D13" s="65" t="e">
        <f>SUMIFS(Rezerve_SAM_SAMP_kārta!I19:I190,Rezerve_SAM_SAMP_kārta!#REF!,Rezerve_PV!A13)</f>
        <v>#REF!</v>
      </c>
      <c r="E13" s="65" t="e">
        <f>SUMIFS(Rezerve_SAM_SAMP_kārta!#REF!,Rezerve_SAM_SAMP_kārta!#REF!,Rezerve_PV!A13)</f>
        <v>#REF!</v>
      </c>
      <c r="F13" s="65" t="e">
        <f>SUMIFS(Rezerve_SAM_SAMP_kārta!#REF!,Rezerve_SAM_SAMP_kārta!#REF!,Rezerve_PV!A13)</f>
        <v>#REF!</v>
      </c>
      <c r="G13" s="65" t="e">
        <f>SUMIFS(Rezerve_SAM_SAMP_kārta!#REF!,Rezerve_SAM_SAMP_kārta!#REF!,Rezerve_PV!A13)</f>
        <v>#REF!</v>
      </c>
      <c r="H13" s="65" t="e">
        <f>SUMIFS(Rezerve_SAM_SAMP_kārta!#REF!,Rezerve_SAM_SAMP_kārta!#REF!,Rezerve_PV!A13)</f>
        <v>#REF!</v>
      </c>
      <c r="I13" s="65" t="e">
        <f>SUMIFS(Rezerve_SAM_SAMP_kārta!#REF!,Rezerve_SAM_SAMP_kārta!#REF!,Rezerve_PV!A13)</f>
        <v>#REF!</v>
      </c>
      <c r="J13" s="65" t="e">
        <f>SUMIFS(Rezerve_SAM_SAMP_kārta!K19:K190,Rezerve_SAM_SAMP_kārta!#REF!,Rezerve_PV!A13)</f>
        <v>#REF!</v>
      </c>
      <c r="K13" s="66" t="e">
        <f t="shared" si="0"/>
        <v>#REF!</v>
      </c>
      <c r="L13" s="65" t="e">
        <f>SUMIFS(Rezerve_SAM_SAMP_kārta!#REF!,Rezerve_SAM_SAMP_kārta!#REF!,Rezerve_PV!A13)</f>
        <v>#REF!</v>
      </c>
      <c r="M13" s="65" t="e">
        <f>SUMIFS(Rezerve_SAM_SAMP_kārta!L19:L190,Rezerve_SAM_SAMP_kārta!#REF!,Rezerve_PV!A13)</f>
        <v>#REF!</v>
      </c>
      <c r="N13" s="65" t="e">
        <f>SUMIFS(Rezerve_SAM_SAMP_kārta!#REF!,Rezerve_SAM_SAMP_kārta!#REF!,Rezerve_PV!A13)</f>
        <v>#REF!</v>
      </c>
    </row>
    <row r="14" spans="1:14" x14ac:dyDescent="0.25">
      <c r="A14" s="59">
        <v>62</v>
      </c>
      <c r="B14" s="49" t="s">
        <v>180</v>
      </c>
      <c r="C14" s="67" t="e">
        <f>SUMIFS(Rezerve_SAM_SAMP_kārta!#REF!,Rezerve_SAM_SAMP_kārta!#REF!,Rezerve_PV!A14)</f>
        <v>#REF!</v>
      </c>
      <c r="D14" s="67" t="e">
        <f>SUMIFS(Rezerve_SAM_SAMP_kārta!I20:I190,Rezerve_SAM_SAMP_kārta!#REF!,Rezerve_PV!A14)</f>
        <v>#REF!</v>
      </c>
      <c r="E14" s="67" t="e">
        <f>SUMIFS(Rezerve_SAM_SAMP_kārta!#REF!,Rezerve_SAM_SAMP_kārta!#REF!,Rezerve_PV!A14)</f>
        <v>#REF!</v>
      </c>
      <c r="F14" s="67" t="e">
        <f>SUMIFS(Rezerve_SAM_SAMP_kārta!#REF!,Rezerve_SAM_SAMP_kārta!#REF!,Rezerve_PV!A14)</f>
        <v>#REF!</v>
      </c>
      <c r="G14" s="67" t="e">
        <f>SUMIFS(Rezerve_SAM_SAMP_kārta!#REF!,Rezerve_SAM_SAMP_kārta!#REF!,Rezerve_PV!A14)</f>
        <v>#REF!</v>
      </c>
      <c r="H14" s="67" t="e">
        <f>SUMIFS(Rezerve_SAM_SAMP_kārta!#REF!,Rezerve_SAM_SAMP_kārta!#REF!,Rezerve_PV!A14)</f>
        <v>#REF!</v>
      </c>
      <c r="I14" s="67" t="e">
        <f>SUMIFS(Rezerve_SAM_SAMP_kārta!#REF!,Rezerve_SAM_SAMP_kārta!#REF!,Rezerve_PV!A14)</f>
        <v>#REF!</v>
      </c>
      <c r="J14" s="67" t="e">
        <f>SUMIFS(Rezerve_SAM_SAMP_kārta!K20:K190,Rezerve_SAM_SAMP_kārta!#REF!,Rezerve_PV!A14)</f>
        <v>#REF!</v>
      </c>
      <c r="K14" s="68" t="e">
        <f t="shared" si="0"/>
        <v>#REF!</v>
      </c>
      <c r="L14" s="67" t="e">
        <f>SUMIFS(Rezerve_SAM_SAMP_kārta!#REF!,Rezerve_SAM_SAMP_kārta!#REF!,Rezerve_PV!A14)</f>
        <v>#REF!</v>
      </c>
      <c r="M14" s="67" t="e">
        <f>SUMIFS(Rezerve_SAM_SAMP_kārta!L20:L190,Rezerve_SAM_SAMP_kārta!#REF!,Rezerve_PV!A14)</f>
        <v>#REF!</v>
      </c>
      <c r="N14" s="67" t="e">
        <f>SUMIFS(Rezerve_SAM_SAMP_kārta!#REF!,Rezerve_SAM_SAMP_kārta!#REF!,Rezerve_PV!A14)</f>
        <v>#REF!</v>
      </c>
    </row>
    <row r="15" spans="1:14" ht="15.75" thickBot="1" x14ac:dyDescent="0.3">
      <c r="A15" s="70"/>
      <c r="B15" s="5" t="s">
        <v>181</v>
      </c>
      <c r="C15" s="61" t="e">
        <f>SUM(C13:C14)</f>
        <v>#REF!</v>
      </c>
      <c r="D15" s="61" t="e">
        <f t="shared" ref="D15:N15" si="4">SUM(D13:D14)</f>
        <v>#REF!</v>
      </c>
      <c r="E15" s="61" t="e">
        <f t="shared" si="4"/>
        <v>#REF!</v>
      </c>
      <c r="F15" s="61" t="e">
        <f t="shared" si="4"/>
        <v>#REF!</v>
      </c>
      <c r="G15" s="61" t="e">
        <f t="shared" si="4"/>
        <v>#REF!</v>
      </c>
      <c r="H15" s="61" t="e">
        <f t="shared" si="4"/>
        <v>#REF!</v>
      </c>
      <c r="I15" s="61" t="e">
        <f t="shared" si="4"/>
        <v>#REF!</v>
      </c>
      <c r="J15" s="61" t="e">
        <f t="shared" si="4"/>
        <v>#REF!</v>
      </c>
      <c r="K15" s="62" t="e">
        <f t="shared" si="0"/>
        <v>#REF!</v>
      </c>
      <c r="L15" s="61" t="e">
        <f t="shared" si="4"/>
        <v>#REF!</v>
      </c>
      <c r="M15" s="61" t="e">
        <f t="shared" si="4"/>
        <v>#REF!</v>
      </c>
      <c r="N15" s="61" t="e">
        <f t="shared" si="4"/>
        <v>#REF!</v>
      </c>
    </row>
    <row r="16" spans="1:14" x14ac:dyDescent="0.25">
      <c r="A16" s="71">
        <v>72</v>
      </c>
      <c r="B16" s="55" t="s">
        <v>182</v>
      </c>
      <c r="C16" s="65" t="e">
        <f>SUMIFS(Rezerve_SAM_SAMP_kārta!#REF!,Rezerve_SAM_SAMP_kārta!#REF!,Rezerve_PV!A16)+ ((Rezerve_SAM_SAMP_kārta!#REF!-33769163)+(Rezerve_SAM_SAMP_kārta!#REF!-29371641))</f>
        <v>#REF!</v>
      </c>
      <c r="D16" s="65" t="e">
        <f>SUMIFS(Rezerve_SAM_SAMP_kārta!I23:I190,Rezerve_SAM_SAMP_kārta!#REF!,Rezerve_PV!A16)+((Rezerve_SAM_SAMP_kārta!I121-31031122)+(Rezerve_SAM_SAMP_kārta!I122-26990156))</f>
        <v>#REF!</v>
      </c>
      <c r="E16" s="65" t="e">
        <f>SUMIFS(Rezerve_SAM_SAMP_kārta!#REF!,Rezerve_SAM_SAMP_kārta!#REF!,Rezerve_PV!A16)+((Rezerve_SAM_SAMP_kārta!#REF!-2738041)+(Rezerve_SAM_SAMP_kārta!#REF!-2381485))</f>
        <v>#REF!</v>
      </c>
      <c r="F16" s="72"/>
      <c r="G16" s="72"/>
      <c r="H16" s="72"/>
      <c r="I16" s="65" t="e">
        <f>Rezerve_SAM_SAMP_kārta!#REF!</f>
        <v>#REF!</v>
      </c>
      <c r="J16" s="65" t="e">
        <f>SUMIFS(Rezerve_SAM_SAMP_kārta!K23:K190,Rezerve_SAM_SAMP_kārta!#REF!,Rezerve_PV!A16)</f>
        <v>#REF!</v>
      </c>
      <c r="K16" s="66" t="e">
        <f t="shared" si="0"/>
        <v>#REF!</v>
      </c>
      <c r="L16" s="65" t="e">
        <f>SUMIFS(Rezerve_SAM_SAMP_kārta!#REF!,Rezerve_SAM_SAMP_kārta!#REF!,Rezerve_PV!A16)</f>
        <v>#REF!</v>
      </c>
      <c r="M16" s="65" t="e">
        <f>SUMIFS(Rezerve_SAM_SAMP_kārta!L23:L190,Rezerve_SAM_SAMP_kārta!#REF!,Rezerve_PV!A16)</f>
        <v>#REF!</v>
      </c>
      <c r="N16" s="65" t="e">
        <f>SUMIFS(Rezerve_SAM_SAMP_kārta!#REF!,Rezerve_SAM_SAMP_kārta!#REF!,Rezerve_PV!A16)</f>
        <v>#REF!</v>
      </c>
    </row>
    <row r="17" spans="1:14" x14ac:dyDescent="0.25">
      <c r="A17" s="71">
        <v>73</v>
      </c>
      <c r="B17" s="49" t="s">
        <v>183</v>
      </c>
      <c r="C17" s="67" t="e">
        <f>((Rezerve_SAM_SAMP_kārta!#REF!-208000)+(Rezerve_SAM_SAMP_kārta!#REF!-6812578))</f>
        <v>#REF!</v>
      </c>
      <c r="D17" s="67">
        <f>(Rezerve_SAM_SAMP_kārta!I121-176800)+(Rezerve_SAM_SAMP_kārta!I122-5790691)</f>
        <v>58021278</v>
      </c>
      <c r="E17" s="67" t="e">
        <f>(Rezerve_SAM_SAMP_kārta!#REF!-31200)+(Rezerve_SAM_SAMP_kārta!#REF!-1021887)</f>
        <v>#REF!</v>
      </c>
      <c r="F17" s="73"/>
      <c r="G17" s="73"/>
      <c r="H17" s="73"/>
      <c r="I17" s="67">
        <v>0</v>
      </c>
      <c r="J17" s="67" t="e">
        <f>SUMIFS(Rezerve_SAM_SAMP_kārta!K24:K190,Rezerve_SAM_SAMP_kārta!#REF!,Rezerve_PV!A17)</f>
        <v>#REF!</v>
      </c>
      <c r="K17" s="68" t="e">
        <f t="shared" si="0"/>
        <v>#REF!</v>
      </c>
      <c r="L17" s="67" t="e">
        <f>SUMIFS(Rezerve_SAM_SAMP_kārta!#REF!,Rezerve_SAM_SAMP_kārta!#REF!,Rezerve_PV!A17)</f>
        <v>#REF!</v>
      </c>
      <c r="M17" s="67" t="e">
        <f>SUMIFS(Rezerve_SAM_SAMP_kārta!L24:L190,Rezerve_SAM_SAMP_kārta!#REF!,Rezerve_PV!A17)</f>
        <v>#REF!</v>
      </c>
      <c r="N17" s="67" t="e">
        <f>SUMIFS(Rezerve_SAM_SAMP_kārta!#REF!,Rezerve_SAM_SAMP_kārta!#REF!,Rezerve_PV!A17)</f>
        <v>#REF!</v>
      </c>
    </row>
    <row r="18" spans="1:14" ht="15.75" thickBot="1" x14ac:dyDescent="0.3">
      <c r="A18" s="70"/>
      <c r="B18" s="5" t="s">
        <v>184</v>
      </c>
      <c r="C18" s="61" t="e">
        <f>SUM(C16:C17)</f>
        <v>#REF!</v>
      </c>
      <c r="D18" s="61" t="e">
        <f t="shared" ref="D18:N18" si="5">SUM(D16:D17)</f>
        <v>#REF!</v>
      </c>
      <c r="E18" s="61" t="e">
        <f t="shared" si="5"/>
        <v>#REF!</v>
      </c>
      <c r="F18" s="61">
        <f t="shared" si="5"/>
        <v>0</v>
      </c>
      <c r="G18" s="61">
        <f t="shared" si="5"/>
        <v>0</v>
      </c>
      <c r="H18" s="61">
        <f t="shared" si="5"/>
        <v>0</v>
      </c>
      <c r="I18" s="61" t="e">
        <f t="shared" si="5"/>
        <v>#REF!</v>
      </c>
      <c r="J18" s="61" t="e">
        <f t="shared" si="5"/>
        <v>#REF!</v>
      </c>
      <c r="K18" s="62" t="e">
        <f t="shared" si="0"/>
        <v>#REF!</v>
      </c>
      <c r="L18" s="61" t="e">
        <f t="shared" si="5"/>
        <v>#REF!</v>
      </c>
      <c r="M18" s="61" t="e">
        <f t="shared" si="5"/>
        <v>#REF!</v>
      </c>
      <c r="N18" s="61" t="e">
        <f t="shared" si="5"/>
        <v>#REF!</v>
      </c>
    </row>
    <row r="19" spans="1:14" x14ac:dyDescent="0.25">
      <c r="A19" s="59">
        <v>81</v>
      </c>
      <c r="B19" s="55" t="s">
        <v>185</v>
      </c>
      <c r="C19" s="65" t="e">
        <f>SUMIFS(Rezerve_SAM_SAMP_kārta!#REF!,Rezerve_SAM_SAMP_kārta!#REF!,Rezerve_PV!A19)</f>
        <v>#REF!</v>
      </c>
      <c r="D19" s="65" t="e">
        <f>SUMIFS(Rezerve_SAM_SAMP_kārta!I26:I190,Rezerve_SAM_SAMP_kārta!#REF!,Rezerve_PV!A19)</f>
        <v>#REF!</v>
      </c>
      <c r="E19" s="65" t="e">
        <f>SUMIFS(Rezerve_SAM_SAMP_kārta!#REF!,Rezerve_SAM_SAMP_kārta!#REF!,Rezerve_PV!A19)</f>
        <v>#REF!</v>
      </c>
      <c r="F19" s="65" t="e">
        <f>SUMIFS(Rezerve_SAM_SAMP_kārta!#REF!,Rezerve_SAM_SAMP_kārta!#REF!,Rezerve_PV!A19)</f>
        <v>#REF!</v>
      </c>
      <c r="G19" s="65" t="e">
        <f>SUMIFS(Rezerve_SAM_SAMP_kārta!#REF!,Rezerve_SAM_SAMP_kārta!#REF!,Rezerve_PV!A19)</f>
        <v>#REF!</v>
      </c>
      <c r="H19" s="65" t="e">
        <f>SUMIFS(Rezerve_SAM_SAMP_kārta!#REF!,Rezerve_SAM_SAMP_kārta!#REF!,Rezerve_PV!A19)</f>
        <v>#REF!</v>
      </c>
      <c r="I19" s="65" t="e">
        <f>SUMIFS(Rezerve_SAM_SAMP_kārta!#REF!,Rezerve_SAM_SAMP_kārta!#REF!,Rezerve_PV!A19)</f>
        <v>#REF!</v>
      </c>
      <c r="J19" s="65" t="e">
        <f>SUMIFS(Rezerve_SAM_SAMP_kārta!K26:K190,Rezerve_SAM_SAMP_kārta!#REF!,Rezerve_PV!A19)</f>
        <v>#REF!</v>
      </c>
      <c r="K19" s="66" t="e">
        <f t="shared" si="0"/>
        <v>#REF!</v>
      </c>
      <c r="L19" s="65" t="e">
        <f>SUMIFS(Rezerve_SAM_SAMP_kārta!#REF!,Rezerve_SAM_SAMP_kārta!#REF!,Rezerve_PV!A19)</f>
        <v>#REF!</v>
      </c>
      <c r="M19" s="65" t="e">
        <f>SUMIFS(Rezerve_SAM_SAMP_kārta!L26:L190,Rezerve_SAM_SAMP_kārta!#REF!,Rezerve_PV!A19)</f>
        <v>#REF!</v>
      </c>
      <c r="N19" s="65" t="e">
        <f>SUMIFS(Rezerve_SAM_SAMP_kārta!#REF!,Rezerve_SAM_SAMP_kārta!#REF!,Rezerve_PV!A19)</f>
        <v>#REF!</v>
      </c>
    </row>
    <row r="20" spans="1:14" x14ac:dyDescent="0.25">
      <c r="A20" s="59">
        <v>82</v>
      </c>
      <c r="B20" s="48" t="s">
        <v>186</v>
      </c>
      <c r="C20" s="67" t="e">
        <f>SUMIFS(Rezerve_SAM_SAMP_kārta!#REF!,Rezerve_SAM_SAMP_kārta!#REF!,Rezerve_PV!A20)</f>
        <v>#REF!</v>
      </c>
      <c r="D20" s="67" t="e">
        <f>SUMIFS(Rezerve_SAM_SAMP_kārta!I27:I190,Rezerve_SAM_SAMP_kārta!#REF!,Rezerve_PV!A20)</f>
        <v>#REF!</v>
      </c>
      <c r="E20" s="67" t="e">
        <f>SUMIFS(Rezerve_SAM_SAMP_kārta!#REF!,Rezerve_SAM_SAMP_kārta!#REF!,Rezerve_PV!A20)</f>
        <v>#REF!</v>
      </c>
      <c r="F20" s="67" t="e">
        <f>SUMIFS(Rezerve_SAM_SAMP_kārta!#REF!,Rezerve_SAM_SAMP_kārta!#REF!,Rezerve_PV!A20)</f>
        <v>#REF!</v>
      </c>
      <c r="G20" s="67" t="e">
        <f>SUMIFS(Rezerve_SAM_SAMP_kārta!#REF!,Rezerve_SAM_SAMP_kārta!#REF!,Rezerve_PV!A20)</f>
        <v>#REF!</v>
      </c>
      <c r="H20" s="67" t="e">
        <f>SUMIFS(Rezerve_SAM_SAMP_kārta!#REF!,Rezerve_SAM_SAMP_kārta!#REF!,Rezerve_PV!A20)</f>
        <v>#REF!</v>
      </c>
      <c r="I20" s="67" t="e">
        <f>SUMIFS(Rezerve_SAM_SAMP_kārta!#REF!,Rezerve_SAM_SAMP_kārta!#REF!,Rezerve_PV!A20)</f>
        <v>#REF!</v>
      </c>
      <c r="J20" s="67" t="e">
        <f>SUMIFS(Rezerve_SAM_SAMP_kārta!K27:K190,Rezerve_SAM_SAMP_kārta!#REF!,Rezerve_PV!A20)</f>
        <v>#REF!</v>
      </c>
      <c r="K20" s="68" t="e">
        <f t="shared" si="0"/>
        <v>#REF!</v>
      </c>
      <c r="L20" s="67" t="e">
        <f>SUMIFS(Rezerve_SAM_SAMP_kārta!#REF!,Rezerve_SAM_SAMP_kārta!#REF!,Rezerve_PV!A20)</f>
        <v>#REF!</v>
      </c>
      <c r="M20" s="67" t="e">
        <f>SUMIFS(Rezerve_SAM_SAMP_kārta!L27:L190,Rezerve_SAM_SAMP_kārta!#REF!,Rezerve_PV!A20)</f>
        <v>#REF!</v>
      </c>
      <c r="N20" s="67" t="e">
        <f>SUMIFS(Rezerve_SAM_SAMP_kārta!#REF!,Rezerve_SAM_SAMP_kārta!#REF!,Rezerve_PV!A20)</f>
        <v>#REF!</v>
      </c>
    </row>
    <row r="21" spans="1:14" ht="15.75" thickBot="1" x14ac:dyDescent="0.3">
      <c r="A21" s="70"/>
      <c r="B21" s="5" t="s">
        <v>187</v>
      </c>
      <c r="C21" s="61" t="e">
        <f>SUM(C19:C20)</f>
        <v>#REF!</v>
      </c>
      <c r="D21" s="61" t="e">
        <f t="shared" ref="D21:N21" si="6">SUM(D19:D20)</f>
        <v>#REF!</v>
      </c>
      <c r="E21" s="61" t="e">
        <f t="shared" si="6"/>
        <v>#REF!</v>
      </c>
      <c r="F21" s="61" t="e">
        <f t="shared" si="6"/>
        <v>#REF!</v>
      </c>
      <c r="G21" s="61" t="e">
        <f t="shared" si="6"/>
        <v>#REF!</v>
      </c>
      <c r="H21" s="61" t="e">
        <f t="shared" si="6"/>
        <v>#REF!</v>
      </c>
      <c r="I21" s="61" t="e">
        <f t="shared" si="6"/>
        <v>#REF!</v>
      </c>
      <c r="J21" s="61" t="e">
        <f t="shared" si="6"/>
        <v>#REF!</v>
      </c>
      <c r="K21" s="62" t="e">
        <f t="shared" si="0"/>
        <v>#REF!</v>
      </c>
      <c r="L21" s="61" t="e">
        <f t="shared" si="6"/>
        <v>#REF!</v>
      </c>
      <c r="M21" s="61" t="e">
        <f t="shared" si="6"/>
        <v>#REF!</v>
      </c>
      <c r="N21" s="61" t="e">
        <f t="shared" si="6"/>
        <v>#REF!</v>
      </c>
    </row>
    <row r="22" spans="1:14" x14ac:dyDescent="0.25">
      <c r="A22" s="59">
        <v>91</v>
      </c>
      <c r="B22" s="55" t="s">
        <v>188</v>
      </c>
      <c r="C22" s="65" t="e">
        <f>SUMIFS(Rezerve_SAM_SAMP_kārta!#REF!,Rezerve_SAM_SAMP_kārta!#REF!,Rezerve_PV!A22)</f>
        <v>#REF!</v>
      </c>
      <c r="D22" s="65" t="e">
        <f>SUMIFS(Rezerve_SAM_SAMP_kārta!I29:I190,Rezerve_SAM_SAMP_kārta!#REF!,Rezerve_PV!A22)</f>
        <v>#REF!</v>
      </c>
      <c r="E22" s="65" t="e">
        <f>SUMIFS(Rezerve_SAM_SAMP_kārta!#REF!,Rezerve_SAM_SAMP_kārta!#REF!,Rezerve_PV!A22)</f>
        <v>#REF!</v>
      </c>
      <c r="F22" s="65" t="e">
        <f>SUMIFS(Rezerve_SAM_SAMP_kārta!#REF!,Rezerve_SAM_SAMP_kārta!#REF!,Rezerve_PV!A22)</f>
        <v>#REF!</v>
      </c>
      <c r="G22" s="65" t="e">
        <f>SUMIFS(Rezerve_SAM_SAMP_kārta!#REF!,Rezerve_SAM_SAMP_kārta!#REF!,Rezerve_PV!A22)</f>
        <v>#REF!</v>
      </c>
      <c r="H22" s="65" t="e">
        <f>SUMIFS(Rezerve_SAM_SAMP_kārta!#REF!,Rezerve_SAM_SAMP_kārta!#REF!,Rezerve_PV!A22)</f>
        <v>#REF!</v>
      </c>
      <c r="I22" s="65" t="e">
        <f>SUMIFS(Rezerve_SAM_SAMP_kārta!#REF!,Rezerve_SAM_SAMP_kārta!#REF!,Rezerve_PV!A22)</f>
        <v>#REF!</v>
      </c>
      <c r="J22" s="65" t="e">
        <f>SUMIFS(Rezerve_SAM_SAMP_kārta!K29:K190,Rezerve_SAM_SAMP_kārta!#REF!,Rezerve_PV!A22)</f>
        <v>#REF!</v>
      </c>
      <c r="K22" s="66" t="e">
        <f t="shared" si="0"/>
        <v>#REF!</v>
      </c>
      <c r="L22" s="65" t="e">
        <f>SUMIFS(Rezerve_SAM_SAMP_kārta!#REF!,Rezerve_SAM_SAMP_kārta!#REF!,Rezerve_PV!A22)</f>
        <v>#REF!</v>
      </c>
      <c r="M22" s="65" t="e">
        <f>SUMIFS(Rezerve_SAM_SAMP_kārta!L29:L190,Rezerve_SAM_SAMP_kārta!#REF!,Rezerve_PV!A22)</f>
        <v>#REF!</v>
      </c>
      <c r="N22" s="65" t="e">
        <f>SUMIFS(Rezerve_SAM_SAMP_kārta!#REF!,Rezerve_SAM_SAMP_kārta!#REF!,Rezerve_PV!A22)</f>
        <v>#REF!</v>
      </c>
    </row>
    <row r="23" spans="1:14" x14ac:dyDescent="0.25">
      <c r="A23" s="59">
        <v>92</v>
      </c>
      <c r="B23" s="49" t="s">
        <v>189</v>
      </c>
      <c r="C23" s="67" t="e">
        <f>SUMIFS(Rezerve_SAM_SAMP_kārta!#REF!,Rezerve_SAM_SAMP_kārta!#REF!,Rezerve_PV!A23)</f>
        <v>#REF!</v>
      </c>
      <c r="D23" s="67" t="e">
        <f>SUMIFS(Rezerve_SAM_SAMP_kārta!I30:I190,Rezerve_SAM_SAMP_kārta!#REF!,Rezerve_PV!A23)</f>
        <v>#REF!</v>
      </c>
      <c r="E23" s="67" t="e">
        <f>SUMIFS(Rezerve_SAM_SAMP_kārta!#REF!,Rezerve_SAM_SAMP_kārta!#REF!,Rezerve_PV!A23)</f>
        <v>#REF!</v>
      </c>
      <c r="F23" s="67" t="e">
        <f>SUMIFS(Rezerve_SAM_SAMP_kārta!#REF!,Rezerve_SAM_SAMP_kārta!#REF!,Rezerve_PV!A23)</f>
        <v>#REF!</v>
      </c>
      <c r="G23" s="67" t="e">
        <f>SUMIFS(Rezerve_SAM_SAMP_kārta!#REF!,Rezerve_SAM_SAMP_kārta!#REF!,Rezerve_PV!A23)</f>
        <v>#REF!</v>
      </c>
      <c r="H23" s="67" t="e">
        <f>SUMIFS(Rezerve_SAM_SAMP_kārta!#REF!,Rezerve_SAM_SAMP_kārta!#REF!,Rezerve_PV!A23)</f>
        <v>#REF!</v>
      </c>
      <c r="I23" s="67" t="e">
        <f>SUMIFS(Rezerve_SAM_SAMP_kārta!#REF!,Rezerve_SAM_SAMP_kārta!#REF!,Rezerve_PV!A23)</f>
        <v>#REF!</v>
      </c>
      <c r="J23" s="67" t="e">
        <f>SUMIFS(Rezerve_SAM_SAMP_kārta!K30:K190,Rezerve_SAM_SAMP_kārta!#REF!,Rezerve_PV!A23)</f>
        <v>#REF!</v>
      </c>
      <c r="K23" s="68" t="e">
        <f t="shared" si="0"/>
        <v>#REF!</v>
      </c>
      <c r="L23" s="67" t="e">
        <f>SUMIFS(Rezerve_SAM_SAMP_kārta!#REF!,Rezerve_SAM_SAMP_kārta!#REF!,Rezerve_PV!A23)</f>
        <v>#REF!</v>
      </c>
      <c r="M23" s="67" t="e">
        <f>SUMIFS(Rezerve_SAM_SAMP_kārta!L30:L190,Rezerve_SAM_SAMP_kārta!#REF!,Rezerve_PV!A23)</f>
        <v>#REF!</v>
      </c>
      <c r="N23" s="67" t="e">
        <f>SUMIFS(Rezerve_SAM_SAMP_kārta!#REF!,Rezerve_SAM_SAMP_kārta!#REF!,Rezerve_PV!A23)</f>
        <v>#REF!</v>
      </c>
    </row>
    <row r="24" spans="1:14" ht="15.75" thickBot="1" x14ac:dyDescent="0.3">
      <c r="A24" s="70"/>
      <c r="B24" s="5" t="s">
        <v>190</v>
      </c>
      <c r="C24" s="61" t="e">
        <f>SUM(C22:C23)</f>
        <v>#REF!</v>
      </c>
      <c r="D24" s="61" t="e">
        <f t="shared" ref="D24:N24" si="7">SUM(D22:D23)</f>
        <v>#REF!</v>
      </c>
      <c r="E24" s="61" t="e">
        <f t="shared" si="7"/>
        <v>#REF!</v>
      </c>
      <c r="F24" s="61"/>
      <c r="G24" s="61"/>
      <c r="H24" s="61"/>
      <c r="I24" s="61" t="e">
        <f t="shared" si="7"/>
        <v>#REF!</v>
      </c>
      <c r="J24" s="61" t="e">
        <f t="shared" si="7"/>
        <v>#REF!</v>
      </c>
      <c r="K24" s="62" t="e">
        <f t="shared" si="0"/>
        <v>#REF!</v>
      </c>
      <c r="L24" s="61" t="e">
        <f t="shared" si="7"/>
        <v>#REF!</v>
      </c>
      <c r="M24" s="61" t="e">
        <f t="shared" si="7"/>
        <v>#REF!</v>
      </c>
      <c r="N24" s="61" t="e">
        <f t="shared" si="7"/>
        <v>#REF!</v>
      </c>
    </row>
    <row r="25" spans="1:14" ht="15.75" thickBot="1" x14ac:dyDescent="0.3">
      <c r="A25" s="60"/>
      <c r="B25" s="78" t="s">
        <v>224</v>
      </c>
      <c r="C25" s="79" t="e">
        <f>C2+C3+C6+C9+C12+C15+C18+C21+C24</f>
        <v>#REF!</v>
      </c>
      <c r="D25" s="79" t="e">
        <f t="shared" ref="D25:N25" si="8">D2+D3+D6+D9+D12+D15+D18+D21+D24</f>
        <v>#REF!</v>
      </c>
      <c r="E25" s="79" t="e">
        <f t="shared" si="8"/>
        <v>#REF!</v>
      </c>
      <c r="F25" s="79"/>
      <c r="G25" s="79"/>
      <c r="H25" s="79"/>
      <c r="I25" s="79" t="e">
        <f t="shared" si="8"/>
        <v>#REF!</v>
      </c>
      <c r="J25" s="79" t="e">
        <f t="shared" si="8"/>
        <v>#REF!</v>
      </c>
      <c r="K25" s="79" t="e">
        <f t="shared" si="8"/>
        <v>#REF!</v>
      </c>
      <c r="L25" s="79" t="e">
        <f t="shared" si="8"/>
        <v>#REF!</v>
      </c>
      <c r="M25" s="79" t="e">
        <f t="shared" si="8"/>
        <v>#REF!</v>
      </c>
      <c r="N25" s="79" t="e">
        <f t="shared" si="8"/>
        <v>#REF!</v>
      </c>
    </row>
    <row r="26" spans="1:14" x14ac:dyDescent="0.25">
      <c r="A26" s="480" t="s">
        <v>224</v>
      </c>
      <c r="B26" s="76" t="s">
        <v>157</v>
      </c>
      <c r="C26" s="77" t="e">
        <f>C5+C16+C20+C23</f>
        <v>#REF!</v>
      </c>
      <c r="D26" s="77" t="e">
        <f t="shared" ref="D26:N26" si="9">D5+D16+D20+D23</f>
        <v>#REF!</v>
      </c>
      <c r="E26" s="77" t="e">
        <f t="shared" si="9"/>
        <v>#REF!</v>
      </c>
      <c r="F26" s="77"/>
      <c r="G26" s="77"/>
      <c r="H26" s="77"/>
      <c r="I26" s="77" t="e">
        <f t="shared" si="9"/>
        <v>#REF!</v>
      </c>
      <c r="J26" s="77" t="e">
        <f t="shared" si="9"/>
        <v>#REF!</v>
      </c>
      <c r="K26" s="77" t="e">
        <f t="shared" si="9"/>
        <v>#REF!</v>
      </c>
      <c r="L26" s="77" t="e">
        <f t="shared" si="9"/>
        <v>#REF!</v>
      </c>
      <c r="M26" s="77" t="e">
        <f t="shared" si="9"/>
        <v>#REF!</v>
      </c>
      <c r="N26" s="77" t="e">
        <f t="shared" si="9"/>
        <v>#REF!</v>
      </c>
    </row>
    <row r="27" spans="1:14" x14ac:dyDescent="0.25">
      <c r="A27" s="481"/>
      <c r="B27" s="75" t="s">
        <v>7</v>
      </c>
      <c r="C27" s="16" t="e">
        <f>C2+C3+C4+C7+C10+C13+C19+C22</f>
        <v>#REF!</v>
      </c>
      <c r="D27" s="16" t="e">
        <f t="shared" ref="D27:N27" si="10">D2+D3+D4+D7+D10+D13+D19+D22</f>
        <v>#REF!</v>
      </c>
      <c r="E27" s="16" t="e">
        <f t="shared" si="10"/>
        <v>#REF!</v>
      </c>
      <c r="F27" s="16"/>
      <c r="G27" s="16"/>
      <c r="H27" s="16"/>
      <c r="I27" s="16" t="e">
        <f t="shared" si="10"/>
        <v>#REF!</v>
      </c>
      <c r="J27" s="16" t="e">
        <f t="shared" si="10"/>
        <v>#REF!</v>
      </c>
      <c r="K27" s="16" t="e">
        <f t="shared" si="10"/>
        <v>#REF!</v>
      </c>
      <c r="L27" s="16" t="e">
        <f t="shared" si="10"/>
        <v>#REF!</v>
      </c>
      <c r="M27" s="16" t="e">
        <f t="shared" si="10"/>
        <v>#REF!</v>
      </c>
      <c r="N27" s="16" t="e">
        <f t="shared" si="10"/>
        <v>#REF!</v>
      </c>
    </row>
    <row r="28" spans="1:14" x14ac:dyDescent="0.25">
      <c r="A28" s="481"/>
      <c r="B28" s="74" t="s">
        <v>159</v>
      </c>
      <c r="C28" s="16" t="e">
        <f>C8+C11+C14</f>
        <v>#REF!</v>
      </c>
      <c r="D28" s="16" t="e">
        <f t="shared" ref="D28:N28" si="11">D8+D11+D14</f>
        <v>#REF!</v>
      </c>
      <c r="E28" s="16" t="e">
        <f t="shared" si="11"/>
        <v>#REF!</v>
      </c>
      <c r="F28" s="16"/>
      <c r="G28" s="16"/>
      <c r="H28" s="16"/>
      <c r="I28" s="16" t="e">
        <f t="shared" si="11"/>
        <v>#REF!</v>
      </c>
      <c r="J28" s="16" t="e">
        <f t="shared" si="11"/>
        <v>#REF!</v>
      </c>
      <c r="K28" s="16" t="e">
        <f t="shared" si="11"/>
        <v>#REF!</v>
      </c>
      <c r="L28" s="16" t="e">
        <f t="shared" si="11"/>
        <v>#REF!</v>
      </c>
      <c r="M28" s="16" t="e">
        <f t="shared" si="11"/>
        <v>#REF!</v>
      </c>
      <c r="N28" s="16" t="e">
        <f t="shared" si="11"/>
        <v>#REF!</v>
      </c>
    </row>
    <row r="29" spans="1:14" x14ac:dyDescent="0.25">
      <c r="A29" s="481"/>
      <c r="B29" s="74" t="s">
        <v>165</v>
      </c>
      <c r="C29" s="16" t="e">
        <f>C17</f>
        <v>#REF!</v>
      </c>
      <c r="D29" s="16">
        <f t="shared" ref="D29:N29" si="12">D17</f>
        <v>58021278</v>
      </c>
      <c r="E29" s="16" t="e">
        <f t="shared" si="12"/>
        <v>#REF!</v>
      </c>
      <c r="F29" s="16"/>
      <c r="G29" s="16"/>
      <c r="H29" s="16"/>
      <c r="I29" s="16">
        <f t="shared" si="12"/>
        <v>0</v>
      </c>
      <c r="J29" s="16" t="e">
        <f t="shared" si="12"/>
        <v>#REF!</v>
      </c>
      <c r="K29" s="16" t="e">
        <f t="shared" si="12"/>
        <v>#REF!</v>
      </c>
      <c r="L29" s="16" t="e">
        <f t="shared" si="12"/>
        <v>#REF!</v>
      </c>
      <c r="M29" s="16" t="e">
        <f t="shared" si="12"/>
        <v>#REF!</v>
      </c>
      <c r="N29" s="16" t="e">
        <f t="shared" si="12"/>
        <v>#REF!</v>
      </c>
    </row>
  </sheetData>
  <mergeCells count="1">
    <mergeCell ref="A26:A29"/>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K38"/>
  <sheetViews>
    <sheetView workbookViewId="0">
      <selection activeCell="E2" sqref="E2"/>
    </sheetView>
  </sheetViews>
  <sheetFormatPr defaultRowHeight="15" x14ac:dyDescent="0.25"/>
  <cols>
    <col min="1" max="1" width="5.7109375" customWidth="1"/>
    <col min="2" max="2" width="48.42578125" customWidth="1"/>
    <col min="4" max="4" width="14.42578125" customWidth="1"/>
    <col min="5" max="5" width="14.5703125" customWidth="1"/>
    <col min="6" max="6" width="4.7109375" customWidth="1"/>
    <col min="7" max="7" width="15.42578125" customWidth="1"/>
    <col min="8" max="8" width="12.28515625" customWidth="1"/>
    <col min="10" max="10" width="47.140625" customWidth="1"/>
  </cols>
  <sheetData>
    <row r="1" spans="1:10" ht="56.25" customHeight="1" x14ac:dyDescent="0.25">
      <c r="A1" s="9" t="s">
        <v>201</v>
      </c>
      <c r="B1" s="9" t="s">
        <v>202</v>
      </c>
      <c r="C1" s="9" t="s">
        <v>203</v>
      </c>
      <c r="D1" s="9" t="s">
        <v>222</v>
      </c>
      <c r="E1" s="14" t="s">
        <v>223</v>
      </c>
      <c r="G1" s="482" t="s">
        <v>192</v>
      </c>
      <c r="H1" s="483"/>
      <c r="I1" s="484"/>
      <c r="J1" s="485" t="s">
        <v>199</v>
      </c>
    </row>
    <row r="2" spans="1:10" x14ac:dyDescent="0.25">
      <c r="A2" s="33">
        <v>1</v>
      </c>
      <c r="B2" s="10" t="s">
        <v>204</v>
      </c>
      <c r="C2" s="28" t="s">
        <v>7</v>
      </c>
      <c r="D2" s="38">
        <v>467519706</v>
      </c>
      <c r="E2" s="39" t="e">
        <f>SUMIFS(Rezerve_SAM_SAMP_kārta!$I$7:$I$187,Rezerve_SAM_SAMP_kārta!#REF!,'Virsaistības_Tematiskā koncentr'!$A$2:$A$20)</f>
        <v>#REF!</v>
      </c>
      <c r="G2" s="22" t="s">
        <v>193</v>
      </c>
      <c r="H2" s="4">
        <f>D25*0.05</f>
        <v>220911660.70000002</v>
      </c>
      <c r="I2" s="18">
        <f>H2/D25</f>
        <v>0.05</v>
      </c>
      <c r="J2" s="485"/>
    </row>
    <row r="3" spans="1:10" ht="15.75" thickBot="1" x14ac:dyDescent="0.3">
      <c r="A3" s="33">
        <v>2</v>
      </c>
      <c r="B3" s="10" t="s">
        <v>205</v>
      </c>
      <c r="C3" s="28" t="s">
        <v>7</v>
      </c>
      <c r="D3" s="38">
        <v>172783829</v>
      </c>
      <c r="E3" s="39" t="e">
        <f>SUMIFS(Rezerve_SAM_SAMP_kārta!$I$7:$I$187,Rezerve_SAM_SAMP_kārta!#REF!,'Virsaistības_Tematiskā koncentr'!$A$2:$A$20)</f>
        <v>#REF!</v>
      </c>
      <c r="G3" s="23" t="s">
        <v>217</v>
      </c>
      <c r="H3" s="17" t="e">
        <f>(Rezerve_SAM_SAMP_kārta!#REF!)-410912</f>
        <v>#REF!</v>
      </c>
      <c r="I3" s="18" t="e">
        <f>H3/D25</f>
        <v>#REF!</v>
      </c>
      <c r="J3" s="485"/>
    </row>
    <row r="4" spans="1:10" x14ac:dyDescent="0.25">
      <c r="A4" s="33">
        <v>31</v>
      </c>
      <c r="B4" s="10" t="s">
        <v>206</v>
      </c>
      <c r="C4" s="28" t="s">
        <v>7</v>
      </c>
      <c r="D4" s="38">
        <v>296191300</v>
      </c>
      <c r="E4" s="39" t="e">
        <f>SUMIFS(Rezerve_SAM_SAMP_kārta!$I$7:$I$187,Rezerve_SAM_SAMP_kārta!#REF!,'Virsaistības_Tematiskā koncentr'!$A$2:$A$20)</f>
        <v>#REF!</v>
      </c>
      <c r="G4" s="24" t="s">
        <v>218</v>
      </c>
      <c r="H4" s="21" t="e">
        <f>H2-H3</f>
        <v>#REF!</v>
      </c>
      <c r="I4" s="1"/>
      <c r="J4" s="485"/>
    </row>
    <row r="5" spans="1:10" x14ac:dyDescent="0.25">
      <c r="A5" s="33">
        <v>32</v>
      </c>
      <c r="B5" s="10" t="s">
        <v>206</v>
      </c>
      <c r="C5" s="29" t="s">
        <v>157</v>
      </c>
      <c r="D5" s="38">
        <v>18063357</v>
      </c>
      <c r="E5" s="39" t="e">
        <f>SUMIFS(Rezerve_SAM_SAMP_kārta!$I$7:$I$187,Rezerve_SAM_SAMP_kārta!#REF!,'Virsaistības_Tematiskā koncentr'!$A$2:$A$20)</f>
        <v>#REF!</v>
      </c>
      <c r="J5" s="44"/>
    </row>
    <row r="6" spans="1:10" ht="45" customHeight="1" x14ac:dyDescent="0.25">
      <c r="A6" s="33">
        <v>41</v>
      </c>
      <c r="B6" s="10" t="s">
        <v>207</v>
      </c>
      <c r="C6" s="28" t="s">
        <v>7</v>
      </c>
      <c r="D6" s="38">
        <v>286344229</v>
      </c>
      <c r="E6" s="39" t="e">
        <f>SUMIFS(Rezerve_SAM_SAMP_kārta!$I$7:$I$187,Rezerve_SAM_SAMP_kārta!#REF!,'Virsaistības_Tematiskā koncentr'!$A$2:$A$20)</f>
        <v>#REF!</v>
      </c>
      <c r="G6" s="482" t="s">
        <v>194</v>
      </c>
      <c r="H6" s="483"/>
      <c r="I6" s="485" t="s">
        <v>200</v>
      </c>
      <c r="J6" s="485"/>
    </row>
    <row r="7" spans="1:10" ht="25.5" x14ac:dyDescent="0.25">
      <c r="A7" s="33">
        <v>42</v>
      </c>
      <c r="B7" s="10" t="s">
        <v>207</v>
      </c>
      <c r="C7" s="29" t="s">
        <v>159</v>
      </c>
      <c r="D7" s="38">
        <v>194266292</v>
      </c>
      <c r="E7" s="39" t="e">
        <f>SUMIFS(Rezerve_SAM_SAMP_kārta!$I$7:$I$187,Rezerve_SAM_SAMP_kārta!#REF!,'Virsaistības_Tematiskā koncentr'!$A$2:$A$20)</f>
        <v>#REF!</v>
      </c>
      <c r="G7" s="25" t="s">
        <v>195</v>
      </c>
      <c r="H7" s="19" t="e">
        <f>H8/(D21-D19)</f>
        <v>#REF!</v>
      </c>
      <c r="I7" s="485"/>
      <c r="J7" s="485"/>
    </row>
    <row r="8" spans="1:10" x14ac:dyDescent="0.25">
      <c r="A8" s="33">
        <v>51</v>
      </c>
      <c r="B8" s="10" t="s">
        <v>208</v>
      </c>
      <c r="C8" s="28" t="s">
        <v>7</v>
      </c>
      <c r="D8" s="38">
        <v>432917039</v>
      </c>
      <c r="E8" s="39" t="e">
        <f>SUMIFS(Rezerve_SAM_SAMP_kārta!$I$7:$I$187,Rezerve_SAM_SAMP_kārta!#REF!,'Virsaistības_Tematiskā koncentr'!$A$2:$A$20)+55375</f>
        <v>#REF!</v>
      </c>
      <c r="G8" s="26" t="s">
        <v>196</v>
      </c>
      <c r="H8" s="4" t="e">
        <f>E2+E3+E4+E6</f>
        <v>#REF!</v>
      </c>
      <c r="I8" s="485"/>
      <c r="J8" s="485"/>
    </row>
    <row r="9" spans="1:10" x14ac:dyDescent="0.25">
      <c r="A9" s="33">
        <v>52</v>
      </c>
      <c r="B9" s="10" t="s">
        <v>208</v>
      </c>
      <c r="C9" s="29" t="s">
        <v>159</v>
      </c>
      <c r="D9" s="38">
        <v>190138398</v>
      </c>
      <c r="E9" s="39" t="e">
        <f>SUMIFS(Rezerve_SAM_SAMP_kārta!$I$7:$I$187,Rezerve_SAM_SAMP_kārta!#REF!,'Virsaistības_Tematiskā koncentr'!$A$2:$A$20)+955834</f>
        <v>#REF!</v>
      </c>
      <c r="G9" s="26" t="s">
        <v>197</v>
      </c>
      <c r="H9" s="4">
        <f>D2+D3+D4+D6</f>
        <v>1222839064</v>
      </c>
      <c r="I9" s="485"/>
      <c r="J9" s="485"/>
    </row>
    <row r="10" spans="1:10" x14ac:dyDescent="0.25">
      <c r="A10" s="33">
        <v>61</v>
      </c>
      <c r="B10" s="10" t="s">
        <v>209</v>
      </c>
      <c r="C10" s="28" t="s">
        <v>7</v>
      </c>
      <c r="D10" s="38">
        <v>235477563</v>
      </c>
      <c r="E10" s="39" t="e">
        <f>SUMIFS(Rezerve_SAM_SAMP_kārta!$I$7:$I$187,Rezerve_SAM_SAMP_kārta!#REF!,'Virsaistības_Tematiskā koncentr'!$A$2:$A$20)</f>
        <v>#REF!</v>
      </c>
      <c r="G10" s="27" t="s">
        <v>198</v>
      </c>
      <c r="H10" s="19" t="e">
        <f>H11/(E21-E19)</f>
        <v>#REF!</v>
      </c>
      <c r="I10" s="485"/>
      <c r="J10" s="485"/>
    </row>
    <row r="11" spans="1:10" x14ac:dyDescent="0.25">
      <c r="A11" s="33">
        <v>62</v>
      </c>
      <c r="B11" s="10" t="s">
        <v>209</v>
      </c>
      <c r="C11" s="29" t="s">
        <v>159</v>
      </c>
      <c r="D11" s="38">
        <v>924294295</v>
      </c>
      <c r="E11" s="39" t="e">
        <f>SUMIFS(Rezerve_SAM_SAMP_kārta!$I$7:$I$187,Rezerve_SAM_SAMP_kārta!#REF!,'Virsaistības_Tematiskā koncentr'!$A$2:$A$20)</f>
        <v>#REF!</v>
      </c>
      <c r="G11" s="26" t="s">
        <v>196</v>
      </c>
      <c r="H11" s="4" t="e">
        <f>E6</f>
        <v>#REF!</v>
      </c>
      <c r="I11" s="485"/>
      <c r="J11" s="485"/>
    </row>
    <row r="12" spans="1:10" x14ac:dyDescent="0.25">
      <c r="A12" s="34">
        <v>72</v>
      </c>
      <c r="B12" s="10" t="s">
        <v>210</v>
      </c>
      <c r="C12" s="29" t="s">
        <v>157</v>
      </c>
      <c r="D12" s="38">
        <v>112148340</v>
      </c>
      <c r="E12" s="39" t="e">
        <f>SUMIFS(Rezerve_SAM_SAMP_kārta!$I$7:$I$187,Rezerve_SAM_SAMP_kārta!#REF!,'Virsaistības_Tematiskā koncentr'!$A$2:$A$20)</f>
        <v>#REF!</v>
      </c>
      <c r="G12" s="26" t="s">
        <v>197</v>
      </c>
      <c r="H12" s="4">
        <f>D6</f>
        <v>286344229</v>
      </c>
      <c r="I12" s="485"/>
      <c r="J12" s="485"/>
    </row>
    <row r="13" spans="1:10" x14ac:dyDescent="0.25">
      <c r="A13" s="34">
        <v>73</v>
      </c>
      <c r="B13" s="10" t="s">
        <v>210</v>
      </c>
      <c r="C13" s="33" t="s">
        <v>165</v>
      </c>
      <c r="D13" s="38">
        <v>58021278</v>
      </c>
      <c r="E13" s="39" t="e">
        <f>SUMIFS(Rezerve_SAM_SAMP_kārta!$I$7:$I$187,Rezerve_SAM_SAMP_kārta!#REF!,'Virsaistības_Tematiskā koncentr'!$A$2:$A$20)</f>
        <v>#REF!</v>
      </c>
    </row>
    <row r="14" spans="1:10" x14ac:dyDescent="0.25">
      <c r="A14" s="33">
        <v>81</v>
      </c>
      <c r="B14" s="10" t="s">
        <v>211</v>
      </c>
      <c r="C14" s="28" t="s">
        <v>7</v>
      </c>
      <c r="D14" s="38">
        <v>277460786</v>
      </c>
      <c r="E14" s="39" t="e">
        <f>SUMIFS(Rezerve_SAM_SAMP_kārta!$I$7:$I$187,Rezerve_SAM_SAMP_kārta!#REF!,'Virsaistības_Tematiskā koncentr'!$A$2:$A$20)</f>
        <v>#REF!</v>
      </c>
    </row>
    <row r="15" spans="1:10" x14ac:dyDescent="0.25">
      <c r="A15" s="33">
        <v>82</v>
      </c>
      <c r="B15" s="10" t="s">
        <v>211</v>
      </c>
      <c r="C15" s="29" t="s">
        <v>157</v>
      </c>
      <c r="D15" s="38">
        <v>232752302</v>
      </c>
      <c r="E15" s="39" t="e">
        <f>SUMIFS(Rezerve_SAM_SAMP_kārta!$I$7:$I$187,Rezerve_SAM_SAMP_kārta!#REF!,'Virsaistības_Tematiskā koncentr'!$A$2:$A$20)</f>
        <v>#REF!</v>
      </c>
    </row>
    <row r="16" spans="1:10" x14ac:dyDescent="0.25">
      <c r="A16" s="33">
        <v>91</v>
      </c>
      <c r="B16" s="10" t="s">
        <v>212</v>
      </c>
      <c r="C16" s="28" t="s">
        <v>7</v>
      </c>
      <c r="D16" s="38">
        <v>193377447</v>
      </c>
      <c r="E16" s="39" t="e">
        <f>SUMIFS(Rezerve_SAM_SAMP_kārta!$I$7:$I$187,Rezerve_SAM_SAMP_kārta!#REF!,'Virsaistības_Tematiskā koncentr'!$A$2:$A$20)</f>
        <v>#REF!</v>
      </c>
    </row>
    <row r="17" spans="1:11" x14ac:dyDescent="0.25">
      <c r="A17" s="33">
        <v>92</v>
      </c>
      <c r="B17" s="10" t="s">
        <v>212</v>
      </c>
      <c r="C17" s="29" t="s">
        <v>157</v>
      </c>
      <c r="D17" s="38">
        <v>225160750</v>
      </c>
      <c r="E17" s="39" t="e">
        <f>SUMIFS(Rezerve_SAM_SAMP_kārta!$I$7:$I$187,Rezerve_SAM_SAMP_kārta!#REF!,'Virsaistības_Tematiskā koncentr'!$A$2:$A$20)</f>
        <v>#REF!</v>
      </c>
    </row>
    <row r="18" spans="1:11" x14ac:dyDescent="0.25">
      <c r="A18" s="33">
        <v>10</v>
      </c>
      <c r="B18" s="10" t="s">
        <v>213</v>
      </c>
      <c r="C18" s="29" t="s">
        <v>157</v>
      </c>
      <c r="D18" s="38">
        <v>21420040</v>
      </c>
      <c r="E18" s="39" t="e">
        <f>SUMIFS(Rezerve_SAM_SAMP_kārta!$I$7:$I$187,Rezerve_SAM_SAMP_kārta!#REF!,'Virsaistības_Tematiskā koncentr'!$A$2:$A$20)</f>
        <v>#REF!</v>
      </c>
    </row>
    <row r="19" spans="1:11" ht="15.75" customHeight="1" x14ac:dyDescent="0.25">
      <c r="A19" s="33">
        <v>11</v>
      </c>
      <c r="B19" s="10" t="s">
        <v>214</v>
      </c>
      <c r="C19" s="28" t="s">
        <v>7</v>
      </c>
      <c r="D19" s="38">
        <v>39180553</v>
      </c>
      <c r="E19" s="39" t="e">
        <f>SUMIFS(Rezerve_SAM_SAMP_kārta!$I$7:$I$187,Rezerve_SAM_SAMP_kārta!#REF!,'Virsaistības_Tematiskā koncentr'!$A$2:$A$20)</f>
        <v>#REF!</v>
      </c>
    </row>
    <row r="20" spans="1:11" ht="15.75" thickBot="1" x14ac:dyDescent="0.3">
      <c r="A20" s="35">
        <v>12</v>
      </c>
      <c r="B20" s="11" t="s">
        <v>215</v>
      </c>
      <c r="C20" s="30" t="s">
        <v>159</v>
      </c>
      <c r="D20" s="40">
        <v>40715710</v>
      </c>
      <c r="E20" s="41" t="e">
        <f>SUMIFS(Rezerve_SAM_SAMP_kārta!$I$7:$I$187,Rezerve_SAM_SAMP_kārta!#REF!,'Virsaistības_Tematiskā koncentr'!$A$2:$A$20)</f>
        <v>#REF!</v>
      </c>
    </row>
    <row r="21" spans="1:11" x14ac:dyDescent="0.25">
      <c r="A21" s="36">
        <v>0</v>
      </c>
      <c r="B21" s="36" t="s">
        <v>191</v>
      </c>
      <c r="C21" s="31" t="s">
        <v>7</v>
      </c>
      <c r="D21" s="42">
        <f>SUM(D2,D3,D4,D6,D8,D10,D14,D16,D19)</f>
        <v>2401252452</v>
      </c>
      <c r="E21" s="42" t="e">
        <f>SUM(E2,E3,E4,E6,E8,E10,E14,E16,E19)</f>
        <v>#REF!</v>
      </c>
    </row>
    <row r="22" spans="1:11" x14ac:dyDescent="0.25">
      <c r="A22" s="33">
        <v>0</v>
      </c>
      <c r="B22" s="33" t="s">
        <v>191</v>
      </c>
      <c r="C22" s="29" t="s">
        <v>157</v>
      </c>
      <c r="D22" s="38">
        <f>D5+D12+D15+D17+D18</f>
        <v>609544789</v>
      </c>
      <c r="E22" s="38" t="e">
        <f>E5+E12+E15+E17+E18</f>
        <v>#REF!</v>
      </c>
    </row>
    <row r="23" spans="1:11" x14ac:dyDescent="0.25">
      <c r="A23" s="33">
        <v>0</v>
      </c>
      <c r="B23" s="33" t="s">
        <v>191</v>
      </c>
      <c r="C23" s="33" t="s">
        <v>165</v>
      </c>
      <c r="D23" s="38">
        <f>D13</f>
        <v>58021278</v>
      </c>
      <c r="E23" s="38" t="e">
        <f>E13</f>
        <v>#REF!</v>
      </c>
    </row>
    <row r="24" spans="1:11" ht="15.75" thickBot="1" x14ac:dyDescent="0.3">
      <c r="A24" s="37">
        <v>0</v>
      </c>
      <c r="B24" s="37" t="s">
        <v>191</v>
      </c>
      <c r="C24" s="32" t="s">
        <v>159</v>
      </c>
      <c r="D24" s="43">
        <f>D7+D9+D11+D20</f>
        <v>1349414695</v>
      </c>
      <c r="E24" s="43" t="e">
        <f>E7+E9+E11+E20</f>
        <v>#REF!</v>
      </c>
    </row>
    <row r="25" spans="1:11" ht="15.75" thickBot="1" x14ac:dyDescent="0.3">
      <c r="A25" s="12"/>
      <c r="B25" s="12"/>
      <c r="C25" s="13" t="s">
        <v>216</v>
      </c>
      <c r="D25" s="15">
        <f>SUM(D2:D20)</f>
        <v>4418233214</v>
      </c>
      <c r="E25" s="15" t="e">
        <f>SUM(E2:E20)</f>
        <v>#REF!</v>
      </c>
    </row>
    <row r="26" spans="1:11" ht="6" customHeight="1" x14ac:dyDescent="0.25"/>
    <row r="27" spans="1:11" ht="56.25" customHeight="1" x14ac:dyDescent="0.25">
      <c r="F27" s="20"/>
      <c r="G27" s="20"/>
      <c r="H27" s="6"/>
      <c r="I27" s="6"/>
      <c r="J27" s="6"/>
      <c r="K27" s="6"/>
    </row>
    <row r="28" spans="1:11" ht="28.5" customHeight="1" x14ac:dyDescent="0.25">
      <c r="F28" s="1"/>
      <c r="G28" s="1"/>
    </row>
    <row r="29" spans="1:11" x14ac:dyDescent="0.25">
      <c r="F29" s="1"/>
      <c r="G29" s="1"/>
    </row>
    <row r="30" spans="1:11" x14ac:dyDescent="0.25">
      <c r="F30" s="1"/>
      <c r="G30" s="1"/>
    </row>
    <row r="31" spans="1:11" ht="6.75" customHeight="1" x14ac:dyDescent="0.25">
      <c r="F31" s="1"/>
      <c r="G31" s="1"/>
      <c r="H31" s="1"/>
      <c r="I31" s="1"/>
      <c r="J31" s="1"/>
    </row>
    <row r="32" spans="1:11" ht="39.75" customHeight="1" x14ac:dyDescent="0.25">
      <c r="F32" s="7"/>
      <c r="G32" s="7"/>
      <c r="H32" s="8"/>
      <c r="I32" s="8"/>
      <c r="J32" s="8"/>
      <c r="K32" s="8"/>
    </row>
    <row r="33" spans="6:7" x14ac:dyDescent="0.25">
      <c r="F33" s="1"/>
      <c r="G33" s="1"/>
    </row>
    <row r="34" spans="6:7" x14ac:dyDescent="0.25">
      <c r="F34" s="1"/>
      <c r="G34" s="1"/>
    </row>
    <row r="35" spans="6:7" x14ac:dyDescent="0.25">
      <c r="F35" s="1"/>
      <c r="G35" s="1"/>
    </row>
    <row r="36" spans="6:7" x14ac:dyDescent="0.25">
      <c r="F36" s="1"/>
      <c r="G36" s="1"/>
    </row>
    <row r="37" spans="6:7" x14ac:dyDescent="0.25">
      <c r="F37" s="1"/>
      <c r="G37" s="1"/>
    </row>
    <row r="38" spans="6:7" x14ac:dyDescent="0.25">
      <c r="F38" s="1"/>
      <c r="G38" s="1"/>
    </row>
  </sheetData>
  <mergeCells count="4">
    <mergeCell ref="G1:I1"/>
    <mergeCell ref="J1:J4"/>
    <mergeCell ref="I6:J12"/>
    <mergeCell ref="G6:H6"/>
  </mergeCells>
  <pageMargins left="0.7" right="0.7"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A2" sqref="A2:A7"/>
    </sheetView>
  </sheetViews>
  <sheetFormatPr defaultRowHeight="15" x14ac:dyDescent="0.25"/>
  <cols>
    <col min="1" max="1" width="64.85546875" customWidth="1"/>
    <col min="4" max="4" width="5.140625" customWidth="1"/>
    <col min="8" max="8" width="56.28515625" customWidth="1"/>
    <col min="10" max="10" width="36.140625" customWidth="1"/>
  </cols>
  <sheetData>
    <row r="1" spans="1:10" x14ac:dyDescent="0.25">
      <c r="A1" s="2" t="s">
        <v>246</v>
      </c>
      <c r="D1" s="44" t="s">
        <v>9</v>
      </c>
      <c r="H1" s="117" t="s">
        <v>503</v>
      </c>
      <c r="J1" t="s">
        <v>502</v>
      </c>
    </row>
    <row r="2" spans="1:10" x14ac:dyDescent="0.25">
      <c r="A2" t="s">
        <v>249</v>
      </c>
      <c r="D2" t="s">
        <v>225</v>
      </c>
      <c r="H2" t="s">
        <v>504</v>
      </c>
      <c r="J2" t="s">
        <v>225</v>
      </c>
    </row>
    <row r="3" spans="1:10" x14ac:dyDescent="0.25">
      <c r="A3" t="s">
        <v>250</v>
      </c>
      <c r="D3" t="s">
        <v>226</v>
      </c>
      <c r="H3" t="s">
        <v>505</v>
      </c>
      <c r="J3" t="s">
        <v>226</v>
      </c>
    </row>
    <row r="4" spans="1:10" x14ac:dyDescent="0.25">
      <c r="A4" t="s">
        <v>262</v>
      </c>
    </row>
    <row r="5" spans="1:10" x14ac:dyDescent="0.25">
      <c r="A5" t="s">
        <v>251</v>
      </c>
    </row>
    <row r="6" spans="1:10" x14ac:dyDescent="0.25">
      <c r="A6" t="s">
        <v>248</v>
      </c>
    </row>
    <row r="7" spans="1:10" x14ac:dyDescent="0.25">
      <c r="A7" t="s">
        <v>247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view="pageBreakPreview" topLeftCell="A31" zoomScale="85" zoomScaleNormal="80" zoomScaleSheetLayoutView="85" workbookViewId="0">
      <selection activeCell="B41" sqref="B41"/>
    </sheetView>
  </sheetViews>
  <sheetFormatPr defaultRowHeight="15" x14ac:dyDescent="0.25"/>
  <cols>
    <col min="1" max="1" width="12.85546875" customWidth="1"/>
    <col min="2" max="2" width="52.85546875" customWidth="1"/>
    <col min="3" max="3" width="6.85546875" customWidth="1"/>
    <col min="4" max="4" width="19" customWidth="1"/>
    <col min="5" max="5" width="91.42578125" customWidth="1"/>
    <col min="6" max="6" width="70.85546875" customWidth="1"/>
  </cols>
  <sheetData>
    <row r="1" spans="1:6" ht="51" customHeight="1" x14ac:dyDescent="0.25">
      <c r="A1" s="486" t="s">
        <v>501</v>
      </c>
      <c r="B1" s="486"/>
      <c r="C1" s="486"/>
      <c r="D1" s="486"/>
      <c r="E1" s="486"/>
    </row>
    <row r="2" spans="1:6" ht="60" x14ac:dyDescent="0.25">
      <c r="A2" s="101" t="s">
        <v>264</v>
      </c>
      <c r="B2" s="101" t="s">
        <v>256</v>
      </c>
      <c r="C2" s="101" t="s">
        <v>3</v>
      </c>
      <c r="D2" s="101" t="s">
        <v>254</v>
      </c>
      <c r="E2" s="101" t="s">
        <v>255</v>
      </c>
    </row>
    <row r="3" spans="1:6" ht="18.75" x14ac:dyDescent="0.25">
      <c r="A3" s="82"/>
      <c r="B3" s="82"/>
      <c r="C3" s="82"/>
      <c r="D3" s="113">
        <f>SUM(D4:D31)</f>
        <v>209180482.93000001</v>
      </c>
      <c r="E3" s="83"/>
    </row>
    <row r="4" spans="1:6" ht="70.5" customHeight="1" x14ac:dyDescent="0.25">
      <c r="A4" s="106" t="s">
        <v>6</v>
      </c>
      <c r="B4" s="109" t="s">
        <v>497</v>
      </c>
      <c r="C4" s="107" t="s">
        <v>7</v>
      </c>
      <c r="D4" s="114">
        <v>12074680</v>
      </c>
      <c r="E4" s="102" t="s">
        <v>498</v>
      </c>
      <c r="F4" s="121" t="s">
        <v>509</v>
      </c>
    </row>
    <row r="5" spans="1:6" ht="33" customHeight="1" x14ac:dyDescent="0.25">
      <c r="A5" s="106" t="s">
        <v>153</v>
      </c>
      <c r="B5" s="109" t="s">
        <v>316</v>
      </c>
      <c r="C5" s="107" t="s">
        <v>7</v>
      </c>
      <c r="D5" s="114">
        <v>5443527</v>
      </c>
      <c r="E5" s="102" t="s">
        <v>315</v>
      </c>
    </row>
    <row r="6" spans="1:6" ht="38.25" x14ac:dyDescent="0.25">
      <c r="A6" s="106" t="s">
        <v>153</v>
      </c>
      <c r="B6" s="109" t="s">
        <v>322</v>
      </c>
      <c r="C6" s="107" t="s">
        <v>7</v>
      </c>
      <c r="D6" s="114">
        <v>20000000</v>
      </c>
      <c r="E6" s="102" t="s">
        <v>319</v>
      </c>
    </row>
    <row r="7" spans="1:6" x14ac:dyDescent="0.25">
      <c r="A7" s="106" t="s">
        <v>153</v>
      </c>
      <c r="B7" s="109" t="s">
        <v>320</v>
      </c>
      <c r="C7" s="107" t="s">
        <v>7</v>
      </c>
      <c r="D7" s="114">
        <v>2000000</v>
      </c>
      <c r="E7" s="102" t="s">
        <v>317</v>
      </c>
    </row>
    <row r="8" spans="1:6" x14ac:dyDescent="0.25">
      <c r="A8" s="106" t="s">
        <v>153</v>
      </c>
      <c r="B8" s="109" t="s">
        <v>321</v>
      </c>
      <c r="C8" s="107" t="s">
        <v>7</v>
      </c>
      <c r="D8" s="114">
        <v>14880000</v>
      </c>
      <c r="E8" s="102" t="s">
        <v>318</v>
      </c>
    </row>
    <row r="9" spans="1:6" ht="182.25" customHeight="1" x14ac:dyDescent="0.25">
      <c r="A9" s="107" t="s">
        <v>158</v>
      </c>
      <c r="B9" s="110" t="s">
        <v>341</v>
      </c>
      <c r="C9" s="107" t="s">
        <v>157</v>
      </c>
      <c r="D9" s="115">
        <v>600000</v>
      </c>
      <c r="E9" s="103" t="s">
        <v>478</v>
      </c>
    </row>
    <row r="10" spans="1:6" ht="102" customHeight="1" x14ac:dyDescent="0.25">
      <c r="A10" s="107" t="s">
        <v>155</v>
      </c>
      <c r="B10" s="111" t="s">
        <v>274</v>
      </c>
      <c r="C10" s="107" t="s">
        <v>7</v>
      </c>
      <c r="D10" s="115">
        <v>24765151</v>
      </c>
      <c r="E10" s="103" t="s">
        <v>280</v>
      </c>
    </row>
    <row r="11" spans="1:6" ht="221.25" customHeight="1" x14ac:dyDescent="0.25">
      <c r="A11" s="107" t="s">
        <v>155</v>
      </c>
      <c r="B11" s="111" t="s">
        <v>275</v>
      </c>
      <c r="C11" s="107" t="s">
        <v>7</v>
      </c>
      <c r="D11" s="115">
        <v>15000000</v>
      </c>
      <c r="E11" s="104" t="s">
        <v>279</v>
      </c>
    </row>
    <row r="12" spans="1:6" ht="70.5" customHeight="1" x14ac:dyDescent="0.25">
      <c r="A12" s="108" t="s">
        <v>155</v>
      </c>
      <c r="B12" s="112" t="s">
        <v>276</v>
      </c>
      <c r="C12" s="108" t="s">
        <v>159</v>
      </c>
      <c r="D12" s="116">
        <v>27699302</v>
      </c>
      <c r="E12" s="104" t="s">
        <v>278</v>
      </c>
    </row>
    <row r="13" spans="1:6" ht="138" customHeight="1" x14ac:dyDescent="0.25">
      <c r="A13" s="108" t="s">
        <v>155</v>
      </c>
      <c r="B13" s="112" t="s">
        <v>281</v>
      </c>
      <c r="C13" s="108" t="s">
        <v>7</v>
      </c>
      <c r="D13" s="116">
        <v>29504156</v>
      </c>
      <c r="E13" s="104" t="s">
        <v>277</v>
      </c>
    </row>
    <row r="14" spans="1:6" ht="74.25" customHeight="1" x14ac:dyDescent="0.25">
      <c r="A14" s="108" t="s">
        <v>6</v>
      </c>
      <c r="B14" s="112" t="s">
        <v>474</v>
      </c>
      <c r="C14" s="108" t="s">
        <v>157</v>
      </c>
      <c r="D14" s="116">
        <v>720800</v>
      </c>
      <c r="E14" s="105" t="s">
        <v>472</v>
      </c>
    </row>
    <row r="15" spans="1:6" ht="66" customHeight="1" x14ac:dyDescent="0.25">
      <c r="A15" s="108" t="s">
        <v>6</v>
      </c>
      <c r="B15" s="112" t="s">
        <v>476</v>
      </c>
      <c r="C15" s="108" t="s">
        <v>157</v>
      </c>
      <c r="D15" s="116">
        <v>722895</v>
      </c>
      <c r="E15" s="104" t="s">
        <v>554</v>
      </c>
    </row>
    <row r="16" spans="1:6" ht="51.75" customHeight="1" x14ac:dyDescent="0.25">
      <c r="A16" s="108" t="s">
        <v>6</v>
      </c>
      <c r="B16" s="112" t="s">
        <v>475</v>
      </c>
      <c r="C16" s="108" t="s">
        <v>157</v>
      </c>
      <c r="D16" s="116">
        <v>1698064</v>
      </c>
      <c r="E16" s="104" t="s">
        <v>473</v>
      </c>
    </row>
    <row r="17" spans="1:5" ht="78" customHeight="1" x14ac:dyDescent="0.25">
      <c r="A17" s="108" t="s">
        <v>6</v>
      </c>
      <c r="B17" s="112" t="s">
        <v>477</v>
      </c>
      <c r="C17" s="108" t="s">
        <v>157</v>
      </c>
      <c r="D17" s="116">
        <v>1054227</v>
      </c>
      <c r="E17" s="104" t="s">
        <v>553</v>
      </c>
    </row>
    <row r="18" spans="1:5" ht="48.75" customHeight="1" x14ac:dyDescent="0.25">
      <c r="A18" s="107" t="s">
        <v>156</v>
      </c>
      <c r="B18" s="112" t="s">
        <v>342</v>
      </c>
      <c r="C18" s="108" t="s">
        <v>157</v>
      </c>
      <c r="D18" s="115">
        <v>231339</v>
      </c>
      <c r="E18" s="103" t="s">
        <v>479</v>
      </c>
    </row>
    <row r="19" spans="1:5" ht="152.25" customHeight="1" x14ac:dyDescent="0.25">
      <c r="A19" s="107" t="s">
        <v>156</v>
      </c>
      <c r="B19" s="112" t="s">
        <v>343</v>
      </c>
      <c r="C19" s="107" t="s">
        <v>157</v>
      </c>
      <c r="D19" s="115">
        <v>2901107</v>
      </c>
      <c r="E19" s="103" t="s">
        <v>480</v>
      </c>
    </row>
    <row r="20" spans="1:5" ht="41.25" customHeight="1" x14ac:dyDescent="0.25">
      <c r="A20" s="107"/>
      <c r="B20" s="110"/>
      <c r="C20" s="107"/>
      <c r="D20" s="115"/>
      <c r="E20" s="103"/>
    </row>
    <row r="21" spans="1:5" ht="93.75" customHeight="1" x14ac:dyDescent="0.25">
      <c r="A21" s="107"/>
      <c r="B21" s="110"/>
      <c r="C21" s="107"/>
      <c r="D21" s="115"/>
      <c r="E21" s="103"/>
    </row>
    <row r="22" spans="1:5" ht="60" customHeight="1" x14ac:dyDescent="0.25">
      <c r="A22" s="107" t="s">
        <v>164</v>
      </c>
      <c r="B22" s="110" t="s">
        <v>344</v>
      </c>
      <c r="C22" s="107" t="s">
        <v>7</v>
      </c>
      <c r="D22" s="115">
        <v>7278523.6900000004</v>
      </c>
      <c r="E22" s="103" t="s">
        <v>555</v>
      </c>
    </row>
    <row r="23" spans="1:5" ht="331.5" customHeight="1" x14ac:dyDescent="0.25">
      <c r="A23" s="107" t="s">
        <v>164</v>
      </c>
      <c r="B23" s="110" t="s">
        <v>344</v>
      </c>
      <c r="C23" s="107" t="s">
        <v>7</v>
      </c>
      <c r="D23" s="115">
        <v>30294338</v>
      </c>
      <c r="E23" s="103" t="s">
        <v>482</v>
      </c>
    </row>
    <row r="24" spans="1:5" ht="76.5" x14ac:dyDescent="0.25">
      <c r="A24" s="107" t="s">
        <v>164</v>
      </c>
      <c r="B24" s="110" t="s">
        <v>344</v>
      </c>
      <c r="C24" s="107" t="s">
        <v>7</v>
      </c>
      <c r="D24" s="115">
        <v>692059.24</v>
      </c>
      <c r="E24" s="103" t="s">
        <v>483</v>
      </c>
    </row>
    <row r="25" spans="1:5" ht="150" customHeight="1" x14ac:dyDescent="0.25">
      <c r="A25" s="107" t="s">
        <v>164</v>
      </c>
      <c r="B25" s="110" t="s">
        <v>344</v>
      </c>
      <c r="C25" s="107" t="s">
        <v>7</v>
      </c>
      <c r="D25" s="115">
        <v>290000</v>
      </c>
      <c r="E25" s="103" t="s">
        <v>484</v>
      </c>
    </row>
    <row r="26" spans="1:5" ht="373.5" customHeight="1" x14ac:dyDescent="0.25">
      <c r="A26" s="107" t="s">
        <v>164</v>
      </c>
      <c r="B26" s="110" t="s">
        <v>344</v>
      </c>
      <c r="C26" s="107" t="s">
        <v>7</v>
      </c>
      <c r="D26" s="115">
        <v>10403500</v>
      </c>
      <c r="E26" s="103" t="s">
        <v>485</v>
      </c>
    </row>
    <row r="27" spans="1:5" ht="102" x14ac:dyDescent="0.25">
      <c r="A27" s="107" t="s">
        <v>164</v>
      </c>
      <c r="B27" s="110" t="s">
        <v>344</v>
      </c>
      <c r="C27" s="107" t="s">
        <v>7</v>
      </c>
      <c r="D27" s="115">
        <v>926814</v>
      </c>
      <c r="E27" s="103" t="s">
        <v>481</v>
      </c>
    </row>
    <row r="31" spans="1:5" x14ac:dyDescent="0.25">
      <c r="A31" s="81" t="s">
        <v>486</v>
      </c>
      <c r="B31" s="81" t="s">
        <v>487</v>
      </c>
    </row>
    <row r="32" spans="1:5" x14ac:dyDescent="0.25">
      <c r="A32" s="81" t="s">
        <v>155</v>
      </c>
      <c r="B32" s="99">
        <f t="shared" ref="B32:B40" si="0">SUMIFS(D$4:D$27,A$4:A$27,A32)</f>
        <v>96968609</v>
      </c>
    </row>
    <row r="33" spans="1:3" x14ac:dyDescent="0.25">
      <c r="A33" s="81" t="s">
        <v>164</v>
      </c>
      <c r="B33" s="99">
        <f t="shared" si="0"/>
        <v>49885234.93</v>
      </c>
    </row>
    <row r="34" spans="1:3" x14ac:dyDescent="0.25">
      <c r="A34" s="81" t="s">
        <v>153</v>
      </c>
      <c r="B34" s="99">
        <f t="shared" si="0"/>
        <v>42323527</v>
      </c>
    </row>
    <row r="35" spans="1:3" x14ac:dyDescent="0.25">
      <c r="A35" s="81" t="s">
        <v>162</v>
      </c>
      <c r="B35" s="99">
        <f t="shared" si="0"/>
        <v>0</v>
      </c>
    </row>
    <row r="36" spans="1:3" x14ac:dyDescent="0.25">
      <c r="A36" s="81" t="s">
        <v>6</v>
      </c>
      <c r="B36" s="99">
        <f t="shared" si="0"/>
        <v>16270666</v>
      </c>
    </row>
    <row r="37" spans="1:3" x14ac:dyDescent="0.25">
      <c r="A37" s="81" t="s">
        <v>156</v>
      </c>
      <c r="B37" s="99">
        <f t="shared" si="0"/>
        <v>3132446</v>
      </c>
    </row>
    <row r="38" spans="1:3" x14ac:dyDescent="0.25">
      <c r="A38" s="81" t="s">
        <v>158</v>
      </c>
      <c r="B38" s="99">
        <f t="shared" si="0"/>
        <v>600000</v>
      </c>
    </row>
    <row r="39" spans="1:3" x14ac:dyDescent="0.25">
      <c r="A39" s="81" t="s">
        <v>154</v>
      </c>
      <c r="B39" s="99">
        <f t="shared" si="0"/>
        <v>0</v>
      </c>
    </row>
    <row r="40" spans="1:3" x14ac:dyDescent="0.25">
      <c r="A40" s="81" t="s">
        <v>161</v>
      </c>
      <c r="B40" s="99">
        <f t="shared" si="0"/>
        <v>0</v>
      </c>
    </row>
    <row r="41" spans="1:3" x14ac:dyDescent="0.25">
      <c r="A41" s="81" t="s">
        <v>191</v>
      </c>
      <c r="B41" s="99">
        <f>SUM(B32:B40)</f>
        <v>209180482.93000001</v>
      </c>
      <c r="C41" t="b">
        <f>B41=D3</f>
        <v>1</v>
      </c>
    </row>
  </sheetData>
  <mergeCells count="1">
    <mergeCell ref="A1:E1"/>
  </mergeCells>
  <pageMargins left="0.23622047244094491" right="0.23622047244094491" top="0.74803149606299213" bottom="0.74803149606299213" header="0.31496062992125984" footer="0.31496062992125984"/>
  <pageSetup paperSize="9" scale="78" fitToHeight="2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7"/>
  <sheetViews>
    <sheetView workbookViewId="0">
      <selection activeCell="K14" sqref="K14"/>
    </sheetView>
  </sheetViews>
  <sheetFormatPr defaultRowHeight="15" x14ac:dyDescent="0.25"/>
  <cols>
    <col min="1" max="1" width="45.28515625" customWidth="1"/>
    <col min="2" max="2" width="15.42578125" customWidth="1"/>
    <col min="3" max="3" width="10.7109375" customWidth="1"/>
    <col min="4" max="4" width="18.5703125" customWidth="1"/>
    <col min="5" max="5" width="10.85546875" customWidth="1"/>
    <col min="6" max="6" width="12.42578125" customWidth="1"/>
    <col min="11" max="11" width="27.7109375" customWidth="1"/>
    <col min="12" max="12" width="9.140625" customWidth="1"/>
    <col min="13" max="13" width="13" customWidth="1"/>
    <col min="14" max="14" width="14.140625" customWidth="1"/>
  </cols>
  <sheetData>
    <row r="2" spans="1:13" ht="45" x14ac:dyDescent="0.25">
      <c r="A2" s="161" t="s">
        <v>634</v>
      </c>
      <c r="B2" s="162" t="s">
        <v>635</v>
      </c>
      <c r="C2" s="162" t="s">
        <v>636</v>
      </c>
      <c r="D2" s="162" t="s">
        <v>637</v>
      </c>
      <c r="E2" s="162" t="s">
        <v>636</v>
      </c>
      <c r="F2" s="162" t="s">
        <v>494</v>
      </c>
      <c r="K2" s="161" t="s">
        <v>684</v>
      </c>
      <c r="L2" s="162" t="s">
        <v>636</v>
      </c>
      <c r="M2" s="162" t="s">
        <v>494</v>
      </c>
    </row>
    <row r="3" spans="1:13" x14ac:dyDescent="0.25">
      <c r="A3" s="81" t="s">
        <v>639</v>
      </c>
      <c r="B3" s="16">
        <f>Rezerve_SAM_SAMP_kārta!I30+Rezerve_SAM_SAMP_kārta!I35+Rezerve_SAM_SAMP_kārta!I55+Rezerve_SAM_SAMP_kārta!I74</f>
        <v>1222839064</v>
      </c>
      <c r="C3" s="163">
        <f>B3/(Rezerve_SAM_SAMP_kārta!I30+Rezerve_SAM_SAMP_kārta!I35+Rezerve_SAM_SAMP_kārta!I55+Rezerve_SAM_SAMP_kārta!I74+Rezerve_SAM_SAMP_kārta!I103+Rezerve_SAM_SAMP_kārta!I116+Rezerve_SAM_SAMP_kārta!I157+Rezerve_SAM_SAMP_kārta!I186)</f>
        <v>0.51769764693348141</v>
      </c>
      <c r="D3" s="16">
        <f>Rezerve_SAM_SAMP_kārta!U30+Rezerve_SAM_SAMP_kārta!U35+Rezerve_SAM_SAMP_kārta!U55+Rezerve_SAM_SAMP_kārta!U74</f>
        <v>1205566727</v>
      </c>
      <c r="E3" s="163">
        <f>D3/(Rezerve_SAM_SAMP_kārta!U30+Rezerve_SAM_SAMP_kārta!U35+Rezerve_SAM_SAMP_kārta!U55+Rezerve_SAM_SAMP_kārta!U74+Rezerve_SAM_SAMP_kārta!U103+Rezerve_SAM_SAMP_kārta!U116+Rezerve_SAM_SAMP_kārta!U157+Rezerve_SAM_SAMP_kārta!U186)</f>
        <v>0.50948106554186345</v>
      </c>
      <c r="F3" s="16">
        <f>D3-B3</f>
        <v>-17272337</v>
      </c>
      <c r="G3" t="s">
        <v>642</v>
      </c>
      <c r="K3" s="122">
        <f>Rezerve_SAM_SAMP_kārta!U30+Rezerve_SAM_SAMP_kārta!U35+Rezerve_SAM_SAMP_kārta!U55+Rezerve_SAM_SAMP_kārta!U74+Rezerve_SAM_SAMP_kārta!K32+Rezerve_SAM_SAMP_kārta!N32+Rezerve_SAM_SAMP_kārta!K61+Rezerve_SAM_SAMP_kārta!N61+Rezerve_SAM_SAMP_kārta!K70+Rezerve_SAM_SAMP_kārta!N70</f>
        <v>1218784564</v>
      </c>
      <c r="L3" s="170">
        <f>K3/((Rezerve_SAM_SAMP_kārta!U30+Rezerve_SAM_SAMP_kārta!U35+Rezerve_SAM_SAMP_kārta!U55+Rezerve_SAM_SAMP_kārta!U74+Rezerve_SAM_SAMP_kārta!K32+Rezerve_SAM_SAMP_kārta!N32+Rezerve_SAM_SAMP_kārta!K61+Rezerve_SAM_SAMP_kārta!N61+Rezerve_SAM_SAMP_kārta!K70+Rezerve_SAM_SAMP_kārta!N70+Rezerve_SAM_SAMP_kārta!U103+Rezerve_SAM_SAMP_kārta!U116+Rezerve_SAM_SAMP_kārta!U157+Rezerve_SAM_SAMP_kārta!U186)-(Rezerve_SAM_SAMP_kārta!K123+Rezerve_SAM_SAMP_kārta!N124+Rezerve_SAM_SAMP_kārta!N178))</f>
        <v>0.51421417338401365</v>
      </c>
      <c r="M3" s="122">
        <f>K3-B3</f>
        <v>-4054500</v>
      </c>
    </row>
    <row r="4" spans="1:13" x14ac:dyDescent="0.25">
      <c r="A4" s="81" t="s">
        <v>198</v>
      </c>
      <c r="B4" s="16">
        <f>Rezerve_SAM_SAMP_kārta!I74</f>
        <v>286344229</v>
      </c>
      <c r="C4" s="163">
        <f>B4/(Rezerve_SAM_SAMP_kārta!I30+Rezerve_SAM_SAMP_kārta!I35+Rezerve_SAM_SAMP_kārta!I55+Rezerve_SAM_SAMP_kārta!I74+Rezerve_SAM_SAMP_kārta!I103+Rezerve_SAM_SAMP_kārta!I116+Rezerve_SAM_SAMP_kārta!I157+Rezerve_SAM_SAMP_kārta!I186)</f>
        <v>0.12122587340428793</v>
      </c>
      <c r="D4" s="16">
        <f>Rezerve_SAM_SAMP_kārta!U74</f>
        <v>277376392</v>
      </c>
      <c r="E4" s="164">
        <f>D4/(Rezerve_SAM_SAMP_kārta!U30+Rezerve_SAM_SAMP_kārta!U35+Rezerve_SAM_SAMP_kārta!U55+Rezerve_SAM_SAMP_kārta!U74+Rezerve_SAM_SAMP_kārta!U103+Rezerve_SAM_SAMP_kārta!U116+Rezerve_SAM_SAMP_kārta!U157+Rezerve_SAM_SAMP_kārta!U186)</f>
        <v>0.11722123428537326</v>
      </c>
      <c r="F4" s="16">
        <f t="shared" ref="F4:F6" si="0">D4-B4</f>
        <v>-8967837</v>
      </c>
      <c r="G4" t="s">
        <v>641</v>
      </c>
      <c r="K4" s="122">
        <f>Rezerve_SAM_SAMP_kārta!U74+Rezerve_SAM_SAMP_kārta!N32+Rezerve_SAM_SAMP_kārta!K61+Rezerve_SAM_SAMP_kārta!N61+Rezerve_SAM_SAMP_kārta!K70+Rezerve_SAM_SAMP_kārta!N70</f>
        <v>287912017</v>
      </c>
      <c r="L4" s="170">
        <f>K4/((Rezerve_SAM_SAMP_kārta!U30+Rezerve_SAM_SAMP_kārta!U35+Rezerve_SAM_SAMP_kārta!U55+Rezerve_SAM_SAMP_kārta!U74+Rezerve_SAM_SAMP_kārta!K32+Rezerve_SAM_SAMP_kārta!N32+Rezerve_SAM_SAMP_kārta!K61+Rezerve_SAM_SAMP_kārta!N61+Rezerve_SAM_SAMP_kārta!K70+Rezerve_SAM_SAMP_kārta!N70+Rezerve_SAM_SAMP_kārta!U103+Rezerve_SAM_SAMP_kārta!U116+Rezerve_SAM_SAMP_kārta!U157+Rezerve_SAM_SAMP_kārta!U186)-(Rezerve_SAM_SAMP_kārta!K123+Rezerve_SAM_SAMP_kārta!N124+Rezerve_SAM_SAMP_kārta!N178))</f>
        <v>0.1214721979601467</v>
      </c>
      <c r="M4" s="122">
        <f>K4-B4</f>
        <v>1567788</v>
      </c>
    </row>
    <row r="5" spans="1:13" x14ac:dyDescent="0.25">
      <c r="A5" s="81" t="s">
        <v>638</v>
      </c>
      <c r="B5" s="16">
        <f>Rezerve_SAM_SAMP_kārta!I187</f>
        <v>225160750</v>
      </c>
      <c r="C5" s="163">
        <f>B5/(Rezerve_SAM_SAMP_kārta!I56+Rezerve_SAM_SAMP_kārta!I126+Rezerve_SAM_SAMP_kārta!I158+Rezerve_SAM_SAMP_kārta!I187)</f>
        <v>0.38284522183915098</v>
      </c>
      <c r="D5" s="16">
        <f>Rezerve_SAM_SAMP_kārta!U187</f>
        <v>212044064</v>
      </c>
      <c r="E5" s="163">
        <f>D5/(Rezerve_SAM_SAMP_kārta!U56+Rezerve_SAM_SAMP_kārta!U126+Rezerve_SAM_SAMP_kārta!U158+Rezerve_SAM_SAMP_kārta!U187)</f>
        <v>0.37154122625241487</v>
      </c>
      <c r="F5" s="16">
        <f t="shared" si="0"/>
        <v>-13116686</v>
      </c>
      <c r="G5" t="s">
        <v>644</v>
      </c>
    </row>
    <row r="6" spans="1:13" ht="30" x14ac:dyDescent="0.25">
      <c r="A6" s="166" t="s">
        <v>643</v>
      </c>
      <c r="B6" s="16">
        <f>Rezerve_SAM_SAMP_kārta!$I$118+Rezerve_SAM_SAMP_kārta!$I$119+Rezerve_SAM_SAMP_kārta!$I$120+Rezerve_SAM_SAMP_kārta!$I$136+Rezerve_SAM_SAMP_kārta!$I$137+Rezerve_SAM_SAMP_kārta!$I$138+Rezerve_SAM_SAMP_kārta!$I$139+Rezerve_SAM_SAMP_kārta!$I$140+Rezerve_SAM_SAMP_kārta!$I$141+Rezerve_SAM_SAMP_kārta!$I$142+Rezerve_SAM_SAMP_kārta!$I$143+Rezerve_SAM_SAMP_kārta!$I$144+Rezerve_SAM_SAMP_kārta!$I$145+Rezerve_SAM_SAMP_kārta!$I$146+Rezerve_SAM_SAMP_kārta!$I$147+Rezerve_SAM_SAMP_kārta!$I$148+Rezerve_SAM_SAMP_kārta!$I$149+Rezerve_SAM_SAMP_kārta!$I$150+Rezerve_SAM_SAMP_kārta!$I$151+Rezerve_SAM_SAMP_kārta!$I$152+Rezerve_SAM_SAMP_kārta!$I$159+Rezerve_SAM_SAMP_kārta!$I$160+Rezerve_SAM_SAMP_kārta!$I$161+Rezerve_SAM_SAMP_kārta!$I$162+Rezerve_SAM_SAMP_kārta!$I$163+Rezerve_SAM_SAMP_kārta!$I$164+Rezerve_SAM_SAMP_kārta!$I$165+Rezerve_SAM_SAMP_kārta!$I$166+Rezerve_SAM_SAMP_kārta!$I$167+Rezerve_SAM_SAMP_kārta!$I$168+Rezerve_SAM_SAMP_kārta!$I$169+Rezerve_SAM_SAMP_kārta!$I$170+Rezerve_SAM_SAMP_kārta!$I$171+Rezerve_SAM_SAMP_kārta!$I$172+Rezerve_SAM_SAMP_kārta!$I$173+Rezerve_SAM_SAMP_kārta!$I$174+Rezerve_SAM_SAMP_kārta!$I$175+Rezerve_SAM_SAMP_kārta!$I$176+Rezerve_SAM_SAMP_kārta!$I$177+Rezerve_SAM_SAMP_kārta!$I$178</f>
        <v>484927549</v>
      </c>
      <c r="C6" s="163">
        <f>B6/(Rezerve_SAM_SAMP_kārta!$I$56+Rezerve_SAM_SAMP_kārta!$I$126+Rezerve_SAM_SAMP_kārta!$I$158+Rezerve_SAM_SAMP_kārta!$I$187)</f>
        <v>0.82453178483736955</v>
      </c>
      <c r="D6" s="16">
        <f>Rezerve_SAM_SAMP_kārta!$U$118+Rezerve_SAM_SAMP_kārta!$U$119+Rezerve_SAM_SAMP_kārta!$U$120+Rezerve_SAM_SAMP_kārta!$U$136+Rezerve_SAM_SAMP_kārta!$U$137+Rezerve_SAM_SAMP_kārta!$U$138+Rezerve_SAM_SAMP_kārta!$U$139+Rezerve_SAM_SAMP_kārta!$U$140+Rezerve_SAM_SAMP_kārta!$U$141+Rezerve_SAM_SAMP_kārta!$U$142+Rezerve_SAM_SAMP_kārta!$U$143+Rezerve_SAM_SAMP_kārta!$U$144+Rezerve_SAM_SAMP_kārta!$U$145+Rezerve_SAM_SAMP_kārta!$U$146+Rezerve_SAM_SAMP_kārta!$U$147+Rezerve_SAM_SAMP_kārta!$U$148+Rezerve_SAM_SAMP_kārta!$U$149+Rezerve_SAM_SAMP_kārta!$U$150+Rezerve_SAM_SAMP_kārta!$U$151+Rezerve_SAM_SAMP_kārta!$U$152+Rezerve_SAM_SAMP_kārta!$U$159+Rezerve_SAM_SAMP_kārta!$U$160+Rezerve_SAM_SAMP_kārta!$U$161+Rezerve_SAM_SAMP_kārta!$U$162+Rezerve_SAM_SAMP_kārta!$U$163+Rezerve_SAM_SAMP_kārta!$U$164+Rezerve_SAM_SAMP_kārta!$U$165+Rezerve_SAM_SAMP_kārta!$U$166+Rezerve_SAM_SAMP_kārta!$U$167+Rezerve_SAM_SAMP_kārta!$U$168+Rezerve_SAM_SAMP_kārta!$U$169+Rezerve_SAM_SAMP_kārta!$U$170+Rezerve_SAM_SAMP_kārta!$U$171+Rezerve_SAM_SAMP_kārta!$U$172+Rezerve_SAM_SAMP_kārta!$U$173+Rezerve_SAM_SAMP_kārta!$U$174+Rezerve_SAM_SAMP_kārta!$U$175+Rezerve_SAM_SAMP_kārta!$U$176+Rezerve_SAM_SAMP_kārta!$U$177+Rezerve_SAM_SAMP_kārta!$U$178</f>
        <v>475146755</v>
      </c>
      <c r="E6" s="163">
        <f>D6/(Rezerve_SAM_SAMP_kārta!$U$56+Rezerve_SAM_SAMP_kārta!$U$126+Rezerve_SAM_SAMP_kārta!$U$158+Rezerve_SAM_SAMP_kārta!$U$187)</f>
        <v>0.83254680500066125</v>
      </c>
      <c r="F6" s="16">
        <f t="shared" si="0"/>
        <v>-9780794</v>
      </c>
      <c r="G6" t="s">
        <v>644</v>
      </c>
    </row>
    <row r="7" spans="1:13" x14ac:dyDescent="0.25">
      <c r="E7" s="160"/>
    </row>
    <row r="9" spans="1:13" x14ac:dyDescent="0.25">
      <c r="A9" s="168" t="s">
        <v>640</v>
      </c>
      <c r="B9" s="169" t="s">
        <v>650</v>
      </c>
      <c r="C9" s="162" t="s">
        <v>636</v>
      </c>
      <c r="D9" s="169" t="s">
        <v>651</v>
      </c>
      <c r="E9" s="162" t="s">
        <v>636</v>
      </c>
      <c r="F9" s="169" t="s">
        <v>649</v>
      </c>
    </row>
    <row r="10" spans="1:13" ht="30" x14ac:dyDescent="0.25">
      <c r="A10" s="166" t="s">
        <v>645</v>
      </c>
      <c r="B10" s="16">
        <f>Rezerve_SAM_SAMP_kārta!I30+Rezerve_SAM_SAMP_kārta!I35+Rezerve_SAM_SAMP_kārta!I55+Rezerve_SAM_SAMP_kārta!I74</f>
        <v>1222839064</v>
      </c>
      <c r="C10" s="163">
        <f>B10/(Rezerve_SAM_SAMP_kārta!I30+Rezerve_SAM_SAMP_kārta!I35+Rezerve_SAM_SAMP_kārta!I55+Rezerve_SAM_SAMP_kārta!I74+Rezerve_SAM_SAMP_kārta!I103+Rezerve_SAM_SAMP_kārta!I116+Rezerve_SAM_SAMP_kārta!I157+Rezerve_SAM_SAMP_kārta!I186)</f>
        <v>0.51769764693348141</v>
      </c>
      <c r="D10" s="16">
        <f>Rezerve_SAM_SAMP_kārta!U30+Rezerve_SAM_SAMP_kārta!U35+Rezerve_SAM_SAMP_kārta!U55+Rezerve_SAM_SAMP_kārta!U74</f>
        <v>1205566727</v>
      </c>
      <c r="E10" s="163">
        <f>D10/(Rezerve_SAM_SAMP_kārta!U30+Rezerve_SAM_SAMP_kārta!U35+Rezerve_SAM_SAMP_kārta!U55+Rezerve_SAM_SAMP_kārta!U74+Rezerve_SAM_SAMP_kārta!U103+Rezerve_SAM_SAMP_kārta!U116+Rezerve_SAM_SAMP_kārta!U157+Rezerve_SAM_SAMP_kārta!U186)</f>
        <v>0.50948106554186345</v>
      </c>
      <c r="F10" s="16">
        <f>D10-B10</f>
        <v>-17272337</v>
      </c>
      <c r="K10" s="122"/>
    </row>
    <row r="11" spans="1:13" ht="30" x14ac:dyDescent="0.25">
      <c r="A11" s="167" t="s">
        <v>646</v>
      </c>
      <c r="B11" s="16">
        <f>Rezerve_SAM_SAMP_kārta!I74</f>
        <v>286344229</v>
      </c>
      <c r="C11" s="163">
        <f>B11/(Rezerve_SAM_SAMP_kārta!I30+Rezerve_SAM_SAMP_kārta!I35+Rezerve_SAM_SAMP_kārta!I55+Rezerve_SAM_SAMP_kārta!I74+Rezerve_SAM_SAMP_kārta!I103+Rezerve_SAM_SAMP_kārta!I116+Rezerve_SAM_SAMP_kārta!I157+Rezerve_SAM_SAMP_kārta!I186)</f>
        <v>0.12122587340428793</v>
      </c>
      <c r="D11" s="16">
        <f>Rezerve_SAM_SAMP_kārta!U74</f>
        <v>277376392</v>
      </c>
      <c r="E11" s="163">
        <f>D11/(Rezerve_SAM_SAMP_kārta!U30+Rezerve_SAM_SAMP_kārta!U35+Rezerve_SAM_SAMP_kārta!U55+Rezerve_SAM_SAMP_kārta!U74+Rezerve_SAM_SAMP_kārta!U103+Rezerve_SAM_SAMP_kārta!U116+Rezerve_SAM_SAMP_kārta!U157+Rezerve_SAM_SAMP_kārta!U186)</f>
        <v>0.11722123428537326</v>
      </c>
      <c r="F11" s="16">
        <f t="shared" ref="F11:F13" si="1">D11-B11</f>
        <v>-8967837</v>
      </c>
      <c r="K11" s="122"/>
    </row>
    <row r="12" spans="1:13" ht="30" x14ac:dyDescent="0.25">
      <c r="A12" s="167" t="s">
        <v>647</v>
      </c>
      <c r="B12" s="16">
        <f>Rezerve_SAM_SAMP_kārta!I187</f>
        <v>225160750</v>
      </c>
      <c r="C12" s="163">
        <f>B12/(Rezerve_SAM_SAMP_kārta!I56+Rezerve_SAM_SAMP_kārta!I126+Rezerve_SAM_SAMP_kārta!I158+Rezerve_SAM_SAMP_kārta!I187)</f>
        <v>0.38284522183915098</v>
      </c>
      <c r="D12" s="16">
        <f>Rezerve_SAM_SAMP_kārta!U187</f>
        <v>212044064</v>
      </c>
      <c r="E12" s="163">
        <f>D12/(Rezerve_SAM_SAMP_kārta!U56+Rezerve_SAM_SAMP_kārta!U126+Rezerve_SAM_SAMP_kārta!U158+Rezerve_SAM_SAMP_kārta!U187)</f>
        <v>0.37154122625241487</v>
      </c>
      <c r="F12" s="16">
        <f t="shared" si="1"/>
        <v>-13116686</v>
      </c>
    </row>
    <row r="13" spans="1:13" ht="45" x14ac:dyDescent="0.25">
      <c r="A13" s="166" t="s">
        <v>648</v>
      </c>
      <c r="B13" s="16">
        <f>Rezerve_SAM_SAMP_kārta!$I$118+Rezerve_SAM_SAMP_kārta!$I$119+Rezerve_SAM_SAMP_kārta!$I$120+Rezerve_SAM_SAMP_kārta!$I$136+Rezerve_SAM_SAMP_kārta!$I$137+Rezerve_SAM_SAMP_kārta!$I$138+Rezerve_SAM_SAMP_kārta!$I$139+Rezerve_SAM_SAMP_kārta!$I$140+Rezerve_SAM_SAMP_kārta!$I$141+Rezerve_SAM_SAMP_kārta!$I$142+Rezerve_SAM_SAMP_kārta!$I$143+Rezerve_SAM_SAMP_kārta!$I$144+Rezerve_SAM_SAMP_kārta!$I$145+Rezerve_SAM_SAMP_kārta!$I$146+Rezerve_SAM_SAMP_kārta!$I$147+Rezerve_SAM_SAMP_kārta!$I$148+Rezerve_SAM_SAMP_kārta!$I$149+Rezerve_SAM_SAMP_kārta!$I$150+Rezerve_SAM_SAMP_kārta!$I$151+Rezerve_SAM_SAMP_kārta!$I$152+Rezerve_SAM_SAMP_kārta!$I$159+Rezerve_SAM_SAMP_kārta!$I$160+Rezerve_SAM_SAMP_kārta!$I$161+Rezerve_SAM_SAMP_kārta!$I$162+Rezerve_SAM_SAMP_kārta!$I$163+Rezerve_SAM_SAMP_kārta!$I$164+Rezerve_SAM_SAMP_kārta!$I$165+Rezerve_SAM_SAMP_kārta!$I$166+Rezerve_SAM_SAMP_kārta!$I$167+Rezerve_SAM_SAMP_kārta!$I$168+Rezerve_SAM_SAMP_kārta!$I$169+Rezerve_SAM_SAMP_kārta!$I$170+Rezerve_SAM_SAMP_kārta!$I$171+Rezerve_SAM_SAMP_kārta!$I$172+Rezerve_SAM_SAMP_kārta!$I$173+Rezerve_SAM_SAMP_kārta!$I$174+Rezerve_SAM_SAMP_kārta!$I$175+Rezerve_SAM_SAMP_kārta!$I$176+Rezerve_SAM_SAMP_kārta!$I$177+Rezerve_SAM_SAMP_kārta!$I$178</f>
        <v>484927549</v>
      </c>
      <c r="C13" s="163">
        <f>B13/(Rezerve_SAM_SAMP_kārta!$I$56+Rezerve_SAM_SAMP_kārta!$I$126+Rezerve_SAM_SAMP_kārta!$I$158+Rezerve_SAM_SAMP_kārta!$I$187)</f>
        <v>0.82453178483736955</v>
      </c>
      <c r="D13" s="16">
        <f>Rezerve_SAM_SAMP_kārta!$U$118+Rezerve_SAM_SAMP_kārta!$U$119+Rezerve_SAM_SAMP_kārta!$U$120+Rezerve_SAM_SAMP_kārta!$U$136+Rezerve_SAM_SAMP_kārta!$U$137+Rezerve_SAM_SAMP_kārta!$U$138+Rezerve_SAM_SAMP_kārta!$U$139+Rezerve_SAM_SAMP_kārta!$U$140+Rezerve_SAM_SAMP_kārta!$U$141+Rezerve_SAM_SAMP_kārta!$U$142+Rezerve_SAM_SAMP_kārta!$U$143+Rezerve_SAM_SAMP_kārta!$U$144+Rezerve_SAM_SAMP_kārta!$U$145+Rezerve_SAM_SAMP_kārta!$U$146+Rezerve_SAM_SAMP_kārta!$U$147+Rezerve_SAM_SAMP_kārta!$U$148+Rezerve_SAM_SAMP_kārta!$U$149+Rezerve_SAM_SAMP_kārta!$U$150+Rezerve_SAM_SAMP_kārta!$U$151+Rezerve_SAM_SAMP_kārta!$U$152+Rezerve_SAM_SAMP_kārta!$U$159+Rezerve_SAM_SAMP_kārta!$U$160+Rezerve_SAM_SAMP_kārta!$U$161+Rezerve_SAM_SAMP_kārta!$U$162+Rezerve_SAM_SAMP_kārta!$U$163+Rezerve_SAM_SAMP_kārta!$U$164+Rezerve_SAM_SAMP_kārta!$U$165+Rezerve_SAM_SAMP_kārta!$U$166+Rezerve_SAM_SAMP_kārta!$U$167+Rezerve_SAM_SAMP_kārta!$U$168+Rezerve_SAM_SAMP_kārta!$U$169+Rezerve_SAM_SAMP_kārta!$U$170+Rezerve_SAM_SAMP_kārta!$U$171+Rezerve_SAM_SAMP_kārta!$U$172+Rezerve_SAM_SAMP_kārta!$U$173+Rezerve_SAM_SAMP_kārta!$U$174+Rezerve_SAM_SAMP_kārta!$U$175+Rezerve_SAM_SAMP_kārta!$U$176+Rezerve_SAM_SAMP_kārta!$U$177+Rezerve_SAM_SAMP_kārta!$U$178</f>
        <v>475146755</v>
      </c>
      <c r="E13" s="163">
        <f>D13/(Rezerve_SAM_SAMP_kārta!$U$56+Rezerve_SAM_SAMP_kārta!$U$126+Rezerve_SAM_SAMP_kārta!$U$158+Rezerve_SAM_SAMP_kārta!$U$187)</f>
        <v>0.83254680500066125</v>
      </c>
      <c r="F13" s="16">
        <f t="shared" si="1"/>
        <v>-9780794</v>
      </c>
    </row>
    <row r="15" spans="1:13" ht="10.5" customHeight="1" x14ac:dyDescent="0.25"/>
    <row r="17" spans="14:14" x14ac:dyDescent="0.25">
      <c r="N17" s="165"/>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Rezerve_SAM_SAMP_kārta</vt:lpstr>
      <vt:lpstr>Apkopojums</vt:lpstr>
      <vt:lpstr>Virssaistības</vt:lpstr>
      <vt:lpstr>Rezerve_PV</vt:lpstr>
      <vt:lpstr>Virsaistības_Tematiskā koncentr</vt:lpstr>
      <vt:lpstr>Drop_down_list</vt:lpstr>
      <vt:lpstr>Papildu vajadzības</vt:lpstr>
      <vt:lpstr>Tematiskā_koncentrācija</vt:lpstr>
      <vt:lpstr>'Papildu vajadzības'!Print_Area</vt:lpstr>
      <vt:lpstr>Rezerve_SAM_SAMP_kārta!Print_Area</vt:lpstr>
      <vt:lpstr>Virssaistības!Print_Area</vt:lpstr>
      <vt:lpstr>Rezerve_SAM_SAMP_kārta!Print_Titles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Informatīvā ziņojuma pielikums Nr.1</dc:title>
  <dc:creator>jolanta.balduncika@fm.gov.lv</dc:creator>
  <dc:description>Tālr.: 67095479, E-pasts: jolanta.balduncika@fm.gov.lv</dc:description>
  <cp:lastModifiedBy>Jolanta Baldunčika</cp:lastModifiedBy>
  <cp:lastPrinted>2019-10-04T12:02:56Z</cp:lastPrinted>
  <dcterms:created xsi:type="dcterms:W3CDTF">2019-05-02T10:18:58Z</dcterms:created>
  <dcterms:modified xsi:type="dcterms:W3CDTF">2019-10-04T12:03:12Z</dcterms:modified>
</cp:coreProperties>
</file>