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Z:\Nozares budzeta planosanas departaments\MK_rik_proj_LNG_apro_pal_120\MK_rik_proj_LNG_120_milj_2020_2v\"/>
    </mc:Choice>
  </mc:AlternateContent>
  <xr:revisionPtr revIDLastSave="0" documentId="13_ncr:1_{F8C78D13-2B82-4E4D-A908-63A26FB44709}" xr6:coauthVersionLast="45" xr6:coauthVersionMax="45" xr10:uidLastSave="{00000000-0000-0000-0000-000000000000}"/>
  <bookViews>
    <workbookView xWindow="28680" yWindow="-120" windowWidth="29040" windowHeight="15840" tabRatio="921" xr2:uid="{00000000-000D-0000-FFFF-FFFF00000000}"/>
  </bookViews>
  <sheets>
    <sheet name="PSKUS_A2_korpuss" sheetId="23" r:id="rId1"/>
    <sheet name="PSKUS_15_32_109" sheetId="45" r:id="rId2"/>
    <sheet name="PSKUS_15_32_109_2" sheetId="46" r:id="rId3"/>
    <sheet name="PSKUS_15_32_109_3" sheetId="47" r:id="rId4"/>
    <sheet name="PSKUS_15_32_109_4" sheetId="48" r:id="rId5"/>
    <sheet name="PSKUS_15_32_109_5" sheetId="49" r:id="rId6"/>
    <sheet name="PSKUS_15_32_109_6" sheetId="50" r:id="rId7"/>
    <sheet name="PSKUS_15_32_109_7" sheetId="51" r:id="rId8"/>
    <sheet name="PSKUS_15_32_109_8" sheetId="52" r:id="rId9"/>
    <sheet name="PSKUS_15_32_109_9" sheetId="62" r:id="rId10"/>
    <sheet name="PSKUS_15_32_109_10" sheetId="54" r:id="rId11"/>
    <sheet name="PSKUS_15_32_109_11" sheetId="55" r:id="rId12"/>
    <sheet name="PSKUS_15_32_109_12" sheetId="56" r:id="rId13"/>
    <sheet name="PSKUS_15_32_109_13" sheetId="57" r:id="rId14"/>
    <sheet name="PSKUS_15_32_109_14" sheetId="58" r:id="rId15"/>
    <sheet name="PSKUS_15_32_109_15" sheetId="59" r:id="rId16"/>
    <sheet name="BKUS" sheetId="60" r:id="rId17"/>
    <sheet name="D_pils_RS" sheetId="27" r:id="rId18"/>
    <sheet name="Vidzemes_Slim" sheetId="21" r:id="rId19"/>
    <sheet name="Analizators_aprēkins" sheetId="41" r:id="rId20"/>
    <sheet name="Šabloni" sheetId="2" state="hidden"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1_2_d_NMP_lim" localSheetId="16">#REF!</definedName>
    <definedName name="_1_2_d_NMP_lim">#REF!</definedName>
    <definedName name="aa" localSheetId="16">#REF!</definedName>
    <definedName name="aa">#REF!</definedName>
    <definedName name="_xlnm.Auto_Open" localSheetId="16">#REF!</definedName>
    <definedName name="_xlnm.Auto_Open">#REF!</definedName>
    <definedName name="b">#REF!</definedName>
    <definedName name="BEx3ATHHUCGCIRND8KLAREDV3L40" hidden="1">[1]HEADER!#REF!</definedName>
    <definedName name="BEx3QB2RILYEXIROLAFCWQMOJXMN" hidden="1">[1]HEADER!#REF!</definedName>
    <definedName name="BEx3RIJ9LXPXWNF4BFBFA4ILG6AY" hidden="1">[1]HEADER!#REF!</definedName>
    <definedName name="BEx3T3XEKJ0I8634YNR6MPN3OBQL" hidden="1">[1]HEADER!#REF!</definedName>
    <definedName name="BEx73MBHXPGN5MLC2IC6RCMRLO6D" hidden="1">[1]HEADER!#REF!</definedName>
    <definedName name="BEx7KKYHXVDNTR0VZKUAIUQCSOP9" hidden="1">[1]HEADER!#REF!</definedName>
    <definedName name="BEx9EDPXWEPLE7S1KH5K8GGFZKC0" hidden="1">[1]HEADER!#REF!</definedName>
    <definedName name="BExBE9K6C6Q27ZVX3WOCP2J41BHY" hidden="1">[1]HEADER!#REF!</definedName>
    <definedName name="BExCQGR4Z3D1E5XRGMT5VWBAFBXW" hidden="1">[1]ZQZBC_PLN__04_03_10!#REF!</definedName>
    <definedName name="BExMP7OQLL0R8VO1CGH6H677G4ZU" hidden="1">[1]HEADER!#REF!</definedName>
    <definedName name="BExO50CMJCMLOGHRH7OH9FMGVTSS" hidden="1">[1]HEADER!#REF!</definedName>
    <definedName name="BExOA3RQ9DFFMJC5QYZ23ZT9RUN8" hidden="1">[1]HEADER!#REF!</definedName>
    <definedName name="BExS6S40JMF44ZTMXW3UE4WW9B54" hidden="1">[1]HEADER!#REF!</definedName>
    <definedName name="BExU5I577AMALET6AIZ4P1LRV9CU" hidden="1">[1]ZQZBC_PLN__04_03_10!#REF!</definedName>
    <definedName name="BExU7EBQBMZVYUSS9YS0I4JESH9L" hidden="1">[1]HEADER!#REF!</definedName>
    <definedName name="BExUC9I2YXGSCVE8W0KZ56D3E9UX" hidden="1">[1]HEADER!#REF!</definedName>
    <definedName name="BExZJQJI4H09EC94GXCLZDAB05VB" hidden="1">[1]HEADER!#REF!</definedName>
    <definedName name="bt" localSheetId="16">#REF!</definedName>
    <definedName name="bt" localSheetId="9">#REF!</definedName>
    <definedName name="bt">#REF!</definedName>
    <definedName name="BX" localSheetId="16">#REF!</definedName>
    <definedName name="BX">#REF!</definedName>
    <definedName name="CalendarYear">#REF!</definedName>
    <definedName name="ccc" localSheetId="16">#REF!</definedName>
    <definedName name="ccc">#REF!</definedName>
    <definedName name="d">#REF!</definedName>
    <definedName name="D_Evija3">#REF!</definedName>
    <definedName name="DaysAndWeeks" localSheetId="16">{0,1,2,3,4,5,6} + {0;1;2;3;4;5}*7</definedName>
    <definedName name="DaysAndWeeks" localSheetId="9">{0,1,2,3,4,5,6} + {0;1;2;3;4;5}*7</definedName>
    <definedName name="DaysAndWeeks">{0,1,2,3,4,5,6} + {0;1;2;3;4;5}*7</definedName>
    <definedName name="de" localSheetId="16">#REF!</definedName>
    <definedName name="de">#REF!</definedName>
    <definedName name="dff">#NAME?</definedName>
    <definedName name="DRGNAMES" localSheetId="16">#REF!</definedName>
    <definedName name="DRGNAMES" localSheetId="9">#REF!</definedName>
    <definedName name="DRGNAMES">#REF!</definedName>
    <definedName name="e" localSheetId="16">#REF!</definedName>
    <definedName name="e">#REF!</definedName>
    <definedName name="ee" localSheetId="16">#REF!</definedName>
    <definedName name="ee">#REF!</definedName>
    <definedName name="Excel_BuiltIn__FilterDatabase_2">#REF!</definedName>
    <definedName name="Excel_BuiltIn__FilterDatabase_3">#REF!</definedName>
    <definedName name="Excel_BuiltIn_Print_Titles_2">#REF!</definedName>
    <definedName name="Excel_BuiltIn_Print_Titles_3">#REF!</definedName>
    <definedName name="gad_skaits">#REF!</definedName>
    <definedName name="gad_skaits_1">#REF!</definedName>
    <definedName name="gggg">#REF!</definedName>
    <definedName name="ghy">#REF!</definedName>
    <definedName name="h">#REF!</definedName>
    <definedName name="hh">#REF!</definedName>
    <definedName name="hjh">#REF!</definedName>
    <definedName name="hyh">#REF!</definedName>
    <definedName name="i">#REF!</definedName>
    <definedName name="izm.kods">#REF!</definedName>
    <definedName name="izm.kods_1">[2]izm.posteni!$A$2:$A$216</definedName>
    <definedName name="izm.nos" localSheetId="16">#REF!</definedName>
    <definedName name="izm.nos" localSheetId="9">#REF!</definedName>
    <definedName name="izm.nos">#REF!</definedName>
    <definedName name="izm.nos_1">[2]izm.posteni!$B$2:$B$216</definedName>
    <definedName name="jhg" localSheetId="16">#REF!</definedName>
    <definedName name="jhg" localSheetId="9">#REF!</definedName>
    <definedName name="jhg">#REF!</definedName>
    <definedName name="kk" localSheetId="16">#REF!</definedName>
    <definedName name="kk">#REF!</definedName>
    <definedName name="l" localSheetId="16">#REF!</definedName>
    <definedName name="l">#REF!</definedName>
    <definedName name="Limeni_7_9group">#REF!</definedName>
    <definedName name="mmm" hidden="1">[1]ZQZBC_PLN__04_03_10!#REF!</definedName>
    <definedName name="n" localSheetId="16">#REF!</definedName>
    <definedName name="n" localSheetId="9">#REF!</definedName>
    <definedName name="n">#REF!</definedName>
    <definedName name="P_Dati_rikojums" localSheetId="16">#REF!</definedName>
    <definedName name="P_Dati_rikojums">#REF!</definedName>
    <definedName name="pp" localSheetId="16">#REF!</definedName>
    <definedName name="pp">#REF!</definedName>
    <definedName name="_xlnm.Print_Area" localSheetId="16">BKUS!$A$2:$J$2</definedName>
    <definedName name="_xlnm.Print_Area" localSheetId="17">D_pils_RS!$A$2:$J$18</definedName>
    <definedName name="_xlnm.Print_Area" localSheetId="18">Vidzemes_Slim!$A$2:$J$8</definedName>
    <definedName name="Recover" localSheetId="16">[3]Macro1!$A$80</definedName>
    <definedName name="Recover" localSheetId="9">[3]Macro1!$A$80</definedName>
    <definedName name="Recover">[4]Macro1!$A$80</definedName>
    <definedName name="Rikojums2222">[5]Macro1!$A$106</definedName>
    <definedName name="rr" localSheetId="16">#REF!</definedName>
    <definedName name="rr" localSheetId="9">#REF!</definedName>
    <definedName name="rr">#REF!</definedName>
    <definedName name="rt" localSheetId="16">#REF!</definedName>
    <definedName name="rt">#REF!</definedName>
    <definedName name="rty" localSheetId="16">#REF!</definedName>
    <definedName name="rty">#REF!</definedName>
    <definedName name="S5\">#REF!</definedName>
    <definedName name="ss">#REF!</definedName>
    <definedName name="Str.">#REF!</definedName>
    <definedName name="Str.vien.nos.">#REF!</definedName>
    <definedName name="Struktura">#REF!</definedName>
    <definedName name="Struktūrvien.kodi2">#REF!</definedName>
    <definedName name="Struktūrvien.kodi2_1">[2]strukturkodi!$B$2:$B$232</definedName>
    <definedName name="Struktūrvien.kods" localSheetId="16">#REF!</definedName>
    <definedName name="Struktūrvien.kods" localSheetId="9">#REF!</definedName>
    <definedName name="Struktūrvien.kods">#REF!</definedName>
    <definedName name="Struktūrvien.kods_1">[2]strukturkodi!$A$2:$A$232</definedName>
    <definedName name="T13l6">[6]ATSKAITE_2v!#REF!</definedName>
    <definedName name="TableName">"Dummy"</definedName>
    <definedName name="TWO_LINKS">'[7]8.1.'!$C$5</definedName>
    <definedName name="ty" localSheetId="16">#REF!</definedName>
    <definedName name="ty" localSheetId="9">#REF!</definedName>
    <definedName name="ty">#REF!</definedName>
    <definedName name="tyuj" localSheetId="16">#REF!</definedName>
    <definedName name="tyuj">#REF!</definedName>
    <definedName name="u" localSheetId="16">#REF!</definedName>
    <definedName name="u">#REF!</definedName>
    <definedName name="U_N_A">#REF!</definedName>
    <definedName name="wedr">#REF!</definedName>
    <definedName name="WeekStart">#REF!</definedName>
    <definedName name="x">#REF!</definedName>
    <definedName name="XBD">[8]Dati!$B$6</definedName>
    <definedName name="XDD">[8]Dati!$B$4</definedName>
    <definedName name="XDS">[8]Dati!$B$5</definedName>
    <definedName name="XSVD">[8]Dati!$B$7</definedName>
    <definedName name="xxxx" localSheetId="16">#REF!</definedName>
    <definedName name="xxxx" localSheetId="9">#REF!</definedName>
    <definedName name="xxxx">#REF!</definedName>
    <definedName name="yuh" localSheetId="16">#REF!</definedName>
    <definedName name="yuh">#REF!</definedName>
    <definedName name="yyyy" localSheetId="16">#REF!</definedName>
    <definedName name="yyy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4" i="62" l="1"/>
  <c r="H13" i="62"/>
  <c r="K13" i="62" s="1"/>
  <c r="H12" i="62"/>
  <c r="K12" i="62" s="1"/>
  <c r="H11" i="62"/>
  <c r="K11" i="62" s="1"/>
  <c r="H10" i="62"/>
  <c r="K10" i="62" s="1"/>
  <c r="H9" i="62"/>
  <c r="K9" i="62" s="1"/>
  <c r="K8" i="62"/>
  <c r="K7" i="62"/>
  <c r="H6" i="62"/>
  <c r="K6" i="62" s="1"/>
  <c r="K14" i="62" s="1"/>
  <c r="F14" i="45"/>
  <c r="L14" i="62" l="1"/>
  <c r="H14" i="62"/>
  <c r="E8" i="59" l="1"/>
  <c r="F7" i="59"/>
  <c r="D7" i="59"/>
  <c r="D6" i="59"/>
  <c r="F6" i="59" s="1"/>
  <c r="F5" i="59"/>
  <c r="D5" i="59"/>
  <c r="F7" i="58"/>
  <c r="H7" i="58" s="1"/>
  <c r="E6" i="58"/>
  <c r="E5" i="58"/>
  <c r="G5" i="58" s="1"/>
  <c r="G7" i="58" s="1"/>
  <c r="E4" i="58"/>
  <c r="F8" i="57"/>
  <c r="C8" i="57"/>
  <c r="G7" i="57"/>
  <c r="D7" i="57"/>
  <c r="G6" i="57"/>
  <c r="D6" i="57"/>
  <c r="G5" i="57"/>
  <c r="D5" i="57"/>
  <c r="G4" i="57"/>
  <c r="G8" i="57" s="1"/>
  <c r="D4" i="57"/>
  <c r="G6" i="56"/>
  <c r="F6" i="56"/>
  <c r="H6" i="56" s="1"/>
  <c r="E5" i="56"/>
  <c r="G18" i="55"/>
  <c r="E17" i="55"/>
  <c r="H17" i="55" s="1"/>
  <c r="E16" i="55"/>
  <c r="E15" i="55"/>
  <c r="E18" i="55" s="1"/>
  <c r="E11" i="55"/>
  <c r="H11" i="55" s="1"/>
  <c r="D10" i="55"/>
  <c r="E10" i="55" s="1"/>
  <c r="H10" i="55" s="1"/>
  <c r="E9" i="55"/>
  <c r="H9" i="55" s="1"/>
  <c r="D9" i="55"/>
  <c r="E8" i="55"/>
  <c r="H8" i="55" s="1"/>
  <c r="D7" i="55"/>
  <c r="E7" i="55" s="1"/>
  <c r="E5" i="55"/>
  <c r="J7" i="54"/>
  <c r="F7" i="54"/>
  <c r="K6" i="54"/>
  <c r="H6" i="54"/>
  <c r="H5" i="54"/>
  <c r="H7" i="54" s="1"/>
  <c r="G9" i="52"/>
  <c r="E8" i="52"/>
  <c r="H8" i="52" s="1"/>
  <c r="H7" i="52"/>
  <c r="E7" i="52"/>
  <c r="E6" i="52"/>
  <c r="H6" i="52" s="1"/>
  <c r="H5" i="52"/>
  <c r="E5" i="52"/>
  <c r="E9" i="52" s="1"/>
  <c r="H8" i="51"/>
  <c r="F6" i="51"/>
  <c r="F5" i="51"/>
  <c r="F4" i="51"/>
  <c r="F7" i="51" s="1"/>
  <c r="J11" i="50"/>
  <c r="H10" i="50"/>
  <c r="K10" i="50" s="1"/>
  <c r="H9" i="50"/>
  <c r="K9" i="50" s="1"/>
  <c r="K8" i="50"/>
  <c r="K7" i="50"/>
  <c r="H6" i="50"/>
  <c r="K6" i="50" s="1"/>
  <c r="K11" i="50" s="1"/>
  <c r="L11" i="50" s="1"/>
  <c r="H33" i="49"/>
  <c r="F32" i="49"/>
  <c r="I32" i="49" s="1"/>
  <c r="I31" i="49"/>
  <c r="F31" i="49"/>
  <c r="F30" i="49"/>
  <c r="I30" i="49" s="1"/>
  <c r="I29" i="49"/>
  <c r="F29" i="49"/>
  <c r="F28" i="49"/>
  <c r="I28" i="49" s="1"/>
  <c r="I27" i="49"/>
  <c r="F27" i="49"/>
  <c r="F26" i="49"/>
  <c r="I26" i="49" s="1"/>
  <c r="F25" i="49"/>
  <c r="I25" i="49" s="1"/>
  <c r="F24" i="49"/>
  <c r="I24" i="49" s="1"/>
  <c r="F23" i="49"/>
  <c r="I23" i="49" s="1"/>
  <c r="F22" i="49"/>
  <c r="I22" i="49" s="1"/>
  <c r="F21" i="49"/>
  <c r="I21" i="49" s="1"/>
  <c r="F20" i="49"/>
  <c r="I20" i="49" s="1"/>
  <c r="F19" i="49"/>
  <c r="I19" i="49" s="1"/>
  <c r="F18" i="49"/>
  <c r="I18" i="49" s="1"/>
  <c r="F17" i="49"/>
  <c r="I17" i="49" s="1"/>
  <c r="F16" i="49"/>
  <c r="I16" i="49" s="1"/>
  <c r="F15" i="49"/>
  <c r="I15" i="49" s="1"/>
  <c r="F14" i="49"/>
  <c r="I14" i="49" s="1"/>
  <c r="F13" i="49"/>
  <c r="I13" i="49" s="1"/>
  <c r="F12" i="49"/>
  <c r="I12" i="49" s="1"/>
  <c r="F11" i="49"/>
  <c r="I11" i="49" s="1"/>
  <c r="F10" i="49"/>
  <c r="I10" i="49" s="1"/>
  <c r="F9" i="49"/>
  <c r="I9" i="49" s="1"/>
  <c r="F8" i="49"/>
  <c r="I8" i="49" s="1"/>
  <c r="F7" i="49"/>
  <c r="I7" i="49" s="1"/>
  <c r="F6" i="49"/>
  <c r="I6" i="49" s="1"/>
  <c r="F5" i="49"/>
  <c r="I5" i="49" s="1"/>
  <c r="K9" i="48"/>
  <c r="J9" i="48"/>
  <c r="L9" i="48" s="1"/>
  <c r="F9" i="48"/>
  <c r="H8" i="48"/>
  <c r="H7" i="48"/>
  <c r="K6" i="48"/>
  <c r="H6" i="48"/>
  <c r="H5" i="48"/>
  <c r="H9" i="48" s="1"/>
  <c r="H16" i="47"/>
  <c r="F16" i="47"/>
  <c r="H15" i="47"/>
  <c r="K15" i="47" s="1"/>
  <c r="K14" i="47"/>
  <c r="H14" i="47"/>
  <c r="H13" i="47"/>
  <c r="K13" i="47" s="1"/>
  <c r="K12" i="47"/>
  <c r="H12" i="47"/>
  <c r="H11" i="47"/>
  <c r="K11" i="47" s="1"/>
  <c r="K9" i="47"/>
  <c r="H9" i="47"/>
  <c r="H8" i="47"/>
  <c r="J8" i="47" s="1"/>
  <c r="K7" i="47"/>
  <c r="H7" i="47"/>
  <c r="H6" i="47" s="1"/>
  <c r="K5" i="47"/>
  <c r="J5" i="47"/>
  <c r="K4" i="47"/>
  <c r="J4" i="47"/>
  <c r="J16" i="47" s="1"/>
  <c r="H47" i="46"/>
  <c r="C47" i="46"/>
  <c r="F46" i="46"/>
  <c r="I46" i="46" s="1"/>
  <c r="F45" i="46"/>
  <c r="F44" i="46" s="1"/>
  <c r="F42" i="46"/>
  <c r="I42" i="46" s="1"/>
  <c r="F41" i="46"/>
  <c r="I41" i="46" s="1"/>
  <c r="F40" i="46"/>
  <c r="I40" i="46" s="1"/>
  <c r="I39" i="46"/>
  <c r="F39" i="46"/>
  <c r="F38" i="46"/>
  <c r="I38" i="46" s="1"/>
  <c r="I37" i="46"/>
  <c r="F37" i="46"/>
  <c r="F36" i="46"/>
  <c r="I36" i="46" s="1"/>
  <c r="F35" i="46"/>
  <c r="I35" i="46" s="1"/>
  <c r="F34" i="46"/>
  <c r="I34" i="46" s="1"/>
  <c r="F33" i="46"/>
  <c r="I33" i="46" s="1"/>
  <c r="F32" i="46"/>
  <c r="I32" i="46" s="1"/>
  <c r="I31" i="46"/>
  <c r="F31" i="46"/>
  <c r="F30" i="46"/>
  <c r="I30" i="46" s="1"/>
  <c r="I29" i="46"/>
  <c r="F29" i="46"/>
  <c r="F28" i="46"/>
  <c r="I28" i="46" s="1"/>
  <c r="F27" i="46"/>
  <c r="I27" i="46" s="1"/>
  <c r="F26" i="46"/>
  <c r="I26" i="46" s="1"/>
  <c r="F25" i="46"/>
  <c r="I25" i="46" s="1"/>
  <c r="F24" i="46"/>
  <c r="I24" i="46" s="1"/>
  <c r="I23" i="46"/>
  <c r="F23" i="46"/>
  <c r="F22" i="46"/>
  <c r="F21" i="46" s="1"/>
  <c r="F20" i="46"/>
  <c r="I20" i="46" s="1"/>
  <c r="I19" i="46"/>
  <c r="F19" i="46"/>
  <c r="F18" i="46"/>
  <c r="I18" i="46" s="1"/>
  <c r="I17" i="46"/>
  <c r="F17" i="46"/>
  <c r="F16" i="46"/>
  <c r="I16" i="46" s="1"/>
  <c r="I15" i="46"/>
  <c r="F15" i="46"/>
  <c r="F14" i="46"/>
  <c r="I14" i="46" s="1"/>
  <c r="F13" i="46"/>
  <c r="I13" i="46" s="1"/>
  <c r="F12" i="46"/>
  <c r="I12" i="46" s="1"/>
  <c r="I11" i="46"/>
  <c r="F11" i="46"/>
  <c r="F10" i="46"/>
  <c r="F9" i="46" s="1"/>
  <c r="F6" i="46"/>
  <c r="F5" i="46"/>
  <c r="I4" i="46"/>
  <c r="E4" i="46"/>
  <c r="F8" i="46" l="1"/>
  <c r="I9" i="46"/>
  <c r="H8" i="57"/>
  <c r="K16" i="47"/>
  <c r="L16" i="47" s="1"/>
  <c r="H9" i="52"/>
  <c r="F47" i="46"/>
  <c r="I7" i="51"/>
  <c r="I8" i="51" s="1"/>
  <c r="J8" i="51" s="1"/>
  <c r="E7" i="51"/>
  <c r="I33" i="49"/>
  <c r="J33" i="49" s="1"/>
  <c r="I9" i="52"/>
  <c r="H7" i="55"/>
  <c r="E6" i="55"/>
  <c r="H6" i="55" s="1"/>
  <c r="F8" i="59"/>
  <c r="G8" i="59" s="1"/>
  <c r="I10" i="46"/>
  <c r="I22" i="46"/>
  <c r="I21" i="46" s="1"/>
  <c r="I47" i="46" s="1"/>
  <c r="J47" i="46" s="1"/>
  <c r="I45" i="46"/>
  <c r="I44" i="46" s="1"/>
  <c r="F33" i="49"/>
  <c r="H11" i="50"/>
  <c r="K5" i="54"/>
  <c r="K7" i="54" s="1"/>
  <c r="L7" i="54" s="1"/>
  <c r="H5" i="55"/>
  <c r="H18" i="55" s="1"/>
  <c r="I18" i="55" s="1"/>
  <c r="C27" i="23"/>
  <c r="C21" i="23"/>
  <c r="C18" i="23"/>
  <c r="I8" i="46" l="1"/>
  <c r="E8" i="46"/>
  <c r="E12" i="55"/>
  <c r="C18" i="27"/>
  <c r="G7" i="41" l="1"/>
  <c r="G8" i="41"/>
  <c r="G9" i="41"/>
  <c r="G10" i="41"/>
  <c r="G11" i="41"/>
  <c r="G12" i="41"/>
  <c r="G13" i="41"/>
  <c r="G14" i="41"/>
  <c r="G15" i="41"/>
  <c r="G16" i="41"/>
  <c r="G17" i="41"/>
  <c r="G6" i="41"/>
  <c r="G18" i="41" l="1"/>
  <c r="E22" i="45"/>
  <c r="D22" i="45"/>
  <c r="F21" i="45"/>
  <c r="F20" i="45"/>
  <c r="F19" i="45"/>
  <c r="F18" i="45"/>
  <c r="F17" i="45"/>
  <c r="F16" i="45"/>
  <c r="F15" i="45"/>
  <c r="F13" i="45"/>
  <c r="F12" i="45"/>
  <c r="F11" i="45"/>
  <c r="F10" i="45"/>
  <c r="F9" i="45"/>
  <c r="F8" i="45"/>
  <c r="F7" i="45"/>
  <c r="F22" i="45" l="1"/>
  <c r="E18" i="41" l="1"/>
  <c r="H17" i="41"/>
  <c r="F17" i="41"/>
  <c r="H16" i="41"/>
  <c r="F16" i="41"/>
  <c r="H15" i="41"/>
  <c r="F15" i="41"/>
  <c r="H14" i="41"/>
  <c r="F14" i="41"/>
  <c r="J13" i="41"/>
  <c r="H13" i="41"/>
  <c r="F13" i="41"/>
  <c r="J12" i="41"/>
  <c r="H12" i="41"/>
  <c r="F12" i="41"/>
  <c r="J11" i="41"/>
  <c r="H11" i="41"/>
  <c r="F11" i="41"/>
  <c r="J10" i="41"/>
  <c r="H10" i="41"/>
  <c r="F10" i="41"/>
  <c r="J9" i="41"/>
  <c r="H9" i="41"/>
  <c r="F9" i="41"/>
  <c r="J8" i="41"/>
  <c r="H8" i="41"/>
  <c r="F8" i="41"/>
  <c r="J7" i="41"/>
  <c r="H7" i="41"/>
  <c r="F7" i="41"/>
  <c r="J6" i="41"/>
  <c r="H6" i="41"/>
  <c r="F6" i="41"/>
  <c r="L14" i="41" l="1"/>
  <c r="L16" i="41"/>
  <c r="L9" i="41"/>
  <c r="L13" i="41"/>
  <c r="L15" i="41"/>
  <c r="L17" i="41"/>
  <c r="L7" i="41"/>
  <c r="L11" i="41"/>
  <c r="L6" i="41"/>
  <c r="L10" i="41"/>
  <c r="L8" i="41"/>
  <c r="L12" i="41"/>
  <c r="F18" i="41"/>
  <c r="L18" i="41" l="1"/>
  <c r="D18" i="27" l="1"/>
  <c r="F18" i="27" l="1"/>
</calcChain>
</file>

<file path=xl/sharedStrings.xml><?xml version="1.0" encoding="utf-8"?>
<sst xmlns="http://schemas.openxmlformats.org/spreadsheetml/2006/main" count="675" uniqueCount="403">
  <si>
    <t>A</t>
  </si>
  <si>
    <t>B</t>
  </si>
  <si>
    <t>D</t>
  </si>
  <si>
    <t>E</t>
  </si>
  <si>
    <t>F</t>
  </si>
  <si>
    <t>G</t>
  </si>
  <si>
    <t>(nosaukums)</t>
  </si>
  <si>
    <t>Ietekme uz tautsaimniecību</t>
  </si>
  <si>
    <t>Reformas</t>
  </si>
  <si>
    <t>Reformas tiek īstenotas</t>
  </si>
  <si>
    <t>Reformas netiek īstenotas</t>
  </si>
  <si>
    <t>Valsts prezidenta kanceleja</t>
  </si>
  <si>
    <t>Saeima</t>
  </si>
  <si>
    <t>Ministru kabinets</t>
  </si>
  <si>
    <t>Korupcijas novēršanas un apkarošanas birojs</t>
  </si>
  <si>
    <t>Tiesībsarga birojs</t>
  </si>
  <si>
    <t>Sabiedrības integrācijas fonds</t>
  </si>
  <si>
    <t>Sabiedrisko pakalpojumu regulēšanas komisija</t>
  </si>
  <si>
    <t>Aizsardzības ministrija</t>
  </si>
  <si>
    <t>Ārlietu ministrija</t>
  </si>
  <si>
    <t>Ekonomikas ministrija</t>
  </si>
  <si>
    <t>Finanšu ministrija</t>
  </si>
  <si>
    <t>Iekšlietu ministrija</t>
  </si>
  <si>
    <t>Izglītības un zinātnes ministrija</t>
  </si>
  <si>
    <t>Zemkopības ministrija</t>
  </si>
  <si>
    <t>Satiksmes ministrija</t>
  </si>
  <si>
    <t>Labklājības ministrija</t>
  </si>
  <si>
    <t>Tieslietu ministrija</t>
  </si>
  <si>
    <t>Vides aizsardzības un reģionālās attīstības ministrija</t>
  </si>
  <si>
    <t>Kultūras ministrija</t>
  </si>
  <si>
    <t>Valsts kontrole</t>
  </si>
  <si>
    <t>Pārresoru koordinācijas centrs</t>
  </si>
  <si>
    <t>Augstākā tiesa</t>
  </si>
  <si>
    <t>Veselības ministrija</t>
  </si>
  <si>
    <t>Satversmes tiesa</t>
  </si>
  <si>
    <t>Prokuratūra</t>
  </si>
  <si>
    <t>Centrālā vēlēšanu komisija</t>
  </si>
  <si>
    <t>Centrālā zemes komisija</t>
  </si>
  <si>
    <t>Radio un televīzija</t>
  </si>
  <si>
    <t>Ietekme uz tautsaimniecību ir tieša / pastarpināta/ nav attiecināma</t>
  </si>
  <si>
    <t>Iestādes</t>
  </si>
  <si>
    <t>Reformas tiek / netiek īstenotas</t>
  </si>
  <si>
    <t>Ietekme ir tieša</t>
  </si>
  <si>
    <t>Ietekme ir pastarpināta</t>
  </si>
  <si>
    <t>Nav attiecināms</t>
  </si>
  <si>
    <t>2020.gads</t>
  </si>
  <si>
    <t>veicamās darbības:</t>
  </si>
  <si>
    <t>Iegāde</t>
  </si>
  <si>
    <t>Būvniecība</t>
  </si>
  <si>
    <t>Atjaunošana</t>
  </si>
  <si>
    <t>Jā</t>
  </si>
  <si>
    <t>Nē</t>
  </si>
  <si>
    <t>2021.gads</t>
  </si>
  <si>
    <t>2022.gads</t>
  </si>
  <si>
    <t>9.1.</t>
  </si>
  <si>
    <t>9.2.</t>
  </si>
  <si>
    <t>9.3.</t>
  </si>
  <si>
    <t>Naudas plūsmas plāns pa gadiem</t>
  </si>
  <si>
    <t>KOPĀ</t>
  </si>
  <si>
    <t>Slimnīcas pēc pandēmijas atjaunošana (PSKUS 15., 32. un 109.korpuss), 2.posms</t>
  </si>
  <si>
    <t>Neatliekamās medicīnas centrs (NMC)</t>
  </si>
  <si>
    <t>Pulmonoloģija un sirds ķirurģija (32.korpusa 5. un 6.stāvs)</t>
  </si>
  <si>
    <t>15k. 3.-6.st. (15.k. pārveide Kardioloģijas centra vajadzībām)</t>
  </si>
  <si>
    <t>Izmaksas uz m2:</t>
  </si>
  <si>
    <t>EUR (ar PVN)</t>
  </si>
  <si>
    <t>Norādītajās m2 izmaksās ir iekļauts:</t>
  </si>
  <si>
    <t>Projekta administrēšanas izmaksas;</t>
  </si>
  <si>
    <t>Būvprojekta izstrāde/ekspertīze;</t>
  </si>
  <si>
    <t>Autoruzraudzība;</t>
  </si>
  <si>
    <t>Būvdarbi;</t>
  </si>
  <si>
    <t>Būvuzraudzība;</t>
  </si>
  <si>
    <t>Iekārtu un aprīkojuma iegāde (medicīnas, IT un saimnieciskais telpu aprīkojums);</t>
  </si>
  <si>
    <t xml:space="preserve">Autostāvvieta (projekta izstrāde +izbūve). </t>
  </si>
  <si>
    <t>9.4.</t>
  </si>
  <si>
    <t>9.5.</t>
  </si>
  <si>
    <t>PSKUS A2 korpusa pilnas funkcionalitātes nodrošināšana</t>
  </si>
  <si>
    <t>EUR</t>
  </si>
  <si>
    <t>90 dienas</t>
  </si>
  <si>
    <t>Covid testi/ dienā</t>
  </si>
  <si>
    <t>Covid testi 90 dienās</t>
  </si>
  <si>
    <t>Analizatora cena EUR (ar PVN))</t>
  </si>
  <si>
    <t>Instalācija, apmācība EUR</t>
  </si>
  <si>
    <t>Piegāde</t>
  </si>
  <si>
    <t>Iestādes nokaukums</t>
  </si>
  <si>
    <t>RAKUS TPSC laboratorija</t>
  </si>
  <si>
    <t>RAKUS References laboratorija</t>
  </si>
  <si>
    <t>RAKUS Gaiļezers laboratorija</t>
  </si>
  <si>
    <t>PSKUS</t>
  </si>
  <si>
    <t>BKUS</t>
  </si>
  <si>
    <t>Liepāja</t>
  </si>
  <si>
    <t xml:space="preserve">Daugavpils </t>
  </si>
  <si>
    <t>Valmiera</t>
  </si>
  <si>
    <t>Ventspils</t>
  </si>
  <si>
    <t>Jelgava</t>
  </si>
  <si>
    <t>Jēkabpils</t>
  </si>
  <si>
    <t xml:space="preserve">Rēzeknes </t>
  </si>
  <si>
    <t>Kopā</t>
  </si>
  <si>
    <t>Garantija EUR</t>
  </si>
  <si>
    <t>Summa kopā</t>
  </si>
  <si>
    <t xml:space="preserve">1.Pielikums </t>
  </si>
  <si>
    <t>Ministru kabineta rīkojuma “Par finanšu līdzekļu piešķiršanu no valsts budžeta programmas “Līdzekļi neparedzētiem gadījumiem””  
un Ministru kabineta rīkojuma projekta “Par apropriācijas palielināšanu Veselības ministrijai” projekta sākotnējās ietekmes novērtējuma ziņojumam (anotācijai)</t>
  </si>
  <si>
    <t xml:space="preserve">2.Pielikums </t>
  </si>
  <si>
    <t xml:space="preserve">3.Pielikums </t>
  </si>
  <si>
    <t xml:space="preserve">4.Pielikums </t>
  </si>
  <si>
    <t>Darbības Nr.</t>
  </si>
  <si>
    <t>Nosaukums</t>
  </si>
  <si>
    <t>Kopsumma</t>
  </si>
  <si>
    <t>2020.g.</t>
  </si>
  <si>
    <t>2021.g.</t>
  </si>
  <si>
    <t>2020/2021</t>
  </si>
  <si>
    <t xml:space="preserve"> Pēcoperācijas intensīvā terapija</t>
  </si>
  <si>
    <t>Insulta vienības paplašināšana  (līmeņa intensīvās terapija)</t>
  </si>
  <si>
    <t>3 jaunas modulārās operāciju zāles un pēcoperāciju palātas</t>
  </si>
  <si>
    <t>Hibrīdzāles atjaunošana (15.k. 12.kabinets)</t>
  </si>
  <si>
    <t xml:space="preserve"> Hroniskās hemodialīzes nodaļa</t>
  </si>
  <si>
    <t>Magnētiskās rezonanses iekārtas renovācija</t>
  </si>
  <si>
    <t>Informācijas tehnoloģijas</t>
  </si>
  <si>
    <t>Dīzeļģenerators medicīniskā aprīkojuma darbības nodrošināšanai, centralizētās elektrības padeves traucējumu gadījumos 300 kW</t>
  </si>
  <si>
    <t>Drošības aprīkojums</t>
  </si>
  <si>
    <t>test</t>
  </si>
  <si>
    <t xml:space="preserve">5.Pielikums </t>
  </si>
  <si>
    <t xml:space="preserve">SIA “Daugavpils reģionālā slimnīca” intensīvās terapijas nodaļas paplašināšanai, izolācijas boksu izveidei, pacientu plūsmu nodalīšanai </t>
  </si>
  <si>
    <t xml:space="preserve">SIA "Vidzemes slimnīca" intensīvās terapijas nodaļas paplašināšanai, izolācijas boksu izveidei, pacientu plūsmu nodalīšanai </t>
  </si>
  <si>
    <t>Bērnu klīniskā universitātes slimnīcas ambulatorais korpuss ar uzņemšanu un observācijas nodaļu būvniecībai</t>
  </si>
  <si>
    <r>
      <t>Pēc dotā brīža aplēsēm A korpusa otrās kārtas būvdarbus plānots uzsākt 2020.gada septembrī. 2020.gadā paredzēts veikt investīcijas  2 200 000</t>
    </r>
    <r>
      <rPr>
        <sz val="10"/>
        <color rgb="FFFF0000"/>
        <rFont val="Arial"/>
        <family val="2"/>
        <charset val="186"/>
      </rPr>
      <t xml:space="preserve"> </t>
    </r>
    <r>
      <rPr>
        <sz val="10"/>
        <rFont val="Arial"/>
        <family val="2"/>
      </rPr>
      <t xml:space="preserve">EUR apmērā (būvdarbi, autoruzraudzība, būvuzraudzība, projekta administrēšanas izmaksas). 2021. gadā paredzēts investēt 17 800 000 EUR (būvdarbi, autoruzraudzība, būvuzraudzība, projekta administrēšanas izmaksas, telpu aprīkošana). </t>
    </r>
    <r>
      <rPr>
        <u/>
        <sz val="10"/>
        <rFont val="Arial"/>
        <family val="2"/>
      </rPr>
      <t>Precīzāks finanšu plūsmas plāns tiks sagatavots pēc būvdarbu līguma noslēgšanas.</t>
    </r>
  </si>
  <si>
    <t>Ātrās molekulārās diagnostikas iekārtu iegādei</t>
  </si>
  <si>
    <t>Finansējuma avots</t>
  </si>
  <si>
    <t>Finansējums procentuāli</t>
  </si>
  <si>
    <t>Finansējums</t>
  </si>
  <si>
    <t>euro</t>
  </si>
  <si>
    <t>ERAF</t>
  </si>
  <si>
    <t>65,32%</t>
  </si>
  <si>
    <t xml:space="preserve">1.1. Sākotnēji piešķirtais ERAF finansējums </t>
  </si>
  <si>
    <t>45,81%</t>
  </si>
  <si>
    <t>1.2. Papildus piešķirtais ERAF finansējums atbilstoši MK 21.01.2020 Sēdes protokols Nr.3</t>
  </si>
  <si>
    <t>19,51%</t>
  </si>
  <si>
    <t>VB</t>
  </si>
  <si>
    <t>31,51%</t>
  </si>
  <si>
    <t>2.1. Sākotnēji piešķirtais valsts budžeta finansējums</t>
  </si>
  <si>
    <t>4,92%</t>
  </si>
  <si>
    <t>2.2. Papildus piešķirtais valsts budžets atbilstoši MK 09.08.2016. Sēdes protokolam Nr.39</t>
  </si>
  <si>
    <t>10,95%</t>
  </si>
  <si>
    <t>2.3. Papildus novirzītais finansējums atbilstoši MK 21.01.2020 Sēdes protokols Nr.3</t>
  </si>
  <si>
    <t>1,40%</t>
  </si>
  <si>
    <t>2.4. Papildus novirzītais finansējums atbilstoši MK 02.06.2020 Sēdes protokols Nr.38</t>
  </si>
  <si>
    <t>14,24%</t>
  </si>
  <si>
    <t>Privātais līdzfinansējums</t>
  </si>
  <si>
    <t>3,17%</t>
  </si>
  <si>
    <t>KOPĀ*</t>
  </si>
  <si>
    <t>15.k. 4.stāva operāciju zāles (sagatavošanās darbi 15.k.2.st.remontam)</t>
  </si>
  <si>
    <t>Piebūve 1.un 4. operāciju blokiem (lokalizēta sterilizācija, noliktavas) 15.k. pārveide Kardioloģijas centra vajadzībām</t>
  </si>
  <si>
    <t>Hibrīdzāles atjaunošana (15.k. 12.kabinets) 15.k. pārveide Kardioloģijas centra vajadzībām</t>
  </si>
  <si>
    <t>Neatliekamās medicīnas centra darbībai (NMC)</t>
  </si>
  <si>
    <t>Nr.</t>
  </si>
  <si>
    <t>Prioritāte</t>
  </si>
  <si>
    <t>Kvm</t>
  </si>
  <si>
    <t>Kv.m./gab</t>
  </si>
  <si>
    <t>Vienības izmaksa (EUR) bez PVN</t>
  </si>
  <si>
    <t>Izmaksas kopā (EUR) ar PVN</t>
  </si>
  <si>
    <t>Piezīmes</t>
  </si>
  <si>
    <t>Moduļu* sistēmas izbūve kopā:</t>
  </si>
  <si>
    <t>Tirgus izpēte</t>
  </si>
  <si>
    <t>1.1.</t>
  </si>
  <si>
    <t>Projektēšana</t>
  </si>
  <si>
    <t>projektēšanas izmaksas veidojas aptuveni 7% no kopējām moduļu sistēmas izbūves izmaksām. KOPĒJĀS MODUĻU SISTĒMAS IZMAKSAS 2 704 896 EUR</t>
  </si>
  <si>
    <t>1.2.</t>
  </si>
  <si>
    <t>Autoruzraudzība</t>
  </si>
  <si>
    <t>Autoruzraudzības izmaksas veidojas aptuveni 5% no kopējām moduļu sistēmas izbūves izmaksām. KOPĒJĀS MODUĻU SISTĒMAS IZMAKSAS 2 704 896 EUR</t>
  </si>
  <si>
    <t>1.3.</t>
  </si>
  <si>
    <t>Moduļu sistēmas uzstādīšana</t>
  </si>
  <si>
    <t>vidējās izmakas balstoties uz piegādātaju sniegto informāciju</t>
  </si>
  <si>
    <t>1.4.</t>
  </si>
  <si>
    <t>Būvdarbi</t>
  </si>
  <si>
    <t>vidējās pārbūves uz 1m2 izmaksas 1 286.6830 EUR bez projektēšanas, autoruzraudzības, uzstādīšanas, pieslēgumu, inženierkomunkāciju.</t>
  </si>
  <si>
    <t>1.5.</t>
  </si>
  <si>
    <t>Pieslēgumu, inženierkomunkāciju u.c. izbūves:</t>
  </si>
  <si>
    <t>1.5.1.</t>
  </si>
  <si>
    <t>Elektrības jaudas kabeļa pieslēguma izveidošanas darbi un materiāli no tuvākās apakšstacijas</t>
  </si>
  <si>
    <t>Iepriekš veiktu, līdzīgu darbu izmaksas + tirgus izpēte</t>
  </si>
  <si>
    <t>1.5.2.</t>
  </si>
  <si>
    <t>Siltummezgla izveidošanas darbi un materiāli</t>
  </si>
  <si>
    <t>1.5.3.</t>
  </si>
  <si>
    <t>Dīzeļģenerators medicīniskā aprīkojuma darbības nodrošināšanai, centralizētās elektrības padeves traucējumu gadījumos 260 kW</t>
  </si>
  <si>
    <t>Pie ēkas</t>
  </si>
  <si>
    <t>1.5.4.</t>
  </si>
  <si>
    <t>Centralizēta telpu un aprīkojuma dzesēšanas sistēma (55/60 kW)</t>
  </si>
  <si>
    <t>1.5.5.</t>
  </si>
  <si>
    <t>IT, MIS un rindu sistēma sadales telpa ar aprīkojumu un izejmateriāliem</t>
  </si>
  <si>
    <t>1.5.6.</t>
  </si>
  <si>
    <t>Saules elektrības paneļi (~12kW)</t>
  </si>
  <si>
    <t xml:space="preserve">Jumts </t>
  </si>
  <si>
    <t>1.5.7.</t>
  </si>
  <si>
    <t>Apsardzes, piekļuves un ugunsdrošības sistēmas izbūve un izejmateriāli</t>
  </si>
  <si>
    <t>1.5.8.</t>
  </si>
  <si>
    <t>UPS priekš ēkas medicīniskā aprīkojuma</t>
  </si>
  <si>
    <t>1.5.9.</t>
  </si>
  <si>
    <t>Ūdensvada un kanalizācijas izbūve un nepieciešamie izejmateriāli</t>
  </si>
  <si>
    <t>1.5.10.</t>
  </si>
  <si>
    <t>Medicīnisko gāzu pieslēgums</t>
  </si>
  <si>
    <t>1.5.11.</t>
  </si>
  <si>
    <t>Telpu centralizētā ventilācijas sistēma</t>
  </si>
  <si>
    <t>Medicīnas tehnoloģijas</t>
  </si>
  <si>
    <t>2.1.</t>
  </si>
  <si>
    <t>Datortomogrāfs</t>
  </si>
  <si>
    <t>Iepriekšējo iepirkumu rezultāti</t>
  </si>
  <si>
    <t>2.2.</t>
  </si>
  <si>
    <t>Digitālais rentgens ar diviem detektoriem un vertikālo statīvu</t>
  </si>
  <si>
    <t>2.3.</t>
  </si>
  <si>
    <t>Pacientu gulta (katra savā telpā)</t>
  </si>
  <si>
    <t>2.4.</t>
  </si>
  <si>
    <t>Guļrati viena (viena liela telpa nodalīta ar aizskariem)</t>
  </si>
  <si>
    <t>2.5.</t>
  </si>
  <si>
    <t>Sēdrati</t>
  </si>
  <si>
    <t>2.6.</t>
  </si>
  <si>
    <t>Pacienta elektriskie sēdrati</t>
  </si>
  <si>
    <t>2.7.</t>
  </si>
  <si>
    <t>Pacienta vitālo parametru monitors</t>
  </si>
  <si>
    <t>2.8.</t>
  </si>
  <si>
    <t>Asins gāzu analizators</t>
  </si>
  <si>
    <t>2.9.</t>
  </si>
  <si>
    <t>Portatīvais SpO2 monitors</t>
  </si>
  <si>
    <t>2.10.</t>
  </si>
  <si>
    <t>Med konsole</t>
  </si>
  <si>
    <t>2.11.</t>
  </si>
  <si>
    <t>Endotornis ar sistēmu un mazgāšanas dezinfekcijas komplekts</t>
  </si>
  <si>
    <t>2.12.</t>
  </si>
  <si>
    <t xml:space="preserve">Izmeklējuma telpas LED lampa </t>
  </si>
  <si>
    <t>2.13.</t>
  </si>
  <si>
    <t>Portatīvais MPV</t>
  </si>
  <si>
    <t>2.14.</t>
  </si>
  <si>
    <t>Invazīvais MPV</t>
  </si>
  <si>
    <t>2.15.</t>
  </si>
  <si>
    <t>Izmeklējuma galds</t>
  </si>
  <si>
    <t>2.16.</t>
  </si>
  <si>
    <t>Ginekoloģiskais Uro pacienta izmeklējuma galds</t>
  </si>
  <si>
    <t>2.17.</t>
  </si>
  <si>
    <t>Māsu postenis portatīvais</t>
  </si>
  <si>
    <t>2.18.</t>
  </si>
  <si>
    <t>Perfūzijas sūknis</t>
  </si>
  <si>
    <t>2.19.</t>
  </si>
  <si>
    <t>Defibrilators</t>
  </si>
  <si>
    <t>2.20.</t>
  </si>
  <si>
    <t>Sanitāri higiēnisko priekšmetu mazgāšanas dezinfekcijas iekārta</t>
  </si>
  <si>
    <t>2.21.</t>
  </si>
  <si>
    <t>Portatīvais ultrasonogrāfs</t>
  </si>
  <si>
    <t>Mēbeles</t>
  </si>
  <si>
    <t>3.1.</t>
  </si>
  <si>
    <t>Medicīniskās mēbeles</t>
  </si>
  <si>
    <t>3.2.</t>
  </si>
  <si>
    <t>Saimnieciskās mēbeles</t>
  </si>
  <si>
    <t>*Moduļu sistēma ir paredzēta izbūvēt BKUS teritorijā blakus NMC, lai nodrošinātu infekcijas režīmam atbilstošus apstākļus (vairāk skatīt PP2_1_pielikums)</t>
  </si>
  <si>
    <t>Intensīvās terapijas nodaļas atjaunošana un paplašināšana (15.korpuss)</t>
  </si>
  <si>
    <t>Vienības izmaksas</t>
  </si>
  <si>
    <t>Izmaksas</t>
  </si>
  <si>
    <t>Info par izmaksām</t>
  </si>
  <si>
    <r>
      <t xml:space="preserve">Projektēšana 
</t>
    </r>
    <r>
      <rPr>
        <sz val="11"/>
        <rFont val="Calibri"/>
        <family val="2"/>
        <scheme val="minor"/>
      </rPr>
      <t>(viens projekts nodaļai un 2 operāciju blokiem)</t>
    </r>
  </si>
  <si>
    <t>iepirkuma rezultāts, projektēšanas izmaksas veidojas aptuveni 11% no kopējām nodaļas telpu izbūves izmaksām. KOPĒJĀS PĀRBŪVES IZMAKSAS 1 000 065 EUR. (110 000/1 000 065*100= 11%)</t>
  </si>
  <si>
    <r>
      <t xml:space="preserve">Autoruzraudzība
</t>
    </r>
    <r>
      <rPr>
        <i/>
        <sz val="11"/>
        <rFont val="Calibri"/>
        <family val="2"/>
        <charset val="186"/>
        <scheme val="minor"/>
      </rPr>
      <t>(viens projekts nodaļai un 2 operāciju blokiem)</t>
    </r>
  </si>
  <si>
    <t>iepirkuma rezultāts, autoruzraudzība izmaksas veidojas aptuveni 1.2% no kopējām nodaļas telpu izbūves izmaksām. KOPĒJĀS PĀRBŪVES IZMAKSAS 1 000 065 EUR. (12 000/1 000 065*100= 1.2%)</t>
  </si>
  <si>
    <t>Nodaļas telpu pārbūve/atjaunošana</t>
  </si>
  <si>
    <t>Telpu grupas renovācija 15. korpusa, 2.stāva, kreisajā spārnā (30.nod telpas) *</t>
  </si>
  <si>
    <t>iepriekšējo līdzīgo būvdarbu izmaksas</t>
  </si>
  <si>
    <t>Telpu grupas renovācija 15.k. 39.nodaļā (39.nod telpas)*</t>
  </si>
  <si>
    <t>Māsu izsaukuma sistēma, IT tīkli</t>
  </si>
  <si>
    <t>iepriekšējo iepirkumu rezultāti</t>
  </si>
  <si>
    <t>5.1.</t>
  </si>
  <si>
    <t xml:space="preserve">Konsoles </t>
  </si>
  <si>
    <t>5.2.</t>
  </si>
  <si>
    <t xml:space="preserve">Vitālo rādītāju monitori </t>
  </si>
  <si>
    <t>5.3.</t>
  </si>
  <si>
    <t xml:space="preserve">Centrālās stacijas </t>
  </si>
  <si>
    <t>Ugunsdrošība, drošības sistēmas</t>
  </si>
  <si>
    <t>Mēbeles/aprīkojums</t>
  </si>
  <si>
    <t>* Kreisais spārns 15.k. 2.st. nav renovēts, kapitālais remonts (30.nodaļas telpas), līdz ar to izmaksas daudz augstākas, labajā spārnā šobrīd jau atrodas intensīvā terapija (39.nod), izbūvēta 2006.gadā, līdz ar to telpu kosmētiska atjaunošana/ventilācijas izbūve, atsevišķi papildus ūdensvada/kanalizācijas pieslēgumi utml.</t>
  </si>
  <si>
    <t>Insulta vienības paplašināšana  ( intensīvās terapija) (32. un 15.korpuss)</t>
  </si>
  <si>
    <t>Telpu grupu renovācija 32. korpusa 5. un 6.st.</t>
  </si>
  <si>
    <t>iepriekšējo būvdarbu izmaksas</t>
  </si>
  <si>
    <t>Telpu grupu renovācija 15.k. 3.-5.st.</t>
  </si>
  <si>
    <t>3 jaunas modulārās operāciju zāles un pēcoperāciju palātas izveidei (15.korpuss)</t>
  </si>
  <si>
    <t>Vienības</t>
  </si>
  <si>
    <t>Kvm / Gultas / vienību skaits</t>
  </si>
  <si>
    <t>3 operāciju zāļu moduļu sistēmas izbūve KOPĀ:</t>
  </si>
  <si>
    <t>Moduļu sistēma</t>
  </si>
  <si>
    <t>m2</t>
  </si>
  <si>
    <t>Operāciju lampa</t>
  </si>
  <si>
    <t>sk</t>
  </si>
  <si>
    <t>Medicīnisko gāzu konsole</t>
  </si>
  <si>
    <t>Atmodinātava ar guļratiem</t>
  </si>
  <si>
    <t>Atmodinātavas mediciniskā konsole</t>
  </si>
  <si>
    <t>Asinsgāzu analizators</t>
  </si>
  <si>
    <t>Atmodinātavas vitālo parametru monitors</t>
  </si>
  <si>
    <t>Ķirurģisko instrumentu hermētiskais padeves skapis</t>
  </si>
  <si>
    <t xml:space="preserve">Elektroķiruģijas nazis </t>
  </si>
  <si>
    <t>Lieljaudas vakuuma sūknis</t>
  </si>
  <si>
    <t>Portatīvā rtg C-loka iekārtas novietošanas zona</t>
  </si>
  <si>
    <t>Anesteziologa galds / postenis portatīvais</t>
  </si>
  <si>
    <t>Komplekts</t>
  </si>
  <si>
    <t>Elektrības jaudas kabeļa pieslēguma izveidošanas darbi un materiāli no tuvākās apakšstacijas 100 kW</t>
  </si>
  <si>
    <t>Dīzeļģenerators medicīniskā aprīkojuma darbības nodrošināšanai, centralizētās elektrības padeves traucējumu gadījumos 70 kW</t>
  </si>
  <si>
    <t>Telpu un aprīkojuma gaisa kondicionēšanas sistēma (20 kW)</t>
  </si>
  <si>
    <t>IT (informācijas tehnoloģijas), MIS  (latv.val - vadības informācijas sistēma) un rindu sistēma sadales telpa ar aprīkojumu un izejmateriāliem</t>
  </si>
  <si>
    <t>UPS (latv. val Nepārtraukts barošanas bloks) priekš ēkas medicīniskā aprīkojuma</t>
  </si>
  <si>
    <t>Jumts</t>
  </si>
  <si>
    <t>15.k. 4.stāva operāciju zāles atjaunošanai</t>
  </si>
  <si>
    <t>Izmaksas ar PVN</t>
  </si>
  <si>
    <r>
      <t xml:space="preserve">Projektēšana 
</t>
    </r>
    <r>
      <rPr>
        <sz val="12"/>
        <color theme="1"/>
        <rFont val="Calibri"/>
        <family val="2"/>
        <scheme val="minor"/>
      </rPr>
      <t>(viens projekts nodaļai un 2 operāciju blokiem)</t>
    </r>
    <r>
      <rPr>
        <b/>
        <sz val="12"/>
        <color theme="1"/>
        <rFont val="Calibri"/>
        <family val="2"/>
        <charset val="186"/>
        <scheme val="minor"/>
      </rPr>
      <t>*</t>
    </r>
  </si>
  <si>
    <t>iepirkuma rezultāts (skatīt sheet "PP2_4_pielikums")</t>
  </si>
  <si>
    <r>
      <t xml:space="preserve">Autoruzraudzība
</t>
    </r>
    <r>
      <rPr>
        <sz val="12"/>
        <color theme="1"/>
        <rFont val="Calibri"/>
        <family val="2"/>
        <scheme val="minor"/>
      </rPr>
      <t>(viens projekts nodaļai un 2 operāciju blokiem)</t>
    </r>
    <r>
      <rPr>
        <b/>
        <sz val="12"/>
        <color theme="1"/>
        <rFont val="Calibri"/>
        <family val="2"/>
        <charset val="186"/>
        <scheme val="minor"/>
      </rPr>
      <t>*</t>
    </r>
  </si>
  <si>
    <t>Operāciju zāļu atjaunošanas būvdarbi</t>
  </si>
  <si>
    <t>Pieredze iepriekšējos būvdarbu projektos</t>
  </si>
  <si>
    <t>Med.gāzu konsoles</t>
  </si>
  <si>
    <t>* Viena projektēšana un autoruzraudzība ir paredzēta Intensīvās terapijas nodaļas atjaunošanai un paplašināšanai, 15.k. 4.stāva operāciju zāles atjaunošanai un 15.k. 2.st. 4.operācijas bloka remontam</t>
  </si>
  <si>
    <t>Papildus informācija</t>
  </si>
  <si>
    <t>Hibrīdoperāciju zāles atjaunošana, lai nodrošinātu tās atbilstību prasībām</t>
  </si>
  <si>
    <t>Iepirkuma rezultāts, projektēšanas izmaksas veidojas  aptuveni 12% no kopējām hibrīdzāles atjaunošanas izmaksām. KOPĒJĀS HIBDRĪZĀLES ZĀLES IZMAKSAS 169 400 EUR. (20 570/169 400*100= 12%)</t>
  </si>
  <si>
    <t>Iepirkuma rezultāts, autoruzraudzība  izmaksas veidojas aptuveni 1% no kopējām hibrīdzāles atjaunošanas izmaksām. KOPĒJĀS HIBDRĪZĀLES ZĀLES IZMAKSAS 169 400 EUR. (1 210/169 400*100= 1%)</t>
  </si>
  <si>
    <t xml:space="preserve">1.3. </t>
  </si>
  <si>
    <t>Būvdarbi, ventilācija, slūžas</t>
  </si>
  <si>
    <t>Piebūve 1.un 4. operāciju blokiem (lokalizēta sterilizācija, noliktavas) (15.k. pārveide Kardioloģijas centra vajadzībām)</t>
  </si>
  <si>
    <t>Kvm/gab</t>
  </si>
  <si>
    <t>Piebūves izbūve operāciju bloka vajadzībām</t>
  </si>
  <si>
    <t>Pieredze iepriekšējos būvdarbu projektos, projektēšanas izmaksas veidojas aptuveni 10% no kopējām piebūves izbūves izmaksām. KOPĒJĀS PIEBŪVES IZMAKSAS 1 286 657.86 EUR (127 050/1 286 657.86*100= 10%)</t>
  </si>
  <si>
    <t>Pieredze iepriekšējos būvdarbu projektos, autoruzraudzība izmaksas veidojas aptuveni 1% no kopējām piebūves izbūves izmaksām. KOPĒJĀS PIEBŪVES IZMAKSAS 1 286 657.86 EUR. (9 075/1 286 657.86*100= 1%)</t>
  </si>
  <si>
    <t>Būvdarbi, inžnierkomunikācijas</t>
  </si>
  <si>
    <t>Lifti</t>
  </si>
  <si>
    <t>Telpu atjaunošana, papildus palātas izveide Pulmonoloģija un sirds ķirurģijas nodaļās (32.korpusa 5. un 6.stāvs) un 15k. 3.-6.st. (15.k. pārveide Kardioloģijas centra vajadzībām)</t>
  </si>
  <si>
    <t>Nodaļas telpu atjaunošana, papildus palātu izveide</t>
  </si>
  <si>
    <t xml:space="preserve">Telpu grupu renovācija 32. korpusa 5. un 6.st. </t>
  </si>
  <si>
    <t>Telpu grupu renovācija 15.k. 1.-6.st.</t>
  </si>
  <si>
    <t>Hroniskās hemodialīzes nodaļas atjaunošana (109.korpuss)</t>
  </si>
  <si>
    <t>Npk</t>
  </si>
  <si>
    <t>Investīcijas</t>
  </si>
  <si>
    <t>Skaits</t>
  </si>
  <si>
    <t>Vienas vienības cena ar PVN</t>
  </si>
  <si>
    <t>Kopā EUR ar PVN</t>
  </si>
  <si>
    <t>Gulta</t>
  </si>
  <si>
    <t>Tīrā ūdens un visu komināciju padeves automatizēta sistēma</t>
  </si>
  <si>
    <t>Tīrais ūdensvads</t>
  </si>
  <si>
    <t>Hemodialīzes iekārtu pieslēgumu vietu sienas konsoles</t>
  </si>
  <si>
    <t xml:space="preserve">Reversās osmozes ūdens attīrīšanas iekārta ar pirmsattīrīšanu </t>
  </si>
  <si>
    <t>Skābā koncentrāta centralizētā padeves sistēma</t>
  </si>
  <si>
    <t>Sanitāri higēnisko piederumu mazgāšanas iekārta</t>
  </si>
  <si>
    <t>Investīcija</t>
  </si>
  <si>
    <t>Kv.m.</t>
  </si>
  <si>
    <t>iepirkuma rezultāti, projektēšanas izmaksas veidojas aptuveni 7% no kopējām piebūves izbūves izmaksām. KOPĒJĀS PIEBŪVES IZMAKSAS 327 662 EUR. (24 200/327 662*100= 7%)</t>
  </si>
  <si>
    <t>iepirkuma rezultāti, autoruzraudzības izmaksas veidojas aptuveni 1% no kopējām piebūves izbūves izmaksām. KOPĒJĀS PIEBŪVES IZMAKSAS 327 662 EUR. (2 662/327 662*100= 1%)</t>
  </si>
  <si>
    <t>Vienība</t>
  </si>
  <si>
    <t xml:space="preserve">Cena </t>
  </si>
  <si>
    <t>kopsumma (t.sk. PVN)</t>
  </si>
  <si>
    <t>Magnētiskās rezonanse</t>
  </si>
  <si>
    <t>gb</t>
  </si>
  <si>
    <t>Nr.p.k.</t>
  </si>
  <si>
    <t xml:space="preserve">Plānotais pasākums </t>
  </si>
  <si>
    <t>Pasākuma realizācijai atvēlētais investīciju apjoms (ieskaitot PVN)</t>
  </si>
  <si>
    <t>Cena</t>
  </si>
  <si>
    <t>cilvēkmēneši</t>
  </si>
  <si>
    <r>
      <t>1.</t>
    </r>
    <r>
      <rPr>
        <sz val="7"/>
        <color theme="1"/>
        <rFont val="Times New Roman"/>
        <family val="1"/>
        <charset val="186"/>
      </rPr>
      <t xml:space="preserve">       </t>
    </r>
    <r>
      <rPr>
        <sz val="11"/>
        <color theme="1"/>
        <rFont val="Calibri"/>
        <family val="2"/>
        <charset val="186"/>
        <scheme val="minor"/>
      </rPr>
      <t> </t>
    </r>
  </si>
  <si>
    <t>Elektroniskā pieraksta informācijas sistēmas modernizācija (12 cilvēkmēneši)</t>
  </si>
  <si>
    <r>
      <t>2.</t>
    </r>
    <r>
      <rPr>
        <sz val="7"/>
        <color theme="1"/>
        <rFont val="Times New Roman"/>
        <family val="1"/>
        <charset val="186"/>
      </rPr>
      <t xml:space="preserve">       </t>
    </r>
    <r>
      <rPr>
        <sz val="11"/>
        <color theme="1"/>
        <rFont val="Calibri"/>
        <family val="2"/>
        <charset val="186"/>
        <scheme val="minor"/>
      </rPr>
      <t> </t>
    </r>
  </si>
  <si>
    <t>Telefona centrāles sistēmas tehniskās risinājuma modernizācija (18 cilvēkmēneši)</t>
  </si>
  <si>
    <r>
      <t>3.</t>
    </r>
    <r>
      <rPr>
        <sz val="7"/>
        <color theme="1"/>
        <rFont val="Times New Roman"/>
        <family val="1"/>
        <charset val="186"/>
      </rPr>
      <t xml:space="preserve">       </t>
    </r>
    <r>
      <rPr>
        <sz val="11"/>
        <color theme="1"/>
        <rFont val="Calibri"/>
        <family val="2"/>
        <charset val="186"/>
        <scheme val="minor"/>
      </rPr>
      <t> </t>
    </r>
  </si>
  <si>
    <t>Jaunu drošības risinājumu ieviešana iekšējā datu pārraides tīklā (12 cilvēkmēneši)</t>
  </si>
  <si>
    <r>
      <t>4.</t>
    </r>
    <r>
      <rPr>
        <sz val="7"/>
        <color theme="1"/>
        <rFont val="Times New Roman"/>
        <family val="1"/>
        <charset val="186"/>
      </rPr>
      <t xml:space="preserve">       </t>
    </r>
    <r>
      <rPr>
        <sz val="11"/>
        <color theme="1"/>
        <rFont val="Calibri"/>
        <family val="2"/>
        <charset val="186"/>
        <scheme val="minor"/>
      </rPr>
      <t> </t>
    </r>
  </si>
  <si>
    <t>Medikamentu ordinēšanas sistēmas ieviešana (12 cilvēkmēneši)</t>
  </si>
  <si>
    <t>Cena (t.sk. PVN)</t>
  </si>
  <si>
    <t>Summa</t>
  </si>
  <si>
    <t>TP 52221(starp 5. un 6. korp.) slodze ir 310 kW attiecīgi jāpērk  DG-350 ar pieslēguma kabeļiem, ARI sistēmu</t>
  </si>
  <si>
    <t>TP 1372(pie 11.korp.) slodze ir 510kW attiecīgi jāpērk DG-650 ar pieslēguma kabeļiem, ARI sistēmu</t>
  </si>
  <si>
    <t>TP 52548 (pie NMC) slodze ir 360 kW attiecīgi jāpērk DG-400 ar pieslēguma kabeļiem, ARI sistēmu</t>
  </si>
  <si>
    <t>Drošība/aprīkojums</t>
  </si>
  <si>
    <t>Kopā (t.sk. PVN)</t>
  </si>
  <si>
    <t>Uzstādīt ugunsdrošības un trauksmes atklāšanas un balss izziņošanas sistēmu visā 109.korpusā</t>
  </si>
  <si>
    <t>Uzstādīt piekļuves/ apsardzes sistēma</t>
  </si>
  <si>
    <t>Uzstādīt/papildināt video novērošanas sistēmu</t>
  </si>
  <si>
    <t xml:space="preserve">6.Pielikums </t>
  </si>
  <si>
    <t xml:space="preserve">7.Pielikums </t>
  </si>
  <si>
    <t xml:space="preserve">8.Pielikums </t>
  </si>
  <si>
    <t xml:space="preserve">9.Pielikums </t>
  </si>
  <si>
    <t xml:space="preserve">10.Pielikums </t>
  </si>
  <si>
    <t xml:space="preserve">11.Pielikums </t>
  </si>
  <si>
    <t xml:space="preserve">12.Pielikums </t>
  </si>
  <si>
    <t xml:space="preserve">13.Pielikums </t>
  </si>
  <si>
    <t xml:space="preserve">14.Pielikums </t>
  </si>
  <si>
    <t xml:space="preserve">15.Pielikums </t>
  </si>
  <si>
    <t xml:space="preserve">16.Pielikums </t>
  </si>
  <si>
    <r>
      <rPr>
        <b/>
        <sz val="12"/>
        <rFont val="Times New Roman"/>
        <family val="1"/>
      </rPr>
      <t xml:space="preserve">2020.gadā 120 850 euro (daļēja samaksa par Neatliekamās palīdzības un ambulatorās aprūpes nodaļu pārbūves (21.korpusa) būvprojekta izstrādi jeb aptuveni 1.18% no projekta kopējām izmaksām). 2021.gadā 10 079 150 euro, kas paredzēts. 
</t>
    </r>
    <r>
      <rPr>
        <b/>
        <u/>
        <sz val="12"/>
        <rFont val="Times New Roman"/>
        <family val="1"/>
      </rPr>
      <t xml:space="preserve">PROJEKTA KOPĒJĀS IZMAKSAS 10 200 000 euro. </t>
    </r>
    <r>
      <rPr>
        <b/>
        <sz val="12"/>
        <rFont val="Times New Roman"/>
        <family val="1"/>
      </rPr>
      <t xml:space="preserve">
1) 181 275 euro neatliekamās palīdzības un ambulatorās palīdzības telpu būvprojekta iztrādei un autoruzraudzības nodrošināšanai. A</t>
    </r>
    <r>
      <rPr>
        <sz val="12"/>
        <rFont val="Times New Roman"/>
        <family val="1"/>
      </rPr>
      <t xml:space="preserve">ptuveni 1.78 % no projekta kopējām izmaksām (informācijai - kopējās būvprojekta izstrādes un autoruzraudzība izmaksas veido aptuveni 3% jeb 302 125 EUR (302 125/10 200 000* 100= 2.96%), kas sadalās pa gadiem 2020.gadā 120 850 euro un 2021.gada 181 275 euro); 
</t>
    </r>
    <r>
      <rPr>
        <b/>
        <sz val="12"/>
        <rFont val="Times New Roman"/>
        <family val="1"/>
      </rPr>
      <t xml:space="preserve">2) 96 095 EUR </t>
    </r>
    <r>
      <rPr>
        <sz val="12"/>
        <rFont val="Times New Roman"/>
        <family val="1"/>
      </rPr>
      <t xml:space="preserve">apmērā pārbūves būvuzraudzības finansēšanai. Aptuveni  1 % (96095/ 10 200 000* 100= 0.94211%) no projekta kopējām izmaksām; </t>
    </r>
    <r>
      <rPr>
        <b/>
        <sz val="12"/>
        <rFont val="Times New Roman"/>
        <family val="1"/>
      </rPr>
      <t xml:space="preserve">
3) 9 250 000 EUR </t>
    </r>
    <r>
      <rPr>
        <sz val="12"/>
        <rFont val="Times New Roman"/>
        <family val="1"/>
      </rPr>
      <t xml:space="preserve">apmērā neatliekamās palīdzības un ambulatorās palīdzības telpu pārbūvei un jaunā būvapjoma izbūvei. Būvniecības izmaksas ir novērtētas 5000m2* 1 850 EUR apmērā par m2 = 9 250 000 euro(ieskaitot PVN), balstoties uz līdzīga rakstura būvdarbu konkursa rezultātiem. FInansējums 9 250 000 sadalās šādi:
    </t>
    </r>
    <r>
      <rPr>
        <i/>
        <sz val="12"/>
        <rFont val="Times New Roman"/>
        <family val="1"/>
      </rPr>
      <t xml:space="preserve"> </t>
    </r>
    <r>
      <rPr>
        <i/>
        <u/>
        <sz val="12"/>
        <rFont val="Times New Roman"/>
        <family val="1"/>
      </rPr>
      <t>- 3 580 200 EUR neatliekamās palīdzības un ambulatorās palīdzības telpu pārbūvei. (Pārbūves izmaksas ir novērtētas 3 580 200/2106 m2 = 1700 EUR/m2);</t>
    </r>
    <r>
      <rPr>
        <i/>
        <sz val="12"/>
        <rFont val="Times New Roman"/>
        <family val="1"/>
      </rPr>
      <t xml:space="preserve">
</t>
    </r>
    <r>
      <rPr>
        <i/>
        <u/>
        <sz val="12"/>
        <rFont val="Times New Roman"/>
        <family val="1"/>
      </rPr>
      <t xml:space="preserve">     - 5 669 800 EUR jaunās ēkas izbūvei (NMP). (Izbūves izmaksas ir novērtētas 5 669 800/ 2894 m2 = 1959, 1569 EUR/m2 </t>
    </r>
    <r>
      <rPr>
        <sz val="12"/>
        <rFont val="Times New Roman"/>
        <family val="1"/>
      </rPr>
      <t xml:space="preserve">); </t>
    </r>
    <r>
      <rPr>
        <b/>
        <sz val="12"/>
        <rFont val="Times New Roman"/>
        <family val="1"/>
      </rPr>
      <t xml:space="preserve">
4) 551 780 EUR </t>
    </r>
    <r>
      <rPr>
        <sz val="12"/>
        <rFont val="Times New Roman"/>
        <family val="1"/>
      </rPr>
      <t>(ieskaitot PVN) apmērā papildus platību izbūvei psihiatrijas korpusā, drošākas pacientu plūsmas pārvaldībai. Plānotā 1 m2 izbūves izmaksas (ieskaitot vecās apbūves demontāžu) novērtēta 287.62m2 *1918,434 EUR / m2 = 551 780 euro apmērā, 1m2 izmaksas novērtētas balstoties uz līdzīga rakstura būvdarbu konkursa rezultātiem.</t>
    </r>
    <r>
      <rPr>
        <b/>
        <sz val="9"/>
        <rFont val="Times New Roman"/>
        <family val="1"/>
        <charset val="186"/>
      </rPr>
      <t xml:space="preserve">
</t>
    </r>
    <r>
      <rPr>
        <b/>
        <i/>
        <u/>
        <sz val="9"/>
        <rFont val="Times New Roman"/>
        <family val="1"/>
      </rPr>
      <t xml:space="preserve">Finansējums tiktu ieplānots apakšprgrammā 33.17.00 "Plānveida stacionāro veselības aprūpes pakalpojumu nodrošināšana" </t>
    </r>
    <r>
      <rPr>
        <b/>
        <sz val="9"/>
        <rFont val="Times New Roman"/>
        <family val="1"/>
        <charset val="186"/>
      </rPr>
      <t xml:space="preserve">
Pasākumi tiks pabeigti un finansējums apgūts līdz 2021.gada beigām. </t>
    </r>
  </si>
  <si>
    <t xml:space="preserve">17.Pielikums </t>
  </si>
  <si>
    <r>
      <t xml:space="preserve">Finansējums nepieciešams apakšprgrammā 33.17.00 "Plānveida stacionāro veselības aprūpes pakalpojumu nodrošināšana" 
9.1. 
-  97 520 EUR </t>
    </r>
    <r>
      <rPr>
        <sz val="9"/>
        <rFont val="Times New Roman"/>
        <family val="1"/>
      </rPr>
      <t xml:space="preserve">apmērā telpu renovācijai. ( 73,6 m2 * 1 325 EUR = 97 520 EUR Būvniecības izmaksas ir novērtētas 1 325 EUR apmērā par m2 (ieskaitot PVN), balstoties uz līdzīga rakstura būvdarbu konkursa rezultātiem). (2020.gads 30 350; 2021.gads 67 170); </t>
    </r>
    <r>
      <rPr>
        <b/>
        <sz val="9"/>
        <rFont val="Times New Roman"/>
        <family val="1"/>
        <charset val="186"/>
      </rPr>
      <t xml:space="preserve">
- 12 990.40 EUR </t>
    </r>
    <r>
      <rPr>
        <sz val="9"/>
        <rFont val="Times New Roman"/>
        <family val="1"/>
      </rPr>
      <t xml:space="preserve">apmērā specializētas ventilācijas sistēmas izveidei. (36,80 m2 * 353 = 12 990,40 EUR Būvniecības izmaksas ir novērtētas 353 EUR apmērā par m2 (ieskaitot PVN), balstoties uz līdzīga rakstura būvdarbu konkursa rezultātiem). (2020.gads 3 733,60; 2021.gads 9 256.80); </t>
    </r>
    <r>
      <rPr>
        <b/>
        <sz val="9"/>
        <rFont val="Times New Roman"/>
        <family val="1"/>
        <charset val="186"/>
      </rPr>
      <t xml:space="preserve">
- 3 315 EUR </t>
    </r>
    <r>
      <rPr>
        <sz val="9"/>
        <rFont val="Times New Roman"/>
        <family val="1"/>
      </rPr>
      <t>apmērā būvprojekta izstrādei un autoruzraudzībai: (3 315 EUR jeb 3% no kopējām būvniecības izmaksām). (2020.gads 1 749; 2021.gads 1 566);</t>
    </r>
    <r>
      <rPr>
        <b/>
        <sz val="9"/>
        <rFont val="Times New Roman"/>
        <family val="1"/>
        <charset val="186"/>
      </rPr>
      <t xml:space="preserve">
- 2 210 EUR </t>
    </r>
    <r>
      <rPr>
        <sz val="9"/>
        <rFont val="Times New Roman"/>
        <family val="1"/>
      </rPr>
      <t>apmērā būvuzraudzībai. (2 210 EUR jeb 2% no kopējām būvniecības izmaksām). (2020.gads 635; 2021.gads 1 575);</t>
    </r>
    <r>
      <rPr>
        <b/>
        <sz val="9"/>
        <rFont val="Times New Roman"/>
        <family val="1"/>
        <charset val="186"/>
      </rPr>
      <t xml:space="preserve">
- 16 000 EUR </t>
    </r>
    <r>
      <rPr>
        <sz val="9"/>
        <rFont val="Times New Roman"/>
        <family val="1"/>
      </rPr>
      <t xml:space="preserve">apmērā centrālai novērošanas stacijai (Reāla laika monitoringam, pacientu monitoru vadībai): (1 * 16 000 (t.sk. PVN) = 16 000 EUR);(2020.gads) </t>
    </r>
    <r>
      <rPr>
        <b/>
        <sz val="9"/>
        <rFont val="Times New Roman"/>
        <family val="1"/>
        <charset val="186"/>
      </rPr>
      <t xml:space="preserve">
- 40 000 EUR </t>
    </r>
    <r>
      <rPr>
        <sz val="9"/>
        <rFont val="Times New Roman"/>
        <family val="1"/>
      </rPr>
      <t>apmērā pacienta vitālo funkciju novērošanas monitoram (EKG reģistrēšanai, elpošanas frekvences mērīšanai, neinvazīvā arteriālā asinsspiediena mērīšanai, SpO2 mērīšanai, invazīvā asinsspiediena mērījumiem, temperatūras mērīšanai, EtCO2). (2 * 20 000 (t.sk. PVN) = 40 000 EUR); (2020.gads)</t>
    </r>
    <r>
      <rPr>
        <b/>
        <sz val="9"/>
        <rFont val="Times New Roman"/>
        <family val="1"/>
        <charset val="186"/>
      </rPr>
      <t xml:space="preserve">
- 6 000 EUR </t>
    </r>
    <r>
      <rPr>
        <sz val="9"/>
        <rFont val="Times New Roman"/>
        <family val="1"/>
      </rPr>
      <t>apmērā defibrilatoram. (1* 6 000 (t.sk. PVN) = 6 000 EUR); (2020.gads)</t>
    </r>
    <r>
      <rPr>
        <b/>
        <sz val="9"/>
        <rFont val="Times New Roman"/>
        <family val="1"/>
        <charset val="186"/>
      </rPr>
      <t xml:space="preserve">
- 29 000 EUR </t>
    </r>
    <r>
      <rPr>
        <sz val="9"/>
        <rFont val="Times New Roman"/>
        <family val="1"/>
      </rPr>
      <t>apmērā multifunkcionālai gultai ar pretizgulējumu matračiem un svaru sistēmu. (2 * 14 500 (t.sk. PVN) = 29 000 EUR); (2020.gads)</t>
    </r>
    <r>
      <rPr>
        <b/>
        <sz val="9"/>
        <rFont val="Times New Roman"/>
        <family val="1"/>
        <charset val="186"/>
      </rPr>
      <t xml:space="preserve">
- 4 000 EUR </t>
    </r>
    <r>
      <rPr>
        <sz val="9"/>
        <rFont val="Times New Roman"/>
        <family val="1"/>
      </rPr>
      <t xml:space="preserve">apmērā sienas konsolei. (2 * 2 000 (t.sk. PVN) = 4 000 EUR); (2020.gads)
</t>
    </r>
    <r>
      <rPr>
        <b/>
        <sz val="9"/>
        <rFont val="Times New Roman"/>
        <family val="1"/>
        <charset val="186"/>
      </rPr>
      <t xml:space="preserve">- 4 840 EUR </t>
    </r>
    <r>
      <rPr>
        <sz val="9"/>
        <rFont val="Times New Roman"/>
        <family val="1"/>
      </rPr>
      <t xml:space="preserve">apmērā gultas pacientu pārvietošanai. (2 * 2 420 (t.sk. PVN) = 4 840 EUR); (2020.gads) </t>
    </r>
    <r>
      <rPr>
        <b/>
        <sz val="9"/>
        <rFont val="Times New Roman"/>
        <family val="1"/>
        <charset val="186"/>
      </rPr>
      <t xml:space="preserve">
KOPĀ:  215  875.40 EUR. Sadalījums pa gadiem ir šāds 2020.gadā - 136 307.60 EUR un 2021.gadā - 79 567.80 EUR 
9.2.
- 64 000 EUR </t>
    </r>
    <r>
      <rPr>
        <sz val="9"/>
        <rFont val="Times New Roman"/>
        <family val="1"/>
      </rPr>
      <t>apmērā centrālai novērošanas stacijai (Reāla laika monitoringam, pacientu monitoru vadībai). (4 * 16 000 (t.sk. PVN) = 64 000 EUR); (2021.gads)</t>
    </r>
    <r>
      <rPr>
        <b/>
        <sz val="9"/>
        <rFont val="Times New Roman"/>
        <family val="1"/>
        <charset val="186"/>
      </rPr>
      <t xml:space="preserve">
- 680 000 EUR</t>
    </r>
    <r>
      <rPr>
        <sz val="9"/>
        <rFont val="Times New Roman"/>
        <family val="1"/>
      </rPr>
      <t xml:space="preserve"> apmērā pacienta vitālo funkciju novērošanas monitoram (EKG reģistrēšanai, elpošanas frekvences mērīšanai, neinvazīvā arteriālā asinsspiediena mērīšanai, SpO2 mērīšanai, invazīvā asinsspiediena mērījumiem, temperatūras mērīšanai, EtCO2). (34 * 20 000 (t.sk. PVN) = 680 000 EUR); (2021.gads)</t>
    </r>
    <r>
      <rPr>
        <b/>
        <sz val="9"/>
        <rFont val="Times New Roman"/>
        <family val="1"/>
        <charset val="186"/>
      </rPr>
      <t xml:space="preserve">
- 204 000 EUR </t>
    </r>
    <r>
      <rPr>
        <sz val="9"/>
        <rFont val="Times New Roman"/>
        <family val="1"/>
      </rPr>
      <t xml:space="preserve">apmērā mākslīgās plaušu transporta ventilācijas ierīcei, paredzēta neinvazīvai pacienta plaušu ventilācijai ar masku un invazīvai pacienta plaušu ventilāciju caur endotraheālo vai trahejas cauruli. (17 * 12 000 (t.sk. PVN) = 204 000 EUR); (2020.gads)
</t>
    </r>
    <r>
      <rPr>
        <b/>
        <sz val="9"/>
        <rFont val="Times New Roman"/>
        <family val="1"/>
        <charset val="186"/>
      </rPr>
      <t xml:space="preserve">- 396 000 EUR </t>
    </r>
    <r>
      <rPr>
        <sz val="9"/>
        <rFont val="Times New Roman"/>
        <family val="1"/>
      </rPr>
      <t>apmērā mākslīgās plaušu ventilācijas ierīcei intensīvās terapijas nodaļai. (11 * 36 000 = 396 000 EUR); (2020.gads)</t>
    </r>
    <r>
      <rPr>
        <b/>
        <sz val="9"/>
        <rFont val="Times New Roman"/>
        <family val="1"/>
        <charset val="186"/>
      </rPr>
      <t xml:space="preserve">
- 48 000 EUR </t>
    </r>
    <r>
      <rPr>
        <sz val="9"/>
        <rFont val="Times New Roman"/>
        <family val="1"/>
      </rPr>
      <t>apmērā multifunkcionālai gultai ar pretizgulējumu matračiem un svaru sistēmu. (4 * 12 000 (t.sk. PVN) = 48 000 EUR); (2020.gads)</t>
    </r>
    <r>
      <rPr>
        <b/>
        <sz val="9"/>
        <rFont val="Times New Roman"/>
        <family val="1"/>
        <charset val="186"/>
      </rPr>
      <t xml:space="preserve">
- 195 000 EUR </t>
    </r>
    <r>
      <rPr>
        <sz val="9"/>
        <rFont val="Times New Roman"/>
        <family val="1"/>
      </rPr>
      <t>apmērā multifunkcionālās gultai ar pretizgulējumu matračiem. (30 * 6 500 (t.sk. PVN) = 195 000 EUR); (2020.gads)</t>
    </r>
    <r>
      <rPr>
        <b/>
        <sz val="9"/>
        <rFont val="Times New Roman"/>
        <family val="1"/>
        <charset val="186"/>
      </rPr>
      <t xml:space="preserve">
- 7 028 EUR </t>
    </r>
    <r>
      <rPr>
        <sz val="9"/>
        <rFont val="Times New Roman"/>
        <family val="1"/>
      </rPr>
      <t xml:space="preserve">apmērā gaisa kondicionētājam (kasetes tipa). (4 * 1 757 (t.sk. PVN) = 7 028 EUR); (2021.gads)
</t>
    </r>
    <r>
      <rPr>
        <b/>
        <sz val="9"/>
        <rFont val="Times New Roman"/>
        <family val="1"/>
        <charset val="186"/>
      </rPr>
      <t xml:space="preserve">- 24 000 EUR </t>
    </r>
    <r>
      <rPr>
        <sz val="9"/>
        <rFont val="Times New Roman"/>
        <family val="1"/>
      </rPr>
      <t>apmērā defibrilatoram. (4 * 6 000 (t.sk. PVN) = 24 000 EUR); (2020.gads)</t>
    </r>
    <r>
      <rPr>
        <b/>
        <sz val="9"/>
        <rFont val="Times New Roman"/>
        <family val="1"/>
        <charset val="186"/>
      </rPr>
      <t xml:space="preserve">
- 68 000 EUR </t>
    </r>
    <r>
      <rPr>
        <sz val="9"/>
        <rFont val="Times New Roman"/>
        <family val="1"/>
      </rPr>
      <t>apmērā sienas konsolei. (34 * 2 000 (t.sk. PVN) = 68 000 EUR); (2020.gads)</t>
    </r>
    <r>
      <rPr>
        <b/>
        <sz val="9"/>
        <rFont val="Times New Roman"/>
        <family val="1"/>
        <charset val="186"/>
      </rPr>
      <t xml:space="preserve">
- 18 000 EUR </t>
    </r>
    <r>
      <rPr>
        <sz val="9"/>
        <rFont val="Times New Roman"/>
        <family val="1"/>
      </rPr>
      <t>apmērā portatīvajam laringoskopam. (4 * 4 500 (t.sk. PVN) = 18 000 EUR); (2020.gads)</t>
    </r>
    <r>
      <rPr>
        <b/>
        <sz val="9"/>
        <rFont val="Times New Roman"/>
        <family val="1"/>
        <charset val="186"/>
      </rPr>
      <t xml:space="preserve">
- 34 000 EUR </t>
    </r>
    <r>
      <rPr>
        <sz val="9"/>
        <rFont val="Times New Roman"/>
        <family val="1"/>
      </rPr>
      <t>apmērā enterālās barošanas sūknim. (34 * 1 000 (t.sk. PVN) = 34 000 EUR); (2020.gads)</t>
    </r>
    <r>
      <rPr>
        <b/>
        <sz val="9"/>
        <rFont val="Times New Roman"/>
        <family val="1"/>
        <charset val="186"/>
      </rPr>
      <t xml:space="preserve">
- 183 600 EUR </t>
    </r>
    <r>
      <rPr>
        <sz val="9"/>
        <rFont val="Times New Roman"/>
        <family val="1"/>
      </rPr>
      <t>apmērā modulāra darba stācija infūzijas procesu nodrošināšai. (34 * 5 400 (t.sk. PVN) = 183 600 EUR); (2020.gads)</t>
    </r>
    <r>
      <rPr>
        <b/>
        <sz val="9"/>
        <rFont val="Times New Roman"/>
        <family val="1"/>
        <charset val="186"/>
      </rPr>
      <t xml:space="preserve">
KOPĀ: 1 921 628 EUR. Sadalījums pa gadiem ir šāds 2020.gadā - 1 170 600 EUR un 2021.gadā - 751 028 EUR.
9.3.
- 128 000 EUR </t>
    </r>
    <r>
      <rPr>
        <sz val="9"/>
        <rFont val="Times New Roman"/>
        <family val="1"/>
      </rPr>
      <t>apmērā centrālai novērošanas stacijai (Reāla laika monitoringam, pacientu monitoru vadībai). (8 * 16 000 (t.sk. PVN) = 128 000 EUR); (2021.gads)</t>
    </r>
    <r>
      <rPr>
        <b/>
        <sz val="9"/>
        <rFont val="Times New Roman"/>
        <family val="1"/>
        <charset val="186"/>
      </rPr>
      <t xml:space="preserve">
- 160 000 EUR </t>
    </r>
    <r>
      <rPr>
        <sz val="9"/>
        <rFont val="Times New Roman"/>
        <family val="1"/>
      </rPr>
      <t>apmērā pacienta vitālo funkciju novērošanas monitoram (Pacienta vitālo funkciju novērošanas monitoram (EKG/Resp, SpO2, NBP, 3 līknes). (32 * 5 000 (t.sk. PVN) = 160 000 EUR); (2021.gads)</t>
    </r>
    <r>
      <rPr>
        <b/>
        <sz val="9"/>
        <rFont val="Times New Roman"/>
        <family val="1"/>
        <charset val="186"/>
      </rPr>
      <t xml:space="preserve">
- 116 160 EUR </t>
    </r>
    <r>
      <rPr>
        <sz val="9"/>
        <rFont val="Times New Roman"/>
        <family val="1"/>
      </rPr>
      <t>apmērā funkcionālām gultām. (32 * 3 630 (t.sk. PVN) = 116 160 EUR); (2020.gads)</t>
    </r>
    <r>
      <rPr>
        <b/>
        <sz val="9"/>
        <rFont val="Times New Roman"/>
        <family val="1"/>
        <charset val="186"/>
      </rPr>
      <t xml:space="preserve">
 - 40 000 EUR </t>
    </r>
    <r>
      <rPr>
        <sz val="9"/>
        <rFont val="Times New Roman"/>
        <family val="1"/>
      </rPr>
      <t>apmērā defibrilatoram. (8 * 5 000 (t.sk. PVN) = 40 000 EUR); (2020.gads)</t>
    </r>
    <r>
      <rPr>
        <b/>
        <sz val="9"/>
        <rFont val="Times New Roman"/>
        <family val="1"/>
        <charset val="186"/>
      </rPr>
      <t xml:space="preserve">
- 14 056 EUR </t>
    </r>
    <r>
      <rPr>
        <sz val="9"/>
        <rFont val="Times New Roman"/>
        <family val="1"/>
      </rPr>
      <t>apmērā gaisa kondicionētājam (kasetes tipa). (8 * 1 757 (t.sk. PVN) = 14 056 EUR);  (2021.gads)</t>
    </r>
    <r>
      <rPr>
        <b/>
        <sz val="9"/>
        <rFont val="Times New Roman"/>
        <family val="1"/>
        <charset val="186"/>
      </rPr>
      <t xml:space="preserve">
- 1 210 EUR </t>
    </r>
    <r>
      <rPr>
        <sz val="9"/>
        <rFont val="Times New Roman"/>
        <family val="1"/>
      </rPr>
      <t>apmērā pārvietojamam plaukta monitoram ar atvilkni. (4 * 302.50 (t.sk. PVN) = 1 210 EUR);(2020.gads)</t>
    </r>
    <r>
      <rPr>
        <b/>
        <sz val="9"/>
        <rFont val="Times New Roman"/>
        <family val="1"/>
        <charset val="186"/>
      </rPr>
      <t xml:space="preserve">
KOPĀ: 459 426 EUR.  Sadalījums pa gadiem ir šāds 2020.gadā - 157 370 EUR un 2021.gadā - 302 056 EUR.
   9.4.
- 85 000 EUR </t>
    </r>
    <r>
      <rPr>
        <sz val="9"/>
        <rFont val="Times New Roman"/>
        <family val="1"/>
      </rPr>
      <t>apmērā lifta ierīkošanai esošajam stacionāram Infekcijas slimību korpusam, ar atsevišķo piebrauktuvi un nojumi NMPD transportam. (izmaksas ir apzinātas no piegādātājiem); (2021.gads)</t>
    </r>
    <r>
      <rPr>
        <b/>
        <sz val="9"/>
        <rFont val="Times New Roman"/>
        <family val="1"/>
        <charset val="186"/>
      </rPr>
      <t xml:space="preserve">
- 2 850 EUR </t>
    </r>
    <r>
      <rPr>
        <sz val="9"/>
        <rFont val="Times New Roman"/>
        <family val="1"/>
      </rPr>
      <t xml:space="preserve">apmērā apliecinājumu kartes izstrādei (Apliecinājuma kartē tiks izstrādāta atbilstoši MK 02.09.2014 noteikumu Nr.529 5.pielikumam); (2021.gads)
</t>
    </r>
    <r>
      <rPr>
        <b/>
        <sz val="9"/>
        <rFont val="Times New Roman"/>
        <family val="1"/>
        <charset val="186"/>
      </rPr>
      <t xml:space="preserve">- 2 000 EUR </t>
    </r>
    <r>
      <rPr>
        <sz val="9"/>
        <rFont val="Times New Roman"/>
        <family val="1"/>
      </rPr>
      <t>apmērā būvuzraudzībai. (2 000 EUR jeb aptuveni 2.4% no kopējām būvdarbas izmaksām, 2000/85000*100=2.4 %). KOPĒJĀS BŪVNIECĪBAS IZMAKSAS 85 000 EUR; (2021.gads)</t>
    </r>
    <r>
      <rPr>
        <b/>
        <sz val="9"/>
        <rFont val="Times New Roman"/>
        <family val="1"/>
        <charset val="186"/>
      </rPr>
      <t xml:space="preserve">
KOPĀ: 89 850 EUR. Sadalījums pa gādiem ir šāds 2021.gadā 89 850 EUR.
9.5.
- 203 169, 15 EUR a</t>
    </r>
    <r>
      <rPr>
        <sz val="9"/>
        <rFont val="Times New Roman"/>
        <family val="1"/>
      </rPr>
      <t xml:space="preserve">pmērā specializētas ventilācijas sistēmas izveidei. (575,55 m2 * 353 = 203 169,15 EUR, būvniecības izmaksas ir novērtētas 353 EUR apmērā par m2 (ieskaitot PVN), balstoties uz līdzīga rakstura būvdarbu konkursa rezultātiem); (2021.gads)
</t>
    </r>
    <r>
      <rPr>
        <b/>
        <sz val="9"/>
        <rFont val="Times New Roman"/>
        <family val="1"/>
        <charset val="186"/>
      </rPr>
      <t xml:space="preserve">- 6 095.90 EUR </t>
    </r>
    <r>
      <rPr>
        <sz val="9"/>
        <rFont val="Times New Roman"/>
        <family val="1"/>
      </rPr>
      <t>apmērā būvprojekta izstrādei un autoruzraudzībai. (6 095,90 EUR jeb aptuveni 3 % no kopējām būvniecības izmaksām. 6 095.90/203 169.15*100 = 3% KOPĒJĀS BŪVNIECĪBAS IZMAKSAS 203 169,15 EUR; (2021.gads)</t>
    </r>
    <r>
      <rPr>
        <b/>
        <sz val="9"/>
        <rFont val="Times New Roman"/>
        <family val="1"/>
        <charset val="186"/>
      </rPr>
      <t xml:space="preserve">
- 4 063.95 EUR </t>
    </r>
    <r>
      <rPr>
        <sz val="9"/>
        <rFont val="Times New Roman"/>
        <family val="1"/>
      </rPr>
      <t>apmērā būvuzraudzībai. (4063,95 EUR jeb 2 % no kopejām būvdarbas izmaksām, 4 063.95/203 169.15*100 = 2%. KOPĒJĀS BŪVNIECĪBAS IZMAKSAS 203 169,15 EUR); (2021.gads)</t>
    </r>
    <r>
      <rPr>
        <b/>
        <sz val="9"/>
        <rFont val="Times New Roman"/>
        <family val="1"/>
        <charset val="186"/>
      </rPr>
      <t xml:space="preserve">
KOPĀ: 213 329 EUR.  Sadalījums pa gadiem ir šāds 2021.gadā 213 329 EUR.     
</t>
    </r>
    <r>
      <rPr>
        <sz val="9"/>
        <rFont val="Times New Roman"/>
        <family val="1"/>
      </rPr>
      <t xml:space="preserve">Pasākumi tiks pabeigti un finansējums apgūts līdz 2021.gada beigām.        </t>
    </r>
    <r>
      <rPr>
        <b/>
        <sz val="9"/>
        <rFont val="Times New Roman"/>
        <family val="1"/>
        <charset val="186"/>
      </rPr>
      <t xml:space="preserve">                                                                                                                                                                                                                                                                            </t>
    </r>
  </si>
  <si>
    <t xml:space="preserve">18.Pielikums </t>
  </si>
  <si>
    <r>
      <t xml:space="preserve">PROJEKTA KOPĒJĀS IZMAKSAS 2 900 108 EUR
2 900 108 EUR būvniecības kopējās izmaksas. Finansējuma sadalījums pa gadiem ir šāds. Vidējās kopējās projekta realizācijas izmaksas (ieskaitot būvprojekta izstrādi, būvuzraudzību un būvprojekta ekspertīzi) plānotas 2 230.85 EUR par m2, ieskaitot PVN (2 900 108/1300m2 = 2 230.85, būvniecības izmaksas ir novērtētas 2 230.85 EUR apmērā par m2 (ieskaitot PVN), balstoties uz līdzīga rakstura būvdarbu konkursa rezultātiem).
Finansējuma sadalījums pa gadiem ir šāds. 2020.gadā - 90 000 EUR  un 2021.gadā - 2 810 108 EUR.  
- 2020.gadā plānotais:  90 000 EUR </t>
    </r>
    <r>
      <rPr>
        <sz val="9"/>
        <rFont val="Times New Roman"/>
        <family val="1"/>
      </rPr>
      <t xml:space="preserve">apmērā būvprojekta izstrādei  (90 000 EUR  ar PVN jeb aptuveni 3.1% no projekta kopējām izmaksām (90 000/ 2 900 108*100 = 3.1%). </t>
    </r>
    <r>
      <rPr>
        <b/>
        <sz val="9"/>
        <rFont val="Times New Roman"/>
        <family val="1"/>
      </rPr>
      <t xml:space="preserve">
- 2021.gadā plānotais:
1) 27 108 EUR </t>
    </r>
    <r>
      <rPr>
        <sz val="9"/>
        <rFont val="Times New Roman"/>
        <family val="1"/>
      </rPr>
      <t>apmērā</t>
    </r>
    <r>
      <rPr>
        <b/>
        <sz val="9"/>
        <rFont val="Times New Roman"/>
        <family val="1"/>
      </rPr>
      <t xml:space="preserve"> </t>
    </r>
    <r>
      <rPr>
        <sz val="9"/>
        <rFont val="Times New Roman"/>
        <family val="1"/>
      </rPr>
      <t>būvprojekta ekspertīzei 2021.gadā (27 108 EUR apmērā ar PVN jeb aptuveni 0.93 % (27 108/ 2 900 108*100 = 0.93472% no projekta kopējām izmaksām);</t>
    </r>
    <r>
      <rPr>
        <b/>
        <sz val="9"/>
        <rFont val="Times New Roman"/>
        <family val="1"/>
      </rPr>
      <t xml:space="preserve">
2) 40 000 EUR </t>
    </r>
    <r>
      <rPr>
        <sz val="9"/>
        <rFont val="Times New Roman"/>
        <family val="1"/>
      </rPr>
      <t>apmērā</t>
    </r>
    <r>
      <rPr>
        <b/>
        <sz val="9"/>
        <rFont val="Times New Roman"/>
        <family val="1"/>
      </rPr>
      <t xml:space="preserve"> </t>
    </r>
    <r>
      <rPr>
        <sz val="9"/>
        <rFont val="Times New Roman"/>
        <family val="1"/>
      </rPr>
      <t>būvuzraudzībai 2021.gadā (40 000 EUR apmērā ar PVN jeb aptuveni 1.38 % no projekta kopējām izmaksām (40 000/ 2 900 108*100= 1.38%));</t>
    </r>
    <r>
      <rPr>
        <b/>
        <sz val="9"/>
        <rFont val="Times New Roman"/>
        <family val="1"/>
      </rPr>
      <t xml:space="preserve">
3) 2 743 000 EUR </t>
    </r>
    <r>
      <rPr>
        <sz val="9"/>
        <rFont val="Times New Roman"/>
        <family val="1"/>
      </rPr>
      <t>apmērā pārbūvei 2021.gadā. (Vidējās kopējās projekta realizācijas izmaksas plānotas 2 110 EUR par m2, ieskaitot PVN (2 743 000/1300m2 = 2 110 EUR, būvniecības izmaksas ir novērtētas 2 110 EUR apmērā par m2 (ieskaitot PVN), balstoties uz līdzīga rakstura būvdarbu konkursa rezultātiem).</t>
    </r>
    <r>
      <rPr>
        <b/>
        <sz val="9"/>
        <rFont val="Times New Roman"/>
        <family val="1"/>
      </rPr>
      <t xml:space="preserve">
Pasākumi tiks pabeigti un finansējums apgūts līdz 2021.gada beigām. </t>
    </r>
  </si>
  <si>
    <t>Analizatora kapacitāte</t>
  </si>
  <si>
    <t>15-20 testi/2 stundās</t>
  </si>
  <si>
    <t>8-12  testi/2 stundās</t>
  </si>
  <si>
    <t>4-6  testi/2 stundās</t>
  </si>
  <si>
    <t>2-4 testi/2 stundās</t>
  </si>
  <si>
    <t>* Informatīvais ziņojums  “Par aktualitātēm VSIA “Paula Stradiņa klīniskā universitātes slimnīca” A 2 korpusa attīstībā”” izskatīts un atbalstīts  25.08.2020 MK sēdē (prot.50 31.§)</t>
  </si>
  <si>
    <t>15.k. 2.st. 4.operācijas bloka remonts</t>
  </si>
  <si>
    <r>
      <t xml:space="preserve">Autoruzraudzība
</t>
    </r>
    <r>
      <rPr>
        <i/>
        <sz val="11"/>
        <rFont val="Calibri"/>
        <family val="2"/>
        <charset val="186"/>
        <scheme val="minor"/>
      </rPr>
      <t>(viens projekts nodaļai un 2 operāciju blokiem)</t>
    </r>
    <r>
      <rPr>
        <b/>
        <sz val="11"/>
        <rFont val="Calibri"/>
        <family val="2"/>
        <charset val="186"/>
        <scheme val="minor"/>
      </rPr>
      <t>*</t>
    </r>
  </si>
  <si>
    <t>Med.tehnoloģijas</t>
  </si>
  <si>
    <t>Lampas</t>
  </si>
  <si>
    <t>Galdi</t>
  </si>
  <si>
    <t xml:space="preserve">19.Pielikums </t>
  </si>
  <si>
    <t>20.pielikums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</si>
</sst>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_-;\-* #,##0.00\ _€_-;_-* &quot;-&quot;??\ _€_-;_-@_-"/>
    <numFmt numFmtId="165" formatCode="0.00;[Red]0.00"/>
    <numFmt numFmtId="166" formatCode="0;[Red]0"/>
    <numFmt numFmtId="167" formatCode="_-[$€-2]\ * #,##0.00_-;\-[$€-2]\ * #,##0.00_-;_-[$€-2]\ * &quot;-&quot;??_-;_-@_-"/>
    <numFmt numFmtId="168" formatCode="_-* #,##0.00\ &quot;XDR&quot;_-;\-* #,##0.00\ &quot;XDR&quot;_-;_-* &quot;-&quot;??\ &quot;XDR&quot;_-;_-@_-"/>
    <numFmt numFmtId="169" formatCode="#,##0.0000"/>
    <numFmt numFmtId="170" formatCode="#,##0.0"/>
    <numFmt numFmtId="171" formatCode="#,##0.000"/>
  </numFmts>
  <fonts count="86">
    <font>
      <sz val="10"/>
      <name val="Arial"/>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0"/>
      <name val="Arial"/>
      <family val="2"/>
      <charset val="186"/>
    </font>
    <font>
      <b/>
      <sz val="12"/>
      <name val="Times New Roman"/>
      <family val="1"/>
      <charset val="186"/>
    </font>
    <font>
      <sz val="10"/>
      <name val="Times New Roman"/>
      <family val="1"/>
      <charset val="186"/>
    </font>
    <font>
      <sz val="10"/>
      <name val="Arial"/>
      <family val="2"/>
      <charset val="186"/>
    </font>
    <font>
      <b/>
      <sz val="10"/>
      <name val="Times New Roman"/>
      <family val="1"/>
      <charset val="186"/>
    </font>
    <font>
      <sz val="5"/>
      <name val="Arial"/>
      <family val="2"/>
      <charset val="186"/>
    </font>
    <font>
      <b/>
      <sz val="9"/>
      <name val="Times New Roman"/>
      <family val="1"/>
      <charset val="186"/>
    </font>
    <font>
      <sz val="9"/>
      <name val="Times New Roman"/>
      <family val="1"/>
      <charset val="186"/>
    </font>
    <font>
      <sz val="9"/>
      <color rgb="FFFF0000"/>
      <name val="Times New Roman"/>
      <family val="1"/>
      <charset val="186"/>
    </font>
    <font>
      <b/>
      <sz val="12"/>
      <name val="Times New Roman"/>
      <family val="1"/>
    </font>
    <font>
      <sz val="10"/>
      <name val="Arial"/>
      <family val="2"/>
    </font>
    <font>
      <b/>
      <u/>
      <sz val="12"/>
      <name val="Times New Roman"/>
      <family val="1"/>
      <charset val="186"/>
    </font>
    <font>
      <b/>
      <sz val="9"/>
      <name val="Times New Roman"/>
      <family val="1"/>
    </font>
    <font>
      <sz val="10"/>
      <name val="Arial"/>
      <family val="2"/>
      <charset val="204"/>
    </font>
    <font>
      <sz val="12"/>
      <color theme="1"/>
      <name val="Calibri"/>
      <family val="2"/>
      <scheme val="minor"/>
    </font>
    <font>
      <b/>
      <sz val="10"/>
      <name val="Arial"/>
      <family val="2"/>
    </font>
    <font>
      <sz val="11"/>
      <color theme="1"/>
      <name val="Calibri"/>
      <family val="2"/>
      <scheme val="minor"/>
    </font>
    <font>
      <b/>
      <sz val="15"/>
      <color theme="1"/>
      <name val="Calibri"/>
      <family val="2"/>
      <scheme val="minor"/>
    </font>
    <font>
      <b/>
      <sz val="11"/>
      <color theme="1"/>
      <name val="Calibri"/>
      <family val="2"/>
      <scheme val="minor"/>
    </font>
    <font>
      <b/>
      <sz val="11"/>
      <color rgb="FF000000"/>
      <name val="Calibri"/>
      <family val="2"/>
    </font>
    <font>
      <sz val="11"/>
      <color rgb="FF000000"/>
      <name val="Calibri"/>
      <family val="2"/>
    </font>
    <font>
      <sz val="11"/>
      <name val="Calibri"/>
      <family val="2"/>
    </font>
    <font>
      <b/>
      <sz val="12"/>
      <color theme="1"/>
      <name val="Calibri"/>
      <family val="2"/>
      <scheme val="minor"/>
    </font>
    <font>
      <b/>
      <sz val="13"/>
      <color theme="1"/>
      <name val="Calibri"/>
      <family val="2"/>
      <scheme val="minor"/>
    </font>
    <font>
      <u/>
      <sz val="10"/>
      <name val="Arial"/>
      <family val="2"/>
    </font>
    <font>
      <b/>
      <u/>
      <sz val="12"/>
      <name val="Times New Roman"/>
      <family val="1"/>
    </font>
    <font>
      <sz val="10"/>
      <color rgb="FF000000"/>
      <name val="Times New Roman"/>
      <family val="1"/>
    </font>
    <font>
      <i/>
      <sz val="10"/>
      <color rgb="FF000000"/>
      <name val="Times New Roman"/>
      <family val="1"/>
    </font>
    <font>
      <b/>
      <sz val="10"/>
      <color rgb="FF000000"/>
      <name val="Times New Roman"/>
      <family val="1"/>
    </font>
    <font>
      <b/>
      <sz val="14"/>
      <color theme="1"/>
      <name val="Calibri"/>
      <family val="2"/>
      <scheme val="minor"/>
    </font>
    <font>
      <sz val="16"/>
      <color rgb="FFFF0000"/>
      <name val="Times New Roman"/>
      <family val="1"/>
      <charset val="186"/>
    </font>
    <font>
      <sz val="10"/>
      <color rgb="FFFF0000"/>
      <name val="Arial"/>
      <family val="2"/>
      <charset val="186"/>
    </font>
    <font>
      <b/>
      <i/>
      <sz val="10"/>
      <color rgb="FF000000"/>
      <name val="Times New Roman"/>
      <family val="1"/>
    </font>
    <font>
      <b/>
      <sz val="11"/>
      <color theme="1"/>
      <name val="Calibri"/>
      <family val="2"/>
      <charset val="186"/>
      <scheme val="minor"/>
    </font>
    <font>
      <b/>
      <sz val="18"/>
      <color theme="1"/>
      <name val="Calibri"/>
      <family val="2"/>
      <scheme val="minor"/>
    </font>
    <font>
      <b/>
      <sz val="12"/>
      <color theme="1"/>
      <name val="Helvetica Neue"/>
      <family val="2"/>
    </font>
    <font>
      <b/>
      <i/>
      <sz val="12"/>
      <color theme="1"/>
      <name val="Helvetica Neue"/>
      <family val="2"/>
    </font>
    <font>
      <b/>
      <sz val="12"/>
      <color theme="1"/>
      <name val="Helvetica Neue"/>
      <charset val="186"/>
    </font>
    <font>
      <i/>
      <sz val="12"/>
      <color theme="1"/>
      <name val="Helvetica Neue"/>
      <family val="2"/>
    </font>
    <font>
      <sz val="12"/>
      <color theme="1"/>
      <name val="Helvetica Neue"/>
      <family val="2"/>
    </font>
    <font>
      <i/>
      <sz val="12"/>
      <color theme="1"/>
      <name val="Helvetica Neue"/>
      <charset val="186"/>
    </font>
    <font>
      <b/>
      <i/>
      <sz val="12"/>
      <color theme="1"/>
      <name val="Helvetica Neue"/>
      <charset val="186"/>
    </font>
    <font>
      <sz val="12"/>
      <color theme="1"/>
      <name val="Times New Roman"/>
      <family val="1"/>
      <charset val="186"/>
    </font>
    <font>
      <b/>
      <sz val="11"/>
      <name val="Calibri"/>
      <family val="2"/>
      <charset val="186"/>
      <scheme val="minor"/>
    </font>
    <font>
      <sz val="11"/>
      <name val="Calibri"/>
      <family val="2"/>
      <scheme val="minor"/>
    </font>
    <font>
      <i/>
      <sz val="11"/>
      <name val="Calibri"/>
      <family val="2"/>
      <charset val="186"/>
      <scheme val="minor"/>
    </font>
    <font>
      <i/>
      <sz val="12"/>
      <color theme="1"/>
      <name val="Times New Roman"/>
      <family val="1"/>
      <charset val="186"/>
    </font>
    <font>
      <b/>
      <sz val="12"/>
      <color theme="1"/>
      <name val="Times New Roman"/>
      <family val="1"/>
      <charset val="186"/>
    </font>
    <font>
      <sz val="12"/>
      <color rgb="FFFF0000"/>
      <name val="Calibri"/>
      <family val="2"/>
      <scheme val="minor"/>
    </font>
    <font>
      <sz val="10"/>
      <color theme="1"/>
      <name val="Calibri"/>
      <family val="2"/>
      <scheme val="minor"/>
    </font>
    <font>
      <b/>
      <sz val="10"/>
      <color rgb="FF000000"/>
      <name val="Helvetica Neue"/>
      <family val="2"/>
    </font>
    <font>
      <b/>
      <sz val="10"/>
      <color theme="1"/>
      <name val="Helvetica Neue"/>
      <family val="2"/>
    </font>
    <font>
      <b/>
      <sz val="10"/>
      <color theme="1"/>
      <name val="Calibri"/>
      <family val="2"/>
      <scheme val="minor"/>
    </font>
    <font>
      <sz val="10"/>
      <color rgb="FF000000"/>
      <name val="Helvetica Neue"/>
      <family val="2"/>
    </font>
    <font>
      <b/>
      <sz val="10"/>
      <color rgb="FF000000"/>
      <name val="Helvetica Neue"/>
      <charset val="186"/>
    </font>
    <font>
      <i/>
      <sz val="10"/>
      <color rgb="FF000000"/>
      <name val="Helvetica Neue"/>
      <charset val="186"/>
    </font>
    <font>
      <b/>
      <sz val="12"/>
      <color theme="1"/>
      <name val="Calibri"/>
      <family val="2"/>
      <charset val="186"/>
      <scheme val="minor"/>
    </font>
    <font>
      <sz val="12"/>
      <color theme="1"/>
      <name val="Calibri"/>
      <family val="2"/>
      <charset val="186"/>
      <scheme val="minor"/>
    </font>
    <font>
      <b/>
      <sz val="11"/>
      <color theme="1"/>
      <name val="Helvetica Neue"/>
      <family val="2"/>
    </font>
    <font>
      <sz val="11"/>
      <color theme="1"/>
      <name val="Helvetica Neue"/>
      <family val="2"/>
    </font>
    <font>
      <b/>
      <sz val="11"/>
      <color theme="1"/>
      <name val="Helvetica Neue"/>
      <charset val="186"/>
    </font>
    <font>
      <i/>
      <sz val="11"/>
      <color theme="1"/>
      <name val="Helvetica Neue"/>
      <charset val="186"/>
    </font>
    <font>
      <sz val="11"/>
      <color theme="1"/>
      <name val="Helvetica Neue"/>
      <charset val="186"/>
    </font>
    <font>
      <sz val="11"/>
      <color theme="1"/>
      <name val="Times New Roman"/>
      <family val="1"/>
      <charset val="186"/>
    </font>
    <font>
      <b/>
      <sz val="11"/>
      <color theme="1"/>
      <name val="Times New Roman"/>
      <family val="1"/>
      <charset val="186"/>
    </font>
    <font>
      <b/>
      <sz val="11"/>
      <color theme="1"/>
      <name val="Times New Roman"/>
      <family val="1"/>
    </font>
    <font>
      <i/>
      <sz val="11"/>
      <color theme="1"/>
      <name val="Times New Roman"/>
      <family val="1"/>
      <charset val="186"/>
    </font>
    <font>
      <sz val="11"/>
      <color rgb="FFFF0000"/>
      <name val="Times New Roman"/>
      <family val="1"/>
      <charset val="186"/>
    </font>
    <font>
      <b/>
      <sz val="16"/>
      <color theme="1"/>
      <name val="Calibri"/>
      <family val="2"/>
      <scheme val="minor"/>
    </font>
    <font>
      <b/>
      <sz val="18"/>
      <color theme="1"/>
      <name val="Times New Roman"/>
      <family val="1"/>
      <charset val="186"/>
    </font>
    <font>
      <sz val="12"/>
      <name val="Calibri"/>
      <family val="2"/>
      <charset val="186"/>
      <scheme val="minor"/>
    </font>
    <font>
      <b/>
      <sz val="12"/>
      <name val="Calibri"/>
      <family val="2"/>
      <scheme val="minor"/>
    </font>
    <font>
      <sz val="7"/>
      <color theme="1"/>
      <name val="Times New Roman"/>
      <family val="1"/>
      <charset val="186"/>
    </font>
    <font>
      <sz val="12"/>
      <name val="Times New Roman"/>
      <family val="1"/>
    </font>
    <font>
      <i/>
      <sz val="12"/>
      <name val="Times New Roman"/>
      <family val="1"/>
    </font>
    <font>
      <i/>
      <u/>
      <sz val="12"/>
      <name val="Times New Roman"/>
      <family val="1"/>
    </font>
    <font>
      <b/>
      <i/>
      <u/>
      <sz val="9"/>
      <name val="Times New Roman"/>
      <family val="1"/>
    </font>
    <font>
      <b/>
      <sz val="18"/>
      <name val="Arial"/>
      <family val="2"/>
    </font>
    <font>
      <sz val="9"/>
      <name val="Times New Roman"/>
      <family val="1"/>
    </font>
    <font>
      <sz val="12"/>
      <color rgb="FFFF0000"/>
      <name val="Calibri"/>
      <family val="2"/>
      <charset val="186"/>
      <scheme val="minor"/>
    </font>
    <font>
      <b/>
      <i/>
      <sz val="12"/>
      <color theme="1"/>
      <name val="Times New Roman"/>
      <family val="1"/>
      <charset val="186"/>
    </font>
  </fonts>
  <fills count="15">
    <fill>
      <patternFill patternType="none"/>
    </fill>
    <fill>
      <patternFill patternType="gray125"/>
    </fill>
    <fill>
      <patternFill patternType="solid">
        <fgColor rgb="FFFFFFFF"/>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rgb="FFFFFF00"/>
        <bgColor indexed="64"/>
      </patternFill>
    </fill>
    <fill>
      <patternFill patternType="solid">
        <fgColor rgb="FFB4C6E7"/>
        <bgColor indexed="64"/>
      </patternFill>
    </fill>
    <fill>
      <patternFill patternType="solid">
        <fgColor rgb="FF92D050"/>
        <bgColor indexed="64"/>
      </patternFill>
    </fill>
    <fill>
      <patternFill patternType="solid">
        <fgColor theme="9"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4.9989318521683403E-2"/>
        <bgColor indexed="64"/>
      </patternFill>
    </fill>
  </fills>
  <borders count="3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rgb="FF000000"/>
      </bottom>
      <diagonal/>
    </border>
    <border>
      <left/>
      <right/>
      <top/>
      <bottom style="medium">
        <color indexed="64"/>
      </bottom>
      <diagonal/>
    </border>
    <border>
      <left/>
      <right style="medium">
        <color indexed="64"/>
      </right>
      <top/>
      <bottom/>
      <diagonal/>
    </border>
    <border>
      <left style="medium">
        <color indexed="64"/>
      </left>
      <right style="medium">
        <color indexed="64"/>
      </right>
      <top/>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s>
  <cellStyleXfs count="19">
    <xf numFmtId="0" fontId="0" fillId="0" borderId="0"/>
    <xf numFmtId="0" fontId="8" fillId="0" borderId="0"/>
    <xf numFmtId="0" fontId="5" fillId="0" borderId="0" applyBorder="0"/>
    <xf numFmtId="0" fontId="5" fillId="0" borderId="0"/>
    <xf numFmtId="0" fontId="15" fillId="0" borderId="0"/>
    <xf numFmtId="0" fontId="5" fillId="0" borderId="0"/>
    <xf numFmtId="164" fontId="18" fillId="0" borderId="0" applyFont="0" applyFill="0" applyBorder="0" applyAlignment="0" applyProtection="0"/>
    <xf numFmtId="9" fontId="15" fillId="0" borderId="0" applyFont="0" applyFill="0" applyBorder="0" applyAlignment="0" applyProtection="0"/>
    <xf numFmtId="0" fontId="19" fillId="0" borderId="0"/>
    <xf numFmtId="0" fontId="5" fillId="0" borderId="0"/>
    <xf numFmtId="0" fontId="5" fillId="0" borderId="0"/>
    <xf numFmtId="9" fontId="5" fillId="0" borderId="0" applyFont="0" applyFill="0" applyBorder="0" applyAlignment="0" applyProtection="0"/>
    <xf numFmtId="0" fontId="21" fillId="0" borderId="0"/>
    <xf numFmtId="168" fontId="21" fillId="0" borderId="0" applyFont="0" applyFill="0" applyBorder="0" applyAlignment="0" applyProtection="0"/>
    <xf numFmtId="0" fontId="4" fillId="0" borderId="0"/>
    <xf numFmtId="0" fontId="3" fillId="0" borderId="0"/>
    <xf numFmtId="0" fontId="19" fillId="0" borderId="0"/>
    <xf numFmtId="0" fontId="21" fillId="0" borderId="0"/>
    <xf numFmtId="0" fontId="1" fillId="0" borderId="0"/>
  </cellStyleXfs>
  <cellXfs count="344">
    <xf numFmtId="0" fontId="0" fillId="0" borderId="0" xfId="0"/>
    <xf numFmtId="0" fontId="8" fillId="0" borderId="0" xfId="0" applyFont="1"/>
    <xf numFmtId="0" fontId="5" fillId="0" borderId="0" xfId="0" applyFont="1"/>
    <xf numFmtId="0" fontId="5" fillId="0" borderId="0" xfId="0" applyFont="1" applyAlignment="1">
      <alignment wrapText="1"/>
    </xf>
    <xf numFmtId="0" fontId="10" fillId="0" borderId="0" xfId="0" applyFont="1" applyAlignment="1">
      <alignment wrapText="1"/>
    </xf>
    <xf numFmtId="1" fontId="5" fillId="0" borderId="0" xfId="0" applyNumberFormat="1" applyFont="1" applyAlignment="1">
      <alignment wrapText="1"/>
    </xf>
    <xf numFmtId="0" fontId="7" fillId="0" borderId="0" xfId="0" applyFont="1" applyAlignment="1">
      <alignment wrapText="1"/>
    </xf>
    <xf numFmtId="0" fontId="5" fillId="0" borderId="0" xfId="2" applyAlignment="1">
      <alignment wrapText="1"/>
    </xf>
    <xf numFmtId="0" fontId="9" fillId="0" borderId="0" xfId="2" applyFont="1" applyAlignment="1">
      <alignment vertical="center" wrapText="1"/>
    </xf>
    <xf numFmtId="1" fontId="7" fillId="0" borderId="0" xfId="0" applyNumberFormat="1" applyFont="1" applyAlignment="1">
      <alignment wrapText="1"/>
    </xf>
    <xf numFmtId="0" fontId="13" fillId="0" borderId="0" xfId="0" applyFont="1" applyAlignment="1">
      <alignment vertical="top" wrapText="1"/>
    </xf>
    <xf numFmtId="0" fontId="10" fillId="0" borderId="0" xfId="4" applyFont="1" applyAlignment="1">
      <alignment wrapText="1"/>
    </xf>
    <xf numFmtId="0" fontId="5" fillId="0" borderId="0" xfId="4" applyFont="1" applyAlignment="1">
      <alignment wrapText="1"/>
    </xf>
    <xf numFmtId="1" fontId="5" fillId="0" borderId="0" xfId="4" applyNumberFormat="1" applyFont="1" applyAlignment="1">
      <alignment wrapText="1"/>
    </xf>
    <xf numFmtId="0" fontId="13" fillId="0" borderId="0" xfId="4" applyFont="1" applyAlignment="1">
      <alignment vertical="top" wrapText="1"/>
    </xf>
    <xf numFmtId="49" fontId="11" fillId="0" borderId="0" xfId="4" applyNumberFormat="1" applyFont="1" applyAlignment="1">
      <alignment horizontal="left" vertical="top" wrapText="1"/>
    </xf>
    <xf numFmtId="0" fontId="15" fillId="0" borderId="2" xfId="4" applyBorder="1" applyAlignment="1">
      <alignment horizontal="center" wrapText="1"/>
    </xf>
    <xf numFmtId="0" fontId="15" fillId="0" borderId="2" xfId="4" applyBorder="1" applyAlignment="1">
      <alignment wrapText="1"/>
    </xf>
    <xf numFmtId="0" fontId="15" fillId="0" borderId="0" xfId="4" applyAlignment="1">
      <alignment wrapText="1"/>
    </xf>
    <xf numFmtId="0" fontId="15" fillId="0" borderId="0" xfId="4"/>
    <xf numFmtId="0" fontId="15" fillId="0" borderId="2" xfId="4" applyBorder="1" applyAlignment="1">
      <alignment vertical="center" wrapText="1"/>
    </xf>
    <xf numFmtId="49" fontId="11" fillId="0" borderId="3" xfId="4" applyNumberFormat="1" applyFont="1" applyBorder="1" applyAlignment="1">
      <alignment horizontal="left" vertical="top" wrapText="1"/>
    </xf>
    <xf numFmtId="2" fontId="5" fillId="0" borderId="0" xfId="4" applyNumberFormat="1" applyFont="1" applyAlignment="1">
      <alignment wrapText="1"/>
    </xf>
    <xf numFmtId="49" fontId="11" fillId="0" borderId="0" xfId="4" applyNumberFormat="1" applyFont="1" applyFill="1" applyAlignment="1">
      <alignment horizontal="left" vertical="top" wrapText="1"/>
    </xf>
    <xf numFmtId="49" fontId="6" fillId="0" borderId="0" xfId="4" applyNumberFormat="1" applyFont="1" applyFill="1" applyAlignment="1">
      <alignment horizontal="center" vertical="center" wrapText="1"/>
    </xf>
    <xf numFmtId="49" fontId="9" fillId="0" borderId="4" xfId="4" applyNumberFormat="1" applyFont="1" applyFill="1" applyBorder="1" applyAlignment="1">
      <alignment horizontal="center" vertical="center" wrapText="1"/>
    </xf>
    <xf numFmtId="49" fontId="11" fillId="0" borderId="0" xfId="4" applyNumberFormat="1" applyFont="1" applyFill="1" applyAlignment="1">
      <alignment horizontal="center" vertical="center" wrapText="1"/>
    </xf>
    <xf numFmtId="165" fontId="12" fillId="0" borderId="4" xfId="4" applyNumberFormat="1" applyFont="1" applyFill="1" applyBorder="1" applyAlignment="1">
      <alignment horizontal="center" vertical="top" wrapText="1"/>
    </xf>
    <xf numFmtId="4" fontId="12" fillId="0" borderId="4" xfId="4" applyNumberFormat="1" applyFont="1" applyFill="1" applyBorder="1" applyAlignment="1">
      <alignment horizontal="center" vertical="top" wrapText="1"/>
    </xf>
    <xf numFmtId="166" fontId="12" fillId="0" borderId="4" xfId="4" applyNumberFormat="1" applyFont="1" applyFill="1" applyBorder="1" applyAlignment="1">
      <alignment horizontal="center" vertical="top" wrapText="1"/>
    </xf>
    <xf numFmtId="165" fontId="9" fillId="0" borderId="4" xfId="4" applyNumberFormat="1" applyFont="1" applyFill="1" applyBorder="1" applyAlignment="1">
      <alignment horizontal="center" vertical="top" wrapText="1"/>
    </xf>
    <xf numFmtId="4" fontId="9" fillId="0" borderId="4" xfId="4" applyNumberFormat="1" applyFont="1" applyFill="1" applyBorder="1" applyAlignment="1">
      <alignment horizontal="center" vertical="top" wrapText="1"/>
    </xf>
    <xf numFmtId="0" fontId="21" fillId="0" borderId="0" xfId="12"/>
    <xf numFmtId="0" fontId="22" fillId="0" borderId="0" xfId="12" applyFont="1" applyAlignment="1">
      <alignment vertical="center"/>
    </xf>
    <xf numFmtId="0" fontId="23" fillId="0" borderId="0" xfId="12" applyFont="1" applyAlignment="1">
      <alignment horizontal="center"/>
    </xf>
    <xf numFmtId="0" fontId="24" fillId="0" borderId="15" xfId="12" applyFont="1" applyBorder="1" applyAlignment="1">
      <alignment vertical="center" wrapText="1"/>
    </xf>
    <xf numFmtId="0" fontId="24" fillId="0" borderId="2" xfId="12" applyFont="1" applyBorder="1" applyAlignment="1">
      <alignment horizontal="left" vertical="center" wrapText="1"/>
    </xf>
    <xf numFmtId="0" fontId="25" fillId="0" borderId="2" xfId="12" applyFont="1" applyBorder="1" applyAlignment="1">
      <alignment horizontal="center" vertical="center" wrapText="1"/>
    </xf>
    <xf numFmtId="0" fontId="26" fillId="3" borderId="2" xfId="12" applyFont="1" applyFill="1" applyBorder="1" applyAlignment="1">
      <alignment vertical="center" wrapText="1"/>
    </xf>
    <xf numFmtId="0" fontId="25" fillId="0" borderId="2" xfId="12" applyFont="1" applyBorder="1" applyAlignment="1">
      <alignment horizontal="center" vertical="center"/>
    </xf>
    <xf numFmtId="0" fontId="25" fillId="4" borderId="2" xfId="12" applyFont="1" applyFill="1" applyBorder="1" applyAlignment="1">
      <alignment horizontal="center" vertical="center"/>
    </xf>
    <xf numFmtId="2" fontId="24" fillId="0" borderId="8" xfId="12" applyNumberFormat="1" applyFont="1" applyBorder="1" applyAlignment="1">
      <alignment horizontal="center" vertical="center"/>
    </xf>
    <xf numFmtId="2" fontId="21" fillId="0" borderId="2" xfId="12" applyNumberFormat="1" applyBorder="1" applyAlignment="1">
      <alignment horizontal="center" vertical="center"/>
    </xf>
    <xf numFmtId="2" fontId="21" fillId="5" borderId="2" xfId="12" applyNumberFormat="1" applyFill="1" applyBorder="1" applyAlignment="1">
      <alignment horizontal="center" vertical="center"/>
    </xf>
    <xf numFmtId="0" fontId="25" fillId="2" borderId="2" xfId="12" applyFont="1" applyFill="1" applyBorder="1" applyAlignment="1">
      <alignment horizontal="center" vertical="center" wrapText="1"/>
    </xf>
    <xf numFmtId="0" fontId="25" fillId="7" borderId="2" xfId="12" applyFont="1" applyFill="1" applyBorder="1" applyAlignment="1">
      <alignment vertical="center" wrapText="1"/>
    </xf>
    <xf numFmtId="0" fontId="25" fillId="8" borderId="2" xfId="12" applyFont="1" applyFill="1" applyBorder="1" applyAlignment="1">
      <alignment horizontal="center" vertical="center" wrapText="1"/>
    </xf>
    <xf numFmtId="0" fontId="25" fillId="6" borderId="2" xfId="12" applyFont="1" applyFill="1" applyBorder="1" applyAlignment="1">
      <alignment vertical="center" wrapText="1"/>
    </xf>
    <xf numFmtId="2" fontId="24" fillId="6" borderId="8" xfId="12" applyNumberFormat="1" applyFont="1" applyFill="1" applyBorder="1" applyAlignment="1">
      <alignment horizontal="center" vertical="center"/>
    </xf>
    <xf numFmtId="2" fontId="21" fillId="6" borderId="2" xfId="12" applyNumberFormat="1" applyFill="1" applyBorder="1" applyAlignment="1">
      <alignment horizontal="center" vertical="center"/>
    </xf>
    <xf numFmtId="0" fontId="24" fillId="0" borderId="0" xfId="12" applyFont="1" applyAlignment="1">
      <alignment vertical="center" wrapText="1"/>
    </xf>
    <xf numFmtId="0" fontId="24" fillId="0" borderId="2" xfId="12" applyFont="1" applyBorder="1" applyAlignment="1">
      <alignment vertical="center" wrapText="1"/>
    </xf>
    <xf numFmtId="0" fontId="24" fillId="2" borderId="2" xfId="12" applyFont="1" applyFill="1" applyBorder="1" applyAlignment="1">
      <alignment horizontal="center" vertical="center" wrapText="1"/>
    </xf>
    <xf numFmtId="0" fontId="24" fillId="0" borderId="2" xfId="12" applyFont="1" applyBorder="1" applyAlignment="1">
      <alignment horizontal="center" vertical="center"/>
    </xf>
    <xf numFmtId="0" fontId="24" fillId="0" borderId="5" xfId="12" applyFont="1" applyBorder="1" applyAlignment="1">
      <alignment horizontal="center" vertical="center"/>
    </xf>
    <xf numFmtId="0" fontId="21" fillId="0" borderId="2" xfId="12" applyBorder="1"/>
    <xf numFmtId="167" fontId="23" fillId="0" borderId="1" xfId="12" applyNumberFormat="1" applyFont="1" applyBorder="1" applyAlignment="1">
      <alignment horizontal="center"/>
    </xf>
    <xf numFmtId="167" fontId="23" fillId="0" borderId="0" xfId="12" applyNumberFormat="1" applyFont="1" applyAlignment="1">
      <alignment horizontal="center"/>
    </xf>
    <xf numFmtId="167" fontId="23" fillId="8" borderId="10" xfId="12" applyNumberFormat="1" applyFont="1" applyFill="1" applyBorder="1" applyAlignment="1">
      <alignment horizontal="center"/>
    </xf>
    <xf numFmtId="0" fontId="27" fillId="0" borderId="0" xfId="12" applyFont="1"/>
    <xf numFmtId="0" fontId="27" fillId="0" borderId="0" xfId="12" applyFont="1" applyAlignment="1">
      <alignment horizontal="center"/>
    </xf>
    <xf numFmtId="0" fontId="28" fillId="0" borderId="0" xfId="12" applyFont="1"/>
    <xf numFmtId="0" fontId="28" fillId="0" borderId="0" xfId="12" applyFont="1" applyAlignment="1">
      <alignment horizontal="left"/>
    </xf>
    <xf numFmtId="167" fontId="28" fillId="0" borderId="0" xfId="12" applyNumberFormat="1" applyFont="1"/>
    <xf numFmtId="167" fontId="28" fillId="0" borderId="0" xfId="13" applyNumberFormat="1" applyFont="1"/>
    <xf numFmtId="0" fontId="9" fillId="0" borderId="0" xfId="4" applyFont="1" applyFill="1" applyAlignment="1">
      <alignment vertical="top" wrapText="1"/>
    </xf>
    <xf numFmtId="0" fontId="11" fillId="0" borderId="0" xfId="4" applyFont="1" applyFill="1" applyAlignment="1">
      <alignment vertical="top" wrapText="1"/>
    </xf>
    <xf numFmtId="0" fontId="9" fillId="0" borderId="0" xfId="0" applyFont="1" applyFill="1" applyAlignment="1">
      <alignment vertical="top" wrapText="1"/>
    </xf>
    <xf numFmtId="0" fontId="11" fillId="0" borderId="0" xfId="0" applyFont="1" applyFill="1" applyAlignment="1">
      <alignment vertical="top" wrapText="1"/>
    </xf>
    <xf numFmtId="49" fontId="11" fillId="0" borderId="0" xfId="0" applyNumberFormat="1" applyFont="1" applyFill="1" applyBorder="1" applyAlignment="1">
      <alignment horizontal="left" vertical="top" wrapText="1"/>
    </xf>
    <xf numFmtId="0" fontId="3" fillId="0" borderId="0" xfId="15"/>
    <xf numFmtId="0" fontId="31" fillId="0" borderId="12" xfId="15" applyFont="1" applyBorder="1" applyAlignment="1">
      <alignment horizontal="center" vertical="center" wrapText="1"/>
    </xf>
    <xf numFmtId="0" fontId="31" fillId="0" borderId="11" xfId="15" applyFont="1" applyBorder="1" applyAlignment="1">
      <alignment horizontal="center" vertical="center" wrapText="1"/>
    </xf>
    <xf numFmtId="0" fontId="31" fillId="0" borderId="13" xfId="15" applyFont="1" applyBorder="1" applyAlignment="1">
      <alignment horizontal="center" vertical="center" wrapText="1"/>
    </xf>
    <xf numFmtId="3" fontId="33" fillId="10" borderId="13" xfId="15" applyNumberFormat="1" applyFont="1" applyFill="1" applyBorder="1" applyAlignment="1">
      <alignment horizontal="center" vertical="center" wrapText="1"/>
    </xf>
    <xf numFmtId="0" fontId="15" fillId="0" borderId="0" xfId="0" applyFont="1" applyAlignment="1">
      <alignment wrapText="1"/>
    </xf>
    <xf numFmtId="0" fontId="24" fillId="0" borderId="16" xfId="12" applyFont="1" applyBorder="1" applyAlignment="1">
      <alignment horizontal="center" vertical="center" wrapText="1"/>
    </xf>
    <xf numFmtId="0" fontId="24" fillId="0" borderId="8" xfId="12" applyFont="1" applyBorder="1" applyAlignment="1">
      <alignment horizontal="center" vertical="center" wrapText="1"/>
    </xf>
    <xf numFmtId="3" fontId="3" fillId="0" borderId="0" xfId="15" applyNumberFormat="1"/>
    <xf numFmtId="0" fontId="35" fillId="0" borderId="0" xfId="4" applyFont="1" applyAlignment="1">
      <alignment wrapText="1"/>
    </xf>
    <xf numFmtId="0" fontId="25" fillId="0" borderId="8" xfId="12" applyFont="1" applyBorder="1" applyAlignment="1">
      <alignment horizontal="center" vertical="center"/>
    </xf>
    <xf numFmtId="2" fontId="21" fillId="0" borderId="0" xfId="12" applyNumberFormat="1"/>
    <xf numFmtId="0" fontId="33" fillId="0" borderId="20" xfId="0" applyFont="1" applyBorder="1" applyAlignment="1">
      <alignment horizontal="center" vertical="center" wrapText="1"/>
    </xf>
    <xf numFmtId="0" fontId="37" fillId="0" borderId="13" xfId="0" applyFont="1" applyBorder="1" applyAlignment="1">
      <alignment horizontal="center" vertical="center" wrapText="1"/>
    </xf>
    <xf numFmtId="0" fontId="31" fillId="0" borderId="11" xfId="0" applyFont="1" applyBorder="1" applyAlignment="1">
      <alignment horizontal="justify" vertical="center" wrapText="1"/>
    </xf>
    <xf numFmtId="0" fontId="31" fillId="0" borderId="13" xfId="0" applyFont="1" applyBorder="1" applyAlignment="1">
      <alignment horizontal="right" vertical="center" wrapText="1"/>
    </xf>
    <xf numFmtId="0" fontId="32" fillId="0" borderId="13" xfId="0" applyFont="1" applyBorder="1" applyAlignment="1">
      <alignment horizontal="right" vertical="center" wrapText="1"/>
    </xf>
    <xf numFmtId="0" fontId="33" fillId="0" borderId="11" xfId="0" applyFont="1" applyBorder="1" applyAlignment="1">
      <alignment horizontal="justify" vertical="center" wrapText="1"/>
    </xf>
    <xf numFmtId="9" fontId="33" fillId="0" borderId="13" xfId="0" applyNumberFormat="1" applyFont="1" applyBorder="1" applyAlignment="1">
      <alignment horizontal="right" vertical="center" wrapText="1"/>
    </xf>
    <xf numFmtId="4" fontId="33" fillId="0" borderId="13" xfId="0" applyNumberFormat="1" applyFont="1" applyBorder="1" applyAlignment="1">
      <alignment horizontal="right" vertical="center" wrapText="1" indent="3"/>
    </xf>
    <xf numFmtId="3" fontId="31" fillId="0" borderId="13" xfId="0" applyNumberFormat="1" applyFont="1" applyBorder="1" applyAlignment="1">
      <alignment horizontal="right" vertical="center" wrapText="1"/>
    </xf>
    <xf numFmtId="3" fontId="32" fillId="0" borderId="13" xfId="0" applyNumberFormat="1" applyFont="1" applyBorder="1" applyAlignment="1">
      <alignment horizontal="right" vertical="center" wrapText="1"/>
    </xf>
    <xf numFmtId="0" fontId="32" fillId="0" borderId="11" xfId="0" applyFont="1" applyBorder="1" applyAlignment="1">
      <alignment horizontal="right" vertical="center" wrapText="1"/>
    </xf>
    <xf numFmtId="0" fontId="31" fillId="0" borderId="10" xfId="15" applyFont="1" applyBorder="1" applyAlignment="1">
      <alignment horizontal="center" vertical="center" wrapText="1"/>
    </xf>
    <xf numFmtId="0" fontId="31" fillId="0" borderId="0" xfId="15" applyFont="1" applyBorder="1" applyAlignment="1">
      <alignment horizontal="center" vertical="center" wrapText="1"/>
    </xf>
    <xf numFmtId="3" fontId="31" fillId="0" borderId="10" xfId="15" applyNumberFormat="1" applyFont="1" applyBorder="1" applyAlignment="1">
      <alignment horizontal="center" vertical="center" wrapText="1"/>
    </xf>
    <xf numFmtId="3" fontId="31" fillId="9" borderId="10" xfId="15" applyNumberFormat="1" applyFont="1" applyFill="1" applyBorder="1" applyAlignment="1">
      <alignment horizontal="center" vertical="center" wrapText="1"/>
    </xf>
    <xf numFmtId="3" fontId="19" fillId="0" borderId="0" xfId="16" applyNumberFormat="1"/>
    <xf numFmtId="3" fontId="40" fillId="0" borderId="2" xfId="16" applyNumberFormat="1" applyFont="1" applyBorder="1" applyAlignment="1">
      <alignment horizontal="center" vertical="center" wrapText="1"/>
    </xf>
    <xf numFmtId="3" fontId="40" fillId="0" borderId="2" xfId="16" applyNumberFormat="1" applyFont="1" applyBorder="1" applyAlignment="1">
      <alignment horizontal="left" vertical="center" wrapText="1"/>
    </xf>
    <xf numFmtId="3" fontId="41" fillId="0" borderId="2" xfId="16" applyNumberFormat="1" applyFont="1" applyBorder="1" applyAlignment="1">
      <alignment horizontal="left" vertical="center" wrapText="1"/>
    </xf>
    <xf numFmtId="3" fontId="19" fillId="0" borderId="2" xfId="16" applyNumberFormat="1" applyBorder="1"/>
    <xf numFmtId="3" fontId="42" fillId="11" borderId="2" xfId="16" applyNumberFormat="1" applyFont="1" applyFill="1" applyBorder="1" applyAlignment="1">
      <alignment horizontal="center" vertical="center" wrapText="1"/>
    </xf>
    <xf numFmtId="3" fontId="42" fillId="11" borderId="2" xfId="16" applyNumberFormat="1" applyFont="1" applyFill="1" applyBorder="1" applyAlignment="1">
      <alignment horizontal="left" vertical="center" wrapText="1"/>
    </xf>
    <xf numFmtId="0" fontId="43" fillId="0" borderId="2" xfId="16" applyFont="1" applyBorder="1" applyAlignment="1">
      <alignment horizontal="left" vertical="center" wrapText="1"/>
    </xf>
    <xf numFmtId="3" fontId="44" fillId="0" borderId="2" xfId="16" applyNumberFormat="1" applyFont="1" applyBorder="1" applyAlignment="1">
      <alignment horizontal="center" vertical="center" wrapText="1"/>
    </xf>
    <xf numFmtId="3" fontId="44" fillId="11" borderId="2" xfId="16" applyNumberFormat="1" applyFont="1" applyFill="1" applyBorder="1" applyAlignment="1">
      <alignment horizontal="center" vertical="center" wrapText="1"/>
    </xf>
    <xf numFmtId="3" fontId="43" fillId="0" borderId="2" xfId="16" applyNumberFormat="1" applyFont="1" applyBorder="1" applyAlignment="1">
      <alignment horizontal="left" vertical="center" wrapText="1"/>
    </xf>
    <xf numFmtId="169" fontId="44" fillId="0" borderId="2" xfId="16" applyNumberFormat="1" applyFont="1" applyBorder="1" applyAlignment="1">
      <alignment horizontal="center" vertical="center" wrapText="1"/>
    </xf>
    <xf numFmtId="3" fontId="45" fillId="0" borderId="2" xfId="16" applyNumberFormat="1" applyFont="1" applyBorder="1" applyAlignment="1">
      <alignment horizontal="right" vertical="center" wrapText="1"/>
    </xf>
    <xf numFmtId="3" fontId="45" fillId="12" borderId="2" xfId="16" applyNumberFormat="1" applyFont="1" applyFill="1" applyBorder="1" applyAlignment="1">
      <alignment horizontal="right" vertical="center" wrapText="1"/>
    </xf>
    <xf numFmtId="3" fontId="42" fillId="5" borderId="2" xfId="16" applyNumberFormat="1" applyFont="1" applyFill="1" applyBorder="1" applyAlignment="1">
      <alignment horizontal="center" vertical="center" wrapText="1"/>
    </xf>
    <xf numFmtId="3" fontId="42" fillId="5" borderId="2" xfId="16" applyNumberFormat="1" applyFont="1" applyFill="1" applyBorder="1" applyAlignment="1">
      <alignment horizontal="left" vertical="center" wrapText="1"/>
    </xf>
    <xf numFmtId="3" fontId="46" fillId="5" borderId="2" xfId="16" applyNumberFormat="1" applyFont="1" applyFill="1" applyBorder="1" applyAlignment="1">
      <alignment horizontal="left" vertical="center" wrapText="1"/>
    </xf>
    <xf numFmtId="3" fontId="44" fillId="0" borderId="2" xfId="16" applyNumberFormat="1" applyFont="1" applyBorder="1" applyAlignment="1">
      <alignment horizontal="left" vertical="center" wrapText="1"/>
    </xf>
    <xf numFmtId="3" fontId="42" fillId="13" borderId="2" xfId="16" applyNumberFormat="1" applyFont="1" applyFill="1" applyBorder="1" applyAlignment="1">
      <alignment horizontal="center" vertical="center" wrapText="1"/>
    </xf>
    <xf numFmtId="3" fontId="42" fillId="13" borderId="2" xfId="16" applyNumberFormat="1" applyFont="1" applyFill="1" applyBorder="1" applyAlignment="1">
      <alignment horizontal="left" vertical="center" wrapText="1"/>
    </xf>
    <xf numFmtId="3" fontId="44" fillId="13" borderId="2" xfId="16" applyNumberFormat="1" applyFont="1" applyFill="1" applyBorder="1" applyAlignment="1">
      <alignment horizontal="center" vertical="center" wrapText="1"/>
    </xf>
    <xf numFmtId="3" fontId="43" fillId="13" borderId="2" xfId="16" applyNumberFormat="1" applyFont="1" applyFill="1" applyBorder="1" applyAlignment="1">
      <alignment horizontal="left" vertical="center" wrapText="1"/>
    </xf>
    <xf numFmtId="3" fontId="42" fillId="0" borderId="2" xfId="16" applyNumberFormat="1" applyFont="1" applyBorder="1" applyAlignment="1">
      <alignment horizontal="right" vertical="center" wrapText="1"/>
    </xf>
    <xf numFmtId="3" fontId="42" fillId="0" borderId="2" xfId="16" applyNumberFormat="1" applyFont="1" applyBorder="1" applyAlignment="1">
      <alignment horizontal="center" vertical="center" wrapText="1"/>
    </xf>
    <xf numFmtId="3" fontId="45" fillId="0" borderId="2" xfId="16" applyNumberFormat="1" applyFont="1" applyBorder="1" applyAlignment="1">
      <alignment horizontal="center" vertical="center" wrapText="1"/>
    </xf>
    <xf numFmtId="3" fontId="19" fillId="10" borderId="2" xfId="16" applyNumberFormat="1" applyFill="1" applyBorder="1"/>
    <xf numFmtId="3" fontId="27" fillId="0" borderId="0" xfId="16" applyNumberFormat="1" applyFont="1"/>
    <xf numFmtId="0" fontId="19" fillId="0" borderId="0" xfId="16"/>
    <xf numFmtId="0" fontId="19" fillId="0" borderId="0" xfId="16" applyAlignment="1">
      <alignment horizontal="center"/>
    </xf>
    <xf numFmtId="0" fontId="38" fillId="5" borderId="2" xfId="16" applyFont="1" applyFill="1" applyBorder="1" applyAlignment="1">
      <alignment horizontal="center" wrapText="1"/>
    </xf>
    <xf numFmtId="0" fontId="38" fillId="5" borderId="18" xfId="16" applyFont="1" applyFill="1" applyBorder="1" applyAlignment="1">
      <alignment wrapText="1"/>
    </xf>
    <xf numFmtId="0" fontId="38" fillId="5" borderId="2" xfId="16" applyFont="1" applyFill="1" applyBorder="1" applyAlignment="1">
      <alignment wrapText="1"/>
    </xf>
    <xf numFmtId="0" fontId="38" fillId="5" borderId="7" xfId="16" applyFont="1" applyFill="1" applyBorder="1" applyAlignment="1">
      <alignment wrapText="1"/>
    </xf>
    <xf numFmtId="0" fontId="47" fillId="0" borderId="2" xfId="16" applyFont="1" applyBorder="1" applyAlignment="1">
      <alignment horizontal="center" vertical="center" wrapText="1"/>
    </xf>
    <xf numFmtId="3" fontId="19" fillId="0" borderId="3" xfId="16" applyNumberFormat="1" applyBorder="1" applyAlignment="1">
      <alignment horizontal="center" vertical="center"/>
    </xf>
    <xf numFmtId="3" fontId="2" fillId="0" borderId="2" xfId="16" applyNumberFormat="1" applyFont="1" applyBorder="1" applyAlignment="1">
      <alignment horizontal="center" wrapText="1"/>
    </xf>
    <xf numFmtId="3" fontId="2" fillId="0" borderId="2" xfId="16" applyNumberFormat="1" applyFont="1" applyBorder="1" applyAlignment="1">
      <alignment horizontal="center" vertical="center" wrapText="1"/>
    </xf>
    <xf numFmtId="0" fontId="19" fillId="0" borderId="2" xfId="16" applyBorder="1" applyAlignment="1">
      <alignment wrapText="1"/>
    </xf>
    <xf numFmtId="3" fontId="19" fillId="0" borderId="2" xfId="16" applyNumberFormat="1" applyBorder="1" applyAlignment="1">
      <alignment horizontal="center" vertical="center"/>
    </xf>
    <xf numFmtId="3" fontId="2" fillId="0" borderId="3" xfId="16" applyNumberFormat="1" applyFont="1" applyBorder="1" applyAlignment="1">
      <alignment horizontal="center" wrapText="1"/>
    </xf>
    <xf numFmtId="0" fontId="19" fillId="0" borderId="2" xfId="16" applyBorder="1"/>
    <xf numFmtId="0" fontId="51" fillId="0" borderId="2" xfId="16" applyFont="1" applyBorder="1" applyAlignment="1">
      <alignment horizontal="right" vertical="center" wrapText="1"/>
    </xf>
    <xf numFmtId="0" fontId="19" fillId="0" borderId="2" xfId="16" applyBorder="1" applyAlignment="1">
      <alignment horizontal="center"/>
    </xf>
    <xf numFmtId="3" fontId="38" fillId="14" borderId="26" xfId="16" applyNumberFormat="1" applyFont="1" applyFill="1" applyBorder="1" applyAlignment="1">
      <alignment horizontal="center" vertical="center"/>
    </xf>
    <xf numFmtId="3" fontId="38" fillId="14" borderId="2" xfId="16" applyNumberFormat="1" applyFont="1" applyFill="1" applyBorder="1" applyAlignment="1">
      <alignment horizontal="center" vertical="center"/>
    </xf>
    <xf numFmtId="3" fontId="19" fillId="10" borderId="0" xfId="16" applyNumberFormat="1" applyFill="1"/>
    <xf numFmtId="0" fontId="53" fillId="0" borderId="0" xfId="16" applyFont="1"/>
    <xf numFmtId="0" fontId="38" fillId="5" borderId="2" xfId="16" applyFont="1" applyFill="1" applyBorder="1" applyAlignment="1">
      <alignment horizontal="center" vertical="center" wrapText="1"/>
    </xf>
    <xf numFmtId="170" fontId="19" fillId="0" borderId="2" xfId="16" applyNumberFormat="1" applyBorder="1" applyAlignment="1">
      <alignment horizontal="center" vertical="center"/>
    </xf>
    <xf numFmtId="3" fontId="19" fillId="0" borderId="2" xfId="16" applyNumberFormat="1" applyBorder="1" applyAlignment="1">
      <alignment horizontal="center" vertical="top"/>
    </xf>
    <xf numFmtId="0" fontId="39" fillId="0" borderId="0" xfId="16" applyFont="1" applyAlignment="1">
      <alignment horizontal="center"/>
    </xf>
    <xf numFmtId="0" fontId="54" fillId="0" borderId="0" xfId="16" applyFont="1"/>
    <xf numFmtId="0" fontId="55" fillId="0" borderId="2" xfId="16" applyFont="1" applyBorder="1" applyAlignment="1">
      <alignment horizontal="center" vertical="center" wrapText="1"/>
    </xf>
    <xf numFmtId="0" fontId="55" fillId="0" borderId="2" xfId="16" applyFont="1" applyBorder="1" applyAlignment="1">
      <alignment horizontal="left" vertical="center" wrapText="1"/>
    </xf>
    <xf numFmtId="0" fontId="56" fillId="0" borderId="2" xfId="16" applyFont="1" applyBorder="1" applyAlignment="1">
      <alignment horizontal="center" vertical="center" wrapText="1"/>
    </xf>
    <xf numFmtId="0" fontId="57" fillId="0" borderId="2" xfId="16" applyFont="1" applyBorder="1" applyAlignment="1">
      <alignment horizontal="center" vertical="center"/>
    </xf>
    <xf numFmtId="0" fontId="58" fillId="0" borderId="2" xfId="16" applyFont="1" applyBorder="1" applyAlignment="1">
      <alignment horizontal="center" vertical="center" wrapText="1"/>
    </xf>
    <xf numFmtId="0" fontId="58" fillId="0" borderId="2" xfId="16" applyFont="1" applyBorder="1" applyAlignment="1">
      <alignment horizontal="left" vertical="center" wrapText="1"/>
    </xf>
    <xf numFmtId="4" fontId="59" fillId="0" borderId="2" xfId="16" applyNumberFormat="1" applyFont="1" applyBorder="1" applyAlignment="1">
      <alignment horizontal="center" vertical="center" wrapText="1"/>
    </xf>
    <xf numFmtId="0" fontId="54" fillId="0" borderId="2" xfId="16" applyFont="1" applyBorder="1"/>
    <xf numFmtId="4" fontId="58" fillId="0" borderId="2" xfId="16" applyNumberFormat="1" applyFont="1" applyBorder="1" applyAlignment="1">
      <alignment horizontal="center" vertical="center" wrapText="1"/>
    </xf>
    <xf numFmtId="3" fontId="54" fillId="0" borderId="2" xfId="16" applyNumberFormat="1" applyFont="1" applyBorder="1"/>
    <xf numFmtId="4" fontId="54" fillId="0" borderId="2" xfId="16" applyNumberFormat="1" applyFont="1" applyBorder="1"/>
    <xf numFmtId="0" fontId="59" fillId="0" borderId="2" xfId="16" applyFont="1" applyBorder="1" applyAlignment="1">
      <alignment horizontal="right" vertical="center" wrapText="1"/>
    </xf>
    <xf numFmtId="0" fontId="59" fillId="0" borderId="2" xfId="16" applyFont="1" applyBorder="1" applyAlignment="1">
      <alignment horizontal="center" vertical="center" wrapText="1"/>
    </xf>
    <xf numFmtId="0" fontId="60" fillId="0" borderId="2" xfId="16" applyFont="1" applyBorder="1" applyAlignment="1">
      <alignment horizontal="center" vertical="center" wrapText="1"/>
    </xf>
    <xf numFmtId="3" fontId="54" fillId="10" borderId="2" xfId="16" applyNumberFormat="1" applyFont="1" applyFill="1" applyBorder="1"/>
    <xf numFmtId="4" fontId="54" fillId="0" borderId="0" xfId="16" applyNumberFormat="1" applyFont="1"/>
    <xf numFmtId="0" fontId="19" fillId="0" borderId="0" xfId="16" applyAlignment="1">
      <alignment horizontal="center" vertical="center"/>
    </xf>
    <xf numFmtId="0" fontId="61" fillId="5" borderId="2" xfId="16" applyFont="1" applyFill="1" applyBorder="1" applyAlignment="1">
      <alignment horizontal="center" vertical="center" wrapText="1"/>
    </xf>
    <xf numFmtId="0" fontId="61" fillId="5" borderId="18" xfId="16" applyFont="1" applyFill="1" applyBorder="1" applyAlignment="1">
      <alignment horizontal="center" vertical="center" wrapText="1"/>
    </xf>
    <xf numFmtId="0" fontId="19" fillId="0" borderId="2" xfId="16" applyBorder="1" applyAlignment="1">
      <alignment horizontal="center" vertical="center"/>
    </xf>
    <xf numFmtId="3" fontId="62" fillId="0" borderId="2" xfId="16" applyNumberFormat="1" applyFont="1" applyBorder="1" applyAlignment="1">
      <alignment horizontal="center" vertical="center" wrapText="1"/>
    </xf>
    <xf numFmtId="0" fontId="19" fillId="0" borderId="2" xfId="16" applyBorder="1" applyAlignment="1">
      <alignment horizontal="center" vertical="center" wrapText="1"/>
    </xf>
    <xf numFmtId="3" fontId="62" fillId="0" borderId="3" xfId="16" applyNumberFormat="1" applyFont="1" applyBorder="1" applyAlignment="1">
      <alignment horizontal="center" vertical="center" wrapText="1"/>
    </xf>
    <xf numFmtId="3" fontId="19" fillId="0" borderId="0" xfId="16" applyNumberFormat="1" applyAlignment="1">
      <alignment horizontal="center" vertical="center"/>
    </xf>
    <xf numFmtId="3" fontId="61" fillId="14" borderId="26" xfId="16" applyNumberFormat="1" applyFont="1" applyFill="1" applyBorder="1" applyAlignment="1">
      <alignment horizontal="center" vertical="center"/>
    </xf>
    <xf numFmtId="3" fontId="61" fillId="14" borderId="2" xfId="16" applyNumberFormat="1" applyFont="1" applyFill="1" applyBorder="1" applyAlignment="1">
      <alignment horizontal="center" vertical="center"/>
    </xf>
    <xf numFmtId="3" fontId="19" fillId="10" borderId="2" xfId="16" applyNumberFormat="1" applyFill="1" applyBorder="1" applyAlignment="1">
      <alignment horizontal="center" vertical="center"/>
    </xf>
    <xf numFmtId="3" fontId="53" fillId="0" borderId="0" xfId="16" applyNumberFormat="1" applyFont="1" applyAlignment="1">
      <alignment horizontal="center" vertical="center"/>
    </xf>
    <xf numFmtId="0" fontId="21" fillId="0" borderId="0" xfId="16" applyFont="1"/>
    <xf numFmtId="0" fontId="21" fillId="0" borderId="0" xfId="16" applyFont="1" applyAlignment="1">
      <alignment vertical="center"/>
    </xf>
    <xf numFmtId="0" fontId="63" fillId="0" borderId="2" xfId="16" applyFont="1" applyBorder="1" applyAlignment="1">
      <alignment vertical="center" wrapText="1"/>
    </xf>
    <xf numFmtId="0" fontId="23" fillId="0" borderId="2" xfId="16" applyFont="1" applyBorder="1"/>
    <xf numFmtId="0" fontId="64" fillId="0" borderId="2" xfId="16" applyFont="1" applyBorder="1" applyAlignment="1">
      <alignment vertical="center" wrapText="1"/>
    </xf>
    <xf numFmtId="0" fontId="64" fillId="0" borderId="2" xfId="16" applyFont="1" applyBorder="1" applyAlignment="1">
      <alignment horizontal="center" vertical="center" wrapText="1"/>
    </xf>
    <xf numFmtId="4" fontId="64" fillId="0" borderId="2" xfId="16" applyNumberFormat="1" applyFont="1" applyBorder="1" applyAlignment="1">
      <alignment vertical="center" wrapText="1"/>
    </xf>
    <xf numFmtId="4" fontId="65" fillId="0" borderId="2" xfId="16" applyNumberFormat="1" applyFont="1" applyBorder="1" applyAlignment="1">
      <alignment vertical="center" wrapText="1"/>
    </xf>
    <xf numFmtId="3" fontId="21" fillId="0" borderId="2" xfId="16" applyNumberFormat="1" applyFont="1" applyBorder="1"/>
    <xf numFmtId="3" fontId="21" fillId="0" borderId="0" xfId="16" applyNumberFormat="1" applyFont="1"/>
    <xf numFmtId="0" fontId="66" fillId="0" borderId="2" xfId="16" applyFont="1" applyBorder="1" applyAlignment="1">
      <alignment horizontal="right" vertical="center" wrapText="1"/>
    </xf>
    <xf numFmtId="4" fontId="67" fillId="0" borderId="2" xfId="16" applyNumberFormat="1" applyFont="1" applyBorder="1" applyAlignment="1">
      <alignment vertical="center" wrapText="1"/>
    </xf>
    <xf numFmtId="0" fontId="21" fillId="0" borderId="2" xfId="16" applyFont="1" applyBorder="1" applyAlignment="1">
      <alignment horizontal="center" vertical="center"/>
    </xf>
    <xf numFmtId="0" fontId="21" fillId="0" borderId="2" xfId="16" applyFont="1" applyBorder="1"/>
    <xf numFmtId="4" fontId="67" fillId="0" borderId="2" xfId="16" applyNumberFormat="1" applyFont="1" applyBorder="1"/>
    <xf numFmtId="4" fontId="19" fillId="0" borderId="2" xfId="16" applyNumberFormat="1" applyBorder="1" applyAlignment="1">
      <alignment horizontal="right"/>
    </xf>
    <xf numFmtId="3" fontId="21" fillId="10" borderId="2" xfId="16" applyNumberFormat="1" applyFont="1" applyFill="1" applyBorder="1"/>
    <xf numFmtId="4" fontId="38" fillId="0" borderId="0" xfId="16" applyNumberFormat="1" applyFont="1"/>
    <xf numFmtId="0" fontId="68" fillId="0" borderId="0" xfId="16" applyFont="1"/>
    <xf numFmtId="0" fontId="69" fillId="0" borderId="2" xfId="16" applyFont="1" applyBorder="1" applyAlignment="1">
      <alignment vertical="center" wrapText="1"/>
    </xf>
    <xf numFmtId="0" fontId="70" fillId="0" borderId="2" xfId="16" applyFont="1" applyBorder="1" applyAlignment="1">
      <alignment horizontal="center" vertical="center"/>
    </xf>
    <xf numFmtId="0" fontId="68" fillId="0" borderId="2" xfId="16" applyFont="1" applyBorder="1" applyAlignment="1">
      <alignment vertical="center" wrapText="1"/>
    </xf>
    <xf numFmtId="0" fontId="69" fillId="0" borderId="2" xfId="16" applyFont="1" applyBorder="1" applyAlignment="1">
      <alignment horizontal="center" vertical="center" wrapText="1"/>
    </xf>
    <xf numFmtId="0" fontId="68" fillId="0" borderId="2" xfId="16" applyFont="1" applyBorder="1" applyAlignment="1">
      <alignment horizontal="center" vertical="center" wrapText="1"/>
    </xf>
    <xf numFmtId="4" fontId="68" fillId="0" borderId="2" xfId="16" applyNumberFormat="1" applyFont="1" applyBorder="1" applyAlignment="1">
      <alignment vertical="center" wrapText="1"/>
    </xf>
    <xf numFmtId="3" fontId="68" fillId="0" borderId="2" xfId="16" applyNumberFormat="1" applyFont="1" applyBorder="1"/>
    <xf numFmtId="3" fontId="68" fillId="0" borderId="0" xfId="16" applyNumberFormat="1" applyFont="1"/>
    <xf numFmtId="0" fontId="71" fillId="0" borderId="2" xfId="16" applyFont="1" applyBorder="1" applyAlignment="1">
      <alignment horizontal="right" vertical="center" wrapText="1"/>
    </xf>
    <xf numFmtId="4" fontId="68" fillId="0" borderId="2" xfId="16" applyNumberFormat="1" applyFont="1" applyBorder="1" applyAlignment="1">
      <alignment horizontal="center" vertical="center" wrapText="1"/>
    </xf>
    <xf numFmtId="0" fontId="68" fillId="0" borderId="2" xfId="16" applyFont="1" applyBorder="1" applyAlignment="1">
      <alignment wrapText="1"/>
    </xf>
    <xf numFmtId="0" fontId="68" fillId="0" borderId="2" xfId="16" applyFont="1" applyBorder="1" applyAlignment="1">
      <alignment horizontal="center" vertical="center"/>
    </xf>
    <xf numFmtId="2" fontId="68" fillId="0" borderId="2" xfId="16" applyNumberFormat="1" applyFont="1" applyBorder="1"/>
    <xf numFmtId="4" fontId="68" fillId="0" borderId="2" xfId="16" applyNumberFormat="1" applyFont="1" applyBorder="1" applyAlignment="1">
      <alignment horizontal="center" vertical="center"/>
    </xf>
    <xf numFmtId="0" fontId="68" fillId="0" borderId="2" xfId="16" applyFont="1" applyBorder="1"/>
    <xf numFmtId="4" fontId="69" fillId="0" borderId="0" xfId="16" applyNumberFormat="1" applyFont="1"/>
    <xf numFmtId="3" fontId="68" fillId="10" borderId="2" xfId="16" applyNumberFormat="1" applyFont="1" applyFill="1" applyBorder="1"/>
    <xf numFmtId="4" fontId="68" fillId="0" borderId="0" xfId="16" applyNumberFormat="1" applyFont="1"/>
    <xf numFmtId="3" fontId="72" fillId="0" borderId="0" xfId="16" applyNumberFormat="1" applyFont="1"/>
    <xf numFmtId="0" fontId="38" fillId="5" borderId="2" xfId="16" applyFont="1" applyFill="1" applyBorder="1" applyAlignment="1">
      <alignment vertical="center" wrapText="1"/>
    </xf>
    <xf numFmtId="0" fontId="27" fillId="0" borderId="2" xfId="16" applyFont="1" applyBorder="1" applyAlignment="1">
      <alignment horizontal="center" vertical="center"/>
    </xf>
    <xf numFmtId="0" fontId="47" fillId="0" borderId="0" xfId="16" applyFont="1" applyAlignment="1">
      <alignment horizontal="left" vertical="center"/>
    </xf>
    <xf numFmtId="0" fontId="52" fillId="0" borderId="2" xfId="16" applyFont="1" applyBorder="1" applyAlignment="1">
      <alignment horizontal="center" vertical="center" wrapText="1"/>
    </xf>
    <xf numFmtId="0" fontId="27" fillId="0" borderId="2" xfId="16" applyFont="1" applyBorder="1" applyAlignment="1">
      <alignment horizontal="center" vertical="center" wrapText="1"/>
    </xf>
    <xf numFmtId="3" fontId="75" fillId="0" borderId="2" xfId="17" applyNumberFormat="1" applyFont="1" applyBorder="1" applyAlignment="1">
      <alignment horizontal="left" vertical="center"/>
    </xf>
    <xf numFmtId="3" fontId="75" fillId="0" borderId="2" xfId="17" applyNumberFormat="1" applyFont="1" applyBorder="1" applyAlignment="1">
      <alignment horizontal="center" vertical="center"/>
    </xf>
    <xf numFmtId="3" fontId="76" fillId="0" borderId="2" xfId="17" applyNumberFormat="1" applyFont="1" applyBorder="1" applyAlignment="1">
      <alignment horizontal="center" vertical="center"/>
    </xf>
    <xf numFmtId="3" fontId="27" fillId="0" borderId="2" xfId="16" applyNumberFormat="1" applyFont="1" applyBorder="1"/>
    <xf numFmtId="0" fontId="75" fillId="0" borderId="2" xfId="17" applyFont="1" applyBorder="1" applyAlignment="1">
      <alignment horizontal="left" vertical="center"/>
    </xf>
    <xf numFmtId="3" fontId="61" fillId="0" borderId="0" xfId="16" applyNumberFormat="1" applyFont="1"/>
    <xf numFmtId="0" fontId="19" fillId="0" borderId="0" xfId="16" applyAlignment="1">
      <alignment wrapText="1"/>
    </xf>
    <xf numFmtId="3" fontId="53" fillId="0" borderId="0" xfId="16" applyNumberFormat="1" applyFont="1"/>
    <xf numFmtId="0" fontId="27" fillId="5" borderId="2" xfId="16" applyFont="1" applyFill="1" applyBorder="1" applyAlignment="1">
      <alignment horizontal="center" vertical="center" wrapText="1"/>
    </xf>
    <xf numFmtId="0" fontId="38" fillId="0" borderId="10" xfId="16" applyFont="1" applyBorder="1" applyAlignment="1">
      <alignment vertical="center" wrapText="1"/>
    </xf>
    <xf numFmtId="0" fontId="38" fillId="0" borderId="12" xfId="16" applyFont="1" applyBorder="1" applyAlignment="1">
      <alignment vertical="center" wrapText="1"/>
    </xf>
    <xf numFmtId="0" fontId="38" fillId="0" borderId="27" xfId="16" applyFont="1" applyBorder="1" applyAlignment="1">
      <alignment vertical="center" wrapText="1"/>
    </xf>
    <xf numFmtId="0" fontId="38" fillId="0" borderId="2" xfId="16" applyFont="1" applyBorder="1" applyAlignment="1">
      <alignment horizontal="center" vertical="center" wrapText="1"/>
    </xf>
    <xf numFmtId="0" fontId="2" fillId="0" borderId="19" xfId="16" applyFont="1" applyBorder="1" applyAlignment="1">
      <alignment horizontal="left" vertical="center" wrapText="1" indent="4"/>
    </xf>
    <xf numFmtId="0" fontId="2" fillId="0" borderId="19" xfId="16" applyFont="1" applyBorder="1" applyAlignment="1">
      <alignment vertical="center" wrapText="1"/>
    </xf>
    <xf numFmtId="3" fontId="2" fillId="0" borderId="14" xfId="16" applyNumberFormat="1" applyFont="1" applyBorder="1" applyAlignment="1">
      <alignment horizontal="center" vertical="center" wrapText="1"/>
    </xf>
    <xf numFmtId="0" fontId="2" fillId="0" borderId="14" xfId="16" applyFont="1" applyBorder="1" applyAlignment="1">
      <alignment vertical="center" wrapText="1"/>
    </xf>
    <xf numFmtId="3" fontId="2" fillId="0" borderId="22" xfId="16" applyNumberFormat="1" applyFont="1" applyBorder="1" applyAlignment="1">
      <alignment horizontal="center" vertical="center" wrapText="1"/>
    </xf>
    <xf numFmtId="0" fontId="27" fillId="5" borderId="2" xfId="16" applyFont="1" applyFill="1" applyBorder="1" applyAlignment="1">
      <alignment wrapText="1"/>
    </xf>
    <xf numFmtId="49" fontId="11" fillId="0" borderId="2" xfId="4" applyNumberFormat="1" applyFont="1" applyBorder="1" applyAlignment="1">
      <alignment horizontal="left" vertical="top" wrapText="1"/>
    </xf>
    <xf numFmtId="0" fontId="5" fillId="0" borderId="0" xfId="0" applyFont="1" applyAlignment="1">
      <alignment vertical="top" wrapText="1"/>
    </xf>
    <xf numFmtId="0" fontId="5" fillId="0" borderId="2" xfId="0" applyFont="1" applyBorder="1" applyAlignment="1">
      <alignment wrapText="1"/>
    </xf>
    <xf numFmtId="0" fontId="5" fillId="0" borderId="2" xfId="0" applyFont="1" applyBorder="1" applyAlignment="1">
      <alignment vertical="top" wrapText="1"/>
    </xf>
    <xf numFmtId="0" fontId="47" fillId="0" borderId="2" xfId="16" applyFont="1" applyBorder="1" applyAlignment="1">
      <alignment horizontal="center" vertical="center" wrapText="1"/>
    </xf>
    <xf numFmtId="0" fontId="33" fillId="0" borderId="19"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19" xfId="0" applyFont="1" applyBorder="1" applyAlignment="1">
      <alignment vertical="center" wrapText="1"/>
    </xf>
    <xf numFmtId="0" fontId="33" fillId="0" borderId="21" xfId="0" applyFont="1" applyBorder="1" applyAlignment="1">
      <alignment vertical="center" wrapText="1"/>
    </xf>
    <xf numFmtId="0" fontId="20" fillId="0" borderId="0" xfId="4" applyFont="1" applyAlignment="1">
      <alignment horizontal="center"/>
    </xf>
    <xf numFmtId="0" fontId="15" fillId="0" borderId="0" xfId="4" applyAlignment="1">
      <alignment horizontal="left" wrapText="1"/>
    </xf>
    <xf numFmtId="0" fontId="5" fillId="0" borderId="0" xfId="0" applyFont="1" applyAlignment="1">
      <alignment horizontal="left" vertical="top" wrapText="1"/>
    </xf>
    <xf numFmtId="0" fontId="15" fillId="0" borderId="2" xfId="4" applyBorder="1" applyAlignment="1">
      <alignment horizontal="left" vertical="center" wrapText="1"/>
    </xf>
    <xf numFmtId="0" fontId="15" fillId="0" borderId="2" xfId="4" applyBorder="1" applyAlignment="1">
      <alignment horizontal="left" wrapText="1"/>
    </xf>
    <xf numFmtId="0" fontId="34" fillId="0" borderId="0" xfId="15" applyFont="1" applyAlignment="1">
      <alignment horizontal="center" wrapText="1"/>
    </xf>
    <xf numFmtId="0" fontId="31" fillId="0" borderId="19" xfId="15" applyFont="1" applyBorder="1" applyAlignment="1">
      <alignment horizontal="center" vertical="center" wrapText="1"/>
    </xf>
    <xf numFmtId="0" fontId="31" fillId="0" borderId="24" xfId="15" applyFont="1" applyBorder="1" applyAlignment="1">
      <alignment horizontal="center" vertical="center" wrapText="1"/>
    </xf>
    <xf numFmtId="0" fontId="31" fillId="9" borderId="20" xfId="15" applyFont="1" applyFill="1" applyBorder="1" applyAlignment="1">
      <alignment horizontal="center" vertical="center" wrapText="1"/>
    </xf>
    <xf numFmtId="0" fontId="31" fillId="9" borderId="23" xfId="15" applyFont="1" applyFill="1" applyBorder="1" applyAlignment="1">
      <alignment horizontal="center" vertical="center" wrapText="1"/>
    </xf>
    <xf numFmtId="0" fontId="15" fillId="0" borderId="0" xfId="0" applyFont="1" applyAlignment="1">
      <alignment horizontal="left" vertical="top" wrapText="1"/>
    </xf>
    <xf numFmtId="3" fontId="39" fillId="0" borderId="0" xfId="16" applyNumberFormat="1" applyFont="1" applyAlignment="1">
      <alignment horizontal="center"/>
    </xf>
    <xf numFmtId="0" fontId="39" fillId="0" borderId="0" xfId="16" applyFont="1" applyAlignment="1">
      <alignment horizontal="center"/>
    </xf>
    <xf numFmtId="0" fontId="48" fillId="0" borderId="2" xfId="16" applyFont="1" applyBorder="1" applyAlignment="1">
      <alignment horizontal="center" wrapText="1"/>
    </xf>
    <xf numFmtId="0" fontId="48" fillId="0" borderId="2" xfId="16" applyFont="1" applyBorder="1" applyAlignment="1">
      <alignment horizontal="center"/>
    </xf>
    <xf numFmtId="0" fontId="38" fillId="0" borderId="1" xfId="16" applyFont="1" applyBorder="1" applyAlignment="1">
      <alignment horizontal="center" wrapText="1"/>
    </xf>
    <xf numFmtId="0" fontId="38" fillId="0" borderId="25" xfId="16" applyFont="1" applyBorder="1" applyAlignment="1">
      <alignment horizontal="center" wrapText="1"/>
    </xf>
    <xf numFmtId="0" fontId="38" fillId="0" borderId="5" xfId="16" applyFont="1" applyBorder="1" applyAlignment="1">
      <alignment horizontal="center" wrapText="1"/>
    </xf>
    <xf numFmtId="0" fontId="51" fillId="0" borderId="3" xfId="16" applyFont="1" applyBorder="1" applyAlignment="1">
      <alignment horizontal="center" vertical="center" wrapText="1"/>
    </xf>
    <xf numFmtId="0" fontId="47" fillId="0" borderId="3" xfId="16" applyFont="1" applyBorder="1" applyAlignment="1">
      <alignment horizontal="center" vertical="center" wrapText="1"/>
    </xf>
    <xf numFmtId="0" fontId="52" fillId="0" borderId="2" xfId="16" applyFont="1" applyBorder="1" applyAlignment="1">
      <alignment horizontal="center" vertical="center" wrapText="1"/>
    </xf>
    <xf numFmtId="0" fontId="47" fillId="0" borderId="0" xfId="16" applyFont="1" applyAlignment="1">
      <alignment horizontal="center" vertical="center" wrapText="1"/>
    </xf>
    <xf numFmtId="0" fontId="19" fillId="0" borderId="0" xfId="16" applyAlignment="1">
      <alignment horizontal="center" wrapText="1"/>
    </xf>
    <xf numFmtId="0" fontId="51" fillId="0" borderId="2" xfId="16" applyFont="1" applyBorder="1" applyAlignment="1">
      <alignment horizontal="right" vertical="center" wrapText="1"/>
    </xf>
    <xf numFmtId="0" fontId="52" fillId="0" borderId="1" xfId="16" applyFont="1" applyBorder="1" applyAlignment="1">
      <alignment horizontal="center" vertical="center" wrapText="1"/>
    </xf>
    <xf numFmtId="0" fontId="52" fillId="0" borderId="25" xfId="16" applyFont="1" applyBorder="1" applyAlignment="1">
      <alignment horizontal="center" vertical="center" wrapText="1"/>
    </xf>
    <xf numFmtId="0" fontId="52" fillId="0" borderId="5" xfId="16" applyFont="1" applyBorder="1" applyAlignment="1">
      <alignment horizontal="center" vertical="center" wrapText="1"/>
    </xf>
    <xf numFmtId="0" fontId="51" fillId="0" borderId="2" xfId="16" applyFont="1" applyBorder="1" applyAlignment="1">
      <alignment horizontal="center" vertical="center" wrapText="1"/>
    </xf>
    <xf numFmtId="0" fontId="47" fillId="0" borderId="2" xfId="16" applyFont="1" applyBorder="1" applyAlignment="1">
      <alignment horizontal="center" vertical="center" wrapText="1"/>
    </xf>
    <xf numFmtId="0" fontId="39" fillId="0" borderId="2" xfId="16" applyFont="1" applyBorder="1" applyAlignment="1">
      <alignment horizontal="center"/>
    </xf>
    <xf numFmtId="0" fontId="19" fillId="0" borderId="1" xfId="16" applyBorder="1" applyAlignment="1">
      <alignment horizontal="center"/>
    </xf>
    <xf numFmtId="0" fontId="19" fillId="0" borderId="25" xfId="16" applyBorder="1" applyAlignment="1">
      <alignment horizontal="center"/>
    </xf>
    <xf numFmtId="0" fontId="19" fillId="0" borderId="5" xfId="16" applyBorder="1" applyAlignment="1">
      <alignment horizontal="center"/>
    </xf>
    <xf numFmtId="0" fontId="38" fillId="0" borderId="2" xfId="16" applyFont="1" applyBorder="1" applyAlignment="1">
      <alignment horizontal="center" wrapText="1"/>
    </xf>
    <xf numFmtId="0" fontId="39" fillId="0" borderId="2" xfId="16" applyFont="1" applyBorder="1" applyAlignment="1">
      <alignment horizontal="center" vertical="center"/>
    </xf>
    <xf numFmtId="0" fontId="61" fillId="0" borderId="2" xfId="16" applyFont="1" applyBorder="1" applyAlignment="1">
      <alignment horizontal="center" vertical="center" wrapText="1"/>
    </xf>
    <xf numFmtId="0" fontId="61" fillId="0" borderId="2" xfId="16" applyFont="1" applyBorder="1" applyAlignment="1">
      <alignment horizontal="center" vertical="center"/>
    </xf>
    <xf numFmtId="0" fontId="61" fillId="0" borderId="1" xfId="16" applyFont="1" applyBorder="1" applyAlignment="1">
      <alignment horizontal="center" vertical="center" wrapText="1"/>
    </xf>
    <xf numFmtId="0" fontId="61" fillId="0" borderId="25" xfId="16" applyFont="1" applyBorder="1" applyAlignment="1">
      <alignment horizontal="center" vertical="center" wrapText="1"/>
    </xf>
    <xf numFmtId="0" fontId="61" fillId="0" borderId="5" xfId="16" applyFont="1" applyBorder="1" applyAlignment="1">
      <alignment horizontal="center" vertical="center" wrapText="1"/>
    </xf>
    <xf numFmtId="0" fontId="19" fillId="0" borderId="0" xfId="16" applyAlignment="1">
      <alignment horizontal="center" vertical="center" wrapText="1"/>
    </xf>
    <xf numFmtId="0" fontId="39" fillId="0" borderId="2" xfId="16" applyFont="1" applyBorder="1" applyAlignment="1">
      <alignment horizontal="center" wrapText="1"/>
    </xf>
    <xf numFmtId="0" fontId="73" fillId="0" borderId="2" xfId="16" applyFont="1" applyBorder="1" applyAlignment="1">
      <alignment horizontal="center" wrapText="1"/>
    </xf>
    <xf numFmtId="0" fontId="74" fillId="0" borderId="2" xfId="16" applyFont="1" applyBorder="1" applyAlignment="1">
      <alignment horizontal="center" vertical="center"/>
    </xf>
    <xf numFmtId="0" fontId="39" fillId="0" borderId="0" xfId="16" applyFont="1" applyAlignment="1">
      <alignment horizontal="center" wrapText="1"/>
    </xf>
    <xf numFmtId="0" fontId="2" fillId="0" borderId="28" xfId="16" applyFont="1" applyBorder="1" applyAlignment="1">
      <alignment horizontal="right" vertical="center" wrapText="1"/>
    </xf>
    <xf numFmtId="0" fontId="2" fillId="0" borderId="12" xfId="16" applyFont="1" applyBorder="1" applyAlignment="1">
      <alignment horizontal="right" vertical="center" wrapText="1"/>
    </xf>
    <xf numFmtId="0" fontId="82" fillId="0" borderId="5" xfId="4" applyFont="1" applyBorder="1" applyAlignment="1">
      <alignment horizontal="center" wrapText="1"/>
    </xf>
    <xf numFmtId="0" fontId="82" fillId="0" borderId="2" xfId="4" applyFont="1" applyBorder="1" applyAlignment="1">
      <alignment horizontal="center" wrapText="1"/>
    </xf>
    <xf numFmtId="49" fontId="17" fillId="0" borderId="2" xfId="4" applyNumberFormat="1" applyFont="1" applyBorder="1" applyAlignment="1">
      <alignment horizontal="justify" vertical="top" wrapText="1"/>
    </xf>
    <xf numFmtId="49" fontId="11" fillId="0" borderId="2" xfId="4" applyNumberFormat="1" applyFont="1" applyBorder="1" applyAlignment="1">
      <alignment horizontal="justify" vertical="top" wrapText="1"/>
    </xf>
    <xf numFmtId="166" fontId="12" fillId="0" borderId="6" xfId="4" applyNumberFormat="1" applyFont="1" applyFill="1" applyBorder="1" applyAlignment="1">
      <alignment horizontal="center" vertical="top" wrapText="1"/>
    </xf>
    <xf numFmtId="166" fontId="12" fillId="0" borderId="7" xfId="4" applyNumberFormat="1" applyFont="1" applyFill="1" applyBorder="1" applyAlignment="1">
      <alignment horizontal="center" vertical="top" wrapText="1"/>
    </xf>
    <xf numFmtId="165" fontId="9" fillId="0" borderId="6" xfId="4" applyNumberFormat="1" applyFont="1" applyFill="1" applyBorder="1" applyAlignment="1">
      <alignment horizontal="center" vertical="top" wrapText="1"/>
    </xf>
    <xf numFmtId="165" fontId="9" fillId="0" borderId="7" xfId="4" applyNumberFormat="1" applyFont="1" applyFill="1" applyBorder="1" applyAlignment="1">
      <alignment horizontal="center" vertical="top" wrapText="1"/>
    </xf>
    <xf numFmtId="49" fontId="16" fillId="0" borderId="0" xfId="4" applyNumberFormat="1" applyFont="1" applyFill="1" applyAlignment="1">
      <alignment horizontal="left" vertical="center" wrapText="1"/>
    </xf>
    <xf numFmtId="49" fontId="9" fillId="0" borderId="6" xfId="4" applyNumberFormat="1" applyFont="1" applyFill="1" applyBorder="1" applyAlignment="1">
      <alignment horizontal="center" vertical="center" wrapText="1"/>
    </xf>
    <xf numFmtId="49" fontId="9" fillId="0" borderId="7" xfId="4" applyNumberFormat="1" applyFont="1" applyFill="1" applyBorder="1" applyAlignment="1">
      <alignment horizontal="center" vertical="center" wrapText="1"/>
    </xf>
    <xf numFmtId="165" fontId="12" fillId="0" borderId="6" xfId="4" applyNumberFormat="1" applyFont="1" applyFill="1" applyBorder="1" applyAlignment="1">
      <alignment horizontal="center" vertical="top" wrapText="1"/>
    </xf>
    <xf numFmtId="165" fontId="12" fillId="0" borderId="7" xfId="4" applyNumberFormat="1" applyFont="1" applyFill="1" applyBorder="1" applyAlignment="1">
      <alignment horizontal="center" vertical="top" wrapText="1"/>
    </xf>
    <xf numFmtId="0" fontId="6" fillId="0" borderId="0" xfId="2" applyFont="1" applyAlignment="1">
      <alignment horizontal="center" vertical="top" wrapText="1"/>
    </xf>
    <xf numFmtId="49" fontId="11" fillId="0" borderId="9" xfId="4" applyNumberFormat="1" applyFont="1" applyFill="1" applyBorder="1" applyAlignment="1">
      <alignment horizontal="left" vertical="top" wrapText="1"/>
    </xf>
    <xf numFmtId="49" fontId="11" fillId="0" borderId="0" xfId="4" applyNumberFormat="1" applyFont="1" applyFill="1" applyBorder="1" applyAlignment="1">
      <alignment horizontal="left" vertical="top" wrapText="1"/>
    </xf>
    <xf numFmtId="0" fontId="9" fillId="0" borderId="0" xfId="4" applyFont="1" applyFill="1" applyAlignment="1">
      <alignment horizontal="left" vertical="top" wrapText="1"/>
    </xf>
    <xf numFmtId="0" fontId="9" fillId="0" borderId="0" xfId="4" applyFont="1" applyAlignment="1">
      <alignment horizontal="left" wrapText="1"/>
    </xf>
    <xf numFmtId="49" fontId="17" fillId="0" borderId="0" xfId="0" applyNumberFormat="1" applyFont="1" applyBorder="1" applyAlignment="1">
      <alignment horizontal="justify" vertical="top" wrapText="1"/>
    </xf>
    <xf numFmtId="49" fontId="11" fillId="0" borderId="0" xfId="0" applyNumberFormat="1" applyFont="1" applyBorder="1" applyAlignment="1">
      <alignment horizontal="justify" vertical="top" wrapText="1"/>
    </xf>
    <xf numFmtId="0" fontId="9" fillId="0" borderId="0" xfId="0" applyFont="1" applyFill="1" applyAlignment="1">
      <alignment horizontal="left" vertical="top" wrapText="1"/>
    </xf>
    <xf numFmtId="0" fontId="21" fillId="0" borderId="0" xfId="12" applyAlignment="1">
      <alignment horizontal="left" vertical="top" wrapText="1"/>
    </xf>
    <xf numFmtId="0" fontId="21" fillId="0" borderId="15" xfId="12" applyBorder="1" applyAlignment="1">
      <alignment horizontal="center" vertical="center" wrapText="1"/>
    </xf>
    <xf numFmtId="0" fontId="21" fillId="0" borderId="2" xfId="12" applyBorder="1" applyAlignment="1">
      <alignment horizontal="center" vertical="center" wrapText="1"/>
    </xf>
    <xf numFmtId="0" fontId="21" fillId="0" borderId="18" xfId="12" applyBorder="1" applyAlignment="1">
      <alignment horizontal="center" vertical="center" wrapText="1"/>
    </xf>
    <xf numFmtId="0" fontId="21" fillId="0" borderId="3" xfId="12" applyBorder="1" applyAlignment="1">
      <alignment horizontal="center" vertical="center" wrapText="1"/>
    </xf>
    <xf numFmtId="0" fontId="24" fillId="0" borderId="16" xfId="12" applyFont="1" applyBorder="1" applyAlignment="1">
      <alignment horizontal="center" vertical="center" wrapText="1"/>
    </xf>
    <xf numFmtId="0" fontId="24" fillId="0" borderId="8" xfId="12" applyFont="1" applyBorder="1" applyAlignment="1">
      <alignment horizontal="center" vertical="center" wrapText="1"/>
    </xf>
    <xf numFmtId="0" fontId="21" fillId="0" borderId="14" xfId="12" applyBorder="1" applyAlignment="1">
      <alignment horizontal="center" vertical="center" textRotation="90"/>
    </xf>
    <xf numFmtId="0" fontId="21" fillId="0" borderId="17" xfId="12" applyBorder="1" applyAlignment="1">
      <alignment horizontal="center" vertical="center" textRotation="90"/>
    </xf>
    <xf numFmtId="0" fontId="24" fillId="0" borderId="9" xfId="12" applyFont="1" applyBorder="1" applyAlignment="1">
      <alignment vertical="center" wrapText="1"/>
    </xf>
    <xf numFmtId="0" fontId="24" fillId="0" borderId="0" xfId="12" applyFont="1" applyAlignment="1">
      <alignment vertical="center" wrapText="1"/>
    </xf>
    <xf numFmtId="0" fontId="24" fillId="0" borderId="15" xfId="12" applyFont="1" applyBorder="1" applyAlignment="1">
      <alignment horizontal="center" vertical="center" wrapText="1"/>
    </xf>
    <xf numFmtId="0" fontId="24" fillId="0" borderId="2" xfId="12" applyFont="1" applyBorder="1" applyAlignment="1">
      <alignment horizontal="center" vertical="center" wrapText="1"/>
    </xf>
    <xf numFmtId="0" fontId="31" fillId="0" borderId="29" xfId="15" applyFont="1" applyBorder="1" applyAlignment="1">
      <alignment horizontal="center" vertical="center" wrapText="1"/>
    </xf>
    <xf numFmtId="0" fontId="31" fillId="0" borderId="2" xfId="15" applyFont="1" applyBorder="1" applyAlignment="1">
      <alignment horizontal="center" vertical="center" wrapText="1"/>
    </xf>
    <xf numFmtId="3" fontId="31" fillId="0" borderId="13" xfId="15" applyNumberFormat="1" applyFont="1" applyBorder="1" applyAlignment="1">
      <alignment horizontal="center" vertical="center" wrapText="1"/>
    </xf>
    <xf numFmtId="3" fontId="31" fillId="9" borderId="13" xfId="15" applyNumberFormat="1" applyFont="1" applyFill="1" applyBorder="1" applyAlignment="1">
      <alignment horizontal="center" vertical="center" wrapText="1"/>
    </xf>
    <xf numFmtId="0" fontId="61" fillId="5" borderId="7" xfId="16" applyFont="1" applyFill="1" applyBorder="1" applyAlignment="1">
      <alignment horizontal="center" vertical="center" wrapText="1"/>
    </xf>
    <xf numFmtId="3" fontId="84" fillId="0" borderId="2" xfId="16" applyNumberFormat="1" applyFont="1" applyBorder="1" applyAlignment="1">
      <alignment horizontal="center" vertical="center" wrapText="1"/>
    </xf>
    <xf numFmtId="171" fontId="19" fillId="0" borderId="2" xfId="16" applyNumberFormat="1" applyBorder="1" applyAlignment="1">
      <alignment horizontal="center" vertical="center"/>
    </xf>
    <xf numFmtId="0" fontId="51" fillId="0" borderId="1" xfId="16" applyFont="1" applyBorder="1" applyAlignment="1">
      <alignment horizontal="right" vertical="center" wrapText="1"/>
    </xf>
    <xf numFmtId="0" fontId="51" fillId="0" borderId="25" xfId="16" applyFont="1" applyBorder="1" applyAlignment="1">
      <alignment horizontal="right" vertical="center" wrapText="1"/>
    </xf>
    <xf numFmtId="0" fontId="51" fillId="0" borderId="5" xfId="16" applyFont="1" applyBorder="1" applyAlignment="1">
      <alignment horizontal="right" vertical="center" wrapText="1"/>
    </xf>
    <xf numFmtId="0" fontId="47" fillId="0" borderId="1" xfId="16" applyFont="1" applyBorder="1" applyAlignment="1">
      <alignment horizontal="right" vertical="center" wrapText="1"/>
    </xf>
    <xf numFmtId="0" fontId="52" fillId="0" borderId="25" xfId="16" applyFont="1" applyBorder="1" applyAlignment="1">
      <alignment horizontal="right" vertical="center" wrapText="1"/>
    </xf>
    <xf numFmtId="0" fontId="52" fillId="0" borderId="5" xfId="16" applyFont="1" applyBorder="1" applyAlignment="1">
      <alignment horizontal="right" vertical="center" wrapText="1"/>
    </xf>
    <xf numFmtId="0" fontId="85" fillId="0" borderId="25" xfId="16" applyFont="1" applyBorder="1" applyAlignment="1">
      <alignment horizontal="right" vertical="center" wrapText="1"/>
    </xf>
    <xf numFmtId="0" fontId="85" fillId="0" borderId="5" xfId="16" applyFont="1" applyBorder="1" applyAlignment="1">
      <alignment horizontal="right" vertical="center" wrapText="1"/>
    </xf>
  </cellXfs>
  <cellStyles count="19">
    <cellStyle name="Comma 2" xfId="6" xr:uid="{00000000-0005-0000-0000-000000000000}"/>
    <cellStyle name="Currency 2" xfId="13" xr:uid="{00000000-0005-0000-0000-000001000000}"/>
    <cellStyle name="Normal" xfId="0" builtinId="0"/>
    <cellStyle name="Normal 10 2" xfId="9" xr:uid="{00000000-0005-0000-0000-000003000000}"/>
    <cellStyle name="Normal 2" xfId="1" xr:uid="{00000000-0005-0000-0000-000004000000}"/>
    <cellStyle name="Normal 2 2" xfId="3" xr:uid="{00000000-0005-0000-0000-000005000000}"/>
    <cellStyle name="Normal 2 2 2" xfId="10" xr:uid="{00000000-0005-0000-0000-000006000000}"/>
    <cellStyle name="Normal 2 3" xfId="16" xr:uid="{CE846471-EE07-45A9-9CA2-46816E5221A6}"/>
    <cellStyle name="Normal 2 3 2" xfId="17" xr:uid="{6016D753-0F55-432F-B85F-3411247B5DFD}"/>
    <cellStyle name="Normal 3" xfId="4" xr:uid="{00000000-0005-0000-0000-000007000000}"/>
    <cellStyle name="Normal 4" xfId="5" xr:uid="{00000000-0005-0000-0000-000008000000}"/>
    <cellStyle name="Normal 4 2" xfId="8" xr:uid="{00000000-0005-0000-0000-000009000000}"/>
    <cellStyle name="Normal 5" xfId="12" xr:uid="{00000000-0005-0000-0000-00000A000000}"/>
    <cellStyle name="Normal 6" xfId="14" xr:uid="{00000000-0005-0000-0000-00000B000000}"/>
    <cellStyle name="Normal 7" xfId="15" xr:uid="{00000000-0005-0000-0000-00000C000000}"/>
    <cellStyle name="Normal 7 2" xfId="18" xr:uid="{A0156531-973F-4AC5-A9A0-00917574FD2B}"/>
    <cellStyle name="Normal_Sheet1" xfId="2" xr:uid="{00000000-0005-0000-0000-00000D000000}"/>
    <cellStyle name="Percent 2" xfId="7" xr:uid="{00000000-0005-0000-0000-00000E000000}"/>
    <cellStyle name="Percent 3" xfId="11" xr:uid="{00000000-0005-0000-0000-00000F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externalLink" Target="externalLinks/externalLink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file_redirect$\Documents%20and%20Settings\bd-adija\Local%20Settings\Temporary%20Internet%20Files\Content.Outlook\U63RD855\MK_izdev_samaz_2las_2009_31%2010%2008_arESIA.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arba%20mape\Da&#382;&#257;di\IZ_saist&#299;b&#257;_COVID_atlab&#353;anai\Vidzemes_slimn&#299;ca\Vidzemes_slimnica_PP.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Nozares%20budzeta%20planosanas%20departaments/Info_zin_papildus_invest_MK_020620/IZ_saist&#299;b&#257;_COVID_atlab&#353;anai/Preciz&#275;t&#257;s_kartinas_170820/EP_Covid_19_parvaresanai_FM_prec_1908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SilvijaJ\Local%20Settings\Temporary%20Internet%20Files\Content.IE5\F51GHD5U\KristineS\My%20Documents\Bud&#382;ets%202012\Budzeta%20forma%2014_05%2001%202012%20(2).xls"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file:///C:\Documents%20and%20Settings\Svetlana.Supulniece\Local%20Settings\Temporary%20Internet%20Files\Content.Outlook\J21U5MYL\LIC%20PP%20parrekins%20pec%202012%209m%20DB\LIC%20laboratorija\R0032%20-LIC%20darbs%20laboratorija%20citam%20ar%20palidz%20veidu%20AI%2031102012.xls?73E465BC" TargetMode="External"/><Relationship Id="rId1" Type="http://schemas.openxmlformats.org/officeDocument/2006/relationships/externalLinkPath" Target="file:///\\73E465BC\R0032%20-LIC%20darbs%20laboratorija%20citam%20ar%20palidz%20veidu%20AI%20311020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73E465BC\R0032%20-LIC%20darbs%20laboratorija%20citam%20ar%20palidz%20veidu%20AI%203110201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mbulatoro_pakalpojumu_nodala\Planosana_2012\SAVA\!_Grozijumi%202012.gada%20laikaa\Egija_Grozijumi%20ar%2001.10.2012_NEPIENEMTIE\Apaksas%20SAVA%20rikojumam.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Finansu_planosanas_nodala\BUD&#381;ETS\2019\33_finansejums_2018_2021g.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ndris.skrastins\Desktop\Ivita\8_centralizeto_medikamentu_aprekini.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liga.citskovska\Documents\2016\Aknu_transp_04.2016\Aknu_transp_kop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arba%20mape\Da&#382;&#257;di\IZ_saist&#299;b&#257;_COVID_atlab&#353;anai\DRS\FMNot_p1_867,%20SIA%20DRS%2009.06.2020.%20papildin&#257;t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1piel"/>
      <sheetName val="2piel"/>
      <sheetName val="HEADER"/>
      <sheetName val="FOOTER"/>
      <sheetName val="ZQZBC_PLN__04_03_10"/>
      <sheetName val="ZQZBC_PLN__04_03_11"/>
      <sheetName val="ZQZBC_PLN__04_03_12"/>
      <sheetName val="ZQZBC_PLN__04_03_14"/>
      <sheetName val="ZQZBC_PLN__04_03_13"/>
      <sheetName val="ZQZBC_PLN__04_03_15"/>
      <sheetName val="ZQZBC_PLN__04_03_201_IP7"/>
      <sheetName val="ZQZBC_PLN__04_03_211_IP7"/>
      <sheetName val="ZQZBC_PLN__04_03_212_IP7"/>
      <sheetName val="ZQZBC_PLN__04_03_213_IP7"/>
      <sheetName val="ZQZBC_PLN__04_03_214_IP7"/>
      <sheetName val="ZQZBC_PLN__04_03_215_IP7"/>
      <sheetName val="ZQZBC_PLN__04_03_216_IP7"/>
      <sheetName val="ZQZBC_PLN__04_03_217_IP7"/>
      <sheetName val="ZQZBC_PLN__04_03_218_IP7"/>
      <sheetName val="ZQZBC_PLN__04_03_219_IP7"/>
      <sheetName val="ZQZBC_PLN__04_03_220_IP7"/>
      <sheetName val="ZQZBC_PLN__04_03_221_IP7"/>
      <sheetName val="QEKK"/>
    </sheetNames>
    <sheetDataSet>
      <sheetData sheetId="0" refreshError="1"/>
      <sheetData sheetId="1" refreshError="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pielikums"/>
      <sheetName val="Šabloni"/>
    </sheetNames>
    <sheetDataSet>
      <sheetData sheetId="0"/>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psavilkums"/>
      <sheetName val="PP1"/>
      <sheetName val="PP1_1_pielikums"/>
      <sheetName val="PP2"/>
      <sheetName val="PP2_1_pielikums"/>
      <sheetName val="PP2_2_pielikums"/>
      <sheetName val="PP2_3_pielikums"/>
      <sheetName val="PP2_4_pielikums"/>
      <sheetName val="PP2_5_pielikums"/>
      <sheetName val="PP2_6_pielikums"/>
      <sheetName val="PP2_7_pielikums"/>
      <sheetName val="PP2_8_pielikums"/>
      <sheetName val="PP2_9_pielikums"/>
      <sheetName val="PP2_10_pielikums"/>
      <sheetName val="PP2_11_pielikums"/>
      <sheetName val="PP2_12_pielikums"/>
      <sheetName val="PP2_13_pielikums"/>
      <sheetName val="PP2_14_pielikums"/>
      <sheetName val="PP2_15_pielikums"/>
      <sheetName val="PP2_16pielikums"/>
      <sheetName val="PP3"/>
      <sheetName val="PP4"/>
      <sheetName val="PP5"/>
      <sheetName val="PP6"/>
      <sheetName val="PP6_1_pielikums"/>
      <sheetName val="PP7"/>
      <sheetName val="PP8"/>
      <sheetName val="PP8_1_pielikums"/>
      <sheetName val="PP9"/>
      <sheetName val="PP9_pielikums"/>
      <sheetName val="PP10"/>
      <sheetName val="PP10_pielikums"/>
      <sheetName val="PP11"/>
      <sheetName val="PP11_1_pielikums"/>
      <sheetName val="PP12"/>
      <sheetName val="PP12_pielikums"/>
      <sheetName val="PP13"/>
      <sheetName val="PP13_1_pielikums"/>
      <sheetName val="PP13_2_pielikums"/>
      <sheetName val="PP13_3_pielikums"/>
      <sheetName val="PP14"/>
      <sheetName val="PP15"/>
      <sheetName val="PP15_1_pielikums"/>
      <sheetName val="PP15_2_pielikums"/>
      <sheetName val="PP15_3_pielikums"/>
      <sheetName val="PP15_4_pielikums"/>
      <sheetName val="Šablon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T_pamatlidzekli"/>
      <sheetName val="pec str._PL"/>
      <sheetName val="pēc izm.p. PL"/>
      <sheetName val="pamatlidzekli"/>
      <sheetName val="CITO PL"/>
      <sheetName val="pamatlidzekli (2)"/>
      <sheetName val="PT_mazv.inv."/>
      <sheetName val="pēc izm.p. MI"/>
      <sheetName val="pec str_MI"/>
      <sheetName val="mazv.inventars"/>
      <sheetName val="CITO MI"/>
      <sheetName val="mazv.inventars (2)"/>
      <sheetName val="pakalpojums"/>
      <sheetName val="strukturkodi"/>
      <sheetName val="izm.posteni"/>
      <sheetName val="pec_str__PL"/>
      <sheetName val="pec_str__PL1"/>
      <sheetName val="pēc_izm_p__PL"/>
      <sheetName val="CITO_PL"/>
      <sheetName val="pamatlidzekli_(2)"/>
      <sheetName val="PT_mazv_inv_"/>
      <sheetName val="pēc_izm_p__MI"/>
      <sheetName val="pec_str_MI"/>
      <sheetName val="mazv_inventars"/>
      <sheetName val="CITO_MI"/>
      <sheetName val="mazv_inventars_(2)"/>
      <sheetName val="izm_posten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0032"/>
      <sheetName val="Macro1"/>
      <sheetName val="Datu baze bez -"/>
      <sheetName val="Tarifi 18.piel"/>
      <sheetName val="Manip ar 0 tarif"/>
      <sheetName val="LIC tarifi"/>
    </sheetNames>
    <sheetDataSet>
      <sheetData sheetId="0" refreshError="1"/>
      <sheetData sheetId="1">
        <row r="80">
          <cell r="A80" t="str">
            <v>Recover</v>
          </cell>
        </row>
      </sheetData>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0032"/>
      <sheetName val="Macro1"/>
      <sheetName val="Datu baze bez -"/>
      <sheetName val="Tarifi 18.piel"/>
      <sheetName val="Manip ar 0 tarif"/>
      <sheetName val="LIC tarifi"/>
    </sheetNames>
    <sheetDataSet>
      <sheetData sheetId="0" refreshError="1"/>
      <sheetData sheetId="1">
        <row r="80">
          <cell r="A80" t="str">
            <v>Recover</v>
          </cell>
        </row>
      </sheetData>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Rikojumam"/>
      <sheetName val="Invaliditātei"/>
      <sheetName val="Sheet5"/>
      <sheetName val="Macro1"/>
      <sheetName val="ligumi kopa"/>
      <sheetName val="Datu avoti"/>
      <sheetName val="R0020"/>
      <sheetName val="trukstosie izm."/>
      <sheetName val="Pivot no Rīkoj."/>
      <sheetName val="RIKOJUMS (ar apakšām)"/>
      <sheetName val="RIKOJUMS_GALA"/>
      <sheetName val="Sadal.pa PP no 01.10.2012"/>
      <sheetName val="Pac.iem."/>
    </sheetNames>
    <sheetDataSet>
      <sheetData sheetId="0"/>
      <sheetData sheetId="1"/>
      <sheetData sheetId="2"/>
      <sheetData sheetId="3">
        <row r="106">
          <cell r="A106" t="str">
            <v>Recover</v>
          </cell>
        </row>
      </sheetData>
      <sheetData sheetId="4"/>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
      <sheetName val="2020"/>
      <sheetName val="noZinojuma"/>
      <sheetName val="detalizēti"/>
      <sheetName val="ATSKAITE_likums_par_budžetu"/>
      <sheetName val="ATSKAITE_2v"/>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1."/>
      <sheetName val="8.2."/>
      <sheetName val="8.3."/>
      <sheetName val="8.4."/>
      <sheetName val="8.5."/>
      <sheetName val="Sheet9"/>
      <sheetName val="Sheet10"/>
      <sheetName val="Sheet11"/>
      <sheetName val="Sheet1"/>
    </sheetNames>
    <sheetDataSet>
      <sheetData sheetId="0">
        <row r="5">
          <cell r="C5">
            <v>36540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i"/>
      <sheetName val="teksts"/>
      <sheetName val="amb"/>
      <sheetName val="Opera_salidz"/>
      <sheetName val="salidzinajums"/>
      <sheetName val="p2"/>
      <sheetName val="personals"/>
      <sheetName val="pers(sakotn.versija)"/>
    </sheetNames>
    <sheetDataSet>
      <sheetData sheetId="0">
        <row r="4">
          <cell r="B4">
            <v>20.833333333333332</v>
          </cell>
        </row>
        <row r="5">
          <cell r="B5">
            <v>168</v>
          </cell>
        </row>
        <row r="6">
          <cell r="B6">
            <v>9.5833333333333339</v>
          </cell>
        </row>
        <row r="7">
          <cell r="B7">
            <v>1.25</v>
          </cell>
        </row>
      </sheetData>
      <sheetData sheetId="1" refreshError="1"/>
      <sheetData sheetId="2" refreshError="1"/>
      <sheetData sheetId="3" refreshError="1"/>
      <sheetData sheetId="4" refreshError="1"/>
      <sheetData sheetId="5"/>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pielikums"/>
      <sheetName val="Šabloni"/>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tabSelected="1" view="pageBreakPreview" zoomScaleNormal="100" zoomScaleSheetLayoutView="100" workbookViewId="0">
      <selection activeCell="F22" sqref="F22"/>
    </sheetView>
  </sheetViews>
  <sheetFormatPr defaultColWidth="8.85546875" defaultRowHeight="12.75"/>
  <cols>
    <col min="1" max="1" width="30.7109375" style="19" customWidth="1"/>
    <col min="2" max="2" width="12.140625" style="19" customWidth="1"/>
    <col min="3" max="3" width="19.5703125" style="19" customWidth="1"/>
    <col min="4" max="5" width="8.85546875" style="19"/>
    <col min="6" max="6" width="34.85546875" style="19" customWidth="1"/>
    <col min="7" max="8" width="8.85546875" style="19"/>
    <col min="9" max="9" width="15.140625" style="19" customWidth="1"/>
    <col min="10" max="16384" width="8.85546875" style="19"/>
  </cols>
  <sheetData>
    <row r="1" spans="1:7">
      <c r="A1" s="248" t="s">
        <v>75</v>
      </c>
      <c r="B1" s="248"/>
      <c r="C1" s="248"/>
    </row>
    <row r="2" spans="1:7">
      <c r="F2" s="3" t="s">
        <v>99</v>
      </c>
    </row>
    <row r="3" spans="1:7">
      <c r="A3" s="16" t="s">
        <v>63</v>
      </c>
      <c r="B3" s="17">
        <v>3653</v>
      </c>
      <c r="C3" s="17" t="s">
        <v>64</v>
      </c>
      <c r="D3" s="18"/>
      <c r="E3" s="18"/>
      <c r="F3" s="250" t="s">
        <v>100</v>
      </c>
    </row>
    <row r="4" spans="1:7" ht="15.75" customHeight="1">
      <c r="A4" s="252" t="s">
        <v>65</v>
      </c>
      <c r="B4" s="252"/>
      <c r="C4" s="252"/>
      <c r="D4" s="18"/>
      <c r="E4" s="18"/>
      <c r="F4" s="250"/>
    </row>
    <row r="5" spans="1:7" ht="24.75" customHeight="1">
      <c r="A5" s="20">
        <v>1</v>
      </c>
      <c r="B5" s="251" t="s">
        <v>66</v>
      </c>
      <c r="C5" s="251"/>
      <c r="D5" s="18"/>
      <c r="E5" s="18"/>
      <c r="F5" s="250"/>
    </row>
    <row r="6" spans="1:7" ht="26.25" customHeight="1">
      <c r="A6" s="20">
        <v>2</v>
      </c>
      <c r="B6" s="251" t="s">
        <v>67</v>
      </c>
      <c r="C6" s="251"/>
      <c r="D6" s="18"/>
      <c r="E6" s="18"/>
      <c r="F6" s="250"/>
    </row>
    <row r="7" spans="1:7" ht="39" customHeight="1">
      <c r="A7" s="20">
        <v>3</v>
      </c>
      <c r="B7" s="251" t="s">
        <v>68</v>
      </c>
      <c r="C7" s="251"/>
      <c r="D7" s="18"/>
      <c r="E7" s="18"/>
      <c r="F7" s="250"/>
    </row>
    <row r="8" spans="1:7">
      <c r="A8" s="20">
        <v>4</v>
      </c>
      <c r="B8" s="251" t="s">
        <v>69</v>
      </c>
      <c r="C8" s="251"/>
      <c r="D8" s="18"/>
      <c r="E8" s="18"/>
    </row>
    <row r="9" spans="1:7" ht="15.75" customHeight="1">
      <c r="A9" s="20">
        <v>5</v>
      </c>
      <c r="B9" s="251" t="s">
        <v>70</v>
      </c>
      <c r="C9" s="251"/>
      <c r="D9" s="18"/>
      <c r="E9" s="18"/>
    </row>
    <row r="10" spans="1:7" ht="54.75" customHeight="1">
      <c r="A10" s="20">
        <v>6</v>
      </c>
      <c r="B10" s="251" t="s">
        <v>71</v>
      </c>
      <c r="C10" s="251"/>
      <c r="D10" s="18"/>
      <c r="E10" s="18"/>
    </row>
    <row r="11" spans="1:7" ht="28.5" customHeight="1">
      <c r="A11" s="20">
        <v>7</v>
      </c>
      <c r="B11" s="251" t="s">
        <v>72</v>
      </c>
      <c r="C11" s="251"/>
      <c r="D11" s="18"/>
      <c r="E11" s="18"/>
    </row>
    <row r="12" spans="1:7">
      <c r="A12" s="18"/>
      <c r="B12" s="18"/>
      <c r="C12" s="18"/>
      <c r="D12" s="18"/>
      <c r="E12" s="18"/>
    </row>
    <row r="13" spans="1:7" ht="54.75" customHeight="1">
      <c r="A13" s="249" t="s">
        <v>124</v>
      </c>
      <c r="B13" s="249"/>
      <c r="C13" s="249"/>
      <c r="D13" s="249"/>
      <c r="E13" s="249"/>
      <c r="F13" s="249"/>
      <c r="G13" s="249"/>
    </row>
    <row r="15" spans="1:7" ht="13.5" thickBot="1"/>
    <row r="16" spans="1:7" ht="36.75" customHeight="1">
      <c r="A16" s="244" t="s">
        <v>126</v>
      </c>
      <c r="B16" s="246" t="s">
        <v>127</v>
      </c>
      <c r="C16" s="82" t="s">
        <v>128</v>
      </c>
    </row>
    <row r="17" spans="1:3" ht="14.25" thickBot="1">
      <c r="A17" s="245"/>
      <c r="B17" s="247"/>
      <c r="C17" s="83" t="s">
        <v>129</v>
      </c>
    </row>
    <row r="18" spans="1:3" ht="13.5" thickBot="1">
      <c r="A18" s="84" t="s">
        <v>130</v>
      </c>
      <c r="B18" s="85" t="s">
        <v>131</v>
      </c>
      <c r="C18" s="90">
        <f>SUM(C19:C20)</f>
        <v>91734618</v>
      </c>
    </row>
    <row r="19" spans="1:3" ht="26.25" thickBot="1">
      <c r="A19" s="92" t="s">
        <v>132</v>
      </c>
      <c r="B19" s="85" t="s">
        <v>133</v>
      </c>
      <c r="C19" s="90">
        <v>64334618</v>
      </c>
    </row>
    <row r="20" spans="1:3" ht="39" thickBot="1">
      <c r="A20" s="92" t="s">
        <v>134</v>
      </c>
      <c r="B20" s="85" t="s">
        <v>135</v>
      </c>
      <c r="C20" s="90">
        <v>27400000</v>
      </c>
    </row>
    <row r="21" spans="1:3" ht="13.5" thickBot="1">
      <c r="A21" s="84" t="s">
        <v>136</v>
      </c>
      <c r="B21" s="85" t="s">
        <v>137</v>
      </c>
      <c r="C21" s="90">
        <f>SUM(C22:C25)</f>
        <v>44262655</v>
      </c>
    </row>
    <row r="22" spans="1:3" ht="26.25" thickBot="1">
      <c r="A22" s="92" t="s">
        <v>138</v>
      </c>
      <c r="B22" s="86" t="s">
        <v>139</v>
      </c>
      <c r="C22" s="91">
        <v>6903321</v>
      </c>
    </row>
    <row r="23" spans="1:3" ht="39" thickBot="1">
      <c r="A23" s="92" t="s">
        <v>140</v>
      </c>
      <c r="B23" s="86" t="s">
        <v>141</v>
      </c>
      <c r="C23" s="91">
        <v>15380890</v>
      </c>
    </row>
    <row r="24" spans="1:3" ht="39" thickBot="1">
      <c r="A24" s="92" t="s">
        <v>142</v>
      </c>
      <c r="B24" s="86" t="s">
        <v>143</v>
      </c>
      <c r="C24" s="91">
        <v>1978444</v>
      </c>
    </row>
    <row r="25" spans="1:3" ht="39" thickBot="1">
      <c r="A25" s="92" t="s">
        <v>144</v>
      </c>
      <c r="B25" s="86" t="s">
        <v>145</v>
      </c>
      <c r="C25" s="91">
        <v>20000000</v>
      </c>
    </row>
    <row r="26" spans="1:3" ht="13.5" thickBot="1">
      <c r="A26" s="84" t="s">
        <v>146</v>
      </c>
      <c r="B26" s="85" t="s">
        <v>147</v>
      </c>
      <c r="C26" s="90">
        <v>4449849</v>
      </c>
    </row>
    <row r="27" spans="1:3" ht="23.25" customHeight="1" thickBot="1">
      <c r="A27" s="87" t="s">
        <v>148</v>
      </c>
      <c r="B27" s="88">
        <v>1</v>
      </c>
      <c r="C27" s="89">
        <f>C18+C21+C26</f>
        <v>140447122</v>
      </c>
    </row>
    <row r="29" spans="1:3">
      <c r="A29" s="19" t="s">
        <v>395</v>
      </c>
    </row>
  </sheetData>
  <mergeCells count="13">
    <mergeCell ref="A16:A17"/>
    <mergeCell ref="B16:B17"/>
    <mergeCell ref="A1:C1"/>
    <mergeCell ref="A13:G13"/>
    <mergeCell ref="F3:F7"/>
    <mergeCell ref="B10:C10"/>
    <mergeCell ref="B11:C11"/>
    <mergeCell ref="A4:C4"/>
    <mergeCell ref="B5:C5"/>
    <mergeCell ref="B6:C6"/>
    <mergeCell ref="B7:C7"/>
    <mergeCell ref="B8:C8"/>
    <mergeCell ref="B9:C9"/>
  </mergeCells>
  <pageMargins left="0.59055118110236227" right="0.59055118110236227" top="0.39370078740157483" bottom="0.39370078740157483" header="0" footer="0"/>
  <pageSetup paperSize="9" scale="70" orientation="landscape" r:id="rId1"/>
  <headerFooter alignWithMargins="0">
    <oddFooter>&amp;C&amp;"Times New Roman,Regular"&amp;P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6C170-4B1E-448A-B06B-3390C18DDC27}">
  <dimension ref="A1:M17"/>
  <sheetViews>
    <sheetView view="pageBreakPreview" zoomScale="60" zoomScaleNormal="100" workbookViewId="0">
      <selection activeCell="M4" sqref="M4:M8"/>
    </sheetView>
  </sheetViews>
  <sheetFormatPr defaultRowHeight="15.75"/>
  <cols>
    <col min="1" max="4" width="9.140625" style="124"/>
    <col min="5" max="5" width="16.5703125" style="124" customWidth="1"/>
    <col min="6" max="6" width="11.85546875" style="124" customWidth="1"/>
    <col min="7" max="7" width="16.5703125" style="124" customWidth="1"/>
    <col min="8" max="8" width="14.7109375" style="124" customWidth="1"/>
    <col min="9" max="9" width="48" style="124" customWidth="1"/>
    <col min="10" max="10" width="16" style="124" customWidth="1"/>
    <col min="11" max="11" width="27.7109375" style="124" customWidth="1"/>
    <col min="12" max="12" width="9.140625" style="124"/>
    <col min="13" max="13" width="27.28515625" style="124" customWidth="1"/>
    <col min="14" max="16384" width="9.140625" style="124"/>
  </cols>
  <sheetData>
    <row r="1" spans="1:13" ht="23.25">
      <c r="A1" s="277" t="s">
        <v>396</v>
      </c>
      <c r="B1" s="277"/>
      <c r="C1" s="277"/>
      <c r="D1" s="277"/>
      <c r="E1" s="277"/>
      <c r="F1" s="277"/>
      <c r="G1" s="277"/>
      <c r="H1" s="277"/>
      <c r="I1" s="277"/>
    </row>
    <row r="2" spans="1:13" ht="16.5" thickBot="1"/>
    <row r="3" spans="1:13" ht="31.5">
      <c r="A3" s="165"/>
      <c r="B3" s="165"/>
      <c r="C3" s="165"/>
      <c r="D3" s="165"/>
      <c r="E3" s="165"/>
      <c r="F3" s="166" t="s">
        <v>156</v>
      </c>
      <c r="G3" s="167" t="s">
        <v>252</v>
      </c>
      <c r="H3" s="166" t="s">
        <v>304</v>
      </c>
      <c r="I3" s="166" t="s">
        <v>254</v>
      </c>
      <c r="J3" s="333" t="s">
        <v>45</v>
      </c>
      <c r="K3" s="333" t="s">
        <v>52</v>
      </c>
      <c r="M3" s="75" t="s">
        <v>378</v>
      </c>
    </row>
    <row r="4" spans="1:13" ht="31.5">
      <c r="A4" s="243">
        <v>1</v>
      </c>
      <c r="B4" s="261" t="s">
        <v>255</v>
      </c>
      <c r="C4" s="262"/>
      <c r="D4" s="262"/>
      <c r="E4" s="262"/>
      <c r="F4" s="131">
        <v>366</v>
      </c>
      <c r="G4" s="169"/>
      <c r="H4" s="334"/>
      <c r="I4" s="170" t="s">
        <v>306</v>
      </c>
      <c r="J4" s="137"/>
      <c r="K4" s="137"/>
      <c r="M4" s="258" t="s">
        <v>100</v>
      </c>
    </row>
    <row r="5" spans="1:13" ht="31.5">
      <c r="A5" s="243">
        <v>2</v>
      </c>
      <c r="B5" s="261" t="s">
        <v>397</v>
      </c>
      <c r="C5" s="262"/>
      <c r="D5" s="262"/>
      <c r="E5" s="262"/>
      <c r="F5" s="131">
        <v>366</v>
      </c>
      <c r="G5" s="169"/>
      <c r="H5" s="334"/>
      <c r="I5" s="170" t="s">
        <v>306</v>
      </c>
      <c r="J5" s="137"/>
      <c r="K5" s="137"/>
      <c r="M5" s="258"/>
    </row>
    <row r="6" spans="1:13" ht="34.5" customHeight="1">
      <c r="A6" s="243">
        <v>3</v>
      </c>
      <c r="B6" s="285" t="s">
        <v>308</v>
      </c>
      <c r="C6" s="286"/>
      <c r="D6" s="286"/>
      <c r="E6" s="287"/>
      <c r="F6" s="131">
        <v>366</v>
      </c>
      <c r="G6" s="171">
        <v>1100</v>
      </c>
      <c r="H6" s="169">
        <f>F6*G6*1.21</f>
        <v>487146</v>
      </c>
      <c r="I6" s="168" t="s">
        <v>309</v>
      </c>
      <c r="J6" s="137"/>
      <c r="K6" s="101">
        <f>H6</f>
        <v>487146</v>
      </c>
      <c r="M6" s="258"/>
    </row>
    <row r="7" spans="1:13">
      <c r="A7" s="168">
        <v>4</v>
      </c>
      <c r="B7" s="268" t="s">
        <v>263</v>
      </c>
      <c r="C7" s="268"/>
      <c r="D7" s="268"/>
      <c r="E7" s="268"/>
      <c r="F7" s="131">
        <v>366</v>
      </c>
      <c r="G7" s="335">
        <v>122.95081967213115</v>
      </c>
      <c r="H7" s="169">
        <v>45000</v>
      </c>
      <c r="I7" s="168" t="s">
        <v>264</v>
      </c>
      <c r="J7" s="137"/>
      <c r="K7" s="101">
        <f t="shared" ref="K7:K13" si="0">H7</f>
        <v>45000</v>
      </c>
      <c r="M7" s="258"/>
    </row>
    <row r="8" spans="1:13">
      <c r="A8" s="168">
        <v>5</v>
      </c>
      <c r="B8" s="272" t="s">
        <v>398</v>
      </c>
      <c r="C8" s="273"/>
      <c r="D8" s="273"/>
      <c r="E8" s="274"/>
      <c r="F8" s="131"/>
      <c r="G8" s="135"/>
      <c r="H8" s="169"/>
      <c r="I8" s="168"/>
      <c r="J8" s="137"/>
      <c r="K8" s="101">
        <f t="shared" si="0"/>
        <v>0</v>
      </c>
      <c r="M8" s="258"/>
    </row>
    <row r="9" spans="1:13">
      <c r="A9" s="168" t="s">
        <v>265</v>
      </c>
      <c r="B9" s="336" t="s">
        <v>266</v>
      </c>
      <c r="C9" s="337"/>
      <c r="D9" s="337"/>
      <c r="E9" s="338"/>
      <c r="F9" s="131">
        <v>2</v>
      </c>
      <c r="G9" s="135">
        <v>18000</v>
      </c>
      <c r="H9" s="169">
        <f>F9*G9*1.21</f>
        <v>43560</v>
      </c>
      <c r="I9" s="168"/>
      <c r="J9" s="137"/>
      <c r="K9" s="101">
        <f t="shared" si="0"/>
        <v>43560</v>
      </c>
    </row>
    <row r="10" spans="1:13">
      <c r="A10" s="168" t="s">
        <v>267</v>
      </c>
      <c r="B10" s="339" t="s">
        <v>399</v>
      </c>
      <c r="C10" s="340"/>
      <c r="D10" s="340"/>
      <c r="E10" s="341"/>
      <c r="F10" s="131">
        <v>2</v>
      </c>
      <c r="G10" s="135">
        <v>29000</v>
      </c>
      <c r="H10" s="169">
        <f>F10*G10*1.21</f>
        <v>70180</v>
      </c>
      <c r="I10" s="168"/>
      <c r="J10" s="137"/>
      <c r="K10" s="101">
        <f t="shared" si="0"/>
        <v>70180</v>
      </c>
    </row>
    <row r="11" spans="1:13">
      <c r="A11" s="168" t="s">
        <v>269</v>
      </c>
      <c r="B11" s="336" t="s">
        <v>400</v>
      </c>
      <c r="C11" s="342"/>
      <c r="D11" s="342"/>
      <c r="E11" s="343"/>
      <c r="F11" s="131">
        <v>2</v>
      </c>
      <c r="G11" s="135">
        <v>55000</v>
      </c>
      <c r="H11" s="169">
        <f>F11*G11*1.21</f>
        <v>133100</v>
      </c>
      <c r="I11" s="168"/>
      <c r="J11" s="137"/>
      <c r="K11" s="101">
        <f t="shared" si="0"/>
        <v>133100</v>
      </c>
    </row>
    <row r="12" spans="1:13">
      <c r="A12" s="243">
        <v>6</v>
      </c>
      <c r="B12" s="272" t="s">
        <v>271</v>
      </c>
      <c r="C12" s="273"/>
      <c r="D12" s="273"/>
      <c r="E12" s="274"/>
      <c r="F12" s="131">
        <v>366</v>
      </c>
      <c r="G12" s="135">
        <v>270</v>
      </c>
      <c r="H12" s="169">
        <f t="shared" ref="H12:H13" si="1">F12*G12*1.21</f>
        <v>119572.2</v>
      </c>
      <c r="I12" s="168" t="s">
        <v>264</v>
      </c>
      <c r="J12" s="137"/>
      <c r="K12" s="101">
        <f t="shared" si="0"/>
        <v>119572.2</v>
      </c>
    </row>
    <row r="13" spans="1:13">
      <c r="A13" s="243">
        <v>7</v>
      </c>
      <c r="B13" s="268" t="s">
        <v>272</v>
      </c>
      <c r="C13" s="268"/>
      <c r="D13" s="268"/>
      <c r="E13" s="268"/>
      <c r="F13" s="131">
        <v>366</v>
      </c>
      <c r="G13" s="135">
        <v>80</v>
      </c>
      <c r="H13" s="169">
        <f t="shared" si="1"/>
        <v>35428.799999999996</v>
      </c>
      <c r="I13" s="168" t="s">
        <v>264</v>
      </c>
      <c r="J13" s="137"/>
      <c r="K13" s="101">
        <f t="shared" si="0"/>
        <v>35428.799999999996</v>
      </c>
    </row>
    <row r="14" spans="1:13" ht="16.5" thickBot="1">
      <c r="A14" s="269"/>
      <c r="B14" s="269"/>
      <c r="C14" s="269"/>
      <c r="D14" s="269"/>
      <c r="E14" s="269"/>
      <c r="F14" s="173"/>
      <c r="G14" s="173"/>
      <c r="H14" s="174">
        <f>SUM(H4:H13)</f>
        <v>933987</v>
      </c>
      <c r="I14" s="168"/>
      <c r="J14" s="137">
        <f>SUM(J6:J13)</f>
        <v>0</v>
      </c>
      <c r="K14" s="101">
        <f>SUM(K6:K13)</f>
        <v>933987</v>
      </c>
      <c r="L14" s="122">
        <f>J14+K14</f>
        <v>933987</v>
      </c>
    </row>
    <row r="15" spans="1:13">
      <c r="A15" s="165"/>
      <c r="B15" s="165"/>
      <c r="C15" s="165"/>
      <c r="D15" s="165"/>
      <c r="E15" s="165"/>
      <c r="F15" s="165"/>
      <c r="G15" s="165"/>
      <c r="H15" s="165"/>
      <c r="I15" s="165"/>
    </row>
    <row r="16" spans="1:13">
      <c r="A16" s="124" t="s">
        <v>311</v>
      </c>
    </row>
    <row r="17" spans="8:8">
      <c r="H17" s="143"/>
    </row>
  </sheetData>
  <mergeCells count="13">
    <mergeCell ref="M4:M8"/>
    <mergeCell ref="B9:E9"/>
    <mergeCell ref="B10:E10"/>
    <mergeCell ref="B11:E11"/>
    <mergeCell ref="B12:E12"/>
    <mergeCell ref="B13:E13"/>
    <mergeCell ref="A14:E14"/>
    <mergeCell ref="A1:I1"/>
    <mergeCell ref="B4:E4"/>
    <mergeCell ref="B5:E5"/>
    <mergeCell ref="B6:E6"/>
    <mergeCell ref="B7:E7"/>
    <mergeCell ref="B8:E8"/>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439FF-89D9-4E6F-968A-7BC9D39399AC}">
  <dimension ref="A1:M9"/>
  <sheetViews>
    <sheetView view="pageBreakPreview" zoomScaleNormal="100" zoomScaleSheetLayoutView="100" workbookViewId="0">
      <selection activeCell="M2" sqref="M2:M6"/>
    </sheetView>
  </sheetViews>
  <sheetFormatPr defaultRowHeight="15.75"/>
  <cols>
    <col min="1" max="1" width="9.140625" style="124"/>
    <col min="2" max="2" width="17.7109375" style="124" customWidth="1"/>
    <col min="3" max="3" width="29" style="124" customWidth="1"/>
    <col min="4" max="8" width="9.140625" style="124"/>
    <col min="9" max="9" width="42.85546875" style="124" customWidth="1"/>
    <col min="10" max="11" width="10.5703125" style="124" bestFit="1" customWidth="1"/>
    <col min="12" max="12" width="9.140625" style="124"/>
    <col min="13" max="13" width="46.7109375" style="124" customWidth="1"/>
    <col min="14" max="16384" width="9.140625" style="124"/>
  </cols>
  <sheetData>
    <row r="1" spans="1:13" ht="57" customHeight="1">
      <c r="A1" s="290" t="s">
        <v>325</v>
      </c>
      <c r="B1" s="290"/>
      <c r="C1" s="290"/>
      <c r="D1" s="290"/>
      <c r="E1" s="290"/>
      <c r="F1" s="290"/>
      <c r="G1" s="290"/>
      <c r="H1" s="290"/>
      <c r="I1" s="290"/>
      <c r="M1" s="75" t="s">
        <v>379</v>
      </c>
    </row>
    <row r="2" spans="1:13">
      <c r="M2" s="258" t="s">
        <v>100</v>
      </c>
    </row>
    <row r="3" spans="1:13" ht="30">
      <c r="F3" s="144" t="s">
        <v>156</v>
      </c>
      <c r="G3" s="215" t="s">
        <v>252</v>
      </c>
      <c r="H3" s="215" t="s">
        <v>253</v>
      </c>
      <c r="I3" s="128" t="s">
        <v>254</v>
      </c>
      <c r="J3" s="216" t="s">
        <v>45</v>
      </c>
      <c r="K3" s="216" t="s">
        <v>52</v>
      </c>
      <c r="M3" s="258"/>
    </row>
    <row r="4" spans="1:13">
      <c r="A4" s="130">
        <v>1</v>
      </c>
      <c r="B4" s="263" t="s">
        <v>326</v>
      </c>
      <c r="C4" s="264"/>
      <c r="D4" s="264"/>
      <c r="E4" s="265"/>
      <c r="F4" s="131"/>
      <c r="G4" s="136"/>
      <c r="H4" s="136"/>
      <c r="I4" s="137"/>
      <c r="J4" s="137"/>
      <c r="K4" s="137"/>
      <c r="M4" s="258"/>
    </row>
    <row r="5" spans="1:13">
      <c r="A5" s="138" t="s">
        <v>246</v>
      </c>
      <c r="B5" s="266" t="s">
        <v>327</v>
      </c>
      <c r="C5" s="267"/>
      <c r="D5" s="267"/>
      <c r="E5" s="267"/>
      <c r="F5" s="131">
        <v>1000</v>
      </c>
      <c r="G5" s="131">
        <v>300</v>
      </c>
      <c r="H5" s="135">
        <f>F5*G5*1.21</f>
        <v>363000</v>
      </c>
      <c r="I5" s="137" t="s">
        <v>276</v>
      </c>
      <c r="J5" s="101">
        <v>10000</v>
      </c>
      <c r="K5" s="101">
        <f>H5-J5</f>
        <v>353000</v>
      </c>
      <c r="L5" s="97"/>
      <c r="M5" s="258"/>
    </row>
    <row r="6" spans="1:13">
      <c r="A6" s="138" t="s">
        <v>248</v>
      </c>
      <c r="B6" s="275" t="s">
        <v>328</v>
      </c>
      <c r="C6" s="276"/>
      <c r="D6" s="276"/>
      <c r="E6" s="276"/>
      <c r="F6" s="135">
        <v>600</v>
      </c>
      <c r="G6" s="131">
        <v>300</v>
      </c>
      <c r="H6" s="135">
        <f>F6*G6*1.21</f>
        <v>217800</v>
      </c>
      <c r="I6" s="137" t="s">
        <v>276</v>
      </c>
      <c r="J6" s="101">
        <v>100000</v>
      </c>
      <c r="K6" s="101">
        <f>H6-J6</f>
        <v>117800</v>
      </c>
      <c r="L6" s="97"/>
      <c r="M6" s="258"/>
    </row>
    <row r="7" spans="1:13" ht="16.5" thickBot="1">
      <c r="A7" s="269"/>
      <c r="B7" s="269"/>
      <c r="C7" s="269"/>
      <c r="D7" s="269"/>
      <c r="E7" s="269"/>
      <c r="F7" s="140">
        <f>SUM(F5:F6)</f>
        <v>1600</v>
      </c>
      <c r="G7" s="140"/>
      <c r="H7" s="141">
        <f>SUM(H5:H6)</f>
        <v>580800</v>
      </c>
      <c r="I7" s="137"/>
      <c r="J7" s="101">
        <f>SUM(J5:J6)</f>
        <v>110000</v>
      </c>
      <c r="K7" s="101">
        <f>SUM(K5:K6)</f>
        <v>470800</v>
      </c>
      <c r="L7" s="122">
        <f>J7+K7</f>
        <v>580800</v>
      </c>
    </row>
    <row r="9" spans="1:13">
      <c r="H9" s="143"/>
    </row>
  </sheetData>
  <mergeCells count="6">
    <mergeCell ref="A7:E7"/>
    <mergeCell ref="M2:M6"/>
    <mergeCell ref="A1:I1"/>
    <mergeCell ref="B4:E4"/>
    <mergeCell ref="B5:E5"/>
    <mergeCell ref="B6:E6"/>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49AE5-4AA1-46E1-B682-73D3C60FDD55}">
  <dimension ref="A1:J22"/>
  <sheetViews>
    <sheetView view="pageBreakPreview" zoomScale="85" zoomScaleNormal="85" zoomScaleSheetLayoutView="85" workbookViewId="0">
      <selection activeCell="J2" sqref="J2:J6"/>
    </sheetView>
  </sheetViews>
  <sheetFormatPr defaultRowHeight="15.75"/>
  <cols>
    <col min="1" max="1" width="9.140625" style="124"/>
    <col min="2" max="2" width="59.28515625" style="124" customWidth="1"/>
    <col min="3" max="3" width="9.140625" style="124"/>
    <col min="4" max="4" width="16.42578125" style="124" customWidth="1"/>
    <col min="5" max="5" width="9.140625" style="124"/>
    <col min="6" max="6" width="38.28515625" style="124" customWidth="1"/>
    <col min="7" max="7" width="12.28515625" style="124" customWidth="1"/>
    <col min="8" max="8" width="13.85546875" style="124" customWidth="1"/>
    <col min="9" max="9" width="9.140625" style="124"/>
    <col min="10" max="10" width="38.7109375" style="124" customWidth="1"/>
    <col min="11" max="16384" width="9.140625" style="124"/>
  </cols>
  <sheetData>
    <row r="1" spans="1:10">
      <c r="J1" s="75" t="s">
        <v>380</v>
      </c>
    </row>
    <row r="2" spans="1:10" ht="22.5">
      <c r="A2" s="291" t="s">
        <v>329</v>
      </c>
      <c r="B2" s="291"/>
      <c r="C2" s="291"/>
      <c r="D2" s="291"/>
      <c r="E2" s="291"/>
      <c r="F2" s="291"/>
      <c r="G2" s="291"/>
      <c r="H2" s="291"/>
      <c r="J2" s="258" t="s">
        <v>100</v>
      </c>
    </row>
    <row r="3" spans="1:10">
      <c r="A3" s="217"/>
      <c r="J3" s="258"/>
    </row>
    <row r="4" spans="1:10" ht="47.25">
      <c r="A4" s="218" t="s">
        <v>330</v>
      </c>
      <c r="B4" s="219" t="s">
        <v>331</v>
      </c>
      <c r="C4" s="219" t="s">
        <v>332</v>
      </c>
      <c r="D4" s="219" t="s">
        <v>333</v>
      </c>
      <c r="E4" s="219" t="s">
        <v>334</v>
      </c>
      <c r="F4" s="137"/>
      <c r="G4" s="219" t="s">
        <v>45</v>
      </c>
      <c r="H4" s="219" t="s">
        <v>52</v>
      </c>
      <c r="J4" s="258"/>
    </row>
    <row r="5" spans="1:10">
      <c r="A5" s="139">
        <v>1</v>
      </c>
      <c r="B5" s="220" t="s">
        <v>335</v>
      </c>
      <c r="C5" s="221">
        <v>17</v>
      </c>
      <c r="D5" s="221">
        <v>1700</v>
      </c>
      <c r="E5" s="222">
        <f>C5*D5</f>
        <v>28900</v>
      </c>
      <c r="F5" s="134" t="s">
        <v>264</v>
      </c>
      <c r="G5" s="101"/>
      <c r="H5" s="223">
        <f>E5</f>
        <v>28900</v>
      </c>
      <c r="I5" s="97"/>
      <c r="J5" s="258"/>
    </row>
    <row r="6" spans="1:10">
      <c r="A6" s="139">
        <v>2</v>
      </c>
      <c r="B6" s="220" t="s">
        <v>336</v>
      </c>
      <c r="C6" s="221"/>
      <c r="D6" s="221"/>
      <c r="E6" s="222">
        <f>SUM(E7:E10)</f>
        <v>176412.9</v>
      </c>
      <c r="F6" s="134" t="s">
        <v>264</v>
      </c>
      <c r="G6" s="101"/>
      <c r="H6" s="223">
        <f t="shared" ref="H6:H11" si="0">E6</f>
        <v>176412.9</v>
      </c>
      <c r="I6" s="97"/>
      <c r="J6" s="258"/>
    </row>
    <row r="7" spans="1:10">
      <c r="A7" s="139" t="s">
        <v>202</v>
      </c>
      <c r="B7" s="224" t="s">
        <v>337</v>
      </c>
      <c r="C7" s="221">
        <v>1</v>
      </c>
      <c r="D7" s="221">
        <f>3090*1.21</f>
        <v>3738.9</v>
      </c>
      <c r="E7" s="221">
        <f>C7*D7</f>
        <v>3738.9</v>
      </c>
      <c r="F7" s="134" t="s">
        <v>264</v>
      </c>
      <c r="G7" s="101"/>
      <c r="H7" s="101">
        <f t="shared" si="0"/>
        <v>3738.9</v>
      </c>
      <c r="I7" s="97"/>
    </row>
    <row r="8" spans="1:10">
      <c r="A8" s="139" t="s">
        <v>205</v>
      </c>
      <c r="B8" s="224" t="s">
        <v>338</v>
      </c>
      <c r="C8" s="221">
        <v>17</v>
      </c>
      <c r="D8" s="221">
        <v>3908</v>
      </c>
      <c r="E8" s="221">
        <f>C8*D8</f>
        <v>66436</v>
      </c>
      <c r="F8" s="134" t="s">
        <v>264</v>
      </c>
      <c r="G8" s="101"/>
      <c r="H8" s="101">
        <f t="shared" si="0"/>
        <v>66436</v>
      </c>
      <c r="I8" s="97"/>
    </row>
    <row r="9" spans="1:10">
      <c r="A9" s="139" t="s">
        <v>207</v>
      </c>
      <c r="B9" s="220" t="s">
        <v>339</v>
      </c>
      <c r="C9" s="221">
        <v>1</v>
      </c>
      <c r="D9" s="221">
        <f>58900*1.21</f>
        <v>71269</v>
      </c>
      <c r="E9" s="221">
        <f t="shared" ref="E9:E11" si="1">C9*D9</f>
        <v>71269</v>
      </c>
      <c r="F9" s="134" t="s">
        <v>264</v>
      </c>
      <c r="G9" s="101"/>
      <c r="H9" s="101">
        <f t="shared" si="0"/>
        <v>71269</v>
      </c>
      <c r="I9" s="97"/>
    </row>
    <row r="10" spans="1:10">
      <c r="A10" s="139" t="s">
        <v>209</v>
      </c>
      <c r="B10" s="220" t="s">
        <v>340</v>
      </c>
      <c r="C10" s="221">
        <v>1</v>
      </c>
      <c r="D10" s="221">
        <f>28900*1.21</f>
        <v>34969</v>
      </c>
      <c r="E10" s="221">
        <f t="shared" si="1"/>
        <v>34969</v>
      </c>
      <c r="F10" s="134" t="s">
        <v>264</v>
      </c>
      <c r="G10" s="101"/>
      <c r="H10" s="101">
        <f t="shared" si="0"/>
        <v>34969</v>
      </c>
      <c r="I10" s="97"/>
    </row>
    <row r="11" spans="1:10">
      <c r="A11" s="139">
        <v>3</v>
      </c>
      <c r="B11" s="220" t="s">
        <v>341</v>
      </c>
      <c r="C11" s="221">
        <v>1</v>
      </c>
      <c r="D11" s="221">
        <v>9000</v>
      </c>
      <c r="E11" s="222">
        <f t="shared" si="1"/>
        <v>9000</v>
      </c>
      <c r="F11" s="134" t="s">
        <v>264</v>
      </c>
      <c r="G11" s="101"/>
      <c r="H11" s="223">
        <f t="shared" si="0"/>
        <v>9000</v>
      </c>
      <c r="I11" s="97"/>
    </row>
    <row r="12" spans="1:10">
      <c r="E12" s="225">
        <f>E5+E6+E11</f>
        <v>214312.9</v>
      </c>
      <c r="F12" s="226"/>
      <c r="G12" s="97"/>
      <c r="H12" s="97"/>
      <c r="I12" s="97"/>
    </row>
    <row r="13" spans="1:10">
      <c r="F13" s="226"/>
      <c r="G13" s="97"/>
      <c r="H13" s="97"/>
      <c r="I13" s="97"/>
    </row>
    <row r="14" spans="1:10" ht="47.25">
      <c r="A14" s="218" t="s">
        <v>330</v>
      </c>
      <c r="B14" s="219" t="s">
        <v>342</v>
      </c>
      <c r="C14" s="219" t="s">
        <v>343</v>
      </c>
      <c r="D14" s="219" t="s">
        <v>333</v>
      </c>
      <c r="E14" s="219" t="s">
        <v>334</v>
      </c>
      <c r="F14" s="134"/>
      <c r="G14" s="101"/>
      <c r="H14" s="101"/>
      <c r="I14" s="97"/>
    </row>
    <row r="15" spans="1:10" ht="78.75">
      <c r="A15" s="139">
        <v>1</v>
      </c>
      <c r="B15" s="220" t="s">
        <v>163</v>
      </c>
      <c r="C15" s="221">
        <v>376</v>
      </c>
      <c r="D15" s="221">
        <v>20000</v>
      </c>
      <c r="E15" s="221">
        <f>D15*1.21</f>
        <v>24200</v>
      </c>
      <c r="F15" s="134" t="s">
        <v>344</v>
      </c>
      <c r="G15" s="101">
        <v>24200</v>
      </c>
      <c r="H15" s="101">
        <v>0</v>
      </c>
      <c r="I15" s="97"/>
    </row>
    <row r="16" spans="1:10" ht="78.75">
      <c r="A16" s="139">
        <v>2</v>
      </c>
      <c r="B16" s="220" t="s">
        <v>166</v>
      </c>
      <c r="C16" s="221">
        <v>376</v>
      </c>
      <c r="D16" s="221">
        <v>2200</v>
      </c>
      <c r="E16" s="221">
        <f>D16*1.21</f>
        <v>2662</v>
      </c>
      <c r="F16" s="134" t="s">
        <v>345</v>
      </c>
      <c r="G16" s="101"/>
      <c r="H16" s="101">
        <v>2662</v>
      </c>
      <c r="I16" s="97"/>
    </row>
    <row r="17" spans="1:9">
      <c r="A17" s="139">
        <v>3</v>
      </c>
      <c r="B17" s="224" t="s">
        <v>172</v>
      </c>
      <c r="C17" s="221">
        <v>376</v>
      </c>
      <c r="D17" s="221">
        <v>800</v>
      </c>
      <c r="E17" s="221">
        <f>D17*C17</f>
        <v>300800</v>
      </c>
      <c r="F17" s="134" t="s">
        <v>264</v>
      </c>
      <c r="G17" s="101">
        <v>25800</v>
      </c>
      <c r="H17" s="101">
        <f>E17-G17</f>
        <v>275000</v>
      </c>
      <c r="I17" s="97"/>
    </row>
    <row r="18" spans="1:9">
      <c r="E18" s="225">
        <f>SUM(E15:E17)</f>
        <v>327662</v>
      </c>
      <c r="G18" s="101">
        <f>SUM(G5:G17)</f>
        <v>50000</v>
      </c>
      <c r="H18" s="101">
        <f>SUM(H5:H17)</f>
        <v>668387.80000000005</v>
      </c>
      <c r="I18" s="122">
        <f>G18+H18</f>
        <v>718387.8</v>
      </c>
    </row>
    <row r="20" spans="1:9">
      <c r="E20" s="227"/>
    </row>
    <row r="22" spans="1:9">
      <c r="E22" s="97"/>
    </row>
  </sheetData>
  <protectedRanges>
    <protectedRange password="8235" sqref="C5:C11 C15:C17" name="Range2_4"/>
    <protectedRange sqref="C5:C11 C15:C17" name="Range1_4"/>
    <protectedRange password="8235" sqref="D5:D11 D15:D17" name="Range2_4_1"/>
    <protectedRange sqref="D5:D11 D15:D17" name="Range1_4_1"/>
    <protectedRange password="8235" sqref="E5:E11 E15:E17" name="Range2"/>
    <protectedRange sqref="E5:E11 E15:E17" name="Range1"/>
  </protectedRanges>
  <mergeCells count="2">
    <mergeCell ref="A2:H2"/>
    <mergeCell ref="J2:J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E8212-A6B8-4682-9C14-10B78957F9E2}">
  <dimension ref="A1:I6"/>
  <sheetViews>
    <sheetView view="pageBreakPreview" zoomScaleNormal="100" zoomScaleSheetLayoutView="100" workbookViewId="0">
      <selection activeCell="I2" sqref="I2:I6"/>
    </sheetView>
  </sheetViews>
  <sheetFormatPr defaultRowHeight="15.75"/>
  <cols>
    <col min="1" max="1" width="21.5703125" style="124" customWidth="1"/>
    <col min="2" max="2" width="17" style="124" customWidth="1"/>
    <col min="3" max="4" width="9.140625" style="124"/>
    <col min="5" max="5" width="13.5703125" style="124" customWidth="1"/>
    <col min="6" max="6" width="11.7109375" style="124" customWidth="1"/>
    <col min="7" max="7" width="12" style="124" customWidth="1"/>
    <col min="8" max="8" width="9.140625" style="124"/>
    <col min="9" max="9" width="35.42578125" style="124" customWidth="1"/>
    <col min="10" max="16384" width="9.140625" style="124"/>
  </cols>
  <sheetData>
    <row r="1" spans="1:9" ht="51.75" customHeight="1">
      <c r="A1" s="292" t="s">
        <v>115</v>
      </c>
      <c r="B1" s="292"/>
      <c r="C1" s="292"/>
      <c r="D1" s="292"/>
      <c r="E1" s="292"/>
      <c r="F1" s="292"/>
      <c r="G1" s="292"/>
      <c r="I1" s="75" t="s">
        <v>381</v>
      </c>
    </row>
    <row r="2" spans="1:9">
      <c r="I2" s="258" t="s">
        <v>100</v>
      </c>
    </row>
    <row r="3" spans="1:9">
      <c r="I3" s="258"/>
    </row>
    <row r="4" spans="1:9" ht="31.5">
      <c r="A4" s="228" t="s">
        <v>105</v>
      </c>
      <c r="B4" s="228" t="s">
        <v>346</v>
      </c>
      <c r="C4" s="228" t="s">
        <v>332</v>
      </c>
      <c r="D4" s="228" t="s">
        <v>347</v>
      </c>
      <c r="E4" s="228" t="s">
        <v>348</v>
      </c>
      <c r="F4" s="228" t="s">
        <v>45</v>
      </c>
      <c r="G4" s="228" t="s">
        <v>52</v>
      </c>
      <c r="I4" s="258"/>
    </row>
    <row r="5" spans="1:9" ht="31.5">
      <c r="A5" s="134" t="s">
        <v>349</v>
      </c>
      <c r="B5" s="168" t="s">
        <v>350</v>
      </c>
      <c r="C5" s="168">
        <v>1</v>
      </c>
      <c r="D5" s="135">
        <v>550000</v>
      </c>
      <c r="E5" s="135">
        <f>D5*C5</f>
        <v>550000</v>
      </c>
      <c r="F5" s="135">
        <v>78571</v>
      </c>
      <c r="G5" s="135">
        <v>471429</v>
      </c>
      <c r="I5" s="258"/>
    </row>
    <row r="6" spans="1:9">
      <c r="A6" s="137"/>
      <c r="B6" s="168"/>
      <c r="C6" s="168"/>
      <c r="D6" s="135"/>
      <c r="E6" s="135"/>
      <c r="F6" s="135">
        <f>F5</f>
        <v>78571</v>
      </c>
      <c r="G6" s="135">
        <f>G5</f>
        <v>471429</v>
      </c>
      <c r="H6" s="142">
        <f>F6+G6</f>
        <v>550000</v>
      </c>
      <c r="I6" s="258"/>
    </row>
  </sheetData>
  <mergeCells count="2">
    <mergeCell ref="A1:G1"/>
    <mergeCell ref="I2:I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24730-81EE-47AE-8802-A86464B87C71}">
  <dimension ref="A1:I8"/>
  <sheetViews>
    <sheetView view="pageBreakPreview" zoomScaleNormal="100" zoomScaleSheetLayoutView="100" workbookViewId="0">
      <selection activeCell="I2" sqref="I2:I6"/>
    </sheetView>
  </sheetViews>
  <sheetFormatPr defaultRowHeight="15.75"/>
  <cols>
    <col min="1" max="1" width="9.140625" style="124"/>
    <col min="2" max="2" width="36" style="124" customWidth="1"/>
    <col min="3" max="3" width="34.7109375" style="124" customWidth="1"/>
    <col min="4" max="4" width="9.140625" style="124"/>
    <col min="5" max="5" width="15.28515625" style="124" customWidth="1"/>
    <col min="6" max="6" width="11.28515625" style="124" customWidth="1"/>
    <col min="7" max="7" width="11.85546875" style="124" customWidth="1"/>
    <col min="8" max="8" width="9.140625" style="124"/>
    <col min="9" max="9" width="20" style="124" customWidth="1"/>
    <col min="10" max="16384" width="9.140625" style="124"/>
  </cols>
  <sheetData>
    <row r="1" spans="1:9" ht="23.25">
      <c r="A1" s="277" t="s">
        <v>116</v>
      </c>
      <c r="B1" s="277"/>
      <c r="C1" s="277"/>
      <c r="D1" s="277"/>
      <c r="E1" s="277"/>
      <c r="I1" s="75" t="s">
        <v>382</v>
      </c>
    </row>
    <row r="2" spans="1:9" ht="16.5" thickBot="1">
      <c r="I2" s="258" t="s">
        <v>100</v>
      </c>
    </row>
    <row r="3" spans="1:9" ht="30.75" thickBot="1">
      <c r="A3" s="229" t="s">
        <v>351</v>
      </c>
      <c r="B3" s="230" t="s">
        <v>352</v>
      </c>
      <c r="C3" s="231" t="s">
        <v>353</v>
      </c>
      <c r="D3" s="232" t="s">
        <v>354</v>
      </c>
      <c r="E3" s="232" t="s">
        <v>355</v>
      </c>
      <c r="F3" s="216" t="s">
        <v>45</v>
      </c>
      <c r="G3" s="216" t="s">
        <v>52</v>
      </c>
      <c r="I3" s="258"/>
    </row>
    <row r="4" spans="1:9" ht="56.25" thickBot="1">
      <c r="A4" s="233" t="s">
        <v>356</v>
      </c>
      <c r="B4" s="234" t="s">
        <v>357</v>
      </c>
      <c r="C4" s="235">
        <v>96800</v>
      </c>
      <c r="D4" s="135">
        <f>C4/E4</f>
        <v>8066.666666666667</v>
      </c>
      <c r="E4" s="168">
        <v>12</v>
      </c>
      <c r="F4" s="135"/>
      <c r="G4" s="135">
        <f>C4</f>
        <v>96800</v>
      </c>
      <c r="H4" s="97"/>
      <c r="I4" s="258"/>
    </row>
    <row r="5" spans="1:9" ht="56.25" thickBot="1">
      <c r="A5" s="233" t="s">
        <v>358</v>
      </c>
      <c r="B5" s="234" t="s">
        <v>359</v>
      </c>
      <c r="C5" s="235">
        <v>105270</v>
      </c>
      <c r="D5" s="135">
        <f>C5/E5</f>
        <v>5848.333333333333</v>
      </c>
      <c r="E5" s="168">
        <v>18</v>
      </c>
      <c r="F5" s="135">
        <v>105270</v>
      </c>
      <c r="G5" s="135">
        <f>C5-F5</f>
        <v>0</v>
      </c>
      <c r="H5" s="97"/>
      <c r="I5" s="258"/>
    </row>
    <row r="6" spans="1:9" ht="56.25" thickBot="1">
      <c r="A6" s="233" t="s">
        <v>360</v>
      </c>
      <c r="B6" s="234" t="s">
        <v>361</v>
      </c>
      <c r="C6" s="235">
        <v>133100</v>
      </c>
      <c r="D6" s="135">
        <f t="shared" ref="D6" si="0">C6/E6</f>
        <v>11091.666666666666</v>
      </c>
      <c r="E6" s="168">
        <v>12</v>
      </c>
      <c r="F6" s="135"/>
      <c r="G6" s="135">
        <f>C6</f>
        <v>133100</v>
      </c>
      <c r="H6" s="97"/>
      <c r="I6" s="258"/>
    </row>
    <row r="7" spans="1:9" ht="56.25" thickBot="1">
      <c r="A7" s="233" t="s">
        <v>362</v>
      </c>
      <c r="B7" s="236" t="s">
        <v>363</v>
      </c>
      <c r="C7" s="133">
        <v>179330</v>
      </c>
      <c r="D7" s="135">
        <f>C7/E7</f>
        <v>14944.166666666666</v>
      </c>
      <c r="E7" s="168">
        <v>12</v>
      </c>
      <c r="F7" s="135">
        <v>46054</v>
      </c>
      <c r="G7" s="135">
        <f>C7-F7</f>
        <v>133276</v>
      </c>
      <c r="H7" s="97"/>
    </row>
    <row r="8" spans="1:9" ht="16.5" thickBot="1">
      <c r="A8" s="293" t="s">
        <v>58</v>
      </c>
      <c r="B8" s="294"/>
      <c r="C8" s="237">
        <f>SUM(C4:C7)</f>
        <v>514500</v>
      </c>
      <c r="D8" s="137"/>
      <c r="E8" s="137"/>
      <c r="F8" s="135">
        <f>SUM(F4:F7)</f>
        <v>151324</v>
      </c>
      <c r="G8" s="135">
        <f>SUM(G4:G7)</f>
        <v>363176</v>
      </c>
      <c r="H8" s="122">
        <f>F8+G8</f>
        <v>514500</v>
      </c>
    </row>
  </sheetData>
  <mergeCells count="3">
    <mergeCell ref="A1:E1"/>
    <mergeCell ref="A8:B8"/>
    <mergeCell ref="I2:I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90738-23DD-45F3-9372-96CB622CE439}">
  <dimension ref="B1:I7"/>
  <sheetViews>
    <sheetView view="pageBreakPreview" zoomScale="85" zoomScaleNormal="100" zoomScaleSheetLayoutView="85" workbookViewId="0">
      <selection activeCell="I2" sqref="I2:I6"/>
    </sheetView>
  </sheetViews>
  <sheetFormatPr defaultRowHeight="15.75"/>
  <cols>
    <col min="1" max="1" width="9.140625" style="124"/>
    <col min="2" max="2" width="45.85546875" style="124" customWidth="1"/>
    <col min="3" max="5" width="9.140625" style="124"/>
    <col min="6" max="6" width="12.28515625" style="124" customWidth="1"/>
    <col min="7" max="7" width="13" style="124" customWidth="1"/>
    <col min="8" max="8" width="9.140625" style="124"/>
    <col min="9" max="9" width="23.85546875" style="124" customWidth="1"/>
    <col min="10" max="16384" width="9.140625" style="124"/>
  </cols>
  <sheetData>
    <row r="1" spans="2:9" ht="47.25" customHeight="1">
      <c r="B1" s="289" t="s">
        <v>117</v>
      </c>
      <c r="C1" s="289"/>
      <c r="D1" s="289"/>
      <c r="E1" s="289"/>
      <c r="F1" s="289"/>
      <c r="G1" s="289"/>
      <c r="I1" s="75" t="s">
        <v>383</v>
      </c>
    </row>
    <row r="2" spans="2:9">
      <c r="I2" s="258" t="s">
        <v>100</v>
      </c>
    </row>
    <row r="3" spans="2:9" ht="47.25">
      <c r="B3" s="228" t="s">
        <v>105</v>
      </c>
      <c r="C3" s="228" t="s">
        <v>346</v>
      </c>
      <c r="D3" s="228" t="s">
        <v>364</v>
      </c>
      <c r="E3" s="228" t="s">
        <v>365</v>
      </c>
      <c r="F3" s="228" t="s">
        <v>45</v>
      </c>
      <c r="G3" s="228" t="s">
        <v>52</v>
      </c>
      <c r="I3" s="258"/>
    </row>
    <row r="4" spans="2:9" ht="47.25">
      <c r="B4" s="134" t="s">
        <v>366</v>
      </c>
      <c r="C4" s="135">
        <v>1</v>
      </c>
      <c r="D4" s="135">
        <v>53000</v>
      </c>
      <c r="E4" s="135">
        <f>D4*C4</f>
        <v>53000</v>
      </c>
      <c r="F4" s="135">
        <v>53000</v>
      </c>
      <c r="G4" s="135">
        <v>0</v>
      </c>
      <c r="H4" s="97"/>
      <c r="I4" s="258"/>
    </row>
    <row r="5" spans="2:9" ht="47.25">
      <c r="B5" s="134" t="s">
        <v>367</v>
      </c>
      <c r="C5" s="135">
        <v>1</v>
      </c>
      <c r="D5" s="135">
        <v>75000</v>
      </c>
      <c r="E5" s="135">
        <f>D5*C5</f>
        <v>75000</v>
      </c>
      <c r="F5" s="135">
        <v>32294</v>
      </c>
      <c r="G5" s="135">
        <f>E5-F5</f>
        <v>42706</v>
      </c>
      <c r="H5" s="97"/>
      <c r="I5" s="258"/>
    </row>
    <row r="6" spans="2:9" ht="47.25">
      <c r="B6" s="134" t="s">
        <v>368</v>
      </c>
      <c r="C6" s="135">
        <v>1</v>
      </c>
      <c r="D6" s="135">
        <v>57000</v>
      </c>
      <c r="E6" s="135">
        <f>D6*C6</f>
        <v>57000</v>
      </c>
      <c r="F6" s="135">
        <v>0</v>
      </c>
      <c r="G6" s="135">
        <v>57000</v>
      </c>
      <c r="H6" s="97"/>
      <c r="I6" s="258"/>
    </row>
    <row r="7" spans="2:9">
      <c r="C7" s="97"/>
      <c r="D7" s="97"/>
      <c r="E7" s="97"/>
      <c r="F7" s="101">
        <f>SUM(F4:F6)</f>
        <v>85294</v>
      </c>
      <c r="G7" s="101">
        <f>SUM(G4:G6)</f>
        <v>99706</v>
      </c>
      <c r="H7" s="122">
        <f>F7+G7</f>
        <v>185000</v>
      </c>
    </row>
  </sheetData>
  <mergeCells count="2">
    <mergeCell ref="B1:G1"/>
    <mergeCell ref="I2:I6"/>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F8FD2-2CFF-406E-9F47-2C9D2017FFCE}">
  <dimension ref="A1:H8"/>
  <sheetViews>
    <sheetView view="pageBreakPreview" zoomScaleNormal="100" zoomScaleSheetLayoutView="100" workbookViewId="0">
      <selection activeCell="H2" sqref="H2:H6"/>
    </sheetView>
  </sheetViews>
  <sheetFormatPr defaultRowHeight="15.75"/>
  <cols>
    <col min="1" max="1" width="42.28515625" style="124" customWidth="1"/>
    <col min="2" max="2" width="18.140625" style="124" customWidth="1"/>
    <col min="3" max="3" width="9.140625" style="124"/>
    <col min="4" max="4" width="13.140625" style="124" customWidth="1"/>
    <col min="5" max="5" width="12.7109375" style="124" customWidth="1"/>
    <col min="6" max="6" width="13" style="124" customWidth="1"/>
    <col min="7" max="7" width="9.140625" style="124"/>
    <col min="8" max="8" width="34.85546875" style="124" customWidth="1"/>
    <col min="9" max="16384" width="9.140625" style="124"/>
  </cols>
  <sheetData>
    <row r="1" spans="1:8">
      <c r="H1" s="75" t="s">
        <v>384</v>
      </c>
    </row>
    <row r="2" spans="1:8" ht="23.25">
      <c r="A2" s="260" t="s">
        <v>369</v>
      </c>
      <c r="B2" s="260"/>
      <c r="C2" s="260"/>
      <c r="D2" s="260"/>
      <c r="E2" s="260"/>
      <c r="F2" s="260"/>
      <c r="H2" s="258" t="s">
        <v>100</v>
      </c>
    </row>
    <row r="3" spans="1:8">
      <c r="H3" s="258"/>
    </row>
    <row r="4" spans="1:8" ht="31.5">
      <c r="A4" s="238" t="s">
        <v>105</v>
      </c>
      <c r="B4" s="238" t="s">
        <v>346</v>
      </c>
      <c r="C4" s="238" t="s">
        <v>354</v>
      </c>
      <c r="D4" s="238" t="s">
        <v>370</v>
      </c>
      <c r="E4" s="238" t="s">
        <v>45</v>
      </c>
      <c r="F4" s="238" t="s">
        <v>52</v>
      </c>
      <c r="H4" s="258"/>
    </row>
    <row r="5" spans="1:8" ht="52.5" customHeight="1">
      <c r="A5" s="134" t="s">
        <v>371</v>
      </c>
      <c r="B5" s="135">
        <v>1</v>
      </c>
      <c r="C5" s="135">
        <v>60000</v>
      </c>
      <c r="D5" s="135">
        <f>C5*B5</f>
        <v>60000</v>
      </c>
      <c r="E5" s="135">
        <v>45455</v>
      </c>
      <c r="F5" s="135">
        <f>D5-E5</f>
        <v>14545</v>
      </c>
      <c r="H5" s="258"/>
    </row>
    <row r="6" spans="1:8">
      <c r="A6" s="134" t="s">
        <v>372</v>
      </c>
      <c r="B6" s="135">
        <v>1</v>
      </c>
      <c r="C6" s="135">
        <v>30000</v>
      </c>
      <c r="D6" s="135">
        <f>C6*B6</f>
        <v>30000</v>
      </c>
      <c r="E6" s="135"/>
      <c r="F6" s="135">
        <f>D6</f>
        <v>30000</v>
      </c>
      <c r="H6" s="258"/>
    </row>
    <row r="7" spans="1:8" ht="31.5">
      <c r="A7" s="134" t="s">
        <v>373</v>
      </c>
      <c r="B7" s="135">
        <v>1</v>
      </c>
      <c r="C7" s="135">
        <v>10000</v>
      </c>
      <c r="D7" s="135">
        <f>C7*B7</f>
        <v>10000</v>
      </c>
      <c r="E7" s="135"/>
      <c r="F7" s="135">
        <f>D7</f>
        <v>10000</v>
      </c>
    </row>
    <row r="8" spans="1:8">
      <c r="E8" s="101">
        <f>SUM(E5:E7)</f>
        <v>45455</v>
      </c>
      <c r="F8" s="101">
        <f>SUM(F5:F7)</f>
        <v>54545</v>
      </c>
      <c r="G8" s="122">
        <f>E8+F8</f>
        <v>100000</v>
      </c>
    </row>
  </sheetData>
  <mergeCells count="2">
    <mergeCell ref="A2:F2"/>
    <mergeCell ref="H2:H6"/>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17C1B-EC3C-40B5-86DB-7B95C291E9EC}">
  <dimension ref="A1:L6"/>
  <sheetViews>
    <sheetView view="pageBreakPreview" zoomScale="85" zoomScaleNormal="85" zoomScaleSheetLayoutView="85" zoomScalePageLayoutView="120" workbookViewId="0">
      <selection activeCell="K2" sqref="K2"/>
    </sheetView>
  </sheetViews>
  <sheetFormatPr defaultColWidth="8.85546875" defaultRowHeight="12.75"/>
  <cols>
    <col min="1" max="1" width="3.5703125" style="12" customWidth="1"/>
    <col min="2" max="2" width="25.7109375" style="12" customWidth="1"/>
    <col min="3" max="3" width="13.7109375" style="12" customWidth="1"/>
    <col min="4" max="4" width="5.140625" style="12" customWidth="1"/>
    <col min="5" max="10" width="14.28515625" style="12" customWidth="1"/>
    <col min="11" max="11" width="31.140625" style="12" customWidth="1"/>
    <col min="12" max="12" width="8.85546875" style="13"/>
    <col min="13" max="13" width="11.5703125" style="12" bestFit="1" customWidth="1"/>
    <col min="14" max="16384" width="8.85546875" style="12"/>
  </cols>
  <sheetData>
    <row r="1" spans="1:11" ht="53.25" customHeight="1">
      <c r="A1" s="295" t="s">
        <v>123</v>
      </c>
      <c r="B1" s="296"/>
      <c r="C1" s="296"/>
      <c r="D1" s="296"/>
      <c r="E1" s="296"/>
      <c r="F1" s="296"/>
      <c r="G1" s="296"/>
      <c r="H1" s="296"/>
      <c r="I1" s="296"/>
      <c r="J1" s="296"/>
      <c r="K1" s="241" t="s">
        <v>386</v>
      </c>
    </row>
    <row r="2" spans="1:11" ht="409.5" customHeight="1">
      <c r="A2" s="239"/>
      <c r="B2" s="297" t="s">
        <v>385</v>
      </c>
      <c r="C2" s="298"/>
      <c r="D2" s="298"/>
      <c r="E2" s="298"/>
      <c r="F2" s="298"/>
      <c r="G2" s="298"/>
      <c r="H2" s="298"/>
      <c r="I2" s="298"/>
      <c r="J2" s="298"/>
      <c r="K2" s="242" t="s">
        <v>100</v>
      </c>
    </row>
    <row r="3" spans="1:11">
      <c r="K3" s="240"/>
    </row>
    <row r="4" spans="1:11">
      <c r="K4" s="240"/>
    </row>
    <row r="5" spans="1:11">
      <c r="K5" s="240"/>
    </row>
    <row r="6" spans="1:11">
      <c r="K6" s="240"/>
    </row>
  </sheetData>
  <dataConsolidate/>
  <mergeCells count="2">
    <mergeCell ref="A1:J1"/>
    <mergeCell ref="B2:J2"/>
  </mergeCells>
  <pageMargins left="0.59055118110236227" right="0.59055118110236227" top="0.39370078740157483" bottom="0.39370078740157483" header="0" footer="0"/>
  <pageSetup paperSize="9" scale="70" orientation="landscape" r:id="rId1"/>
  <headerFooter alignWithMargins="0">
    <oddFooter>&amp;C&amp;"Times New Roman,Regular"&amp;P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8"/>
  <sheetViews>
    <sheetView topLeftCell="A2" zoomScale="85" zoomScaleNormal="85" zoomScalePageLayoutView="120" workbookViewId="0">
      <selection activeCell="K3" sqref="K3:K7"/>
    </sheetView>
  </sheetViews>
  <sheetFormatPr defaultColWidth="8.85546875" defaultRowHeight="12.75"/>
  <cols>
    <col min="1" max="1" width="3.5703125" style="12" customWidth="1"/>
    <col min="2" max="2" width="25.7109375" style="12" customWidth="1"/>
    <col min="3" max="3" width="13.7109375" style="12" customWidth="1"/>
    <col min="4" max="4" width="6" style="12" customWidth="1"/>
    <col min="5" max="9" width="14.28515625" style="12" customWidth="1"/>
    <col min="10" max="10" width="30.5703125" style="12" customWidth="1"/>
    <col min="11" max="11" width="49.42578125" style="12" customWidth="1"/>
    <col min="12" max="12" width="11.5703125" style="12" bestFit="1" customWidth="1"/>
    <col min="13" max="13" width="11.28515625" style="12" bestFit="1" customWidth="1"/>
    <col min="14" max="14" width="11.5703125" style="12" bestFit="1" customWidth="1"/>
    <col min="15" max="15" width="12.140625" style="12" bestFit="1" customWidth="1"/>
    <col min="16" max="16384" width="8.85546875" style="12"/>
  </cols>
  <sheetData>
    <row r="1" spans="1:11" hidden="1">
      <c r="A1" s="11" t="s">
        <v>0</v>
      </c>
      <c r="B1" s="11" t="s">
        <v>1</v>
      </c>
      <c r="C1" s="11"/>
      <c r="D1" s="11" t="s">
        <v>2</v>
      </c>
      <c r="E1" s="11" t="s">
        <v>3</v>
      </c>
      <c r="F1" s="11" t="s">
        <v>4</v>
      </c>
      <c r="G1" s="11" t="s">
        <v>5</v>
      </c>
    </row>
    <row r="2" spans="1:11" ht="15.75" customHeight="1">
      <c r="B2" s="308"/>
      <c r="C2" s="308"/>
      <c r="D2" s="308"/>
      <c r="E2" s="308"/>
      <c r="F2" s="308"/>
      <c r="G2" s="308"/>
      <c r="H2" s="308"/>
      <c r="I2" s="308"/>
      <c r="K2" s="3" t="s">
        <v>388</v>
      </c>
    </row>
    <row r="3" spans="1:11" ht="13.5" customHeight="1">
      <c r="A3" s="7"/>
      <c r="B3" s="8"/>
      <c r="C3" s="8"/>
      <c r="D3" s="8"/>
      <c r="E3" s="8"/>
      <c r="F3" s="8"/>
      <c r="G3" s="8"/>
      <c r="H3" s="8"/>
      <c r="I3" s="8"/>
      <c r="K3" s="250" t="s">
        <v>100</v>
      </c>
    </row>
    <row r="4" spans="1:11" ht="13.5" customHeight="1">
      <c r="A4" s="7"/>
      <c r="B4" s="311"/>
      <c r="C4" s="311"/>
      <c r="D4" s="312"/>
      <c r="E4" s="312"/>
      <c r="F4" s="312"/>
      <c r="G4" s="312"/>
      <c r="K4" s="250"/>
    </row>
    <row r="5" spans="1:11" ht="21" customHeight="1">
      <c r="A5" s="7"/>
      <c r="B5" s="308" t="s">
        <v>121</v>
      </c>
      <c r="C5" s="308"/>
      <c r="D5" s="308"/>
      <c r="E5" s="308"/>
      <c r="F5" s="308"/>
      <c r="G5" s="308"/>
      <c r="H5" s="308"/>
      <c r="I5" s="308"/>
      <c r="J5" s="308"/>
      <c r="K5" s="250"/>
    </row>
    <row r="6" spans="1:11">
      <c r="A6" s="7"/>
      <c r="B6" s="65"/>
      <c r="C6" s="66"/>
      <c r="D6" s="14"/>
      <c r="E6" s="14"/>
      <c r="F6" s="14"/>
      <c r="G6" s="14"/>
      <c r="H6" s="14"/>
      <c r="I6" s="14"/>
      <c r="K6" s="250"/>
    </row>
    <row r="7" spans="1:11" ht="13.5" thickBot="1">
      <c r="A7" s="7"/>
      <c r="B7" s="7"/>
      <c r="C7" s="7"/>
      <c r="K7" s="250"/>
    </row>
    <row r="8" spans="1:11" ht="167.25" customHeight="1">
      <c r="A8" s="21"/>
      <c r="B8" s="309" t="s">
        <v>387</v>
      </c>
      <c r="C8" s="309"/>
      <c r="D8" s="309"/>
      <c r="E8" s="309"/>
      <c r="F8" s="309"/>
      <c r="G8" s="309"/>
      <c r="H8" s="309"/>
      <c r="I8" s="309"/>
      <c r="J8" s="309"/>
      <c r="K8" s="79"/>
    </row>
    <row r="9" spans="1:11" ht="409.5" customHeight="1">
      <c r="A9" s="15"/>
      <c r="B9" s="310"/>
      <c r="C9" s="310"/>
      <c r="D9" s="310"/>
      <c r="E9" s="310"/>
      <c r="F9" s="310"/>
      <c r="G9" s="310"/>
      <c r="H9" s="310"/>
      <c r="I9" s="310"/>
      <c r="J9" s="310"/>
      <c r="K9" s="79"/>
    </row>
    <row r="10" spans="1:11" ht="98.25" customHeight="1">
      <c r="A10" s="15"/>
      <c r="B10" s="310"/>
      <c r="C10" s="310"/>
      <c r="D10" s="310"/>
      <c r="E10" s="310"/>
      <c r="F10" s="310"/>
      <c r="G10" s="310"/>
      <c r="H10" s="310"/>
      <c r="I10" s="310"/>
      <c r="J10" s="310"/>
    </row>
    <row r="11" spans="1:11" ht="14.25" customHeight="1">
      <c r="A11" s="15"/>
      <c r="B11" s="303" t="s">
        <v>57</v>
      </c>
      <c r="C11" s="303"/>
      <c r="D11" s="303"/>
      <c r="E11" s="303"/>
      <c r="F11" s="303"/>
      <c r="G11" s="23"/>
      <c r="H11" s="23"/>
      <c r="I11" s="23"/>
      <c r="J11" s="23"/>
    </row>
    <row r="12" spans="1:11" ht="13.5" customHeight="1">
      <c r="A12" s="15"/>
      <c r="B12" s="24"/>
      <c r="C12" s="25" t="s">
        <v>45</v>
      </c>
      <c r="D12" s="304" t="s">
        <v>52</v>
      </c>
      <c r="E12" s="305"/>
      <c r="F12" s="25" t="s">
        <v>53</v>
      </c>
      <c r="G12" s="23"/>
      <c r="H12" s="23"/>
      <c r="I12" s="23"/>
      <c r="J12" s="23"/>
      <c r="K12" s="22"/>
    </row>
    <row r="13" spans="1:11" ht="12.75" customHeight="1">
      <c r="A13" s="15"/>
      <c r="B13" s="26" t="s">
        <v>54</v>
      </c>
      <c r="C13" s="27">
        <v>136307.6</v>
      </c>
      <c r="D13" s="306">
        <v>79567.8</v>
      </c>
      <c r="E13" s="307"/>
      <c r="F13" s="28">
        <v>0</v>
      </c>
      <c r="G13" s="23"/>
      <c r="H13" s="23"/>
      <c r="I13" s="23"/>
      <c r="J13" s="23"/>
      <c r="K13" s="22"/>
    </row>
    <row r="14" spans="1:11" ht="12.75" customHeight="1">
      <c r="A14" s="15"/>
      <c r="B14" s="26" t="s">
        <v>55</v>
      </c>
      <c r="C14" s="29">
        <v>1170600</v>
      </c>
      <c r="D14" s="299">
        <v>751028</v>
      </c>
      <c r="E14" s="300"/>
      <c r="F14" s="28">
        <v>0</v>
      </c>
      <c r="G14" s="23"/>
      <c r="H14" s="23"/>
      <c r="I14" s="23"/>
      <c r="J14" s="23"/>
      <c r="K14" s="22"/>
    </row>
    <row r="15" spans="1:11" ht="12.75" customHeight="1">
      <c r="A15" s="15"/>
      <c r="B15" s="26" t="s">
        <v>56</v>
      </c>
      <c r="C15" s="29">
        <v>157370</v>
      </c>
      <c r="D15" s="299">
        <v>302056</v>
      </c>
      <c r="E15" s="300"/>
      <c r="F15" s="28">
        <v>0</v>
      </c>
      <c r="G15" s="23"/>
      <c r="H15" s="23"/>
      <c r="I15" s="23"/>
      <c r="J15" s="23"/>
    </row>
    <row r="16" spans="1:11" ht="12.75" customHeight="1">
      <c r="A16" s="15"/>
      <c r="B16" s="26" t="s">
        <v>73</v>
      </c>
      <c r="C16" s="29"/>
      <c r="D16" s="299">
        <v>89850</v>
      </c>
      <c r="E16" s="300"/>
      <c r="F16" s="28"/>
      <c r="G16" s="23"/>
      <c r="H16" s="23"/>
      <c r="I16" s="23"/>
      <c r="J16" s="23"/>
    </row>
    <row r="17" spans="1:11" ht="12.75" customHeight="1">
      <c r="A17" s="15"/>
      <c r="B17" s="26" t="s">
        <v>74</v>
      </c>
      <c r="C17" s="29"/>
      <c r="D17" s="299">
        <v>213329</v>
      </c>
      <c r="E17" s="300"/>
      <c r="F17" s="28"/>
      <c r="G17" s="23"/>
      <c r="H17" s="23"/>
      <c r="I17" s="23"/>
      <c r="J17" s="23"/>
    </row>
    <row r="18" spans="1:11" ht="28.5" customHeight="1">
      <c r="A18" s="15"/>
      <c r="B18" s="26" t="s">
        <v>58</v>
      </c>
      <c r="C18" s="30">
        <f>SUM(C13:C15)</f>
        <v>1464277.6</v>
      </c>
      <c r="D18" s="301">
        <f>SUM(D13:E17)</f>
        <v>1435830.8</v>
      </c>
      <c r="E18" s="302"/>
      <c r="F18" s="31">
        <f>SUM(F13:F15)</f>
        <v>0</v>
      </c>
      <c r="G18" s="23"/>
      <c r="H18" s="23"/>
      <c r="I18" s="23"/>
      <c r="J18" s="23"/>
      <c r="K18" s="22"/>
    </row>
  </sheetData>
  <dataConsolidate/>
  <mergeCells count="14">
    <mergeCell ref="B5:J5"/>
    <mergeCell ref="K3:K7"/>
    <mergeCell ref="B8:J10"/>
    <mergeCell ref="B2:I2"/>
    <mergeCell ref="B4:C4"/>
    <mergeCell ref="D4:G4"/>
    <mergeCell ref="D17:E17"/>
    <mergeCell ref="D15:E15"/>
    <mergeCell ref="D18:E18"/>
    <mergeCell ref="B11:F11"/>
    <mergeCell ref="D12:E12"/>
    <mergeCell ref="D13:E13"/>
    <mergeCell ref="D14:E14"/>
    <mergeCell ref="D16:E16"/>
  </mergeCells>
  <dataValidations count="1">
    <dataValidation errorStyle="information" allowBlank="1" showInputMessage="1" showErrorMessage="1" sqref="B5" xr:uid="{00000000-0002-0000-0300-000000000000}"/>
  </dataValidations>
  <pageMargins left="0.59055118110236227" right="0.59055118110236227" top="0.39370078740157483" bottom="0.39370078740157483" header="0" footer="0"/>
  <pageSetup paperSize="9" scale="70" orientation="landscape" r:id="rId1"/>
  <headerFooter alignWithMargins="0">
    <oddFooter>&amp;C&amp;"Times New Roman,Regular"&amp;P</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iespējama kļūda" prompt="Izvēlieties no saraksta iestādi" xr:uid="{00000000-0002-0000-0300-000001000000}">
          <x14:formula1>
            <xm:f>'C:\Darba mape\Dažādi\IZ_saistībā_COVID_atlabšanai\DRS\[FMNot_p1_867, SIA DRS 09.06.2020. papildināts (1).xlsx]Šabloni'!#REF!</xm:f>
          </x14:formula1>
          <xm:sqref>D4:G4</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8"/>
  <sheetViews>
    <sheetView topLeftCell="A2" zoomScale="85" zoomScaleNormal="85" zoomScalePageLayoutView="120" workbookViewId="0">
      <selection activeCell="K3" sqref="K3:K7"/>
    </sheetView>
  </sheetViews>
  <sheetFormatPr defaultColWidth="8.85546875" defaultRowHeight="12.75"/>
  <cols>
    <col min="1" max="1" width="3.5703125" style="3" customWidth="1"/>
    <col min="2" max="2" width="25.7109375" style="3" customWidth="1"/>
    <col min="3" max="3" width="13.7109375" style="3" customWidth="1"/>
    <col min="4" max="4" width="5.140625" style="3" customWidth="1"/>
    <col min="5" max="10" width="14.28515625" style="3" customWidth="1"/>
    <col min="11" max="11" width="52.85546875" style="3" customWidth="1"/>
    <col min="12" max="12" width="8.85546875" style="5"/>
    <col min="13" max="16384" width="8.85546875" style="3"/>
  </cols>
  <sheetData>
    <row r="1" spans="1:15" hidden="1">
      <c r="A1" s="4" t="s">
        <v>0</v>
      </c>
      <c r="B1" s="4" t="s">
        <v>1</v>
      </c>
      <c r="C1" s="4"/>
      <c r="D1" s="4" t="s">
        <v>2</v>
      </c>
      <c r="E1" s="4" t="s">
        <v>3</v>
      </c>
      <c r="F1" s="4" t="s">
        <v>4</v>
      </c>
      <c r="G1" s="4" t="s">
        <v>5</v>
      </c>
    </row>
    <row r="2" spans="1:15" ht="15.75" customHeight="1">
      <c r="B2" s="308"/>
      <c r="C2" s="308"/>
      <c r="D2" s="308"/>
      <c r="E2" s="308"/>
      <c r="F2" s="308"/>
      <c r="G2" s="308"/>
      <c r="H2" s="308"/>
      <c r="I2" s="308"/>
      <c r="K2" s="3" t="s">
        <v>401</v>
      </c>
      <c r="L2" s="3"/>
      <c r="M2" s="6"/>
    </row>
    <row r="3" spans="1:15" ht="13.5" customHeight="1">
      <c r="A3" s="7"/>
      <c r="B3" s="8"/>
      <c r="C3" s="8"/>
      <c r="D3" s="8"/>
      <c r="E3" s="8"/>
      <c r="F3" s="8"/>
      <c r="G3" s="8"/>
      <c r="H3" s="8"/>
      <c r="I3" s="8"/>
      <c r="K3" s="250" t="s">
        <v>100</v>
      </c>
      <c r="L3" s="9"/>
      <c r="M3" s="6"/>
    </row>
    <row r="4" spans="1:15" ht="13.5" customHeight="1">
      <c r="A4" s="7"/>
      <c r="B4" s="315"/>
      <c r="C4" s="315"/>
      <c r="D4" s="312"/>
      <c r="E4" s="312"/>
      <c r="F4" s="312"/>
      <c r="G4" s="312"/>
      <c r="H4" s="12"/>
      <c r="I4" s="12"/>
      <c r="J4" s="12"/>
      <c r="K4" s="250"/>
      <c r="L4" s="9"/>
      <c r="M4" s="6"/>
    </row>
    <row r="5" spans="1:15" ht="27.75" customHeight="1">
      <c r="A5" s="7"/>
      <c r="B5" s="308" t="s">
        <v>122</v>
      </c>
      <c r="C5" s="308"/>
      <c r="D5" s="308"/>
      <c r="E5" s="308"/>
      <c r="F5" s="308"/>
      <c r="G5" s="308"/>
      <c r="H5" s="308"/>
      <c r="I5" s="308"/>
      <c r="J5" s="308"/>
      <c r="K5" s="250"/>
      <c r="L5" s="9"/>
      <c r="M5" s="6"/>
    </row>
    <row r="6" spans="1:15">
      <c r="A6" s="7"/>
      <c r="B6" s="67"/>
      <c r="C6" s="68"/>
      <c r="D6" s="10"/>
      <c r="E6" s="10"/>
      <c r="F6" s="10"/>
      <c r="G6" s="10"/>
      <c r="H6" s="10"/>
      <c r="I6" s="10"/>
      <c r="K6" s="250"/>
      <c r="L6" s="9"/>
      <c r="M6" s="6"/>
    </row>
    <row r="7" spans="1:15">
      <c r="A7" s="7"/>
      <c r="B7" s="7"/>
      <c r="C7" s="7"/>
      <c r="K7" s="250"/>
      <c r="L7" s="9"/>
      <c r="M7" s="6"/>
    </row>
    <row r="8" spans="1:15" s="5" customFormat="1" ht="174" customHeight="1">
      <c r="A8" s="69"/>
      <c r="B8" s="313" t="s">
        <v>389</v>
      </c>
      <c r="C8" s="314"/>
      <c r="D8" s="314"/>
      <c r="E8" s="314"/>
      <c r="F8" s="314"/>
      <c r="G8" s="314"/>
      <c r="H8" s="314"/>
      <c r="I8" s="314"/>
      <c r="J8" s="314"/>
      <c r="K8" s="3"/>
      <c r="M8" s="3"/>
      <c r="N8" s="3"/>
      <c r="O8" s="3"/>
    </row>
  </sheetData>
  <dataConsolidate/>
  <mergeCells count="6">
    <mergeCell ref="B8:J8"/>
    <mergeCell ref="K3:K7"/>
    <mergeCell ref="B2:I2"/>
    <mergeCell ref="B4:C4"/>
    <mergeCell ref="D4:G4"/>
    <mergeCell ref="B5:J5"/>
  </mergeCells>
  <dataValidations count="1">
    <dataValidation errorStyle="information" allowBlank="1" showInputMessage="1" showErrorMessage="1" sqref="B5" xr:uid="{00000000-0002-0000-0400-000000000000}"/>
  </dataValidations>
  <pageMargins left="0.59055118110236227" right="0.59055118110236227" top="0.39370078740157483" bottom="0.39370078740157483" header="0" footer="0"/>
  <pageSetup paperSize="9" scale="70" orientation="landscape" r:id="rId1"/>
  <headerFooter alignWithMargins="0">
    <oddFooter>&amp;C&amp;"Times New Roman,Regular"&amp;P</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iespējama kļūda" prompt="Izvēlieties no saraksta iestādi" xr:uid="{00000000-0002-0000-0400-000001000000}">
          <x14:formula1>
            <xm:f>'C:\Darba mape\Dažādi\IZ_saistībā_COVID_atlabšanai\Vidzemes_slimnīca\[Vidzemes_slimnica_PP.xlsx]Šabloni'!#REF!</xm:f>
          </x14:formula1>
          <xm:sqref>D4:G4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22"/>
  <sheetViews>
    <sheetView workbookViewId="0">
      <selection activeCell="C20" sqref="C20"/>
    </sheetView>
  </sheetViews>
  <sheetFormatPr defaultRowHeight="15"/>
  <cols>
    <col min="1" max="2" width="9.140625" style="70"/>
    <col min="3" max="3" width="38.5703125" style="70" customWidth="1"/>
    <col min="4" max="4" width="15" style="70" customWidth="1"/>
    <col min="5" max="5" width="13.5703125" style="70" customWidth="1"/>
    <col min="6" max="6" width="11" style="70" customWidth="1"/>
    <col min="7" max="8" width="9.140625" style="70"/>
    <col min="9" max="9" width="46.140625" style="70" customWidth="1"/>
    <col min="10" max="16384" width="9.140625" style="70"/>
  </cols>
  <sheetData>
    <row r="1" spans="2:9" ht="41.25" customHeight="1">
      <c r="B1" s="253" t="s">
        <v>59</v>
      </c>
      <c r="C1" s="253"/>
      <c r="D1" s="253"/>
      <c r="E1" s="253"/>
      <c r="F1" s="253"/>
    </row>
    <row r="4" spans="2:9" ht="15.75" thickBot="1">
      <c r="I4" s="75" t="s">
        <v>101</v>
      </c>
    </row>
    <row r="5" spans="2:9" ht="15.75" thickBot="1">
      <c r="B5" s="254" t="s">
        <v>104</v>
      </c>
      <c r="C5" s="254" t="s">
        <v>105</v>
      </c>
      <c r="D5" s="71" t="s">
        <v>106</v>
      </c>
      <c r="E5" s="256" t="s">
        <v>107</v>
      </c>
      <c r="F5" s="256" t="s">
        <v>108</v>
      </c>
      <c r="I5" s="258" t="s">
        <v>100</v>
      </c>
    </row>
    <row r="6" spans="2:9" ht="15.75" thickBot="1">
      <c r="B6" s="255"/>
      <c r="C6" s="255"/>
      <c r="D6" s="94" t="s">
        <v>109</v>
      </c>
      <c r="E6" s="257"/>
      <c r="F6" s="257"/>
      <c r="I6" s="258"/>
    </row>
    <row r="7" spans="2:9" ht="15.75" thickBot="1">
      <c r="B7" s="93">
        <v>1</v>
      </c>
      <c r="C7" s="93" t="s">
        <v>60</v>
      </c>
      <c r="D7" s="95">
        <v>5333500</v>
      </c>
      <c r="E7" s="96">
        <v>1490274.03</v>
      </c>
      <c r="F7" s="96">
        <f>D7-E7</f>
        <v>3843225.9699999997</v>
      </c>
      <c r="G7" s="78"/>
      <c r="H7" s="78"/>
      <c r="I7" s="258"/>
    </row>
    <row r="8" spans="2:9" ht="15.75" thickBot="1">
      <c r="B8" s="93">
        <v>2</v>
      </c>
      <c r="C8" s="93" t="s">
        <v>110</v>
      </c>
      <c r="D8" s="95">
        <v>1965686</v>
      </c>
      <c r="E8" s="96">
        <v>657000</v>
      </c>
      <c r="F8" s="96">
        <f>D8-E8</f>
        <v>1308686</v>
      </c>
      <c r="G8" s="78"/>
      <c r="H8" s="78"/>
      <c r="I8" s="258"/>
    </row>
    <row r="9" spans="2:9" ht="26.25" thickBot="1">
      <c r="B9" s="93">
        <v>3</v>
      </c>
      <c r="C9" s="93" t="s">
        <v>111</v>
      </c>
      <c r="D9" s="95">
        <v>659813</v>
      </c>
      <c r="E9" s="96">
        <v>399000</v>
      </c>
      <c r="F9" s="96">
        <f>D9-E9</f>
        <v>260813</v>
      </c>
      <c r="G9" s="78"/>
      <c r="H9" s="78"/>
      <c r="I9" s="258"/>
    </row>
    <row r="10" spans="2:9" ht="26.25" thickBot="1">
      <c r="B10" s="93">
        <v>4</v>
      </c>
      <c r="C10" s="93" t="s">
        <v>112</v>
      </c>
      <c r="D10" s="95">
        <v>2247636</v>
      </c>
      <c r="E10" s="96">
        <v>630882.35</v>
      </c>
      <c r="F10" s="96">
        <f>D10-E10</f>
        <v>1616753.65</v>
      </c>
      <c r="G10" s="78"/>
      <c r="H10" s="78"/>
    </row>
    <row r="11" spans="2:9" ht="26.25" thickBot="1">
      <c r="B11" s="93">
        <v>5</v>
      </c>
      <c r="C11" s="93" t="s">
        <v>149</v>
      </c>
      <c r="D11" s="95">
        <v>531045</v>
      </c>
      <c r="E11" s="96">
        <v>97200</v>
      </c>
      <c r="F11" s="96">
        <f t="shared" ref="F11:F14" si="0">D11-E11</f>
        <v>433845</v>
      </c>
      <c r="G11" s="78"/>
      <c r="H11" s="78"/>
    </row>
    <row r="12" spans="2:9" ht="26.25" thickBot="1">
      <c r="B12" s="93">
        <v>6</v>
      </c>
      <c r="C12" s="93" t="s">
        <v>151</v>
      </c>
      <c r="D12" s="95">
        <v>169400</v>
      </c>
      <c r="E12" s="96">
        <v>30000</v>
      </c>
      <c r="F12" s="96">
        <f t="shared" si="0"/>
        <v>139400</v>
      </c>
      <c r="G12" s="78"/>
      <c r="H12" s="78"/>
    </row>
    <row r="13" spans="2:9" ht="39" thickBot="1">
      <c r="B13" s="93">
        <v>7</v>
      </c>
      <c r="C13" s="93" t="s">
        <v>150</v>
      </c>
      <c r="D13" s="95">
        <v>1286658</v>
      </c>
      <c r="E13" s="96">
        <v>75000</v>
      </c>
      <c r="F13" s="96">
        <f t="shared" si="0"/>
        <v>1211658</v>
      </c>
      <c r="G13" s="78"/>
      <c r="H13" s="78"/>
    </row>
    <row r="14" spans="2:9" ht="15.75" thickBot="1">
      <c r="B14" s="329">
        <v>8</v>
      </c>
      <c r="C14" s="330" t="s">
        <v>396</v>
      </c>
      <c r="D14" s="331">
        <v>933987</v>
      </c>
      <c r="E14" s="332">
        <v>0</v>
      </c>
      <c r="F14" s="332">
        <f t="shared" si="0"/>
        <v>933987</v>
      </c>
      <c r="G14" s="78"/>
      <c r="H14" s="78"/>
    </row>
    <row r="15" spans="2:9" ht="26.25" thickBot="1">
      <c r="B15" s="93">
        <v>9</v>
      </c>
      <c r="C15" s="93" t="s">
        <v>61</v>
      </c>
      <c r="D15" s="95">
        <v>363000</v>
      </c>
      <c r="E15" s="96">
        <v>10000</v>
      </c>
      <c r="F15" s="96">
        <f t="shared" ref="F15:F21" si="1">D15-E15</f>
        <v>353000</v>
      </c>
      <c r="G15" s="78"/>
      <c r="H15" s="78"/>
    </row>
    <row r="16" spans="2:9" ht="26.25" thickBot="1">
      <c r="B16" s="93">
        <v>10</v>
      </c>
      <c r="C16" s="93" t="s">
        <v>62</v>
      </c>
      <c r="D16" s="95">
        <v>217800</v>
      </c>
      <c r="E16" s="96">
        <v>100000</v>
      </c>
      <c r="F16" s="96">
        <f t="shared" si="1"/>
        <v>117800</v>
      </c>
      <c r="G16" s="78"/>
      <c r="H16" s="78"/>
    </row>
    <row r="17" spans="2:8" ht="15.75" thickBot="1">
      <c r="B17" s="329">
        <v>11</v>
      </c>
      <c r="C17" s="93" t="s">
        <v>114</v>
      </c>
      <c r="D17" s="95">
        <v>541975</v>
      </c>
      <c r="E17" s="96">
        <v>50000</v>
      </c>
      <c r="F17" s="96">
        <f t="shared" si="1"/>
        <v>491975</v>
      </c>
      <c r="G17" s="78"/>
      <c r="H17" s="78"/>
    </row>
    <row r="18" spans="2:8" ht="15.75" thickBot="1">
      <c r="B18" s="93">
        <v>12</v>
      </c>
      <c r="C18" s="93" t="s">
        <v>115</v>
      </c>
      <c r="D18" s="95">
        <v>550000</v>
      </c>
      <c r="E18" s="96">
        <v>78571.429999999993</v>
      </c>
      <c r="F18" s="96">
        <f t="shared" si="1"/>
        <v>471428.57</v>
      </c>
      <c r="G18" s="78"/>
      <c r="H18" s="78"/>
    </row>
    <row r="19" spans="2:8" ht="15.75" thickBot="1">
      <c r="B19" s="93">
        <v>13</v>
      </c>
      <c r="C19" s="93" t="s">
        <v>116</v>
      </c>
      <c r="D19" s="95">
        <v>514500</v>
      </c>
      <c r="E19" s="96">
        <v>151323.53</v>
      </c>
      <c r="F19" s="96">
        <f t="shared" si="1"/>
        <v>363176.47</v>
      </c>
      <c r="G19" s="78"/>
      <c r="H19" s="78"/>
    </row>
    <row r="20" spans="2:8" ht="51.75" thickBot="1">
      <c r="B20" s="329">
        <v>14</v>
      </c>
      <c r="C20" s="93" t="s">
        <v>117</v>
      </c>
      <c r="D20" s="95">
        <v>185000</v>
      </c>
      <c r="E20" s="96">
        <v>85294.12</v>
      </c>
      <c r="F20" s="96">
        <f t="shared" si="1"/>
        <v>99705.88</v>
      </c>
      <c r="G20" s="78"/>
      <c r="H20" s="78"/>
    </row>
    <row r="21" spans="2:8" ht="15.75" thickBot="1">
      <c r="B21" s="93">
        <v>15</v>
      </c>
      <c r="C21" s="93" t="s">
        <v>118</v>
      </c>
      <c r="D21" s="95">
        <v>100000</v>
      </c>
      <c r="E21" s="96">
        <v>45454.55</v>
      </c>
      <c r="F21" s="96">
        <f t="shared" si="1"/>
        <v>54545.45</v>
      </c>
      <c r="G21" s="78"/>
      <c r="H21" s="78"/>
    </row>
    <row r="22" spans="2:8" ht="15.75" thickBot="1">
      <c r="B22" s="72"/>
      <c r="C22" s="73"/>
      <c r="D22" s="74">
        <f>SUM(D7:D21)</f>
        <v>15600000</v>
      </c>
      <c r="E22" s="74">
        <f>SUM(E7:E21)</f>
        <v>3900000.0100000002</v>
      </c>
      <c r="F22" s="74">
        <f>SUM(F7:F21)</f>
        <v>11699999.99</v>
      </c>
    </row>
  </sheetData>
  <mergeCells count="6">
    <mergeCell ref="I5:I9"/>
    <mergeCell ref="B1:F1"/>
    <mergeCell ref="B5:B6"/>
    <mergeCell ref="C5:C6"/>
    <mergeCell ref="E5:E6"/>
    <mergeCell ref="F5:F6"/>
  </mergeCells>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2"/>
  <sheetViews>
    <sheetView view="pageBreakPreview" zoomScale="60" zoomScaleNormal="100" workbookViewId="0">
      <selection activeCell="K2" sqref="K2:M2"/>
    </sheetView>
  </sheetViews>
  <sheetFormatPr defaultColWidth="9.140625" defaultRowHeight="13.5" customHeight="1"/>
  <cols>
    <col min="1" max="1" width="9.140625" style="32"/>
    <col min="2" max="2" width="11.85546875" style="32" customWidth="1"/>
    <col min="3" max="3" width="32.7109375" style="32" customWidth="1"/>
    <col min="4" max="4" width="22.7109375" style="32" customWidth="1"/>
    <col min="5" max="7" width="12.42578125" style="32" customWidth="1"/>
    <col min="8" max="8" width="18.140625" style="32" customWidth="1"/>
    <col min="9" max="9" width="19.42578125" style="32" customWidth="1"/>
    <col min="10" max="13" width="16.42578125" style="32" customWidth="1"/>
    <col min="14" max="16384" width="9.140625" style="32"/>
  </cols>
  <sheetData>
    <row r="1" spans="1:13" ht="13.5" customHeight="1">
      <c r="K1" s="32" t="s">
        <v>402</v>
      </c>
    </row>
    <row r="2" spans="1:13" ht="129" customHeight="1">
      <c r="C2" s="33" t="s">
        <v>125</v>
      </c>
      <c r="K2" s="316" t="s">
        <v>100</v>
      </c>
      <c r="L2" s="316"/>
      <c r="M2" s="316"/>
    </row>
    <row r="3" spans="1:13" ht="13.5" customHeight="1" thickBot="1">
      <c r="F3" s="32" t="s">
        <v>77</v>
      </c>
      <c r="G3" s="32">
        <v>90</v>
      </c>
      <c r="J3" s="34"/>
      <c r="K3" s="34"/>
      <c r="L3" s="34"/>
    </row>
    <row r="4" spans="1:13" ht="15.75" customHeight="1">
      <c r="A4" s="323" t="s">
        <v>76</v>
      </c>
      <c r="B4" s="325"/>
      <c r="C4" s="35"/>
      <c r="D4" s="327" t="s">
        <v>390</v>
      </c>
      <c r="E4" s="327" t="s">
        <v>78</v>
      </c>
      <c r="F4" s="327" t="s">
        <v>79</v>
      </c>
      <c r="G4" s="76"/>
      <c r="H4" s="321" t="s">
        <v>80</v>
      </c>
      <c r="I4" s="317" t="s">
        <v>97</v>
      </c>
      <c r="J4" s="317" t="s">
        <v>81</v>
      </c>
      <c r="K4" s="319" t="s">
        <v>82</v>
      </c>
      <c r="L4" s="317" t="s">
        <v>98</v>
      </c>
    </row>
    <row r="5" spans="1:13" ht="15.75" customHeight="1">
      <c r="A5" s="324"/>
      <c r="B5" s="326"/>
      <c r="C5" s="36" t="s">
        <v>83</v>
      </c>
      <c r="D5" s="328"/>
      <c r="E5" s="328"/>
      <c r="F5" s="328"/>
      <c r="G5" s="77" t="s">
        <v>119</v>
      </c>
      <c r="H5" s="322"/>
      <c r="I5" s="318"/>
      <c r="J5" s="318"/>
      <c r="K5" s="320"/>
      <c r="L5" s="318"/>
    </row>
    <row r="6" spans="1:13" ht="15.75" customHeight="1">
      <c r="A6" s="324"/>
      <c r="B6" s="37">
        <v>1</v>
      </c>
      <c r="C6" s="38" t="s">
        <v>84</v>
      </c>
      <c r="D6" s="39" t="s">
        <v>391</v>
      </c>
      <c r="E6" s="40">
        <v>30</v>
      </c>
      <c r="F6" s="39">
        <f>E6*90</f>
        <v>2700</v>
      </c>
      <c r="G6" s="80">
        <f>E6*$G$3</f>
        <v>2700</v>
      </c>
      <c r="H6" s="41">
        <f>(71500/1.1)*1.21</f>
        <v>78649.999999999985</v>
      </c>
      <c r="I6" s="42">
        <v>20354.400000000001</v>
      </c>
      <c r="J6" s="42">
        <f>((1+(1)+4)*55+2000)*1.21</f>
        <v>2819.2999999999997</v>
      </c>
      <c r="K6" s="42">
        <v>343.75</v>
      </c>
      <c r="L6" s="43">
        <f>H6+I6+J6+K6</f>
        <v>102167.45</v>
      </c>
      <c r="M6" s="81"/>
    </row>
    <row r="7" spans="1:13" ht="15.75" customHeight="1">
      <c r="A7" s="324"/>
      <c r="B7" s="37">
        <v>2</v>
      </c>
      <c r="C7" s="38" t="s">
        <v>85</v>
      </c>
      <c r="D7" s="44" t="s">
        <v>391</v>
      </c>
      <c r="E7" s="44">
        <v>230</v>
      </c>
      <c r="F7" s="39">
        <f t="shared" ref="F7:F17" si="0">E7*90</f>
        <v>20700</v>
      </c>
      <c r="G7" s="80">
        <f t="shared" ref="G7:G17" si="1">E7*$G$3</f>
        <v>20700</v>
      </c>
      <c r="H7" s="41">
        <f t="shared" ref="H7:H8" si="2">(71500/1.1)*1.21</f>
        <v>78649.999999999985</v>
      </c>
      <c r="I7" s="42">
        <v>20354.400000000001</v>
      </c>
      <c r="J7" s="42">
        <f t="shared" ref="J7:J13" si="3">((1+(1)+4)*55+2000)*1.21</f>
        <v>2819.2999999999997</v>
      </c>
      <c r="K7" s="42">
        <v>343.75</v>
      </c>
      <c r="L7" s="43">
        <f t="shared" ref="L7:L13" si="4">H7+I7+J7+K7</f>
        <v>102167.45</v>
      </c>
      <c r="M7" s="81"/>
    </row>
    <row r="8" spans="1:13" ht="15.75" customHeight="1">
      <c r="A8" s="324"/>
      <c r="B8" s="37">
        <v>3</v>
      </c>
      <c r="C8" s="38" t="s">
        <v>86</v>
      </c>
      <c r="D8" s="44" t="s">
        <v>391</v>
      </c>
      <c r="E8" s="44">
        <v>230</v>
      </c>
      <c r="F8" s="39">
        <f t="shared" si="0"/>
        <v>20700</v>
      </c>
      <c r="G8" s="80">
        <f t="shared" si="1"/>
        <v>20700</v>
      </c>
      <c r="H8" s="41">
        <f t="shared" si="2"/>
        <v>78649.999999999985</v>
      </c>
      <c r="I8" s="42">
        <v>20354.400000000001</v>
      </c>
      <c r="J8" s="42">
        <f t="shared" si="3"/>
        <v>2819.2999999999997</v>
      </c>
      <c r="K8" s="42">
        <v>343.75</v>
      </c>
      <c r="L8" s="43">
        <f t="shared" si="4"/>
        <v>102167.45</v>
      </c>
      <c r="M8" s="81"/>
    </row>
    <row r="9" spans="1:13" ht="15.75" customHeight="1">
      <c r="A9" s="324"/>
      <c r="B9" s="37">
        <v>4</v>
      </c>
      <c r="C9" s="38" t="s">
        <v>87</v>
      </c>
      <c r="D9" s="44" t="s">
        <v>392</v>
      </c>
      <c r="E9" s="44">
        <v>100</v>
      </c>
      <c r="F9" s="39">
        <f t="shared" si="0"/>
        <v>9000</v>
      </c>
      <c r="G9" s="80">
        <f t="shared" si="1"/>
        <v>9000</v>
      </c>
      <c r="H9" s="41">
        <f>(44620/1.1)*1.21</f>
        <v>49081.999999999993</v>
      </c>
      <c r="I9" s="42">
        <v>15265.8</v>
      </c>
      <c r="J9" s="42">
        <f t="shared" si="3"/>
        <v>2819.2999999999997</v>
      </c>
      <c r="K9" s="42">
        <v>343.75</v>
      </c>
      <c r="L9" s="43">
        <f t="shared" si="4"/>
        <v>67510.849999999991</v>
      </c>
      <c r="M9" s="81"/>
    </row>
    <row r="10" spans="1:13" ht="15.75" customHeight="1">
      <c r="A10" s="324"/>
      <c r="B10" s="37">
        <v>5</v>
      </c>
      <c r="C10" s="38" t="s">
        <v>88</v>
      </c>
      <c r="D10" s="44" t="s">
        <v>393</v>
      </c>
      <c r="E10" s="44">
        <v>60</v>
      </c>
      <c r="F10" s="39">
        <f t="shared" si="0"/>
        <v>5400</v>
      </c>
      <c r="G10" s="80">
        <f t="shared" si="1"/>
        <v>5400</v>
      </c>
      <c r="H10" s="41">
        <f>(17500/1.1)*1.21</f>
        <v>19250</v>
      </c>
      <c r="I10" s="42">
        <v>7524</v>
      </c>
      <c r="J10" s="42">
        <f t="shared" si="3"/>
        <v>2819.2999999999997</v>
      </c>
      <c r="K10" s="42">
        <v>343.75</v>
      </c>
      <c r="L10" s="43">
        <f t="shared" si="4"/>
        <v>29937.05</v>
      </c>
      <c r="M10" s="81"/>
    </row>
    <row r="11" spans="1:13" ht="15.75" customHeight="1">
      <c r="A11" s="324"/>
      <c r="B11" s="37">
        <v>6</v>
      </c>
      <c r="C11" s="45" t="s">
        <v>89</v>
      </c>
      <c r="D11" s="44" t="s">
        <v>393</v>
      </c>
      <c r="E11" s="46">
        <v>50</v>
      </c>
      <c r="F11" s="39">
        <f t="shared" si="0"/>
        <v>4500</v>
      </c>
      <c r="G11" s="80">
        <f t="shared" si="1"/>
        <v>4500</v>
      </c>
      <c r="H11" s="41">
        <f t="shared" ref="H11:H13" si="5">(17500/1.1)*1.21</f>
        <v>19250</v>
      </c>
      <c r="I11" s="42">
        <v>7524</v>
      </c>
      <c r="J11" s="42">
        <f t="shared" si="3"/>
        <v>2819.2999999999997</v>
      </c>
      <c r="K11" s="42">
        <v>343.75</v>
      </c>
      <c r="L11" s="43">
        <f t="shared" si="4"/>
        <v>29937.05</v>
      </c>
      <c r="M11" s="81"/>
    </row>
    <row r="12" spans="1:13" ht="15.75" customHeight="1">
      <c r="A12" s="324"/>
      <c r="B12" s="37">
        <v>7</v>
      </c>
      <c r="C12" s="45" t="s">
        <v>90</v>
      </c>
      <c r="D12" s="44" t="s">
        <v>393</v>
      </c>
      <c r="E12" s="46">
        <v>50</v>
      </c>
      <c r="F12" s="39">
        <f t="shared" si="0"/>
        <v>4500</v>
      </c>
      <c r="G12" s="80">
        <f t="shared" si="1"/>
        <v>4500</v>
      </c>
      <c r="H12" s="41">
        <f t="shared" si="5"/>
        <v>19250</v>
      </c>
      <c r="I12" s="42">
        <v>7524</v>
      </c>
      <c r="J12" s="42">
        <f t="shared" si="3"/>
        <v>2819.2999999999997</v>
      </c>
      <c r="K12" s="42">
        <v>343.75</v>
      </c>
      <c r="L12" s="43">
        <f t="shared" si="4"/>
        <v>29937.05</v>
      </c>
      <c r="M12" s="81"/>
    </row>
    <row r="13" spans="1:13" ht="15.75" customHeight="1">
      <c r="A13" s="324"/>
      <c r="B13" s="37">
        <v>8</v>
      </c>
      <c r="C13" s="45" t="s">
        <v>91</v>
      </c>
      <c r="D13" s="44" t="s">
        <v>393</v>
      </c>
      <c r="E13" s="46">
        <v>50</v>
      </c>
      <c r="F13" s="39">
        <f t="shared" si="0"/>
        <v>4500</v>
      </c>
      <c r="G13" s="80">
        <f t="shared" si="1"/>
        <v>4500</v>
      </c>
      <c r="H13" s="41">
        <f t="shared" si="5"/>
        <v>19250</v>
      </c>
      <c r="I13" s="42">
        <v>7524</v>
      </c>
      <c r="J13" s="42">
        <f t="shared" si="3"/>
        <v>2819.2999999999997</v>
      </c>
      <c r="K13" s="42">
        <v>343.75</v>
      </c>
      <c r="L13" s="43">
        <f t="shared" si="4"/>
        <v>29937.05</v>
      </c>
      <c r="M13" s="81"/>
    </row>
    <row r="14" spans="1:13" ht="15.75" customHeight="1">
      <c r="A14" s="324"/>
      <c r="B14" s="37">
        <v>9</v>
      </c>
      <c r="C14" s="47" t="s">
        <v>92</v>
      </c>
      <c r="D14" s="44" t="s">
        <v>394</v>
      </c>
      <c r="E14" s="46">
        <v>50</v>
      </c>
      <c r="F14" s="39">
        <f t="shared" si="0"/>
        <v>4500</v>
      </c>
      <c r="G14" s="80">
        <f t="shared" si="1"/>
        <v>4500</v>
      </c>
      <c r="H14" s="48">
        <f>8000*1.21</f>
        <v>9680</v>
      </c>
      <c r="I14" s="49">
        <v>0</v>
      </c>
      <c r="J14" s="49">
        <v>0</v>
      </c>
      <c r="K14" s="49">
        <v>0</v>
      </c>
      <c r="L14" s="43">
        <f>H14</f>
        <v>9680</v>
      </c>
      <c r="M14" s="81"/>
    </row>
    <row r="15" spans="1:13" ht="15.75" customHeight="1">
      <c r="A15" s="324"/>
      <c r="B15" s="37">
        <v>10</v>
      </c>
      <c r="C15" s="47" t="s">
        <v>93</v>
      </c>
      <c r="D15" s="44" t="s">
        <v>394</v>
      </c>
      <c r="E15" s="46">
        <v>50</v>
      </c>
      <c r="F15" s="39">
        <f t="shared" si="0"/>
        <v>4500</v>
      </c>
      <c r="G15" s="80">
        <f t="shared" si="1"/>
        <v>4500</v>
      </c>
      <c r="H15" s="48">
        <f t="shared" ref="H15:H17" si="6">8000*1.21</f>
        <v>9680</v>
      </c>
      <c r="I15" s="49">
        <v>0</v>
      </c>
      <c r="J15" s="49">
        <v>0</v>
      </c>
      <c r="K15" s="49">
        <v>0</v>
      </c>
      <c r="L15" s="43">
        <f t="shared" ref="L15:L17" si="7">H15</f>
        <v>9680</v>
      </c>
      <c r="M15" s="81"/>
    </row>
    <row r="16" spans="1:13" ht="15.75" customHeight="1">
      <c r="A16" s="324"/>
      <c r="B16" s="37">
        <v>11</v>
      </c>
      <c r="C16" s="47" t="s">
        <v>94</v>
      </c>
      <c r="D16" s="44" t="s">
        <v>394</v>
      </c>
      <c r="E16" s="46">
        <v>50</v>
      </c>
      <c r="F16" s="39">
        <f t="shared" si="0"/>
        <v>4500</v>
      </c>
      <c r="G16" s="80">
        <f t="shared" si="1"/>
        <v>4500</v>
      </c>
      <c r="H16" s="48">
        <f t="shared" si="6"/>
        <v>9680</v>
      </c>
      <c r="I16" s="49">
        <v>0</v>
      </c>
      <c r="J16" s="49">
        <v>0</v>
      </c>
      <c r="K16" s="49">
        <v>0</v>
      </c>
      <c r="L16" s="43">
        <f t="shared" si="7"/>
        <v>9680</v>
      </c>
      <c r="M16" s="81"/>
    </row>
    <row r="17" spans="1:13" ht="15.75" customHeight="1" thickBot="1">
      <c r="A17" s="324"/>
      <c r="B17" s="37">
        <v>12</v>
      </c>
      <c r="C17" s="47" t="s">
        <v>95</v>
      </c>
      <c r="D17" s="44" t="s">
        <v>394</v>
      </c>
      <c r="E17" s="46">
        <v>50</v>
      </c>
      <c r="F17" s="39">
        <f t="shared" si="0"/>
        <v>4500</v>
      </c>
      <c r="G17" s="80">
        <f t="shared" si="1"/>
        <v>4500</v>
      </c>
      <c r="H17" s="48">
        <f t="shared" si="6"/>
        <v>9680</v>
      </c>
      <c r="I17" s="49">
        <v>0</v>
      </c>
      <c r="J17" s="49">
        <v>0</v>
      </c>
      <c r="K17" s="49">
        <v>0</v>
      </c>
      <c r="L17" s="43">
        <f t="shared" si="7"/>
        <v>9680</v>
      </c>
      <c r="M17" s="81"/>
    </row>
    <row r="18" spans="1:13" ht="15.75" customHeight="1" thickBot="1">
      <c r="A18" s="324"/>
      <c r="B18" s="50"/>
      <c r="C18" s="51" t="s">
        <v>96</v>
      </c>
      <c r="D18" s="52"/>
      <c r="E18" s="52">
        <f>SUM(E6:E17)</f>
        <v>1000</v>
      </c>
      <c r="F18" s="53">
        <f>SUM(F6:F17)</f>
        <v>90000</v>
      </c>
      <c r="G18" s="54">
        <f>SUM(G6:G17)</f>
        <v>90000</v>
      </c>
      <c r="H18" s="54"/>
      <c r="I18" s="55"/>
      <c r="J18" s="56"/>
      <c r="K18" s="57"/>
      <c r="L18" s="58">
        <f>SUM(L6:L17)</f>
        <v>532481.39999999991</v>
      </c>
      <c r="M18" s="81"/>
    </row>
    <row r="20" spans="1:13" s="59" customFormat="1" ht="13.5" customHeight="1">
      <c r="J20" s="60"/>
      <c r="K20" s="60"/>
      <c r="L20" s="60"/>
    </row>
    <row r="21" spans="1:13" s="61" customFormat="1" ht="18.75" customHeight="1">
      <c r="H21" s="62"/>
      <c r="I21" s="62"/>
      <c r="J21" s="63"/>
      <c r="K21" s="63"/>
      <c r="L21" s="64"/>
    </row>
    <row r="22" spans="1:13" s="61" customFormat="1" ht="18.75" customHeight="1">
      <c r="H22" s="62"/>
      <c r="I22" s="62"/>
      <c r="J22" s="63"/>
      <c r="K22" s="63"/>
      <c r="L22" s="64"/>
    </row>
  </sheetData>
  <mergeCells count="11">
    <mergeCell ref="H4:H5"/>
    <mergeCell ref="A4:A18"/>
    <mergeCell ref="B4:B5"/>
    <mergeCell ref="D4:D5"/>
    <mergeCell ref="E4:E5"/>
    <mergeCell ref="F4:F5"/>
    <mergeCell ref="K2:M2"/>
    <mergeCell ref="I4:I5"/>
    <mergeCell ref="J4:J5"/>
    <mergeCell ref="K4:K5"/>
    <mergeCell ref="L4:L5"/>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50"/>
  <sheetViews>
    <sheetView topLeftCell="A4" workbookViewId="0">
      <selection activeCell="A12" sqref="A12:A41"/>
    </sheetView>
  </sheetViews>
  <sheetFormatPr defaultRowHeight="12.75"/>
  <sheetData>
    <row r="1" spans="1:1">
      <c r="A1" s="1" t="s">
        <v>7</v>
      </c>
    </row>
    <row r="2" spans="1:1">
      <c r="A2" s="2" t="s">
        <v>42</v>
      </c>
    </row>
    <row r="3" spans="1:1">
      <c r="A3" s="2" t="s">
        <v>43</v>
      </c>
    </row>
    <row r="4" spans="1:1">
      <c r="A4" s="2" t="s">
        <v>44</v>
      </c>
    </row>
    <row r="5" spans="1:1">
      <c r="A5" s="1" t="s">
        <v>39</v>
      </c>
    </row>
    <row r="6" spans="1:1">
      <c r="A6" s="1"/>
    </row>
    <row r="7" spans="1:1">
      <c r="A7" s="1" t="s">
        <v>8</v>
      </c>
    </row>
    <row r="8" spans="1:1">
      <c r="A8" s="1" t="s">
        <v>9</v>
      </c>
    </row>
    <row r="9" spans="1:1">
      <c r="A9" s="1" t="s">
        <v>10</v>
      </c>
    </row>
    <row r="10" spans="1:1">
      <c r="A10" s="1" t="s">
        <v>41</v>
      </c>
    </row>
    <row r="12" spans="1:1">
      <c r="A12" s="1" t="s">
        <v>40</v>
      </c>
    </row>
    <row r="13" spans="1:1">
      <c r="A13" s="1" t="s">
        <v>6</v>
      </c>
    </row>
    <row r="14" spans="1:1">
      <c r="A14" s="1" t="s">
        <v>11</v>
      </c>
    </row>
    <row r="15" spans="1:1">
      <c r="A15" s="1" t="s">
        <v>12</v>
      </c>
    </row>
    <row r="16" spans="1:1">
      <c r="A16" s="1" t="s">
        <v>13</v>
      </c>
    </row>
    <row r="17" spans="1:1">
      <c r="A17" s="1" t="s">
        <v>14</v>
      </c>
    </row>
    <row r="18" spans="1:1">
      <c r="A18" s="1" t="s">
        <v>15</v>
      </c>
    </row>
    <row r="19" spans="1:1">
      <c r="A19" s="1" t="s">
        <v>16</v>
      </c>
    </row>
    <row r="20" spans="1:1">
      <c r="A20" s="1" t="s">
        <v>17</v>
      </c>
    </row>
    <row r="21" spans="1:1">
      <c r="A21" s="1" t="s">
        <v>18</v>
      </c>
    </row>
    <row r="22" spans="1:1">
      <c r="A22" s="1" t="s">
        <v>19</v>
      </c>
    </row>
    <row r="23" spans="1:1">
      <c r="A23" s="1" t="s">
        <v>20</v>
      </c>
    </row>
    <row r="24" spans="1:1">
      <c r="A24" s="1" t="s">
        <v>21</v>
      </c>
    </row>
    <row r="25" spans="1:1">
      <c r="A25" s="1" t="s">
        <v>22</v>
      </c>
    </row>
    <row r="26" spans="1:1">
      <c r="A26" s="1" t="s">
        <v>23</v>
      </c>
    </row>
    <row r="27" spans="1:1">
      <c r="A27" s="1" t="s">
        <v>24</v>
      </c>
    </row>
    <row r="28" spans="1:1">
      <c r="A28" s="1" t="s">
        <v>25</v>
      </c>
    </row>
    <row r="29" spans="1:1">
      <c r="A29" s="1" t="s">
        <v>26</v>
      </c>
    </row>
    <row r="30" spans="1:1">
      <c r="A30" s="1" t="s">
        <v>27</v>
      </c>
    </row>
    <row r="31" spans="1:1">
      <c r="A31" s="1" t="s">
        <v>28</v>
      </c>
    </row>
    <row r="32" spans="1:1">
      <c r="A32" s="1" t="s">
        <v>29</v>
      </c>
    </row>
    <row r="33" spans="1:1">
      <c r="A33" s="1" t="s">
        <v>30</v>
      </c>
    </row>
    <row r="34" spans="1:1">
      <c r="A34" s="1" t="s">
        <v>31</v>
      </c>
    </row>
    <row r="35" spans="1:1">
      <c r="A35" s="1" t="s">
        <v>32</v>
      </c>
    </row>
    <row r="36" spans="1:1">
      <c r="A36" s="1" t="s">
        <v>33</v>
      </c>
    </row>
    <row r="37" spans="1:1">
      <c r="A37" s="1" t="s">
        <v>34</v>
      </c>
    </row>
    <row r="38" spans="1:1">
      <c r="A38" s="1" t="s">
        <v>35</v>
      </c>
    </row>
    <row r="39" spans="1:1">
      <c r="A39" s="1" t="s">
        <v>36</v>
      </c>
    </row>
    <row r="40" spans="1:1">
      <c r="A40" s="1" t="s">
        <v>37</v>
      </c>
    </row>
    <row r="41" spans="1:1">
      <c r="A41" s="1" t="s">
        <v>38</v>
      </c>
    </row>
    <row r="44" spans="1:1">
      <c r="A44" s="2" t="s">
        <v>46</v>
      </c>
    </row>
    <row r="45" spans="1:1">
      <c r="A45" s="2" t="s">
        <v>47</v>
      </c>
    </row>
    <row r="46" spans="1:1">
      <c r="A46" s="2" t="s">
        <v>48</v>
      </c>
    </row>
    <row r="47" spans="1:1">
      <c r="A47" s="2" t="s">
        <v>49</v>
      </c>
    </row>
    <row r="49" spans="1:1">
      <c r="A49" s="2" t="s">
        <v>50</v>
      </c>
    </row>
    <row r="50" spans="1:1">
      <c r="A50" s="2" t="s">
        <v>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9AE53-C201-4E45-A8C2-C5357B74306E}">
  <dimension ref="A1:K50"/>
  <sheetViews>
    <sheetView view="pageBreakPreview" zoomScale="55" zoomScaleNormal="100" zoomScaleSheetLayoutView="55" workbookViewId="0">
      <selection activeCell="K1" sqref="K1:K6"/>
    </sheetView>
  </sheetViews>
  <sheetFormatPr defaultRowHeight="15.75"/>
  <cols>
    <col min="1" max="1" width="9.140625" style="97"/>
    <col min="2" max="2" width="44.140625" style="97" customWidth="1"/>
    <col min="3" max="3" width="9.140625" style="97"/>
    <col min="4" max="4" width="24.7109375" style="97" customWidth="1"/>
    <col min="5" max="5" width="25.140625" style="97" customWidth="1"/>
    <col min="6" max="6" width="15.5703125" style="97" customWidth="1"/>
    <col min="7" max="7" width="32.85546875" style="97" customWidth="1"/>
    <col min="8" max="8" width="13.7109375" style="97" customWidth="1"/>
    <col min="9" max="9" width="12.7109375" style="97" customWidth="1"/>
    <col min="10" max="10" width="12.42578125" style="97" customWidth="1"/>
    <col min="11" max="11" width="44.140625" style="97" customWidth="1"/>
    <col min="12" max="16384" width="9.140625" style="97"/>
  </cols>
  <sheetData>
    <row r="1" spans="1:11" ht="23.25">
      <c r="B1" s="259" t="s">
        <v>152</v>
      </c>
      <c r="C1" s="259"/>
      <c r="D1" s="259"/>
      <c r="E1" s="259"/>
      <c r="F1" s="259"/>
      <c r="G1" s="259"/>
      <c r="K1" s="75" t="s">
        <v>102</v>
      </c>
    </row>
    <row r="2" spans="1:11">
      <c r="K2" s="258" t="s">
        <v>100</v>
      </c>
    </row>
    <row r="3" spans="1:11" ht="47.25">
      <c r="A3" s="98" t="s">
        <v>153</v>
      </c>
      <c r="B3" s="99" t="s">
        <v>154</v>
      </c>
      <c r="C3" s="98" t="s">
        <v>155</v>
      </c>
      <c r="D3" s="98" t="s">
        <v>156</v>
      </c>
      <c r="E3" s="98" t="s">
        <v>157</v>
      </c>
      <c r="F3" s="98" t="s">
        <v>158</v>
      </c>
      <c r="G3" s="100" t="s">
        <v>159</v>
      </c>
      <c r="H3" s="101" t="s">
        <v>45</v>
      </c>
      <c r="I3" s="101" t="s">
        <v>52</v>
      </c>
      <c r="K3" s="258"/>
    </row>
    <row r="4" spans="1:11" ht="42" customHeight="1">
      <c r="A4" s="102">
        <v>1</v>
      </c>
      <c r="B4" s="103" t="s">
        <v>160</v>
      </c>
      <c r="C4" s="102">
        <v>1000</v>
      </c>
      <c r="D4" s="102">
        <v>1000</v>
      </c>
      <c r="E4" s="102">
        <f>F4/1000</f>
        <v>2704.8960000000002</v>
      </c>
      <c r="F4" s="102">
        <v>2704896</v>
      </c>
      <c r="G4" s="104" t="s">
        <v>161</v>
      </c>
      <c r="H4" s="101">
        <v>1490274</v>
      </c>
      <c r="I4" s="101">
        <f>F4-H4</f>
        <v>1214622</v>
      </c>
      <c r="K4" s="258"/>
    </row>
    <row r="5" spans="1:11" ht="105">
      <c r="A5" s="105" t="s">
        <v>162</v>
      </c>
      <c r="B5" s="106" t="s">
        <v>163</v>
      </c>
      <c r="C5" s="102">
        <v>1000</v>
      </c>
      <c r="D5" s="105"/>
      <c r="E5" s="105"/>
      <c r="F5" s="106">
        <f>F4/100*7</f>
        <v>189342.72</v>
      </c>
      <c r="G5" s="107" t="s">
        <v>164</v>
      </c>
      <c r="H5" s="101">
        <v>189343</v>
      </c>
      <c r="I5" s="101"/>
      <c r="K5" s="258"/>
    </row>
    <row r="6" spans="1:11" ht="105">
      <c r="A6" s="105" t="s">
        <v>165</v>
      </c>
      <c r="B6" s="106" t="s">
        <v>166</v>
      </c>
      <c r="C6" s="102">
        <v>1000</v>
      </c>
      <c r="D6" s="105"/>
      <c r="E6" s="105"/>
      <c r="F6" s="106">
        <f>F4/100*5</f>
        <v>135244.79999999999</v>
      </c>
      <c r="G6" s="107" t="s">
        <v>167</v>
      </c>
      <c r="H6" s="101">
        <v>9467</v>
      </c>
      <c r="I6" s="101"/>
      <c r="K6" s="258"/>
    </row>
    <row r="7" spans="1:11" ht="45">
      <c r="A7" s="105" t="s">
        <v>168</v>
      </c>
      <c r="B7" s="106" t="s">
        <v>169</v>
      </c>
      <c r="C7" s="102">
        <v>1000</v>
      </c>
      <c r="D7" s="105"/>
      <c r="E7" s="105"/>
      <c r="F7" s="106">
        <v>186962</v>
      </c>
      <c r="G7" s="107" t="s">
        <v>170</v>
      </c>
      <c r="H7" s="101"/>
      <c r="I7" s="101">
        <v>186962</v>
      </c>
    </row>
    <row r="8" spans="1:11" ht="90">
      <c r="A8" s="105" t="s">
        <v>171</v>
      </c>
      <c r="B8" s="106" t="s">
        <v>172</v>
      </c>
      <c r="C8" s="102">
        <v>1000</v>
      </c>
      <c r="D8" s="105"/>
      <c r="E8" s="108">
        <f>F8/C8/1.21</f>
        <v>1286.683041322314</v>
      </c>
      <c r="F8" s="106">
        <f>F4-F5-F6-F7-F9</f>
        <v>1556886.48</v>
      </c>
      <c r="G8" s="107" t="s">
        <v>173</v>
      </c>
      <c r="H8" s="101">
        <v>1291464</v>
      </c>
      <c r="I8" s="101">
        <f>F8-H8</f>
        <v>265422.48</v>
      </c>
    </row>
    <row r="9" spans="1:11" ht="30">
      <c r="A9" s="105" t="s">
        <v>174</v>
      </c>
      <c r="B9" s="106" t="s">
        <v>175</v>
      </c>
      <c r="C9" s="102">
        <v>1000</v>
      </c>
      <c r="D9" s="105"/>
      <c r="E9" s="105"/>
      <c r="F9" s="106">
        <f>SUM(F10:F20)</f>
        <v>636460</v>
      </c>
      <c r="G9" s="107"/>
      <c r="H9" s="101"/>
      <c r="I9" s="101">
        <f>F9</f>
        <v>636460</v>
      </c>
    </row>
    <row r="10" spans="1:11" ht="45">
      <c r="A10" s="109" t="s">
        <v>176</v>
      </c>
      <c r="B10" s="110" t="s">
        <v>177</v>
      </c>
      <c r="C10" s="105">
        <v>0</v>
      </c>
      <c r="D10" s="105">
        <v>1</v>
      </c>
      <c r="E10" s="105">
        <v>31000</v>
      </c>
      <c r="F10" s="105">
        <f>D10*E10*1.21</f>
        <v>37510</v>
      </c>
      <c r="G10" s="104" t="s">
        <v>178</v>
      </c>
      <c r="H10" s="101"/>
      <c r="I10" s="101">
        <f>F10</f>
        <v>37510</v>
      </c>
    </row>
    <row r="11" spans="1:11" ht="30">
      <c r="A11" s="109" t="s">
        <v>179</v>
      </c>
      <c r="B11" s="110" t="s">
        <v>180</v>
      </c>
      <c r="C11" s="105">
        <v>0</v>
      </c>
      <c r="D11" s="105">
        <v>1</v>
      </c>
      <c r="E11" s="105">
        <v>8000</v>
      </c>
      <c r="F11" s="105">
        <f t="shared" ref="F11:F20" si="0">D11*E11*1.21</f>
        <v>9680</v>
      </c>
      <c r="G11" s="104" t="s">
        <v>178</v>
      </c>
      <c r="H11" s="101"/>
      <c r="I11" s="101">
        <f t="shared" ref="I11:I20" si="1">F11</f>
        <v>9680</v>
      </c>
    </row>
    <row r="12" spans="1:11" ht="60">
      <c r="A12" s="109" t="s">
        <v>181</v>
      </c>
      <c r="B12" s="110" t="s">
        <v>182</v>
      </c>
      <c r="C12" s="105" t="s">
        <v>183</v>
      </c>
      <c r="D12" s="105">
        <v>1</v>
      </c>
      <c r="E12" s="105">
        <v>45000</v>
      </c>
      <c r="F12" s="105">
        <f t="shared" si="0"/>
        <v>54450</v>
      </c>
      <c r="G12" s="104" t="s">
        <v>178</v>
      </c>
      <c r="H12" s="101"/>
      <c r="I12" s="101">
        <f t="shared" si="1"/>
        <v>54450</v>
      </c>
    </row>
    <row r="13" spans="1:11" ht="30">
      <c r="A13" s="109" t="s">
        <v>184</v>
      </c>
      <c r="B13" s="110" t="s">
        <v>185</v>
      </c>
      <c r="C13" s="105">
        <v>0</v>
      </c>
      <c r="D13" s="105">
        <v>1</v>
      </c>
      <c r="E13" s="105">
        <v>80000</v>
      </c>
      <c r="F13" s="105">
        <f t="shared" si="0"/>
        <v>96800</v>
      </c>
      <c r="G13" s="104" t="s">
        <v>178</v>
      </c>
      <c r="H13" s="101"/>
      <c r="I13" s="101">
        <f t="shared" si="1"/>
        <v>96800</v>
      </c>
    </row>
    <row r="14" spans="1:11" ht="30">
      <c r="A14" s="109" t="s">
        <v>186</v>
      </c>
      <c r="B14" s="110" t="s">
        <v>187</v>
      </c>
      <c r="C14" s="105">
        <v>5</v>
      </c>
      <c r="D14" s="105">
        <v>1</v>
      </c>
      <c r="E14" s="105">
        <v>120000</v>
      </c>
      <c r="F14" s="105">
        <f t="shared" si="0"/>
        <v>145200</v>
      </c>
      <c r="G14" s="104" t="s">
        <v>178</v>
      </c>
      <c r="H14" s="101"/>
      <c r="I14" s="101">
        <f t="shared" si="1"/>
        <v>145200</v>
      </c>
    </row>
    <row r="15" spans="1:11" ht="30">
      <c r="A15" s="109" t="s">
        <v>188</v>
      </c>
      <c r="B15" s="110" t="s">
        <v>189</v>
      </c>
      <c r="C15" s="105" t="s">
        <v>190</v>
      </c>
      <c r="D15" s="105">
        <v>1</v>
      </c>
      <c r="E15" s="105">
        <v>15000</v>
      </c>
      <c r="F15" s="105">
        <f t="shared" si="0"/>
        <v>18150</v>
      </c>
      <c r="G15" s="104" t="s">
        <v>178</v>
      </c>
      <c r="H15" s="101"/>
      <c r="I15" s="101">
        <f t="shared" si="1"/>
        <v>18150</v>
      </c>
    </row>
    <row r="16" spans="1:11" ht="30">
      <c r="A16" s="109" t="s">
        <v>191</v>
      </c>
      <c r="B16" s="110" t="s">
        <v>192</v>
      </c>
      <c r="C16" s="105">
        <v>0</v>
      </c>
      <c r="D16" s="105">
        <v>1</v>
      </c>
      <c r="E16" s="105">
        <v>64000</v>
      </c>
      <c r="F16" s="105">
        <f t="shared" si="0"/>
        <v>77440</v>
      </c>
      <c r="G16" s="104" t="s">
        <v>178</v>
      </c>
      <c r="H16" s="101"/>
      <c r="I16" s="101">
        <f t="shared" si="1"/>
        <v>77440</v>
      </c>
    </row>
    <row r="17" spans="1:9" ht="30">
      <c r="A17" s="109" t="s">
        <v>193</v>
      </c>
      <c r="B17" s="110" t="s">
        <v>194</v>
      </c>
      <c r="C17" s="105">
        <v>0</v>
      </c>
      <c r="D17" s="105">
        <v>1</v>
      </c>
      <c r="E17" s="105">
        <v>65000</v>
      </c>
      <c r="F17" s="105">
        <f t="shared" si="0"/>
        <v>78650</v>
      </c>
      <c r="G17" s="104" t="s">
        <v>178</v>
      </c>
      <c r="H17" s="101"/>
      <c r="I17" s="101">
        <f t="shared" si="1"/>
        <v>78650</v>
      </c>
    </row>
    <row r="18" spans="1:9" ht="30">
      <c r="A18" s="109" t="s">
        <v>195</v>
      </c>
      <c r="B18" s="110" t="s">
        <v>196</v>
      </c>
      <c r="C18" s="105">
        <v>0</v>
      </c>
      <c r="D18" s="105">
        <v>1</v>
      </c>
      <c r="E18" s="105">
        <v>3000</v>
      </c>
      <c r="F18" s="105">
        <f t="shared" si="0"/>
        <v>3630</v>
      </c>
      <c r="G18" s="104" t="s">
        <v>178</v>
      </c>
      <c r="H18" s="101"/>
      <c r="I18" s="101">
        <f t="shared" si="1"/>
        <v>3630</v>
      </c>
    </row>
    <row r="19" spans="1:9" ht="30">
      <c r="A19" s="109" t="s">
        <v>197</v>
      </c>
      <c r="B19" s="110" t="s">
        <v>198</v>
      </c>
      <c r="C19" s="105">
        <v>0</v>
      </c>
      <c r="D19" s="105">
        <v>1</v>
      </c>
      <c r="E19" s="105">
        <v>25000</v>
      </c>
      <c r="F19" s="105">
        <f t="shared" si="0"/>
        <v>30250</v>
      </c>
      <c r="G19" s="104" t="s">
        <v>178</v>
      </c>
      <c r="H19" s="101"/>
      <c r="I19" s="101">
        <f t="shared" si="1"/>
        <v>30250</v>
      </c>
    </row>
    <row r="20" spans="1:9" ht="30">
      <c r="A20" s="109" t="s">
        <v>199</v>
      </c>
      <c r="B20" s="110" t="s">
        <v>200</v>
      </c>
      <c r="C20" s="105" t="s">
        <v>190</v>
      </c>
      <c r="D20" s="105">
        <v>1</v>
      </c>
      <c r="E20" s="105">
        <v>70000</v>
      </c>
      <c r="F20" s="105">
        <f t="shared" si="0"/>
        <v>84700</v>
      </c>
      <c r="G20" s="104" t="s">
        <v>178</v>
      </c>
      <c r="H20" s="101"/>
      <c r="I20" s="101">
        <f t="shared" si="1"/>
        <v>84700</v>
      </c>
    </row>
    <row r="21" spans="1:9" ht="30.75" customHeight="1">
      <c r="A21" s="111">
        <v>2</v>
      </c>
      <c r="B21" s="112" t="s">
        <v>201</v>
      </c>
      <c r="C21" s="111"/>
      <c r="D21" s="111"/>
      <c r="E21" s="111"/>
      <c r="F21" s="111">
        <f>SUM(F22:F42)</f>
        <v>2568104</v>
      </c>
      <c r="G21" s="113"/>
      <c r="H21" s="101"/>
      <c r="I21" s="101">
        <f>SUM(I22:I42)</f>
        <v>2568104</v>
      </c>
    </row>
    <row r="22" spans="1:9" ht="30">
      <c r="A22" s="105" t="s">
        <v>202</v>
      </c>
      <c r="B22" s="114" t="s">
        <v>203</v>
      </c>
      <c r="C22" s="105">
        <v>80</v>
      </c>
      <c r="D22" s="105">
        <v>1</v>
      </c>
      <c r="E22" s="105">
        <v>850000</v>
      </c>
      <c r="F22" s="105">
        <f>D22*E22*1.21</f>
        <v>1028500</v>
      </c>
      <c r="G22" s="104" t="s">
        <v>204</v>
      </c>
      <c r="H22" s="101"/>
      <c r="I22" s="101">
        <f>F22</f>
        <v>1028500</v>
      </c>
    </row>
    <row r="23" spans="1:9" ht="30">
      <c r="A23" s="105" t="s">
        <v>205</v>
      </c>
      <c r="B23" s="114" t="s">
        <v>206</v>
      </c>
      <c r="C23" s="105"/>
      <c r="D23" s="105">
        <v>1</v>
      </c>
      <c r="E23" s="105">
        <v>170000</v>
      </c>
      <c r="F23" s="105">
        <f t="shared" ref="F23:F41" si="2">D23*E23*1.21</f>
        <v>205700</v>
      </c>
      <c r="G23" s="104" t="s">
        <v>204</v>
      </c>
      <c r="H23" s="101"/>
      <c r="I23" s="101">
        <f t="shared" ref="I23:I42" si="3">F23</f>
        <v>205700</v>
      </c>
    </row>
    <row r="24" spans="1:9" ht="30">
      <c r="A24" s="105" t="s">
        <v>207</v>
      </c>
      <c r="B24" s="114" t="s">
        <v>208</v>
      </c>
      <c r="C24" s="105"/>
      <c r="D24" s="105">
        <v>20</v>
      </c>
      <c r="E24" s="105">
        <v>1700</v>
      </c>
      <c r="F24" s="105">
        <f t="shared" si="2"/>
        <v>41140</v>
      </c>
      <c r="G24" s="104" t="s">
        <v>204</v>
      </c>
      <c r="H24" s="101"/>
      <c r="I24" s="101">
        <f t="shared" si="3"/>
        <v>41140</v>
      </c>
    </row>
    <row r="25" spans="1:9" ht="30">
      <c r="A25" s="105" t="s">
        <v>209</v>
      </c>
      <c r="B25" s="114" t="s">
        <v>210</v>
      </c>
      <c r="C25" s="105"/>
      <c r="D25" s="105">
        <v>20</v>
      </c>
      <c r="E25" s="105">
        <v>2500</v>
      </c>
      <c r="F25" s="105">
        <f t="shared" si="2"/>
        <v>60500</v>
      </c>
      <c r="G25" s="104" t="s">
        <v>204</v>
      </c>
      <c r="H25" s="101"/>
      <c r="I25" s="101">
        <f t="shared" si="3"/>
        <v>60500</v>
      </c>
    </row>
    <row r="26" spans="1:9" ht="30">
      <c r="A26" s="105" t="s">
        <v>211</v>
      </c>
      <c r="B26" s="114" t="s">
        <v>212</v>
      </c>
      <c r="C26" s="105">
        <v>0</v>
      </c>
      <c r="D26" s="105">
        <v>10</v>
      </c>
      <c r="E26" s="105">
        <v>900</v>
      </c>
      <c r="F26" s="105">
        <f t="shared" si="2"/>
        <v>10890</v>
      </c>
      <c r="G26" s="104" t="s">
        <v>204</v>
      </c>
      <c r="H26" s="101"/>
      <c r="I26" s="101">
        <f t="shared" si="3"/>
        <v>10890</v>
      </c>
    </row>
    <row r="27" spans="1:9">
      <c r="A27" s="105" t="s">
        <v>213</v>
      </c>
      <c r="B27" s="114" t="s">
        <v>214</v>
      </c>
      <c r="C27" s="105">
        <v>0</v>
      </c>
      <c r="D27" s="105">
        <v>4</v>
      </c>
      <c r="E27" s="105">
        <v>4500</v>
      </c>
      <c r="F27" s="105">
        <f t="shared" si="2"/>
        <v>21780</v>
      </c>
      <c r="G27" s="104" t="s">
        <v>204</v>
      </c>
      <c r="H27" s="101"/>
      <c r="I27" s="101">
        <f t="shared" si="3"/>
        <v>21780</v>
      </c>
    </row>
    <row r="28" spans="1:9">
      <c r="A28" s="105" t="s">
        <v>215</v>
      </c>
      <c r="B28" s="114" t="s">
        <v>216</v>
      </c>
      <c r="C28" s="105">
        <v>0</v>
      </c>
      <c r="D28" s="105">
        <v>40</v>
      </c>
      <c r="E28" s="105">
        <v>3600</v>
      </c>
      <c r="F28" s="105">
        <f t="shared" si="2"/>
        <v>174240</v>
      </c>
      <c r="G28" s="104" t="s">
        <v>204</v>
      </c>
      <c r="H28" s="101"/>
      <c r="I28" s="101">
        <f t="shared" si="3"/>
        <v>174240</v>
      </c>
    </row>
    <row r="29" spans="1:9">
      <c r="A29" s="105" t="s">
        <v>217</v>
      </c>
      <c r="B29" s="114" t="s">
        <v>218</v>
      </c>
      <c r="C29" s="105">
        <v>1</v>
      </c>
      <c r="D29" s="105">
        <v>2</v>
      </c>
      <c r="E29" s="105">
        <v>19000</v>
      </c>
      <c r="F29" s="105">
        <f t="shared" si="2"/>
        <v>45980</v>
      </c>
      <c r="G29" s="104" t="s">
        <v>204</v>
      </c>
      <c r="H29" s="101"/>
      <c r="I29" s="101">
        <f t="shared" si="3"/>
        <v>45980</v>
      </c>
    </row>
    <row r="30" spans="1:9">
      <c r="A30" s="105" t="s">
        <v>219</v>
      </c>
      <c r="B30" s="114" t="s">
        <v>220</v>
      </c>
      <c r="C30" s="105">
        <v>0</v>
      </c>
      <c r="D30" s="105">
        <v>8</v>
      </c>
      <c r="E30" s="105">
        <v>1300</v>
      </c>
      <c r="F30" s="105">
        <f t="shared" si="2"/>
        <v>12584</v>
      </c>
      <c r="G30" s="104" t="s">
        <v>204</v>
      </c>
      <c r="H30" s="101"/>
      <c r="I30" s="101">
        <f t="shared" si="3"/>
        <v>12584</v>
      </c>
    </row>
    <row r="31" spans="1:9">
      <c r="A31" s="105" t="s">
        <v>221</v>
      </c>
      <c r="B31" s="114" t="s">
        <v>222</v>
      </c>
      <c r="C31" s="105">
        <v>0</v>
      </c>
      <c r="D31" s="105">
        <v>40</v>
      </c>
      <c r="E31" s="105">
        <v>5500</v>
      </c>
      <c r="F31" s="105">
        <f t="shared" si="2"/>
        <v>266200</v>
      </c>
      <c r="G31" s="104" t="s">
        <v>204</v>
      </c>
      <c r="H31" s="101"/>
      <c r="I31" s="101">
        <f t="shared" si="3"/>
        <v>266200</v>
      </c>
    </row>
    <row r="32" spans="1:9" ht="30">
      <c r="A32" s="105" t="s">
        <v>223</v>
      </c>
      <c r="B32" s="114" t="s">
        <v>224</v>
      </c>
      <c r="C32" s="105">
        <v>35</v>
      </c>
      <c r="D32" s="105">
        <v>2</v>
      </c>
      <c r="E32" s="105">
        <v>150000</v>
      </c>
      <c r="F32" s="105">
        <f t="shared" si="2"/>
        <v>363000</v>
      </c>
      <c r="G32" s="104" t="s">
        <v>204</v>
      </c>
      <c r="H32" s="101"/>
      <c r="I32" s="101">
        <f t="shared" si="3"/>
        <v>363000</v>
      </c>
    </row>
    <row r="33" spans="1:10">
      <c r="A33" s="105" t="s">
        <v>225</v>
      </c>
      <c r="B33" s="114" t="s">
        <v>226</v>
      </c>
      <c r="C33" s="105">
        <v>0</v>
      </c>
      <c r="D33" s="105">
        <v>4</v>
      </c>
      <c r="E33" s="105">
        <v>15000</v>
      </c>
      <c r="F33" s="105">
        <f t="shared" si="2"/>
        <v>72600</v>
      </c>
      <c r="G33" s="104" t="s">
        <v>204</v>
      </c>
      <c r="H33" s="101"/>
      <c r="I33" s="101">
        <f t="shared" si="3"/>
        <v>72600</v>
      </c>
    </row>
    <row r="34" spans="1:10">
      <c r="A34" s="105" t="s">
        <v>227</v>
      </c>
      <c r="B34" s="114" t="s">
        <v>228</v>
      </c>
      <c r="C34" s="105">
        <v>0</v>
      </c>
      <c r="D34" s="105">
        <v>2</v>
      </c>
      <c r="E34" s="105">
        <v>8500</v>
      </c>
      <c r="F34" s="105">
        <f t="shared" si="2"/>
        <v>20570</v>
      </c>
      <c r="G34" s="104" t="s">
        <v>204</v>
      </c>
      <c r="H34" s="101"/>
      <c r="I34" s="101">
        <f t="shared" si="3"/>
        <v>20570</v>
      </c>
    </row>
    <row r="35" spans="1:10">
      <c r="A35" s="105" t="s">
        <v>229</v>
      </c>
      <c r="B35" s="114" t="s">
        <v>230</v>
      </c>
      <c r="C35" s="105">
        <v>0</v>
      </c>
      <c r="D35" s="105">
        <v>2</v>
      </c>
      <c r="E35" s="105">
        <v>22000</v>
      </c>
      <c r="F35" s="105">
        <f t="shared" si="2"/>
        <v>53240</v>
      </c>
      <c r="G35" s="104" t="s">
        <v>204</v>
      </c>
      <c r="H35" s="101"/>
      <c r="I35" s="101">
        <f t="shared" si="3"/>
        <v>53240</v>
      </c>
    </row>
    <row r="36" spans="1:10">
      <c r="A36" s="105" t="s">
        <v>231</v>
      </c>
      <c r="B36" s="114" t="s">
        <v>232</v>
      </c>
      <c r="C36" s="105">
        <v>60</v>
      </c>
      <c r="D36" s="105">
        <v>4</v>
      </c>
      <c r="E36" s="105">
        <v>2500</v>
      </c>
      <c r="F36" s="105">
        <f t="shared" si="2"/>
        <v>12100</v>
      </c>
      <c r="G36" s="104" t="s">
        <v>204</v>
      </c>
      <c r="H36" s="101"/>
      <c r="I36" s="101">
        <f t="shared" si="3"/>
        <v>12100</v>
      </c>
    </row>
    <row r="37" spans="1:10" ht="30">
      <c r="A37" s="105" t="s">
        <v>233</v>
      </c>
      <c r="B37" s="114" t="s">
        <v>234</v>
      </c>
      <c r="C37" s="105">
        <v>14</v>
      </c>
      <c r="D37" s="105">
        <v>1</v>
      </c>
      <c r="E37" s="105">
        <v>9000</v>
      </c>
      <c r="F37" s="105">
        <f t="shared" si="2"/>
        <v>10890</v>
      </c>
      <c r="G37" s="104" t="s">
        <v>204</v>
      </c>
      <c r="H37" s="101"/>
      <c r="I37" s="101">
        <f t="shared" si="3"/>
        <v>10890</v>
      </c>
    </row>
    <row r="38" spans="1:10">
      <c r="A38" s="105" t="s">
        <v>235</v>
      </c>
      <c r="B38" s="114" t="s">
        <v>236</v>
      </c>
      <c r="C38" s="105">
        <v>0</v>
      </c>
      <c r="D38" s="105">
        <v>8</v>
      </c>
      <c r="E38" s="105">
        <v>1800</v>
      </c>
      <c r="F38" s="105">
        <f t="shared" si="2"/>
        <v>17424</v>
      </c>
      <c r="G38" s="104" t="s">
        <v>204</v>
      </c>
      <c r="H38" s="101"/>
      <c r="I38" s="101">
        <f t="shared" si="3"/>
        <v>17424</v>
      </c>
    </row>
    <row r="39" spans="1:10">
      <c r="A39" s="105" t="s">
        <v>237</v>
      </c>
      <c r="B39" s="114" t="s">
        <v>238</v>
      </c>
      <c r="C39" s="105">
        <v>0</v>
      </c>
      <c r="D39" s="105">
        <v>50</v>
      </c>
      <c r="E39" s="105">
        <v>1000</v>
      </c>
      <c r="F39" s="105">
        <f t="shared" si="2"/>
        <v>60500</v>
      </c>
      <c r="G39" s="104" t="s">
        <v>204</v>
      </c>
      <c r="H39" s="101"/>
      <c r="I39" s="101">
        <f t="shared" si="3"/>
        <v>60500</v>
      </c>
    </row>
    <row r="40" spans="1:10">
      <c r="A40" s="105" t="s">
        <v>239</v>
      </c>
      <c r="B40" s="114" t="s">
        <v>240</v>
      </c>
      <c r="C40" s="105">
        <v>0</v>
      </c>
      <c r="D40" s="105">
        <v>2</v>
      </c>
      <c r="E40" s="105">
        <v>18000</v>
      </c>
      <c r="F40" s="105">
        <f t="shared" si="2"/>
        <v>43560</v>
      </c>
      <c r="G40" s="104" t="s">
        <v>204</v>
      </c>
      <c r="H40" s="101"/>
      <c r="I40" s="101">
        <f t="shared" si="3"/>
        <v>43560</v>
      </c>
    </row>
    <row r="41" spans="1:10" ht="30">
      <c r="A41" s="105" t="s">
        <v>241</v>
      </c>
      <c r="B41" s="114" t="s">
        <v>242</v>
      </c>
      <c r="C41" s="105">
        <v>0</v>
      </c>
      <c r="D41" s="105">
        <v>1</v>
      </c>
      <c r="E41" s="105">
        <v>9600</v>
      </c>
      <c r="F41" s="105">
        <f t="shared" si="2"/>
        <v>11616</v>
      </c>
      <c r="G41" s="104" t="s">
        <v>204</v>
      </c>
      <c r="H41" s="101"/>
      <c r="I41" s="101">
        <f t="shared" si="3"/>
        <v>11616</v>
      </c>
    </row>
    <row r="42" spans="1:10">
      <c r="A42" s="105" t="s">
        <v>243</v>
      </c>
      <c r="B42" s="114" t="s">
        <v>244</v>
      </c>
      <c r="C42" s="105">
        <v>0</v>
      </c>
      <c r="D42" s="105">
        <v>1</v>
      </c>
      <c r="E42" s="105">
        <v>29000</v>
      </c>
      <c r="F42" s="105">
        <f>D42*E42*1.21</f>
        <v>35090</v>
      </c>
      <c r="G42" s="104" t="s">
        <v>204</v>
      </c>
      <c r="H42" s="101"/>
      <c r="I42" s="101">
        <f t="shared" si="3"/>
        <v>35090</v>
      </c>
    </row>
    <row r="43" spans="1:10">
      <c r="A43" s="105"/>
      <c r="B43" s="114"/>
      <c r="C43" s="105"/>
      <c r="D43" s="105"/>
      <c r="E43" s="105"/>
      <c r="F43" s="105"/>
      <c r="G43" s="107"/>
      <c r="H43" s="101"/>
      <c r="I43" s="101"/>
    </row>
    <row r="44" spans="1:10">
      <c r="A44" s="115">
        <v>3</v>
      </c>
      <c r="B44" s="116" t="s">
        <v>245</v>
      </c>
      <c r="C44" s="117"/>
      <c r="D44" s="117"/>
      <c r="E44" s="117"/>
      <c r="F44" s="115">
        <f>F45+F46</f>
        <v>60500</v>
      </c>
      <c r="G44" s="118"/>
      <c r="H44" s="101"/>
      <c r="I44" s="101">
        <f>SUM(I45:I46)</f>
        <v>60500</v>
      </c>
    </row>
    <row r="45" spans="1:10">
      <c r="A45" s="105" t="s">
        <v>246</v>
      </c>
      <c r="B45" s="114" t="s">
        <v>247</v>
      </c>
      <c r="C45" s="105">
        <v>0</v>
      </c>
      <c r="D45" s="105">
        <v>1</v>
      </c>
      <c r="E45" s="105">
        <v>25000</v>
      </c>
      <c r="F45" s="105">
        <f>E45*1.21</f>
        <v>30250</v>
      </c>
      <c r="G45" s="104" t="s">
        <v>204</v>
      </c>
      <c r="H45" s="101"/>
      <c r="I45" s="101">
        <f>F45</f>
        <v>30250</v>
      </c>
    </row>
    <row r="46" spans="1:10">
      <c r="A46" s="105" t="s">
        <v>248</v>
      </c>
      <c r="B46" s="114" t="s">
        <v>249</v>
      </c>
      <c r="C46" s="105">
        <v>0</v>
      </c>
      <c r="D46" s="105">
        <v>1</v>
      </c>
      <c r="E46" s="105">
        <v>25000</v>
      </c>
      <c r="F46" s="105">
        <f>E46*1.21</f>
        <v>30250</v>
      </c>
      <c r="G46" s="104" t="s">
        <v>204</v>
      </c>
      <c r="H46" s="101"/>
      <c r="I46" s="101">
        <f>F46</f>
        <v>30250</v>
      </c>
    </row>
    <row r="47" spans="1:10">
      <c r="A47" s="105"/>
      <c r="B47" s="119" t="s">
        <v>58</v>
      </c>
      <c r="C47" s="120">
        <f>SUM(C22:C46)</f>
        <v>190</v>
      </c>
      <c r="D47" s="105"/>
      <c r="E47" s="121" t="s">
        <v>58</v>
      </c>
      <c r="F47" s="120">
        <f>F4+F21+F44</f>
        <v>5333500</v>
      </c>
      <c r="G47" s="107"/>
      <c r="H47" s="101">
        <f>SUM(H4+H21+H44)</f>
        <v>1490274</v>
      </c>
      <c r="I47" s="101">
        <f>SUM(I4+I21+I44)</f>
        <v>3843226</v>
      </c>
      <c r="J47" s="122">
        <f>H47+I47</f>
        <v>5333500</v>
      </c>
    </row>
    <row r="50" spans="1:6">
      <c r="A50" s="97" t="s">
        <v>250</v>
      </c>
      <c r="E50" s="123"/>
      <c r="F50" s="123"/>
    </row>
  </sheetData>
  <mergeCells count="2">
    <mergeCell ref="B1:G1"/>
    <mergeCell ref="K2:K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FBFA9-0826-463D-A285-BBC823A6995B}">
  <dimension ref="A1:L23"/>
  <sheetViews>
    <sheetView view="pageBreakPreview" zoomScale="70" zoomScaleNormal="100" zoomScaleSheetLayoutView="70" workbookViewId="0">
      <selection activeCell="L1" sqref="L1:L6"/>
    </sheetView>
  </sheetViews>
  <sheetFormatPr defaultRowHeight="15.75"/>
  <cols>
    <col min="1" max="4" width="9.140625" style="124"/>
    <col min="5" max="5" width="22.85546875" style="124" customWidth="1"/>
    <col min="6" max="6" width="12.28515625" style="125" customWidth="1"/>
    <col min="7" max="7" width="12.42578125" style="124" customWidth="1"/>
    <col min="8" max="8" width="15.140625" style="124" customWidth="1"/>
    <col min="9" max="9" width="40.42578125" style="124" customWidth="1"/>
    <col min="10" max="10" width="12.140625" style="124" customWidth="1"/>
    <col min="11" max="11" width="11.7109375" style="124" customWidth="1"/>
    <col min="12" max="12" width="34.28515625" style="124" customWidth="1"/>
    <col min="13" max="16384" width="9.140625" style="124"/>
  </cols>
  <sheetData>
    <row r="1" spans="1:12" ht="23.25">
      <c r="A1" s="260" t="s">
        <v>251</v>
      </c>
      <c r="B1" s="260"/>
      <c r="C1" s="260"/>
      <c r="D1" s="260"/>
      <c r="E1" s="260"/>
      <c r="F1" s="260"/>
      <c r="G1" s="260"/>
      <c r="H1" s="260"/>
      <c r="I1" s="260"/>
      <c r="L1" s="75" t="s">
        <v>103</v>
      </c>
    </row>
    <row r="2" spans="1:12" ht="16.5" thickBot="1">
      <c r="L2" s="258" t="s">
        <v>100</v>
      </c>
    </row>
    <row r="3" spans="1:12" ht="30">
      <c r="F3" s="126" t="s">
        <v>156</v>
      </c>
      <c r="G3" s="127" t="s">
        <v>252</v>
      </c>
      <c r="H3" s="128" t="s">
        <v>253</v>
      </c>
      <c r="I3" s="128" t="s">
        <v>254</v>
      </c>
      <c r="J3" s="129" t="s">
        <v>45</v>
      </c>
      <c r="K3" s="129" t="s">
        <v>52</v>
      </c>
      <c r="L3" s="258"/>
    </row>
    <row r="4" spans="1:12" ht="94.5">
      <c r="A4" s="130">
        <v>1</v>
      </c>
      <c r="B4" s="261" t="s">
        <v>255</v>
      </c>
      <c r="C4" s="262"/>
      <c r="D4" s="262"/>
      <c r="E4" s="262"/>
      <c r="F4" s="131">
        <v>895</v>
      </c>
      <c r="G4" s="132"/>
      <c r="H4" s="133">
        <v>110000</v>
      </c>
      <c r="I4" s="134" t="s">
        <v>256</v>
      </c>
      <c r="J4" s="135">
        <f>H4/2</f>
        <v>55000</v>
      </c>
      <c r="K4" s="135">
        <f>H4/2</f>
        <v>55000</v>
      </c>
      <c r="L4" s="258"/>
    </row>
    <row r="5" spans="1:12" ht="94.5">
      <c r="A5" s="130">
        <v>2</v>
      </c>
      <c r="B5" s="261" t="s">
        <v>257</v>
      </c>
      <c r="C5" s="262"/>
      <c r="D5" s="262"/>
      <c r="E5" s="262"/>
      <c r="F5" s="135">
        <v>895</v>
      </c>
      <c r="G5" s="132"/>
      <c r="H5" s="133">
        <v>12000</v>
      </c>
      <c r="I5" s="134" t="s">
        <v>258</v>
      </c>
      <c r="J5" s="135">
        <f t="shared" ref="J5" si="0">H5/2</f>
        <v>6000</v>
      </c>
      <c r="K5" s="135">
        <f>H5/2</f>
        <v>6000</v>
      </c>
      <c r="L5" s="258"/>
    </row>
    <row r="6" spans="1:12" ht="28.5" customHeight="1">
      <c r="A6" s="130">
        <v>3</v>
      </c>
      <c r="B6" s="263" t="s">
        <v>259</v>
      </c>
      <c r="C6" s="264"/>
      <c r="D6" s="264"/>
      <c r="E6" s="265"/>
      <c r="F6" s="131"/>
      <c r="G6" s="136"/>
      <c r="H6" s="132">
        <f>H7+H8</f>
        <v>1000065</v>
      </c>
      <c r="I6" s="137"/>
      <c r="J6" s="135"/>
      <c r="K6" s="135"/>
      <c r="L6" s="258"/>
    </row>
    <row r="7" spans="1:12" ht="31.5" customHeight="1">
      <c r="A7" s="138" t="s">
        <v>246</v>
      </c>
      <c r="B7" s="266" t="s">
        <v>260</v>
      </c>
      <c r="C7" s="267"/>
      <c r="D7" s="267"/>
      <c r="E7" s="267"/>
      <c r="F7" s="131">
        <v>500</v>
      </c>
      <c r="G7" s="131">
        <v>1100</v>
      </c>
      <c r="H7" s="135">
        <f>F7*G7*1.21</f>
        <v>665500</v>
      </c>
      <c r="I7" s="137" t="s">
        <v>261</v>
      </c>
      <c r="J7" s="135">
        <v>261435</v>
      </c>
      <c r="K7" s="135">
        <f>H7-J7</f>
        <v>404065</v>
      </c>
      <c r="L7" s="97"/>
    </row>
    <row r="8" spans="1:12" ht="36" customHeight="1">
      <c r="A8" s="138" t="s">
        <v>248</v>
      </c>
      <c r="B8" s="275" t="s">
        <v>262</v>
      </c>
      <c r="C8" s="276"/>
      <c r="D8" s="276"/>
      <c r="E8" s="276"/>
      <c r="F8" s="135">
        <v>395</v>
      </c>
      <c r="G8" s="135">
        <v>700</v>
      </c>
      <c r="H8" s="135">
        <f>F8*G8*1.21</f>
        <v>334565</v>
      </c>
      <c r="I8" s="137" t="s">
        <v>261</v>
      </c>
      <c r="J8" s="135">
        <f>H8</f>
        <v>334565</v>
      </c>
      <c r="K8" s="135">
        <v>0</v>
      </c>
    </row>
    <row r="9" spans="1:12" ht="26.25" customHeight="1">
      <c r="A9" s="139">
        <v>4</v>
      </c>
      <c r="B9" s="268" t="s">
        <v>263</v>
      </c>
      <c r="C9" s="268"/>
      <c r="D9" s="268"/>
      <c r="E9" s="268"/>
      <c r="F9" s="135">
        <v>895</v>
      </c>
      <c r="G9" s="135">
        <v>134.078</v>
      </c>
      <c r="H9" s="135">
        <f>G9*F9</f>
        <v>119999.81</v>
      </c>
      <c r="I9" s="137" t="s">
        <v>264</v>
      </c>
      <c r="J9" s="135"/>
      <c r="K9" s="135">
        <f>H9</f>
        <v>119999.81</v>
      </c>
    </row>
    <row r="10" spans="1:12" ht="26.25" customHeight="1">
      <c r="A10" s="139">
        <v>5</v>
      </c>
      <c r="B10" s="268" t="s">
        <v>201</v>
      </c>
      <c r="C10" s="268"/>
      <c r="D10" s="268"/>
      <c r="E10" s="268"/>
      <c r="F10" s="135"/>
      <c r="G10" s="135"/>
      <c r="H10" s="135"/>
      <c r="I10" s="137"/>
      <c r="J10" s="135"/>
      <c r="K10" s="135"/>
    </row>
    <row r="11" spans="1:12" ht="26.25" customHeight="1">
      <c r="A11" s="130" t="s">
        <v>265</v>
      </c>
      <c r="B11" s="271" t="s">
        <v>266</v>
      </c>
      <c r="C11" s="271"/>
      <c r="D11" s="271"/>
      <c r="E11" s="271"/>
      <c r="F11" s="135">
        <v>22</v>
      </c>
      <c r="G11" s="135">
        <v>550</v>
      </c>
      <c r="H11" s="135">
        <f>F11*G11</f>
        <v>12100</v>
      </c>
      <c r="I11" s="137" t="s">
        <v>264</v>
      </c>
      <c r="J11" s="135"/>
      <c r="K11" s="135">
        <f>H11</f>
        <v>12100</v>
      </c>
    </row>
    <row r="12" spans="1:12" ht="26.25" customHeight="1">
      <c r="A12" s="130" t="s">
        <v>267</v>
      </c>
      <c r="B12" s="271" t="s">
        <v>268</v>
      </c>
      <c r="C12" s="271"/>
      <c r="D12" s="271"/>
      <c r="E12" s="271"/>
      <c r="F12" s="135">
        <v>22</v>
      </c>
      <c r="G12" s="135">
        <v>12000</v>
      </c>
      <c r="H12" s="135">
        <f t="shared" ref="H12:H13" si="1">F12*G12</f>
        <v>264000</v>
      </c>
      <c r="I12" s="137" t="s">
        <v>264</v>
      </c>
      <c r="J12" s="135"/>
      <c r="K12" s="135">
        <f t="shared" ref="K12:K15" si="2">H12</f>
        <v>264000</v>
      </c>
    </row>
    <row r="13" spans="1:12" ht="26.25" customHeight="1">
      <c r="A13" s="130" t="s">
        <v>269</v>
      </c>
      <c r="B13" s="271" t="s">
        <v>270</v>
      </c>
      <c r="C13" s="271"/>
      <c r="D13" s="271"/>
      <c r="E13" s="271"/>
      <c r="F13" s="135">
        <v>2</v>
      </c>
      <c r="G13" s="135">
        <v>18000</v>
      </c>
      <c r="H13" s="135">
        <f t="shared" si="1"/>
        <v>36000</v>
      </c>
      <c r="I13" s="137" t="s">
        <v>264</v>
      </c>
      <c r="J13" s="135"/>
      <c r="K13" s="135">
        <f t="shared" si="2"/>
        <v>36000</v>
      </c>
    </row>
    <row r="14" spans="1:12" ht="26.25" customHeight="1">
      <c r="A14" s="130">
        <v>6</v>
      </c>
      <c r="B14" s="272" t="s">
        <v>271</v>
      </c>
      <c r="C14" s="273"/>
      <c r="D14" s="273"/>
      <c r="E14" s="274"/>
      <c r="F14" s="135">
        <v>895</v>
      </c>
      <c r="G14" s="135">
        <v>280</v>
      </c>
      <c r="H14" s="135">
        <f>F14*G14*1.21</f>
        <v>303226</v>
      </c>
      <c r="I14" s="137" t="s">
        <v>264</v>
      </c>
      <c r="J14" s="135"/>
      <c r="K14" s="135">
        <f t="shared" si="2"/>
        <v>303226</v>
      </c>
    </row>
    <row r="15" spans="1:12" ht="26.25" customHeight="1">
      <c r="A15" s="130">
        <v>7</v>
      </c>
      <c r="B15" s="268" t="s">
        <v>272</v>
      </c>
      <c r="C15" s="268"/>
      <c r="D15" s="268"/>
      <c r="E15" s="268"/>
      <c r="F15" s="135">
        <v>895</v>
      </c>
      <c r="G15" s="135">
        <v>100</v>
      </c>
      <c r="H15" s="135">
        <f>F15*G15*1.21</f>
        <v>108295</v>
      </c>
      <c r="I15" s="137" t="s">
        <v>264</v>
      </c>
      <c r="J15" s="135"/>
      <c r="K15" s="135">
        <f t="shared" si="2"/>
        <v>108295</v>
      </c>
    </row>
    <row r="16" spans="1:12" ht="16.5" thickBot="1">
      <c r="A16" s="269"/>
      <c r="B16" s="269"/>
      <c r="C16" s="269"/>
      <c r="D16" s="269"/>
      <c r="E16" s="269"/>
      <c r="F16" s="140">
        <f>SUM(F7:F8)</f>
        <v>895</v>
      </c>
      <c r="G16" s="140"/>
      <c r="H16" s="141">
        <f>SUM(H7:H15, H4+H5)</f>
        <v>1965685.81</v>
      </c>
      <c r="I16" s="137"/>
      <c r="J16" s="135">
        <f>SUM(J4:J15)</f>
        <v>657000</v>
      </c>
      <c r="K16" s="135">
        <f>SUM(K4:K15)</f>
        <v>1308685.81</v>
      </c>
      <c r="L16" s="142">
        <f>J16+K16</f>
        <v>1965685.81</v>
      </c>
    </row>
    <row r="18" spans="1:12">
      <c r="H18" s="97"/>
    </row>
    <row r="19" spans="1:12">
      <c r="H19" s="143"/>
    </row>
    <row r="20" spans="1:12" ht="42" customHeight="1">
      <c r="A20" s="270" t="s">
        <v>273</v>
      </c>
      <c r="B20" s="270"/>
      <c r="C20" s="270"/>
      <c r="D20" s="270"/>
      <c r="E20" s="270"/>
      <c r="F20" s="270"/>
      <c r="G20" s="270"/>
      <c r="H20" s="270"/>
      <c r="I20" s="270"/>
      <c r="J20" s="270"/>
      <c r="K20" s="270"/>
      <c r="L20" s="270"/>
    </row>
    <row r="23" spans="1:12">
      <c r="H23" s="97"/>
    </row>
  </sheetData>
  <mergeCells count="16">
    <mergeCell ref="B15:E15"/>
    <mergeCell ref="A16:E16"/>
    <mergeCell ref="A20:L20"/>
    <mergeCell ref="L2:L6"/>
    <mergeCell ref="B9:E9"/>
    <mergeCell ref="B10:E10"/>
    <mergeCell ref="B11:E11"/>
    <mergeCell ref="B12:E12"/>
    <mergeCell ref="B13:E13"/>
    <mergeCell ref="B14:E14"/>
    <mergeCell ref="B8:E8"/>
    <mergeCell ref="A1:I1"/>
    <mergeCell ref="B4:E4"/>
    <mergeCell ref="B5:E5"/>
    <mergeCell ref="B6:E6"/>
    <mergeCell ref="B7:E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73C0F-F372-49E5-AD1B-6CFA8F598557}">
  <dimension ref="A1:L13"/>
  <sheetViews>
    <sheetView view="pageBreakPreview" zoomScale="85" zoomScaleNormal="100" zoomScaleSheetLayoutView="85" workbookViewId="0">
      <selection activeCell="L1" sqref="L1:L6"/>
    </sheetView>
  </sheetViews>
  <sheetFormatPr defaultRowHeight="15.75"/>
  <cols>
    <col min="1" max="4" width="9.140625" style="124"/>
    <col min="5" max="5" width="22.85546875" style="124" customWidth="1"/>
    <col min="6" max="6" width="12.42578125" style="124" customWidth="1"/>
    <col min="7" max="7" width="9.140625" style="124"/>
    <col min="8" max="8" width="12.28515625" style="124" customWidth="1"/>
    <col min="9" max="9" width="35.7109375" style="124" customWidth="1"/>
    <col min="10" max="10" width="16.42578125" style="124" customWidth="1"/>
    <col min="11" max="11" width="11.7109375" style="124" customWidth="1"/>
    <col min="12" max="12" width="35.7109375" style="124" customWidth="1"/>
    <col min="13" max="16384" width="9.140625" style="124"/>
  </cols>
  <sheetData>
    <row r="1" spans="1:12" ht="23.25">
      <c r="A1" s="277" t="s">
        <v>274</v>
      </c>
      <c r="B1" s="277"/>
      <c r="C1" s="277"/>
      <c r="D1" s="277"/>
      <c r="E1" s="277"/>
      <c r="F1" s="277"/>
      <c r="G1" s="277"/>
      <c r="H1" s="277"/>
      <c r="I1" s="277"/>
      <c r="L1" s="75" t="s">
        <v>120</v>
      </c>
    </row>
    <row r="2" spans="1:12">
      <c r="L2" s="258" t="s">
        <v>100</v>
      </c>
    </row>
    <row r="3" spans="1:12" ht="30">
      <c r="A3" s="278"/>
      <c r="B3" s="279"/>
      <c r="C3" s="279"/>
      <c r="D3" s="279"/>
      <c r="E3" s="280"/>
      <c r="F3" s="144" t="s">
        <v>156</v>
      </c>
      <c r="G3" s="144" t="s">
        <v>252</v>
      </c>
      <c r="H3" s="144" t="s">
        <v>253</v>
      </c>
      <c r="I3" s="144" t="s">
        <v>254</v>
      </c>
      <c r="J3" s="144" t="s">
        <v>45</v>
      </c>
      <c r="K3" s="144" t="s">
        <v>52</v>
      </c>
      <c r="L3" s="258"/>
    </row>
    <row r="4" spans="1:12" ht="20.25" customHeight="1">
      <c r="A4" s="130">
        <v>1</v>
      </c>
      <c r="B4" s="281" t="s">
        <v>259</v>
      </c>
      <c r="C4" s="281"/>
      <c r="D4" s="281"/>
      <c r="E4" s="281"/>
      <c r="F4" s="135"/>
      <c r="G4" s="132"/>
      <c r="H4" s="132"/>
      <c r="I4" s="137"/>
      <c r="J4" s="145"/>
      <c r="K4" s="137"/>
      <c r="L4" s="258"/>
    </row>
    <row r="5" spans="1:12" ht="26.25" customHeight="1">
      <c r="A5" s="138" t="s">
        <v>162</v>
      </c>
      <c r="B5" s="275" t="s">
        <v>275</v>
      </c>
      <c r="C5" s="276"/>
      <c r="D5" s="276"/>
      <c r="E5" s="276"/>
      <c r="F5" s="135">
        <v>200</v>
      </c>
      <c r="G5" s="135">
        <v>800</v>
      </c>
      <c r="H5" s="135">
        <f>F5*G5*1.21</f>
        <v>193600</v>
      </c>
      <c r="I5" s="137" t="s">
        <v>276</v>
      </c>
      <c r="J5" s="135">
        <v>193600</v>
      </c>
      <c r="K5" s="137"/>
      <c r="L5" s="258"/>
    </row>
    <row r="6" spans="1:12" ht="16.5" customHeight="1">
      <c r="A6" s="138" t="s">
        <v>165</v>
      </c>
      <c r="B6" s="275" t="s">
        <v>277</v>
      </c>
      <c r="C6" s="276"/>
      <c r="D6" s="276"/>
      <c r="E6" s="276"/>
      <c r="F6" s="135">
        <v>223</v>
      </c>
      <c r="G6" s="135">
        <v>800</v>
      </c>
      <c r="H6" s="135">
        <f t="shared" ref="H6:H8" si="0">F6*G6*1.21</f>
        <v>215864</v>
      </c>
      <c r="I6" s="137" t="s">
        <v>276</v>
      </c>
      <c r="J6" s="135">
        <v>205400</v>
      </c>
      <c r="K6" s="101">
        <f>H6-J6</f>
        <v>10464</v>
      </c>
      <c r="L6" s="258"/>
    </row>
    <row r="7" spans="1:12">
      <c r="A7" s="130">
        <v>2</v>
      </c>
      <c r="B7" s="268" t="s">
        <v>271</v>
      </c>
      <c r="C7" s="268"/>
      <c r="D7" s="268"/>
      <c r="E7" s="268"/>
      <c r="F7" s="146">
        <v>423</v>
      </c>
      <c r="G7" s="135">
        <v>300</v>
      </c>
      <c r="H7" s="135">
        <f t="shared" si="0"/>
        <v>153549</v>
      </c>
      <c r="I7" s="137" t="s">
        <v>264</v>
      </c>
      <c r="J7" s="137"/>
      <c r="K7" s="101">
        <v>153549</v>
      </c>
    </row>
    <row r="8" spans="1:12">
      <c r="A8" s="130">
        <v>3</v>
      </c>
      <c r="B8" s="268" t="s">
        <v>272</v>
      </c>
      <c r="C8" s="268"/>
      <c r="D8" s="268"/>
      <c r="E8" s="268"/>
      <c r="F8" s="135">
        <v>800</v>
      </c>
      <c r="G8" s="135">
        <v>100</v>
      </c>
      <c r="H8" s="135">
        <f t="shared" si="0"/>
        <v>96800</v>
      </c>
      <c r="I8" s="137" t="s">
        <v>264</v>
      </c>
      <c r="J8" s="137"/>
      <c r="K8" s="101">
        <v>96800</v>
      </c>
    </row>
    <row r="9" spans="1:12">
      <c r="A9" s="276"/>
      <c r="B9" s="276"/>
      <c r="C9" s="276"/>
      <c r="D9" s="276"/>
      <c r="E9" s="276"/>
      <c r="F9" s="141">
        <f>SUM(F5:F6)</f>
        <v>423</v>
      </c>
      <c r="G9" s="141"/>
      <c r="H9" s="141">
        <f>SUM(H4:H8)</f>
        <v>659813</v>
      </c>
      <c r="I9" s="137"/>
      <c r="J9" s="101">
        <f>SUM(J5:J8)</f>
        <v>399000</v>
      </c>
      <c r="K9" s="101">
        <f>SUM(K5:K8)</f>
        <v>260813</v>
      </c>
      <c r="L9" s="142">
        <f>J9+K9</f>
        <v>659813</v>
      </c>
    </row>
    <row r="10" spans="1:12">
      <c r="F10" s="125"/>
    </row>
    <row r="11" spans="1:12">
      <c r="F11" s="125"/>
      <c r="H11" s="97"/>
    </row>
    <row r="12" spans="1:12">
      <c r="F12" s="125"/>
      <c r="H12" s="143"/>
      <c r="J12" s="97"/>
    </row>
    <row r="13" spans="1:12">
      <c r="F13" s="125"/>
    </row>
  </sheetData>
  <mergeCells count="9">
    <mergeCell ref="B8:E8"/>
    <mergeCell ref="A9:E9"/>
    <mergeCell ref="L2:L6"/>
    <mergeCell ref="A1:I1"/>
    <mergeCell ref="A3:E3"/>
    <mergeCell ref="B4:E4"/>
    <mergeCell ref="B5:E5"/>
    <mergeCell ref="B6:E6"/>
    <mergeCell ref="B7:E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6A64D-75FA-4EDF-BC91-C6C958DDF869}">
  <dimension ref="A1:J34"/>
  <sheetViews>
    <sheetView view="pageBreakPreview" zoomScale="85" zoomScaleNormal="100" zoomScaleSheetLayoutView="85" workbookViewId="0">
      <selection activeCell="J1" sqref="J1:J6"/>
    </sheetView>
  </sheetViews>
  <sheetFormatPr defaultRowHeight="12.75"/>
  <cols>
    <col min="1" max="1" width="9.140625" style="148"/>
    <col min="2" max="2" width="42.85546875" style="148" customWidth="1"/>
    <col min="3" max="3" width="11.5703125" style="148" customWidth="1"/>
    <col min="4" max="4" width="14.7109375" style="148" customWidth="1"/>
    <col min="5" max="5" width="21" style="148" customWidth="1"/>
    <col min="6" max="7" width="22.85546875" style="148" customWidth="1"/>
    <col min="8" max="8" width="9.140625" style="148"/>
    <col min="9" max="9" width="11.5703125" style="148" customWidth="1"/>
    <col min="10" max="10" width="41.42578125" style="148" customWidth="1"/>
    <col min="11" max="16384" width="9.140625" style="148"/>
  </cols>
  <sheetData>
    <row r="1" spans="1:10" ht="23.25">
      <c r="A1" s="260" t="s">
        <v>278</v>
      </c>
      <c r="B1" s="260"/>
      <c r="C1" s="260"/>
      <c r="D1" s="260"/>
      <c r="E1" s="260"/>
      <c r="F1" s="260"/>
      <c r="G1" s="147"/>
      <c r="J1" s="75" t="s">
        <v>374</v>
      </c>
    </row>
    <row r="2" spans="1:10">
      <c r="J2" s="258" t="s">
        <v>100</v>
      </c>
    </row>
    <row r="3" spans="1:10" ht="25.5">
      <c r="A3" s="149" t="s">
        <v>153</v>
      </c>
      <c r="B3" s="150" t="s">
        <v>154</v>
      </c>
      <c r="C3" s="149" t="s">
        <v>279</v>
      </c>
      <c r="D3" s="151" t="s">
        <v>280</v>
      </c>
      <c r="E3" s="149" t="s">
        <v>157</v>
      </c>
      <c r="F3" s="149" t="s">
        <v>158</v>
      </c>
      <c r="G3" s="149" t="s">
        <v>254</v>
      </c>
      <c r="H3" s="152" t="s">
        <v>45</v>
      </c>
      <c r="I3" s="152" t="s">
        <v>52</v>
      </c>
      <c r="J3" s="258"/>
    </row>
    <row r="4" spans="1:10">
      <c r="A4" s="153">
        <v>1</v>
      </c>
      <c r="B4" s="154" t="s">
        <v>281</v>
      </c>
      <c r="C4" s="153">
        <v>750</v>
      </c>
      <c r="D4" s="153"/>
      <c r="E4" s="154"/>
      <c r="F4" s="155">
        <v>2247636</v>
      </c>
      <c r="G4" s="155"/>
      <c r="H4" s="156"/>
      <c r="I4" s="156"/>
      <c r="J4" s="258"/>
    </row>
    <row r="5" spans="1:10">
      <c r="A5" s="153">
        <v>1.1000000000000001</v>
      </c>
      <c r="B5" s="154" t="s">
        <v>282</v>
      </c>
      <c r="C5" s="153" t="s">
        <v>283</v>
      </c>
      <c r="D5" s="153">
        <v>750</v>
      </c>
      <c r="E5" s="157">
        <v>1400</v>
      </c>
      <c r="F5" s="157">
        <f>D5*E5*1.21</f>
        <v>1270500</v>
      </c>
      <c r="G5" s="157" t="s">
        <v>161</v>
      </c>
      <c r="H5" s="158">
        <v>630882</v>
      </c>
      <c r="I5" s="159">
        <f>F5-PSKUS_15_32_109_5!H5</f>
        <v>639618</v>
      </c>
      <c r="J5" s="258"/>
    </row>
    <row r="6" spans="1:10" ht="25.5">
      <c r="A6" s="153">
        <v>1.2</v>
      </c>
      <c r="B6" s="154" t="s">
        <v>284</v>
      </c>
      <c r="C6" s="153" t="s">
        <v>285</v>
      </c>
      <c r="D6" s="153">
        <v>3</v>
      </c>
      <c r="E6" s="157">
        <v>25000</v>
      </c>
      <c r="F6" s="157">
        <f t="shared" ref="F6:F32" si="0">D6*E6*1.21</f>
        <v>90750</v>
      </c>
      <c r="G6" s="157" t="s">
        <v>204</v>
      </c>
      <c r="H6" s="156"/>
      <c r="I6" s="159">
        <f>F6</f>
        <v>90750</v>
      </c>
      <c r="J6" s="258"/>
    </row>
    <row r="7" spans="1:10" ht="25.5">
      <c r="A7" s="153">
        <v>1.3</v>
      </c>
      <c r="B7" s="154" t="s">
        <v>286</v>
      </c>
      <c r="C7" s="153" t="s">
        <v>285</v>
      </c>
      <c r="D7" s="153">
        <v>3</v>
      </c>
      <c r="E7" s="157">
        <v>15000</v>
      </c>
      <c r="F7" s="157">
        <f t="shared" si="0"/>
        <v>54450</v>
      </c>
      <c r="G7" s="157" t="s">
        <v>204</v>
      </c>
      <c r="H7" s="156"/>
      <c r="I7" s="159">
        <f t="shared" ref="I7:I32" si="1">F7</f>
        <v>54450</v>
      </c>
    </row>
    <row r="8" spans="1:10" ht="25.5">
      <c r="A8" s="153">
        <v>1.4</v>
      </c>
      <c r="B8" s="154" t="s">
        <v>287</v>
      </c>
      <c r="C8" s="153" t="s">
        <v>285</v>
      </c>
      <c r="D8" s="153">
        <v>3</v>
      </c>
      <c r="E8" s="157">
        <v>2500</v>
      </c>
      <c r="F8" s="157">
        <f t="shared" si="0"/>
        <v>9075</v>
      </c>
      <c r="G8" s="157" t="s">
        <v>204</v>
      </c>
      <c r="H8" s="156"/>
      <c r="I8" s="159">
        <f t="shared" si="1"/>
        <v>9075</v>
      </c>
    </row>
    <row r="9" spans="1:10" ht="25.5">
      <c r="A9" s="153">
        <v>1.5</v>
      </c>
      <c r="B9" s="154" t="s">
        <v>288</v>
      </c>
      <c r="C9" s="153" t="s">
        <v>285</v>
      </c>
      <c r="D9" s="153">
        <v>3</v>
      </c>
      <c r="E9" s="157">
        <v>3000</v>
      </c>
      <c r="F9" s="157">
        <f t="shared" si="0"/>
        <v>10890</v>
      </c>
      <c r="G9" s="157" t="s">
        <v>204</v>
      </c>
      <c r="H9" s="156"/>
      <c r="I9" s="159">
        <f t="shared" si="1"/>
        <v>10890</v>
      </c>
    </row>
    <row r="10" spans="1:10" ht="25.5">
      <c r="A10" s="153">
        <v>1.6</v>
      </c>
      <c r="B10" s="154" t="s">
        <v>216</v>
      </c>
      <c r="C10" s="153" t="s">
        <v>285</v>
      </c>
      <c r="D10" s="153">
        <v>3</v>
      </c>
      <c r="E10" s="157">
        <v>8500</v>
      </c>
      <c r="F10" s="157">
        <f t="shared" si="0"/>
        <v>30855</v>
      </c>
      <c r="G10" s="157" t="s">
        <v>204</v>
      </c>
      <c r="H10" s="156"/>
      <c r="I10" s="159">
        <f t="shared" si="1"/>
        <v>30855</v>
      </c>
    </row>
    <row r="11" spans="1:10" ht="25.5">
      <c r="A11" s="153">
        <v>1.7</v>
      </c>
      <c r="B11" s="154" t="s">
        <v>289</v>
      </c>
      <c r="C11" s="153" t="s">
        <v>285</v>
      </c>
      <c r="D11" s="153">
        <v>1</v>
      </c>
      <c r="E11" s="157">
        <v>19000</v>
      </c>
      <c r="F11" s="157">
        <f t="shared" si="0"/>
        <v>22990</v>
      </c>
      <c r="G11" s="157" t="s">
        <v>204</v>
      </c>
      <c r="H11" s="156"/>
      <c r="I11" s="159">
        <f t="shared" si="1"/>
        <v>22990</v>
      </c>
    </row>
    <row r="12" spans="1:10" ht="25.5">
      <c r="A12" s="153">
        <v>1.8</v>
      </c>
      <c r="B12" s="154" t="s">
        <v>290</v>
      </c>
      <c r="C12" s="153" t="s">
        <v>285</v>
      </c>
      <c r="D12" s="153">
        <v>3</v>
      </c>
      <c r="E12" s="157">
        <v>6000</v>
      </c>
      <c r="F12" s="157">
        <f t="shared" si="0"/>
        <v>21780</v>
      </c>
      <c r="G12" s="157" t="s">
        <v>204</v>
      </c>
      <c r="H12" s="156"/>
      <c r="I12" s="159">
        <f t="shared" si="1"/>
        <v>21780</v>
      </c>
    </row>
    <row r="13" spans="1:10" ht="25.5">
      <c r="A13" s="153">
        <v>1.9</v>
      </c>
      <c r="B13" s="154" t="s">
        <v>291</v>
      </c>
      <c r="C13" s="153" t="s">
        <v>285</v>
      </c>
      <c r="D13" s="153">
        <v>3</v>
      </c>
      <c r="E13" s="157">
        <v>10000</v>
      </c>
      <c r="F13" s="157">
        <f t="shared" si="0"/>
        <v>36300</v>
      </c>
      <c r="G13" s="157" t="s">
        <v>204</v>
      </c>
      <c r="H13" s="156"/>
      <c r="I13" s="159">
        <f t="shared" si="1"/>
        <v>36300</v>
      </c>
    </row>
    <row r="14" spans="1:10" ht="25.5">
      <c r="A14" s="153">
        <v>2</v>
      </c>
      <c r="B14" s="154" t="s">
        <v>292</v>
      </c>
      <c r="C14" s="153" t="s">
        <v>285</v>
      </c>
      <c r="D14" s="153">
        <v>3</v>
      </c>
      <c r="E14" s="157">
        <v>9000</v>
      </c>
      <c r="F14" s="157">
        <f t="shared" si="0"/>
        <v>32670</v>
      </c>
      <c r="G14" s="157" t="s">
        <v>204</v>
      </c>
      <c r="H14" s="156"/>
      <c r="I14" s="159">
        <f t="shared" si="1"/>
        <v>32670</v>
      </c>
    </row>
    <row r="15" spans="1:10" ht="25.5">
      <c r="A15" s="153">
        <v>2.1</v>
      </c>
      <c r="B15" s="154" t="s">
        <v>293</v>
      </c>
      <c r="C15" s="153" t="s">
        <v>285</v>
      </c>
      <c r="D15" s="153">
        <v>3</v>
      </c>
      <c r="E15" s="157">
        <v>1450</v>
      </c>
      <c r="F15" s="157">
        <f t="shared" si="0"/>
        <v>5263.5</v>
      </c>
      <c r="G15" s="157" t="s">
        <v>204</v>
      </c>
      <c r="H15" s="156"/>
      <c r="I15" s="159">
        <f t="shared" si="1"/>
        <v>5263.5</v>
      </c>
    </row>
    <row r="16" spans="1:10" ht="25.5">
      <c r="A16" s="153">
        <v>2.2000000000000002</v>
      </c>
      <c r="B16" s="154" t="s">
        <v>294</v>
      </c>
      <c r="C16" s="153" t="s">
        <v>285</v>
      </c>
      <c r="D16" s="153">
        <v>1</v>
      </c>
      <c r="E16" s="157">
        <v>190000</v>
      </c>
      <c r="F16" s="157">
        <f t="shared" si="0"/>
        <v>229900</v>
      </c>
      <c r="G16" s="157" t="s">
        <v>204</v>
      </c>
      <c r="H16" s="156"/>
      <c r="I16" s="159">
        <f t="shared" si="1"/>
        <v>229900</v>
      </c>
    </row>
    <row r="17" spans="1:9" ht="25.5">
      <c r="A17" s="153">
        <v>2.2999999999999998</v>
      </c>
      <c r="B17" s="154" t="s">
        <v>295</v>
      </c>
      <c r="C17" s="153" t="s">
        <v>285</v>
      </c>
      <c r="D17" s="153">
        <v>3</v>
      </c>
      <c r="E17" s="157">
        <v>2200</v>
      </c>
      <c r="F17" s="157">
        <f t="shared" si="0"/>
        <v>7986</v>
      </c>
      <c r="G17" s="157" t="s">
        <v>204</v>
      </c>
      <c r="H17" s="156"/>
      <c r="I17" s="159">
        <f t="shared" si="1"/>
        <v>7986</v>
      </c>
    </row>
    <row r="18" spans="1:9" ht="25.5">
      <c r="A18" s="153">
        <v>2.4</v>
      </c>
      <c r="B18" s="154" t="s">
        <v>238</v>
      </c>
      <c r="C18" s="153" t="s">
        <v>285</v>
      </c>
      <c r="D18" s="153">
        <v>0</v>
      </c>
      <c r="E18" s="157">
        <v>1000</v>
      </c>
      <c r="F18" s="157">
        <f t="shared" si="0"/>
        <v>0</v>
      </c>
      <c r="G18" s="157" t="s">
        <v>204</v>
      </c>
      <c r="H18" s="156"/>
      <c r="I18" s="159">
        <f t="shared" si="1"/>
        <v>0</v>
      </c>
    </row>
    <row r="19" spans="1:9" ht="25.5">
      <c r="A19" s="153">
        <v>2.5</v>
      </c>
      <c r="B19" s="154" t="s">
        <v>240</v>
      </c>
      <c r="C19" s="153" t="s">
        <v>285</v>
      </c>
      <c r="D19" s="153">
        <v>0</v>
      </c>
      <c r="E19" s="157">
        <v>8500</v>
      </c>
      <c r="F19" s="157">
        <f t="shared" si="0"/>
        <v>0</v>
      </c>
      <c r="G19" s="157" t="s">
        <v>204</v>
      </c>
      <c r="H19" s="156"/>
      <c r="I19" s="159">
        <f t="shared" si="1"/>
        <v>0</v>
      </c>
    </row>
    <row r="20" spans="1:9" ht="25.5">
      <c r="A20" s="153">
        <v>2.6</v>
      </c>
      <c r="B20" s="154" t="s">
        <v>242</v>
      </c>
      <c r="C20" s="153" t="s">
        <v>285</v>
      </c>
      <c r="D20" s="153">
        <v>1</v>
      </c>
      <c r="E20" s="157">
        <v>9600</v>
      </c>
      <c r="F20" s="157">
        <f t="shared" si="0"/>
        <v>11616</v>
      </c>
      <c r="G20" s="157" t="s">
        <v>204</v>
      </c>
      <c r="H20" s="156"/>
      <c r="I20" s="159">
        <f t="shared" si="1"/>
        <v>11616</v>
      </c>
    </row>
    <row r="21" spans="1:9" ht="25.5">
      <c r="A21" s="153">
        <v>2.7</v>
      </c>
      <c r="B21" s="154" t="s">
        <v>247</v>
      </c>
      <c r="C21" s="153" t="s">
        <v>296</v>
      </c>
      <c r="D21" s="153">
        <v>1</v>
      </c>
      <c r="E21" s="157">
        <v>30000</v>
      </c>
      <c r="F21" s="157">
        <f t="shared" si="0"/>
        <v>36300</v>
      </c>
      <c r="G21" s="157" t="s">
        <v>204</v>
      </c>
      <c r="H21" s="156"/>
      <c r="I21" s="159">
        <f t="shared" si="1"/>
        <v>36300</v>
      </c>
    </row>
    <row r="22" spans="1:9" ht="25.5">
      <c r="A22" s="153">
        <v>2.8</v>
      </c>
      <c r="B22" s="154" t="s">
        <v>249</v>
      </c>
      <c r="C22" s="153" t="s">
        <v>296</v>
      </c>
      <c r="D22" s="153">
        <v>1</v>
      </c>
      <c r="E22" s="157">
        <v>25000</v>
      </c>
      <c r="F22" s="157">
        <f t="shared" si="0"/>
        <v>30250</v>
      </c>
      <c r="G22" s="157" t="s">
        <v>204</v>
      </c>
      <c r="H22" s="156"/>
      <c r="I22" s="159">
        <f t="shared" si="1"/>
        <v>30250</v>
      </c>
    </row>
    <row r="23" spans="1:9" ht="38.25">
      <c r="A23" s="153">
        <v>2.9</v>
      </c>
      <c r="B23" s="154" t="s">
        <v>297</v>
      </c>
      <c r="C23" s="153">
        <v>0</v>
      </c>
      <c r="D23" s="153">
        <v>1</v>
      </c>
      <c r="E23" s="157">
        <v>10000</v>
      </c>
      <c r="F23" s="157">
        <f t="shared" si="0"/>
        <v>12100</v>
      </c>
      <c r="G23" s="157" t="s">
        <v>178</v>
      </c>
      <c r="H23" s="156"/>
      <c r="I23" s="159">
        <f t="shared" si="1"/>
        <v>12100</v>
      </c>
    </row>
    <row r="24" spans="1:9" ht="38.25">
      <c r="A24" s="153">
        <v>3</v>
      </c>
      <c r="B24" s="154" t="s">
        <v>180</v>
      </c>
      <c r="C24" s="153">
        <v>0</v>
      </c>
      <c r="D24" s="153">
        <v>1</v>
      </c>
      <c r="E24" s="157">
        <v>6000</v>
      </c>
      <c r="F24" s="157">
        <f t="shared" si="0"/>
        <v>7260</v>
      </c>
      <c r="G24" s="157" t="s">
        <v>178</v>
      </c>
      <c r="H24" s="156"/>
      <c r="I24" s="159">
        <f t="shared" si="1"/>
        <v>7260</v>
      </c>
    </row>
    <row r="25" spans="1:9" ht="38.25">
      <c r="A25" s="153">
        <v>3.1</v>
      </c>
      <c r="B25" s="154" t="s">
        <v>298</v>
      </c>
      <c r="C25" s="153" t="s">
        <v>183</v>
      </c>
      <c r="D25" s="153">
        <v>1</v>
      </c>
      <c r="E25" s="157">
        <v>20000</v>
      </c>
      <c r="F25" s="157">
        <f t="shared" si="0"/>
        <v>24200</v>
      </c>
      <c r="G25" s="157" t="s">
        <v>178</v>
      </c>
      <c r="H25" s="156"/>
      <c r="I25" s="159">
        <f t="shared" si="1"/>
        <v>24200</v>
      </c>
    </row>
    <row r="26" spans="1:9" ht="38.25">
      <c r="A26" s="153">
        <v>3.2</v>
      </c>
      <c r="B26" s="154" t="s">
        <v>299</v>
      </c>
      <c r="C26" s="153">
        <v>0</v>
      </c>
      <c r="D26" s="153">
        <v>1</v>
      </c>
      <c r="E26" s="157">
        <v>35000</v>
      </c>
      <c r="F26" s="157">
        <f t="shared" si="0"/>
        <v>42350</v>
      </c>
      <c r="G26" s="157" t="s">
        <v>178</v>
      </c>
      <c r="H26" s="156"/>
      <c r="I26" s="159">
        <f t="shared" si="1"/>
        <v>42350</v>
      </c>
    </row>
    <row r="27" spans="1:9" ht="38.25">
      <c r="A27" s="153">
        <v>3.3</v>
      </c>
      <c r="B27" s="154" t="s">
        <v>300</v>
      </c>
      <c r="C27" s="153">
        <v>5</v>
      </c>
      <c r="D27" s="153">
        <v>1</v>
      </c>
      <c r="E27" s="157">
        <v>50000</v>
      </c>
      <c r="F27" s="157">
        <f t="shared" si="0"/>
        <v>60500</v>
      </c>
      <c r="G27" s="157" t="s">
        <v>178</v>
      </c>
      <c r="H27" s="156"/>
      <c r="I27" s="159">
        <f t="shared" si="1"/>
        <v>60500</v>
      </c>
    </row>
    <row r="28" spans="1:9" ht="38.25">
      <c r="A28" s="153">
        <v>3.4</v>
      </c>
      <c r="B28" s="154" t="s">
        <v>192</v>
      </c>
      <c r="C28" s="153">
        <v>0</v>
      </c>
      <c r="D28" s="153">
        <v>1</v>
      </c>
      <c r="E28" s="157">
        <v>47000</v>
      </c>
      <c r="F28" s="157">
        <f t="shared" si="0"/>
        <v>56870</v>
      </c>
      <c r="G28" s="157" t="s">
        <v>178</v>
      </c>
      <c r="H28" s="156"/>
      <c r="I28" s="159">
        <f t="shared" si="1"/>
        <v>56870</v>
      </c>
    </row>
    <row r="29" spans="1:9" ht="38.25">
      <c r="A29" s="153">
        <v>3.5</v>
      </c>
      <c r="B29" s="154" t="s">
        <v>301</v>
      </c>
      <c r="C29" s="153">
        <v>0</v>
      </c>
      <c r="D29" s="153">
        <v>1</v>
      </c>
      <c r="E29" s="157">
        <v>50000</v>
      </c>
      <c r="F29" s="157">
        <f t="shared" si="0"/>
        <v>60500</v>
      </c>
      <c r="G29" s="157" t="s">
        <v>178</v>
      </c>
      <c r="H29" s="156"/>
      <c r="I29" s="159">
        <f t="shared" si="1"/>
        <v>60500</v>
      </c>
    </row>
    <row r="30" spans="1:9" ht="38.25">
      <c r="A30" s="153">
        <v>3.6</v>
      </c>
      <c r="B30" s="154" t="s">
        <v>196</v>
      </c>
      <c r="C30" s="153">
        <v>0</v>
      </c>
      <c r="D30" s="153">
        <v>1</v>
      </c>
      <c r="E30" s="157">
        <v>3000</v>
      </c>
      <c r="F30" s="157">
        <f t="shared" si="0"/>
        <v>3630</v>
      </c>
      <c r="G30" s="157" t="s">
        <v>178</v>
      </c>
      <c r="H30" s="156"/>
      <c r="I30" s="159">
        <f t="shared" si="1"/>
        <v>3630</v>
      </c>
    </row>
    <row r="31" spans="1:9" ht="38.25">
      <c r="A31" s="153">
        <v>3.7</v>
      </c>
      <c r="B31" s="154" t="s">
        <v>198</v>
      </c>
      <c r="C31" s="153">
        <v>0</v>
      </c>
      <c r="D31" s="153">
        <v>1</v>
      </c>
      <c r="E31" s="157">
        <v>15000</v>
      </c>
      <c r="F31" s="157">
        <f t="shared" si="0"/>
        <v>18150</v>
      </c>
      <c r="G31" s="157" t="s">
        <v>178</v>
      </c>
      <c r="H31" s="156"/>
      <c r="I31" s="159">
        <f t="shared" si="1"/>
        <v>18150</v>
      </c>
    </row>
    <row r="32" spans="1:9" ht="38.25">
      <c r="A32" s="153">
        <v>3.8</v>
      </c>
      <c r="B32" s="154" t="s">
        <v>200</v>
      </c>
      <c r="C32" s="153" t="s">
        <v>302</v>
      </c>
      <c r="D32" s="153">
        <v>1</v>
      </c>
      <c r="E32" s="157">
        <v>50000</v>
      </c>
      <c r="F32" s="157">
        <f t="shared" si="0"/>
        <v>60500</v>
      </c>
      <c r="G32" s="157" t="s">
        <v>178</v>
      </c>
      <c r="H32" s="156"/>
      <c r="I32" s="159">
        <f t="shared" si="1"/>
        <v>60500</v>
      </c>
    </row>
    <row r="33" spans="1:10">
      <c r="A33" s="153"/>
      <c r="B33" s="160" t="s">
        <v>58</v>
      </c>
      <c r="C33" s="161">
        <v>549</v>
      </c>
      <c r="D33" s="153"/>
      <c r="E33" s="162" t="s">
        <v>58</v>
      </c>
      <c r="F33" s="155">
        <f>SUM(F5:F32)</f>
        <v>2247635.5</v>
      </c>
      <c r="G33" s="155"/>
      <c r="H33" s="158">
        <f>SUM(H5:H32)</f>
        <v>630882</v>
      </c>
      <c r="I33" s="158">
        <f>SUM(I5:I32)</f>
        <v>1616753.5</v>
      </c>
      <c r="J33" s="163">
        <f>I33+H33</f>
        <v>2247635.5</v>
      </c>
    </row>
    <row r="34" spans="1:10">
      <c r="F34" s="164"/>
      <c r="G34" s="164"/>
    </row>
  </sheetData>
  <mergeCells count="2">
    <mergeCell ref="A1:F1"/>
    <mergeCell ref="J2:J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2A887-4312-4FDD-A71B-731C2FF4E69C}">
  <dimension ref="A1:L18"/>
  <sheetViews>
    <sheetView view="pageBreakPreview" zoomScale="85" zoomScaleNormal="100" zoomScaleSheetLayoutView="85" workbookViewId="0">
      <selection activeCell="L1" sqref="L1:L6"/>
    </sheetView>
  </sheetViews>
  <sheetFormatPr defaultRowHeight="15.75"/>
  <cols>
    <col min="1" max="4" width="9.140625" style="165"/>
    <col min="5" max="5" width="14.85546875" style="165" customWidth="1"/>
    <col min="6" max="6" width="11.5703125" style="165" customWidth="1"/>
    <col min="7" max="7" width="11.140625" style="165" customWidth="1"/>
    <col min="8" max="8" width="16.42578125" style="165" customWidth="1"/>
    <col min="9" max="9" width="42" style="165" customWidth="1"/>
    <col min="10" max="11" width="10.85546875" style="165" bestFit="1" customWidth="1"/>
    <col min="12" max="12" width="32.5703125" style="165" customWidth="1"/>
    <col min="13" max="16384" width="9.140625" style="165"/>
  </cols>
  <sheetData>
    <row r="1" spans="1:12" ht="23.25">
      <c r="A1" s="282" t="s">
        <v>303</v>
      </c>
      <c r="B1" s="282"/>
      <c r="C1" s="282"/>
      <c r="D1" s="282"/>
      <c r="E1" s="282"/>
      <c r="F1" s="282"/>
      <c r="G1" s="282"/>
      <c r="H1" s="282"/>
      <c r="I1" s="282"/>
      <c r="L1" s="75" t="s">
        <v>375</v>
      </c>
    </row>
    <row r="2" spans="1:12" ht="16.5" thickBot="1">
      <c r="L2" s="258" t="s">
        <v>100</v>
      </c>
    </row>
    <row r="3" spans="1:12" ht="31.5">
      <c r="F3" s="166" t="s">
        <v>156</v>
      </c>
      <c r="G3" s="167" t="s">
        <v>252</v>
      </c>
      <c r="H3" s="166" t="s">
        <v>304</v>
      </c>
      <c r="I3" s="166" t="s">
        <v>254</v>
      </c>
      <c r="J3" s="168" t="s">
        <v>45</v>
      </c>
      <c r="K3" s="168" t="s">
        <v>52</v>
      </c>
      <c r="L3" s="258"/>
    </row>
    <row r="4" spans="1:12" ht="44.25" customHeight="1">
      <c r="A4" s="130">
        <v>1</v>
      </c>
      <c r="B4" s="283" t="s">
        <v>305</v>
      </c>
      <c r="C4" s="284"/>
      <c r="D4" s="284"/>
      <c r="E4" s="284"/>
      <c r="F4" s="131">
        <v>270</v>
      </c>
      <c r="G4" s="169"/>
      <c r="H4" s="169"/>
      <c r="I4" s="170" t="s">
        <v>306</v>
      </c>
      <c r="J4" s="168"/>
      <c r="K4" s="168"/>
      <c r="L4" s="258"/>
    </row>
    <row r="5" spans="1:12" ht="44.25" customHeight="1">
      <c r="A5" s="130">
        <v>2</v>
      </c>
      <c r="B5" s="283" t="s">
        <v>307</v>
      </c>
      <c r="C5" s="284"/>
      <c r="D5" s="284"/>
      <c r="E5" s="284"/>
      <c r="F5" s="135">
        <v>270</v>
      </c>
      <c r="G5" s="169"/>
      <c r="H5" s="169"/>
      <c r="I5" s="170" t="s">
        <v>306</v>
      </c>
      <c r="J5" s="168"/>
      <c r="K5" s="168"/>
      <c r="L5" s="258"/>
    </row>
    <row r="6" spans="1:12" ht="24.75" customHeight="1">
      <c r="A6" s="130">
        <v>3</v>
      </c>
      <c r="B6" s="285" t="s">
        <v>308</v>
      </c>
      <c r="C6" s="286"/>
      <c r="D6" s="286"/>
      <c r="E6" s="287"/>
      <c r="F6" s="131">
        <v>270</v>
      </c>
      <c r="G6" s="171">
        <v>1000</v>
      </c>
      <c r="H6" s="169">
        <f>F6*G6*1.21</f>
        <v>326700</v>
      </c>
      <c r="I6" s="168" t="s">
        <v>309</v>
      </c>
      <c r="J6" s="135">
        <v>97200</v>
      </c>
      <c r="K6" s="135">
        <f>H6-J6</f>
        <v>229500</v>
      </c>
      <c r="L6" s="258"/>
    </row>
    <row r="7" spans="1:12" ht="29.25" customHeight="1">
      <c r="A7" s="168">
        <v>4</v>
      </c>
      <c r="B7" s="268" t="s">
        <v>263</v>
      </c>
      <c r="C7" s="268"/>
      <c r="D7" s="268"/>
      <c r="E7" s="268"/>
      <c r="F7" s="135">
        <v>270</v>
      </c>
      <c r="G7" s="135"/>
      <c r="H7" s="169">
        <v>45000</v>
      </c>
      <c r="I7" s="168" t="s">
        <v>264</v>
      </c>
      <c r="J7" s="135"/>
      <c r="K7" s="135">
        <f>H7</f>
        <v>45000</v>
      </c>
      <c r="L7" s="172"/>
    </row>
    <row r="8" spans="1:12" ht="29.25" customHeight="1">
      <c r="A8" s="168">
        <v>5</v>
      </c>
      <c r="B8" s="272" t="s">
        <v>310</v>
      </c>
      <c r="C8" s="273"/>
      <c r="D8" s="273"/>
      <c r="E8" s="274"/>
      <c r="F8" s="135">
        <v>2</v>
      </c>
      <c r="G8" s="135">
        <v>18000</v>
      </c>
      <c r="H8" s="169">
        <v>45000</v>
      </c>
      <c r="I8" s="168" t="s">
        <v>264</v>
      </c>
      <c r="J8" s="135"/>
      <c r="K8" s="135">
        <f t="shared" ref="K8:K10" si="0">H8</f>
        <v>45000</v>
      </c>
      <c r="L8" s="172"/>
    </row>
    <row r="9" spans="1:12" ht="34.5" customHeight="1">
      <c r="A9" s="130">
        <v>6</v>
      </c>
      <c r="B9" s="272" t="s">
        <v>271</v>
      </c>
      <c r="C9" s="273"/>
      <c r="D9" s="273"/>
      <c r="E9" s="274"/>
      <c r="F9" s="135">
        <v>270</v>
      </c>
      <c r="G9" s="135">
        <v>270</v>
      </c>
      <c r="H9" s="169">
        <f t="shared" ref="H9:H10" si="1">F9*G9*1.21</f>
        <v>88209</v>
      </c>
      <c r="I9" s="168" t="s">
        <v>264</v>
      </c>
      <c r="J9" s="135"/>
      <c r="K9" s="135">
        <f t="shared" si="0"/>
        <v>88209</v>
      </c>
      <c r="L9" s="172"/>
    </row>
    <row r="10" spans="1:12" ht="26.25" customHeight="1">
      <c r="A10" s="130">
        <v>7</v>
      </c>
      <c r="B10" s="268" t="s">
        <v>272</v>
      </c>
      <c r="C10" s="268"/>
      <c r="D10" s="268"/>
      <c r="E10" s="268"/>
      <c r="F10" s="135">
        <v>270</v>
      </c>
      <c r="G10" s="135">
        <v>80</v>
      </c>
      <c r="H10" s="169">
        <f t="shared" si="1"/>
        <v>26136</v>
      </c>
      <c r="I10" s="168" t="s">
        <v>264</v>
      </c>
      <c r="J10" s="135"/>
      <c r="K10" s="135">
        <f t="shared" si="0"/>
        <v>26136</v>
      </c>
      <c r="L10" s="172"/>
    </row>
    <row r="11" spans="1:12" ht="16.5" thickBot="1">
      <c r="A11" s="269"/>
      <c r="B11" s="269"/>
      <c r="C11" s="269"/>
      <c r="D11" s="269"/>
      <c r="E11" s="269"/>
      <c r="F11" s="173"/>
      <c r="G11" s="173"/>
      <c r="H11" s="174">
        <f>SUM(H4:H10)</f>
        <v>531045</v>
      </c>
      <c r="I11" s="168"/>
      <c r="J11" s="135">
        <f>SUM(J6:J10)</f>
        <v>97200</v>
      </c>
      <c r="K11" s="135">
        <f>SUM(K6:K10)</f>
        <v>433845</v>
      </c>
      <c r="L11" s="175">
        <f>K11+J11</f>
        <v>531045</v>
      </c>
    </row>
    <row r="13" spans="1:12" ht="41.25" customHeight="1">
      <c r="A13" s="288" t="s">
        <v>311</v>
      </c>
      <c r="B13" s="288"/>
      <c r="C13" s="288"/>
      <c r="D13" s="288"/>
      <c r="E13" s="288"/>
      <c r="F13" s="288"/>
      <c r="G13" s="288"/>
      <c r="H13" s="288"/>
      <c r="I13" s="288"/>
      <c r="J13" s="288"/>
      <c r="K13" s="288"/>
    </row>
    <row r="14" spans="1:12">
      <c r="H14" s="176"/>
    </row>
    <row r="17" spans="7:8">
      <c r="G17" s="172"/>
    </row>
    <row r="18" spans="7:8">
      <c r="G18" s="172"/>
      <c r="H18" s="172"/>
    </row>
  </sheetData>
  <mergeCells count="11">
    <mergeCell ref="B9:E9"/>
    <mergeCell ref="B10:E10"/>
    <mergeCell ref="A11:E11"/>
    <mergeCell ref="A13:K13"/>
    <mergeCell ref="L2:L6"/>
    <mergeCell ref="B8:E8"/>
    <mergeCell ref="A1:I1"/>
    <mergeCell ref="B4:E4"/>
    <mergeCell ref="B5:E5"/>
    <mergeCell ref="B6:E6"/>
    <mergeCell ref="B7:E7"/>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A9C65-1C28-48C8-9A27-D31A6773BBB7}">
  <dimension ref="A1:K9"/>
  <sheetViews>
    <sheetView view="pageBreakPreview" zoomScaleNormal="100" zoomScaleSheetLayoutView="100" workbookViewId="0">
      <selection activeCell="K1" sqref="K1:K6"/>
    </sheetView>
  </sheetViews>
  <sheetFormatPr defaultRowHeight="15"/>
  <cols>
    <col min="1" max="1" width="9.140625" style="177"/>
    <col min="2" max="2" width="30" style="177" customWidth="1"/>
    <col min="3" max="3" width="9.140625" style="178"/>
    <col min="4" max="4" width="25.85546875" style="177" customWidth="1"/>
    <col min="5" max="5" width="22.42578125" style="177" customWidth="1"/>
    <col min="6" max="6" width="21" style="177" customWidth="1"/>
    <col min="7" max="7" width="40.5703125" style="177" customWidth="1"/>
    <col min="8" max="10" width="9.140625" style="177"/>
    <col min="11" max="11" width="29.42578125" style="177" customWidth="1"/>
    <col min="12" max="16384" width="9.140625" style="177"/>
  </cols>
  <sheetData>
    <row r="1" spans="1:11" ht="23.25">
      <c r="A1" s="260" t="s">
        <v>113</v>
      </c>
      <c r="B1" s="260"/>
      <c r="C1" s="260"/>
      <c r="D1" s="260"/>
      <c r="E1" s="260"/>
      <c r="F1" s="260"/>
      <c r="G1" s="260"/>
      <c r="K1" s="75" t="s">
        <v>376</v>
      </c>
    </row>
    <row r="2" spans="1:11">
      <c r="K2" s="258" t="s">
        <v>100</v>
      </c>
    </row>
    <row r="3" spans="1:11" ht="30">
      <c r="A3" s="179" t="s">
        <v>153</v>
      </c>
      <c r="B3" s="179" t="s">
        <v>154</v>
      </c>
      <c r="C3" s="179" t="s">
        <v>155</v>
      </c>
      <c r="D3" s="179" t="s">
        <v>280</v>
      </c>
      <c r="E3" s="179" t="s">
        <v>157</v>
      </c>
      <c r="F3" s="179" t="s">
        <v>158</v>
      </c>
      <c r="G3" s="179" t="s">
        <v>312</v>
      </c>
      <c r="H3" s="180" t="s">
        <v>45</v>
      </c>
      <c r="I3" s="180" t="s">
        <v>52</v>
      </c>
      <c r="K3" s="258"/>
    </row>
    <row r="4" spans="1:11" ht="42.75">
      <c r="A4" s="181">
        <v>1</v>
      </c>
      <c r="B4" s="181" t="s">
        <v>313</v>
      </c>
      <c r="C4" s="182">
        <v>100</v>
      </c>
      <c r="D4" s="181">
        <v>1</v>
      </c>
      <c r="E4" s="183">
        <v>1400</v>
      </c>
      <c r="F4" s="184">
        <f>C4*E4*1.21</f>
        <v>169400</v>
      </c>
      <c r="G4" s="181"/>
      <c r="H4" s="185"/>
      <c r="I4" s="185"/>
      <c r="J4" s="186"/>
      <c r="K4" s="258"/>
    </row>
    <row r="5" spans="1:11" ht="85.5">
      <c r="A5" s="181" t="s">
        <v>162</v>
      </c>
      <c r="B5" s="187" t="s">
        <v>163</v>
      </c>
      <c r="C5" s="182"/>
      <c r="D5" s="181"/>
      <c r="E5" s="183">
        <v>17000</v>
      </c>
      <c r="F5" s="188">
        <f>E5*1.21</f>
        <v>20570</v>
      </c>
      <c r="G5" s="181" t="s">
        <v>314</v>
      </c>
      <c r="H5" s="185">
        <v>20570</v>
      </c>
      <c r="I5" s="185">
        <v>0</v>
      </c>
      <c r="J5" s="186"/>
      <c r="K5" s="258"/>
    </row>
    <row r="6" spans="1:11" ht="85.5">
      <c r="A6" s="181" t="s">
        <v>165</v>
      </c>
      <c r="B6" s="187" t="s">
        <v>166</v>
      </c>
      <c r="C6" s="182"/>
      <c r="D6" s="181"/>
      <c r="E6" s="183">
        <v>1000</v>
      </c>
      <c r="F6" s="188">
        <f>E6*1.21</f>
        <v>1210</v>
      </c>
      <c r="G6" s="181" t="s">
        <v>315</v>
      </c>
      <c r="H6" s="185"/>
      <c r="I6" s="185">
        <v>1210</v>
      </c>
      <c r="J6" s="186"/>
      <c r="K6" s="258"/>
    </row>
    <row r="7" spans="1:11" ht="15.75">
      <c r="A7" s="181" t="s">
        <v>316</v>
      </c>
      <c r="B7" s="187" t="s">
        <v>317</v>
      </c>
      <c r="C7" s="189">
        <v>100</v>
      </c>
      <c r="D7" s="190"/>
      <c r="E7" s="191">
        <f>F7/C7/1.21</f>
        <v>1220</v>
      </c>
      <c r="F7" s="192">
        <f>F4-F5-F6</f>
        <v>147620</v>
      </c>
      <c r="G7" s="190" t="s">
        <v>309</v>
      </c>
      <c r="H7" s="185">
        <v>9430</v>
      </c>
      <c r="I7" s="185">
        <f>F7-H7</f>
        <v>138190</v>
      </c>
      <c r="J7" s="186"/>
    </row>
    <row r="8" spans="1:11">
      <c r="H8" s="185">
        <f>SUM(H5:H7)</f>
        <v>30000</v>
      </c>
      <c r="I8" s="185">
        <f>SUM(I5:I7)</f>
        <v>139400</v>
      </c>
      <c r="J8" s="193">
        <f>H8+I8</f>
        <v>169400</v>
      </c>
    </row>
    <row r="9" spans="1:11">
      <c r="F9" s="194"/>
    </row>
  </sheetData>
  <mergeCells count="2">
    <mergeCell ref="A1:G1"/>
    <mergeCell ref="K2:K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A362CB-6AD7-42C0-9C9C-23EDC19ECD5A}">
  <dimension ref="A1:J15"/>
  <sheetViews>
    <sheetView view="pageBreakPreview" zoomScale="115" zoomScaleNormal="100" zoomScaleSheetLayoutView="115" workbookViewId="0">
      <selection activeCell="J1" sqref="J1:J6"/>
    </sheetView>
  </sheetViews>
  <sheetFormatPr defaultRowHeight="15"/>
  <cols>
    <col min="1" max="1" width="9.140625" style="195"/>
    <col min="2" max="2" width="55.140625" style="195" customWidth="1"/>
    <col min="3" max="3" width="9.140625" style="195"/>
    <col min="4" max="4" width="13.140625" style="195" customWidth="1"/>
    <col min="5" max="5" width="30.140625" style="195" customWidth="1"/>
    <col min="6" max="6" width="40.85546875" style="195" customWidth="1"/>
    <col min="7" max="7" width="9.140625" style="195"/>
    <col min="8" max="8" width="13" style="195" customWidth="1"/>
    <col min="9" max="9" width="11.7109375" style="195" customWidth="1"/>
    <col min="10" max="10" width="23.5703125" style="195" customWidth="1"/>
    <col min="11" max="16384" width="9.140625" style="195"/>
  </cols>
  <sheetData>
    <row r="1" spans="1:10" ht="47.25" customHeight="1">
      <c r="A1" s="289" t="s">
        <v>318</v>
      </c>
      <c r="B1" s="289"/>
      <c r="C1" s="289"/>
      <c r="D1" s="289"/>
      <c r="E1" s="289"/>
      <c r="F1" s="289"/>
      <c r="J1" s="75" t="s">
        <v>377</v>
      </c>
    </row>
    <row r="2" spans="1:10">
      <c r="J2" s="258" t="s">
        <v>100</v>
      </c>
    </row>
    <row r="3" spans="1:10" ht="57">
      <c r="A3" s="196" t="s">
        <v>153</v>
      </c>
      <c r="B3" s="196" t="s">
        <v>154</v>
      </c>
      <c r="C3" s="196" t="s">
        <v>319</v>
      </c>
      <c r="D3" s="196" t="s">
        <v>157</v>
      </c>
      <c r="E3" s="196" t="s">
        <v>158</v>
      </c>
      <c r="F3" s="196" t="s">
        <v>312</v>
      </c>
      <c r="G3" s="197" t="s">
        <v>45</v>
      </c>
      <c r="H3" s="197" t="s">
        <v>52</v>
      </c>
      <c r="J3" s="258"/>
    </row>
    <row r="4" spans="1:10" ht="32.25" customHeight="1">
      <c r="A4" s="198">
        <v>1</v>
      </c>
      <c r="B4" s="199" t="s">
        <v>320</v>
      </c>
      <c r="C4" s="200"/>
      <c r="D4" s="201"/>
      <c r="E4" s="201"/>
      <c r="F4" s="198"/>
      <c r="G4" s="202"/>
      <c r="H4" s="202"/>
      <c r="I4" s="203"/>
      <c r="J4" s="258"/>
    </row>
    <row r="5" spans="1:10" ht="90">
      <c r="A5" s="198" t="s">
        <v>162</v>
      </c>
      <c r="B5" s="204" t="s">
        <v>163</v>
      </c>
      <c r="C5" s="200">
        <v>300</v>
      </c>
      <c r="D5" s="201">
        <v>105000</v>
      </c>
      <c r="E5" s="205">
        <f>D5*1.21</f>
        <v>127050</v>
      </c>
      <c r="F5" s="206" t="s">
        <v>321</v>
      </c>
      <c r="G5" s="202">
        <v>75000</v>
      </c>
      <c r="H5" s="202">
        <f>E5-G5</f>
        <v>52050</v>
      </c>
      <c r="I5" s="203"/>
      <c r="J5" s="258"/>
    </row>
    <row r="6" spans="1:10" ht="75">
      <c r="A6" s="198" t="s">
        <v>165</v>
      </c>
      <c r="B6" s="204" t="s">
        <v>166</v>
      </c>
      <c r="C6" s="200">
        <v>300</v>
      </c>
      <c r="D6" s="201">
        <v>7500</v>
      </c>
      <c r="E6" s="205">
        <f>D6*1.21</f>
        <v>9075</v>
      </c>
      <c r="F6" s="206" t="s">
        <v>322</v>
      </c>
      <c r="G6" s="202"/>
      <c r="H6" s="202">
        <f>E6</f>
        <v>9075</v>
      </c>
      <c r="I6" s="203"/>
      <c r="J6" s="258"/>
    </row>
    <row r="7" spans="1:10">
      <c r="A7" s="198" t="s">
        <v>316</v>
      </c>
      <c r="B7" s="204" t="s">
        <v>323</v>
      </c>
      <c r="C7" s="207">
        <v>300</v>
      </c>
      <c r="D7" s="208">
        <v>2669.5120000000002</v>
      </c>
      <c r="E7" s="209">
        <f>C7*D7*1.21</f>
        <v>969032.85600000003</v>
      </c>
      <c r="F7" s="206" t="s">
        <v>309</v>
      </c>
      <c r="G7" s="202"/>
      <c r="H7" s="202">
        <f>E7</f>
        <v>969032.85600000003</v>
      </c>
      <c r="I7" s="203"/>
    </row>
    <row r="8" spans="1:10">
      <c r="A8" s="198"/>
      <c r="B8" s="204" t="s">
        <v>324</v>
      </c>
      <c r="C8" s="207">
        <v>2</v>
      </c>
      <c r="D8" s="210">
        <v>75000</v>
      </c>
      <c r="E8" s="209">
        <f>C8*D8*1.21</f>
        <v>181500</v>
      </c>
      <c r="F8" s="210" t="s">
        <v>161</v>
      </c>
      <c r="G8" s="202"/>
      <c r="H8" s="202">
        <f t="shared" ref="H8" si="0">E8</f>
        <v>181500</v>
      </c>
      <c r="I8" s="203"/>
    </row>
    <row r="9" spans="1:10">
      <c r="E9" s="211">
        <f>SUM(E5:E8)</f>
        <v>1286657.8560000001</v>
      </c>
      <c r="G9" s="202">
        <f>SUM(G5:G8)</f>
        <v>75000</v>
      </c>
      <c r="H9" s="202">
        <f>SUM(H5:H8)</f>
        <v>1211657.8560000001</v>
      </c>
      <c r="I9" s="212">
        <f>G9+H9</f>
        <v>1286657.8560000001</v>
      </c>
    </row>
    <row r="11" spans="1:10">
      <c r="E11" s="213"/>
      <c r="F11" s="213"/>
    </row>
    <row r="13" spans="1:10">
      <c r="E13" s="214"/>
    </row>
    <row r="15" spans="1:10">
      <c r="E15" s="213"/>
    </row>
  </sheetData>
  <mergeCells count="2">
    <mergeCell ref="A1:F1"/>
    <mergeCell ref="J2:J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3</vt:i4>
      </vt:variant>
    </vt:vector>
  </HeadingPairs>
  <TitlesOfParts>
    <vt:vector size="24" baseType="lpstr">
      <vt:lpstr>PSKUS_A2_korpuss</vt:lpstr>
      <vt:lpstr>PSKUS_15_32_109</vt:lpstr>
      <vt:lpstr>PSKUS_15_32_109_2</vt:lpstr>
      <vt:lpstr>PSKUS_15_32_109_3</vt:lpstr>
      <vt:lpstr>PSKUS_15_32_109_4</vt:lpstr>
      <vt:lpstr>PSKUS_15_32_109_5</vt:lpstr>
      <vt:lpstr>PSKUS_15_32_109_6</vt:lpstr>
      <vt:lpstr>PSKUS_15_32_109_7</vt:lpstr>
      <vt:lpstr>PSKUS_15_32_109_8</vt:lpstr>
      <vt:lpstr>PSKUS_15_32_109_9</vt:lpstr>
      <vt:lpstr>PSKUS_15_32_109_10</vt:lpstr>
      <vt:lpstr>PSKUS_15_32_109_11</vt:lpstr>
      <vt:lpstr>PSKUS_15_32_109_12</vt:lpstr>
      <vt:lpstr>PSKUS_15_32_109_13</vt:lpstr>
      <vt:lpstr>PSKUS_15_32_109_14</vt:lpstr>
      <vt:lpstr>PSKUS_15_32_109_15</vt:lpstr>
      <vt:lpstr>BKUS</vt:lpstr>
      <vt:lpstr>D_pils_RS</vt:lpstr>
      <vt:lpstr>Vidzemes_Slim</vt:lpstr>
      <vt:lpstr>Analizators_aprēkins</vt:lpstr>
      <vt:lpstr>Šabloni</vt:lpstr>
      <vt:lpstr>BKUS!Print_Area</vt:lpstr>
      <vt:lpstr>D_pils_RS!Print_Area</vt:lpstr>
      <vt:lpstr>Vidzemes_Slim!Print_Area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Sanita Sivicka</dc:creator>
  <cp:lastModifiedBy>Igors Belovs</cp:lastModifiedBy>
  <cp:lastPrinted>2020-06-16T13:58:08Z</cp:lastPrinted>
  <dcterms:created xsi:type="dcterms:W3CDTF">2006-12-13T09:33:09Z</dcterms:created>
  <dcterms:modified xsi:type="dcterms:W3CDTF">2020-09-01T07:00:45Z</dcterms:modified>
</cp:coreProperties>
</file>